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8 Registros de Producción\programacion semanal de alimento\2022\Modulo 1 Lote M572 F571\"/>
    </mc:Choice>
  </mc:AlternateContent>
  <bookViews>
    <workbookView xWindow="0" yWindow="0" windowWidth="28800" windowHeight="12900" activeTab="2"/>
  </bookViews>
  <sheets>
    <sheet name="LF" sheetId="1" r:id="rId1"/>
    <sheet name="Incrementos" sheetId="12" state="hidden" r:id="rId2"/>
    <sheet name="LM" sheetId="6" r:id="rId3"/>
    <sheet name="Retiros" sheetId="8" r:id="rId4"/>
    <sheet name="Consolidado Mort" sheetId="11" r:id="rId5"/>
    <sheet name="Hoja1" sheetId="9" state="hidden" r:id="rId6"/>
    <sheet name="Mortalidad" sheetId="10" state="hidden" r:id="rId7"/>
  </sheets>
  <definedNames>
    <definedName name="_xlnm._FilterDatabase" localSheetId="4" hidden="1">'Consolidado Mort'!$A$1:$L$42</definedName>
    <definedName name="_xlnm.Print_Area" localSheetId="3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L366" i="6" l="1"/>
  <c r="HL367" i="6"/>
  <c r="HL368" i="6"/>
  <c r="HL369" i="6"/>
  <c r="HL370" i="6"/>
  <c r="HL371" i="6"/>
  <c r="HK366" i="6"/>
  <c r="HK367" i="6"/>
  <c r="HK368" i="6"/>
  <c r="HK369" i="6"/>
  <c r="HK370" i="6"/>
  <c r="HK371" i="6"/>
  <c r="HK365" i="1"/>
  <c r="HL365" i="1"/>
  <c r="HK366" i="1"/>
  <c r="HL366" i="1"/>
  <c r="HK370" i="1"/>
  <c r="HL370" i="1"/>
  <c r="HK371" i="1" l="1"/>
  <c r="FQ367" i="1" l="1"/>
  <c r="GC367" i="1"/>
  <c r="GO367" i="1"/>
  <c r="FR367" i="1"/>
  <c r="GD367" i="1"/>
  <c r="GP367" i="1"/>
  <c r="HS372" i="6" l="1"/>
  <c r="IJ43" i="6" l="1"/>
  <c r="IJ42" i="6"/>
  <c r="IJ41" i="6"/>
  <c r="IJ40" i="6"/>
  <c r="II43" i="6"/>
  <c r="II42" i="6"/>
  <c r="II41" i="6"/>
  <c r="II40" i="6"/>
  <c r="E365" i="1" l="1"/>
  <c r="E365" i="6" l="1"/>
  <c r="HO361" i="6" l="1"/>
  <c r="HW372" i="1" l="1"/>
  <c r="HV372" i="1"/>
  <c r="HT372" i="1"/>
  <c r="HS372" i="1"/>
  <c r="HN372" i="1"/>
  <c r="HM372" i="1"/>
  <c r="HJ372" i="1"/>
  <c r="HI372" i="1"/>
  <c r="HE372" i="1"/>
  <c r="HF372" i="1" s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Z372" i="1"/>
  <c r="FY372" i="1"/>
  <c r="FU372" i="1"/>
  <c r="FS372" i="1"/>
  <c r="FP372" i="1"/>
  <c r="FO372" i="1"/>
  <c r="FN372" i="1"/>
  <c r="FM372" i="1"/>
  <c r="FI372" i="1"/>
  <c r="FJ372" i="1" s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Q371" i="1"/>
  <c r="HO371" i="1"/>
  <c r="HU371" i="1" s="1"/>
  <c r="HL371" i="1"/>
  <c r="HF371" i="1"/>
  <c r="GT371" i="1"/>
  <c r="GH371" i="1"/>
  <c r="FV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Q370" i="1"/>
  <c r="HO370" i="1"/>
  <c r="HU370" i="1" s="1"/>
  <c r="HF370" i="1"/>
  <c r="GT370" i="1"/>
  <c r="GH370" i="1"/>
  <c r="FV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Q369" i="1"/>
  <c r="HO369" i="1"/>
  <c r="HF369" i="1"/>
  <c r="GT369" i="1"/>
  <c r="GH369" i="1"/>
  <c r="FV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Q368" i="1"/>
  <c r="HO368" i="1"/>
  <c r="HU368" i="1" s="1"/>
  <c r="HF368" i="1"/>
  <c r="GT368" i="1"/>
  <c r="GH368" i="1"/>
  <c r="FV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Q367" i="1"/>
  <c r="HO367" i="1"/>
  <c r="HU367" i="1" s="1"/>
  <c r="HF367" i="1"/>
  <c r="GT367" i="1"/>
  <c r="GH367" i="1"/>
  <c r="FV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Q366" i="1"/>
  <c r="HO366" i="1"/>
  <c r="HU366" i="1" s="1"/>
  <c r="HF366" i="1"/>
  <c r="HB366" i="1"/>
  <c r="HB367" i="1" s="1"/>
  <c r="HB368" i="1" s="1"/>
  <c r="HB369" i="1" s="1"/>
  <c r="HB370" i="1" s="1"/>
  <c r="HB371" i="1" s="1"/>
  <c r="GT366" i="1"/>
  <c r="GH366" i="1"/>
  <c r="GD366" i="1"/>
  <c r="GD368" i="1" s="1"/>
  <c r="GD369" i="1" s="1"/>
  <c r="GD370" i="1" s="1"/>
  <c r="GD371" i="1" s="1"/>
  <c r="FV366" i="1"/>
  <c r="FJ366" i="1"/>
  <c r="FF366" i="1"/>
  <c r="FF367" i="1" s="1"/>
  <c r="FF368" i="1" s="1"/>
  <c r="FF369" i="1" s="1"/>
  <c r="FF370" i="1" s="1"/>
  <c r="FF371" i="1" s="1"/>
  <c r="EX366" i="1"/>
  <c r="EL366" i="1"/>
  <c r="EH366" i="1"/>
  <c r="EH367" i="1" s="1"/>
  <c r="EH368" i="1" s="1"/>
  <c r="EH369" i="1" s="1"/>
  <c r="EH370" i="1" s="1"/>
  <c r="EH371" i="1" s="1"/>
  <c r="DZ366" i="1"/>
  <c r="DN366" i="1"/>
  <c r="DJ366" i="1"/>
  <c r="DJ367" i="1" s="1"/>
  <c r="DJ368" i="1" s="1"/>
  <c r="DJ369" i="1" s="1"/>
  <c r="DJ370" i="1" s="1"/>
  <c r="DJ371" i="1" s="1"/>
  <c r="DB366" i="1"/>
  <c r="CP366" i="1"/>
  <c r="CL366" i="1"/>
  <c r="CL367" i="1" s="1"/>
  <c r="CL368" i="1" s="1"/>
  <c r="CL369" i="1" s="1"/>
  <c r="CL370" i="1" s="1"/>
  <c r="CL371" i="1" s="1"/>
  <c r="CD366" i="1"/>
  <c r="BR366" i="1"/>
  <c r="BN366" i="1"/>
  <c r="BN367" i="1" s="1"/>
  <c r="BN368" i="1" s="1"/>
  <c r="BN369" i="1" s="1"/>
  <c r="BN370" i="1" s="1"/>
  <c r="BN371" i="1" s="1"/>
  <c r="BF366" i="1"/>
  <c r="AT366" i="1"/>
  <c r="AP366" i="1"/>
  <c r="AP367" i="1" s="1"/>
  <c r="AP368" i="1" s="1"/>
  <c r="AP369" i="1" s="1"/>
  <c r="AP370" i="1" s="1"/>
  <c r="AP371" i="1" s="1"/>
  <c r="AH366" i="1"/>
  <c r="V366" i="1"/>
  <c r="R366" i="1"/>
  <c r="R367" i="1" s="1"/>
  <c r="R368" i="1" s="1"/>
  <c r="R369" i="1" s="1"/>
  <c r="R370" i="1" s="1"/>
  <c r="R371" i="1" s="1"/>
  <c r="J366" i="1"/>
  <c r="HQ365" i="1"/>
  <c r="HO365" i="1"/>
  <c r="HF365" i="1"/>
  <c r="HB365" i="1"/>
  <c r="HA365" i="1"/>
  <c r="GT365" i="1"/>
  <c r="GP365" i="1"/>
  <c r="GP366" i="1" s="1"/>
  <c r="GP368" i="1" s="1"/>
  <c r="GP369" i="1" s="1"/>
  <c r="GP370" i="1" s="1"/>
  <c r="GP371" i="1" s="1"/>
  <c r="GH365" i="1"/>
  <c r="GD365" i="1"/>
  <c r="FV365" i="1"/>
  <c r="FR365" i="1"/>
  <c r="FR366" i="1" s="1"/>
  <c r="FR368" i="1" s="1"/>
  <c r="FR369" i="1" s="1"/>
  <c r="FR370" i="1" s="1"/>
  <c r="FR371" i="1" s="1"/>
  <c r="FJ365" i="1"/>
  <c r="FF365" i="1"/>
  <c r="EX365" i="1"/>
  <c r="EL365" i="1"/>
  <c r="EH365" i="1"/>
  <c r="DZ365" i="1"/>
  <c r="DV365" i="1"/>
  <c r="DV366" i="1" s="1"/>
  <c r="DV367" i="1" s="1"/>
  <c r="DV368" i="1" s="1"/>
  <c r="DV369" i="1" s="1"/>
  <c r="DV370" i="1" s="1"/>
  <c r="DV371" i="1" s="1"/>
  <c r="DN365" i="1"/>
  <c r="DJ365" i="1"/>
  <c r="DI365" i="1"/>
  <c r="DB365" i="1"/>
  <c r="CX365" i="1"/>
  <c r="CX366" i="1" s="1"/>
  <c r="CX367" i="1" s="1"/>
  <c r="CX368" i="1" s="1"/>
  <c r="CX369" i="1" s="1"/>
  <c r="CX370" i="1" s="1"/>
  <c r="CX371" i="1" s="1"/>
  <c r="CP365" i="1"/>
  <c r="CL365" i="1"/>
  <c r="CD365" i="1"/>
  <c r="BZ365" i="1"/>
  <c r="BZ366" i="1" s="1"/>
  <c r="BZ367" i="1" s="1"/>
  <c r="BR365" i="1"/>
  <c r="BN365" i="1"/>
  <c r="BF365" i="1"/>
  <c r="BB365" i="1"/>
  <c r="BB366" i="1" s="1"/>
  <c r="BB367" i="1" s="1"/>
  <c r="BB368" i="1" s="1"/>
  <c r="BB369" i="1" s="1"/>
  <c r="BB370" i="1" s="1"/>
  <c r="BB371" i="1" s="1"/>
  <c r="AT365" i="1"/>
  <c r="AP365" i="1"/>
  <c r="AH365" i="1"/>
  <c r="AD365" i="1"/>
  <c r="AD366" i="1" s="1"/>
  <c r="AD367" i="1" s="1"/>
  <c r="AD368" i="1" s="1"/>
  <c r="AD369" i="1" s="1"/>
  <c r="AD370" i="1" s="1"/>
  <c r="AD371" i="1" s="1"/>
  <c r="V365" i="1"/>
  <c r="R365" i="1"/>
  <c r="J365" i="1"/>
  <c r="F365" i="1"/>
  <c r="B365" i="1"/>
  <c r="B366" i="1" s="1"/>
  <c r="B367" i="1" s="1"/>
  <c r="B368" i="1" s="1"/>
  <c r="B369" i="1" s="1"/>
  <c r="B370" i="1" s="1"/>
  <c r="B371" i="1" s="1"/>
  <c r="II364" i="1"/>
  <c r="IH364" i="1"/>
  <c r="IG364" i="1"/>
  <c r="IF364" i="1"/>
  <c r="HW363" i="1"/>
  <c r="HV363" i="1"/>
  <c r="HT363" i="1"/>
  <c r="HS363" i="1"/>
  <c r="HN363" i="1"/>
  <c r="HM363" i="1"/>
  <c r="HJ363" i="1"/>
  <c r="HI363" i="1"/>
  <c r="HF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Z363" i="1"/>
  <c r="FY363" i="1"/>
  <c r="FU363" i="1"/>
  <c r="FS363" i="1"/>
  <c r="FP363" i="1"/>
  <c r="FO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Q362" i="1"/>
  <c r="HO362" i="1"/>
  <c r="HU362" i="1" s="1"/>
  <c r="HL362" i="1"/>
  <c r="HK362" i="1"/>
  <c r="HF362" i="1"/>
  <c r="GT362" i="1"/>
  <c r="GH362" i="1"/>
  <c r="FV362" i="1"/>
  <c r="FJ362" i="1"/>
  <c r="EX362" i="1"/>
  <c r="EL362" i="1"/>
  <c r="DZ362" i="1"/>
  <c r="DN362" i="1"/>
  <c r="DB362" i="1"/>
  <c r="CP362" i="1"/>
  <c r="CD362" i="1"/>
  <c r="BZ362" i="1"/>
  <c r="BR362" i="1"/>
  <c r="BF362" i="1"/>
  <c r="AT362" i="1"/>
  <c r="AH362" i="1"/>
  <c r="V362" i="1"/>
  <c r="J362" i="1"/>
  <c r="HQ361" i="1"/>
  <c r="HO361" i="1"/>
  <c r="HU361" i="1" s="1"/>
  <c r="HL361" i="1"/>
  <c r="HK361" i="1"/>
  <c r="HF361" i="1"/>
  <c r="GT361" i="1"/>
  <c r="GH361" i="1"/>
  <c r="FV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Q360" i="1"/>
  <c r="HO360" i="1"/>
  <c r="HU360" i="1" s="1"/>
  <c r="HL360" i="1"/>
  <c r="HK360" i="1"/>
  <c r="HF360" i="1"/>
  <c r="GT360" i="1"/>
  <c r="GH360" i="1"/>
  <c r="FV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Q359" i="1"/>
  <c r="HO359" i="1"/>
  <c r="HU359" i="1" s="1"/>
  <c r="HL359" i="1"/>
  <c r="HK359" i="1"/>
  <c r="HF359" i="1"/>
  <c r="GT359" i="1"/>
  <c r="GH359" i="1"/>
  <c r="FV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Q358" i="1"/>
  <c r="HO358" i="1"/>
  <c r="HU358" i="1" s="1"/>
  <c r="HL358" i="1"/>
  <c r="HK358" i="1"/>
  <c r="HF358" i="1"/>
  <c r="GT358" i="1"/>
  <c r="GH358" i="1"/>
  <c r="FV358" i="1"/>
  <c r="FR358" i="1"/>
  <c r="FR359" i="1" s="1"/>
  <c r="FR360" i="1" s="1"/>
  <c r="FR361" i="1" s="1"/>
  <c r="FR362" i="1" s="1"/>
  <c r="FJ358" i="1"/>
  <c r="EX358" i="1"/>
  <c r="EL358" i="1"/>
  <c r="DZ358" i="1"/>
  <c r="DV358" i="1"/>
  <c r="DV359" i="1" s="1"/>
  <c r="DV360" i="1" s="1"/>
  <c r="DV361" i="1" s="1"/>
  <c r="DV362" i="1" s="1"/>
  <c r="DN358" i="1"/>
  <c r="DB358" i="1"/>
  <c r="CP358" i="1"/>
  <c r="CD358" i="1"/>
  <c r="BZ358" i="1"/>
  <c r="BZ359" i="1" s="1"/>
  <c r="BZ360" i="1" s="1"/>
  <c r="BZ361" i="1" s="1"/>
  <c r="BR358" i="1"/>
  <c r="BF358" i="1"/>
  <c r="AT358" i="1"/>
  <c r="AH358" i="1"/>
  <c r="AD358" i="1"/>
  <c r="AD359" i="1" s="1"/>
  <c r="AD360" i="1" s="1"/>
  <c r="AD361" i="1" s="1"/>
  <c r="AD362" i="1" s="1"/>
  <c r="V358" i="1"/>
  <c r="J358" i="1"/>
  <c r="HQ357" i="1"/>
  <c r="HO357" i="1"/>
  <c r="HU357" i="1" s="1"/>
  <c r="HL357" i="1"/>
  <c r="HK357" i="1"/>
  <c r="HF357" i="1"/>
  <c r="GT357" i="1"/>
  <c r="GO357" i="1"/>
  <c r="GH357" i="1"/>
  <c r="FV357" i="1"/>
  <c r="FJ357" i="1"/>
  <c r="EX357" i="1"/>
  <c r="ES357" i="1"/>
  <c r="EL357" i="1"/>
  <c r="DZ357" i="1"/>
  <c r="DU357" i="1"/>
  <c r="DN357" i="1"/>
  <c r="DB357" i="1"/>
  <c r="CW357" i="1"/>
  <c r="CP357" i="1"/>
  <c r="CD357" i="1"/>
  <c r="BY357" i="1"/>
  <c r="BR357" i="1"/>
  <c r="BF357" i="1"/>
  <c r="AT357" i="1"/>
  <c r="AH357" i="1"/>
  <c r="AC357" i="1"/>
  <c r="V357" i="1"/>
  <c r="J357" i="1"/>
  <c r="B357" i="1"/>
  <c r="B358" i="1" s="1"/>
  <c r="B359" i="1" s="1"/>
  <c r="B360" i="1" s="1"/>
  <c r="B361" i="1" s="1"/>
  <c r="B362" i="1" s="1"/>
  <c r="HQ356" i="1"/>
  <c r="HO356" i="1"/>
  <c r="HU356" i="1" s="1"/>
  <c r="HL356" i="1"/>
  <c r="HK356" i="1"/>
  <c r="HF356" i="1"/>
  <c r="HD356" i="1"/>
  <c r="HB356" i="1"/>
  <c r="HB357" i="1" s="1"/>
  <c r="HB358" i="1" s="1"/>
  <c r="HB359" i="1" s="1"/>
  <c r="HB360" i="1" s="1"/>
  <c r="HB361" i="1" s="1"/>
  <c r="HB362" i="1" s="1"/>
  <c r="HA356" i="1"/>
  <c r="HA357" i="1" s="1"/>
  <c r="GT356" i="1"/>
  <c r="GR356" i="1"/>
  <c r="GP356" i="1"/>
  <c r="GP357" i="1" s="1"/>
  <c r="GP358" i="1" s="1"/>
  <c r="GP359" i="1" s="1"/>
  <c r="GP360" i="1" s="1"/>
  <c r="GP361" i="1" s="1"/>
  <c r="GP362" i="1" s="1"/>
  <c r="GO356" i="1"/>
  <c r="GH356" i="1"/>
  <c r="GD356" i="1"/>
  <c r="GD357" i="1" s="1"/>
  <c r="GD358" i="1" s="1"/>
  <c r="GD359" i="1" s="1"/>
  <c r="GD360" i="1" s="1"/>
  <c r="GD361" i="1" s="1"/>
  <c r="GD362" i="1" s="1"/>
  <c r="GC356" i="1"/>
  <c r="GF356" i="1" s="1"/>
  <c r="FV356" i="1"/>
  <c r="FT356" i="1"/>
  <c r="FR356" i="1"/>
  <c r="FR357" i="1" s="1"/>
  <c r="FQ356" i="1"/>
  <c r="FQ357" i="1" s="1"/>
  <c r="FJ356" i="1"/>
  <c r="FF356" i="1"/>
  <c r="FF357" i="1" s="1"/>
  <c r="FF358" i="1" s="1"/>
  <c r="FF359" i="1" s="1"/>
  <c r="FF360" i="1" s="1"/>
  <c r="FF361" i="1" s="1"/>
  <c r="FF362" i="1" s="1"/>
  <c r="FE356" i="1"/>
  <c r="FE357" i="1" s="1"/>
  <c r="EX356" i="1"/>
  <c r="EV356" i="1"/>
  <c r="ET356" i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S356" i="1"/>
  <c r="EL356" i="1"/>
  <c r="EJ356" i="1"/>
  <c r="EH356" i="1"/>
  <c r="EH357" i="1" s="1"/>
  <c r="EH358" i="1" s="1"/>
  <c r="EH359" i="1" s="1"/>
  <c r="EH360" i="1" s="1"/>
  <c r="EH361" i="1" s="1"/>
  <c r="EH362" i="1" s="1"/>
  <c r="EG356" i="1"/>
  <c r="EG357" i="1" s="1"/>
  <c r="DZ356" i="1"/>
  <c r="DX356" i="1"/>
  <c r="DV356" i="1"/>
  <c r="DV357" i="1" s="1"/>
  <c r="DU356" i="1"/>
  <c r="DN356" i="1"/>
  <c r="DL356" i="1"/>
  <c r="DJ356" i="1"/>
  <c r="DJ357" i="1" s="1"/>
  <c r="DJ358" i="1" s="1"/>
  <c r="DJ359" i="1" s="1"/>
  <c r="DJ360" i="1" s="1"/>
  <c r="DJ361" i="1" s="1"/>
  <c r="DJ362" i="1" s="1"/>
  <c r="DI356" i="1"/>
  <c r="DI357" i="1" s="1"/>
  <c r="DB356" i="1"/>
  <c r="CZ356" i="1"/>
  <c r="CX356" i="1"/>
  <c r="CX357" i="1" s="1"/>
  <c r="CX358" i="1" s="1"/>
  <c r="CX359" i="1" s="1"/>
  <c r="CX360" i="1" s="1"/>
  <c r="CX361" i="1" s="1"/>
  <c r="CX362" i="1" s="1"/>
  <c r="CW356" i="1"/>
  <c r="CP356" i="1"/>
  <c r="CN356" i="1"/>
  <c r="CL356" i="1"/>
  <c r="CL357" i="1" s="1"/>
  <c r="CL358" i="1" s="1"/>
  <c r="CL359" i="1" s="1"/>
  <c r="CL360" i="1" s="1"/>
  <c r="CL361" i="1" s="1"/>
  <c r="CL362" i="1" s="1"/>
  <c r="CK356" i="1"/>
  <c r="CK357" i="1" s="1"/>
  <c r="CD356" i="1"/>
  <c r="CB356" i="1"/>
  <c r="BZ356" i="1"/>
  <c r="BZ357" i="1" s="1"/>
  <c r="BY356" i="1"/>
  <c r="BR356" i="1"/>
  <c r="BP356" i="1"/>
  <c r="BN356" i="1"/>
  <c r="BN357" i="1" s="1"/>
  <c r="BN358" i="1" s="1"/>
  <c r="BN359" i="1" s="1"/>
  <c r="BN360" i="1" s="1"/>
  <c r="BN361" i="1" s="1"/>
  <c r="BN362" i="1" s="1"/>
  <c r="BM356" i="1"/>
  <c r="BF356" i="1"/>
  <c r="BB356" i="1"/>
  <c r="BB357" i="1" s="1"/>
  <c r="BB358" i="1" s="1"/>
  <c r="BB359" i="1" s="1"/>
  <c r="BB360" i="1" s="1"/>
  <c r="BB361" i="1" s="1"/>
  <c r="BB362" i="1" s="1"/>
  <c r="BA356" i="1"/>
  <c r="BA357" i="1" s="1"/>
  <c r="AT356" i="1"/>
  <c r="AR356" i="1"/>
  <c r="AP356" i="1"/>
  <c r="AP357" i="1" s="1"/>
  <c r="AP358" i="1" s="1"/>
  <c r="AP359" i="1" s="1"/>
  <c r="AP360" i="1" s="1"/>
  <c r="AP361" i="1" s="1"/>
  <c r="AP362" i="1" s="1"/>
  <c r="AO356" i="1"/>
  <c r="AO357" i="1" s="1"/>
  <c r="AH356" i="1"/>
  <c r="AF356" i="1"/>
  <c r="AD356" i="1"/>
  <c r="AD357" i="1" s="1"/>
  <c r="AC356" i="1"/>
  <c r="V356" i="1"/>
  <c r="T356" i="1"/>
  <c r="R356" i="1"/>
  <c r="Q356" i="1"/>
  <c r="J356" i="1"/>
  <c r="F356" i="1"/>
  <c r="F357" i="1" s="1"/>
  <c r="F358" i="1" s="1"/>
  <c r="E356" i="1"/>
  <c r="E357" i="1" s="1"/>
  <c r="B356" i="1"/>
  <c r="HW372" i="6"/>
  <c r="HV372" i="6"/>
  <c r="HT372" i="6"/>
  <c r="HN372" i="6"/>
  <c r="HM372" i="6"/>
  <c r="HJ372" i="6"/>
  <c r="HI372" i="6"/>
  <c r="HE372" i="6"/>
  <c r="HC372" i="6"/>
  <c r="HF372" i="6" s="1"/>
  <c r="GZ372" i="6"/>
  <c r="GY372" i="6"/>
  <c r="GX372" i="6"/>
  <c r="GW372" i="6"/>
  <c r="GS372" i="6"/>
  <c r="GQ372" i="6"/>
  <c r="GT372" i="6" s="1"/>
  <c r="GN372" i="6"/>
  <c r="GM372" i="6"/>
  <c r="GL372" i="6"/>
  <c r="GK372" i="6"/>
  <c r="GG372" i="6"/>
  <c r="GE372" i="6"/>
  <c r="GH372" i="6" s="1"/>
  <c r="GB372" i="6"/>
  <c r="GA372" i="6"/>
  <c r="FZ372" i="6"/>
  <c r="FY372" i="6"/>
  <c r="FU372" i="6"/>
  <c r="FS372" i="6"/>
  <c r="FV372" i="6" s="1"/>
  <c r="FP372" i="6"/>
  <c r="FO372" i="6"/>
  <c r="FN372" i="6"/>
  <c r="FM372" i="6"/>
  <c r="FI372" i="6"/>
  <c r="FG372" i="6"/>
  <c r="FJ372" i="6" s="1"/>
  <c r="FD372" i="6"/>
  <c r="FC372" i="6"/>
  <c r="FB372" i="6"/>
  <c r="FA372" i="6"/>
  <c r="EW372" i="6"/>
  <c r="EU372" i="6"/>
  <c r="EX372" i="6" s="1"/>
  <c r="ER372" i="6"/>
  <c r="EQ372" i="6"/>
  <c r="EP372" i="6"/>
  <c r="EO372" i="6"/>
  <c r="EK372" i="6"/>
  <c r="EI372" i="6"/>
  <c r="EL372" i="6" s="1"/>
  <c r="EF372" i="6"/>
  <c r="EE372" i="6"/>
  <c r="ED372" i="6"/>
  <c r="EC372" i="6"/>
  <c r="DY372" i="6"/>
  <c r="DW372" i="6"/>
  <c r="DZ372" i="6" s="1"/>
  <c r="DT372" i="6"/>
  <c r="DS372" i="6"/>
  <c r="DR372" i="6"/>
  <c r="DQ372" i="6"/>
  <c r="DM372" i="6"/>
  <c r="DK372" i="6"/>
  <c r="DN372" i="6" s="1"/>
  <c r="DH372" i="6"/>
  <c r="DG372" i="6"/>
  <c r="DF372" i="6"/>
  <c r="DE372" i="6"/>
  <c r="DA372" i="6"/>
  <c r="CY372" i="6"/>
  <c r="DB372" i="6" s="1"/>
  <c r="CV372" i="6"/>
  <c r="CU372" i="6"/>
  <c r="CT372" i="6"/>
  <c r="CS372" i="6"/>
  <c r="CO372" i="6"/>
  <c r="CM372" i="6"/>
  <c r="CP372" i="6" s="1"/>
  <c r="CJ372" i="6"/>
  <c r="CI372" i="6"/>
  <c r="CH372" i="6"/>
  <c r="CG372" i="6"/>
  <c r="CC372" i="6"/>
  <c r="CA372" i="6"/>
  <c r="CD372" i="6" s="1"/>
  <c r="BX372" i="6"/>
  <c r="BW372" i="6"/>
  <c r="BV372" i="6"/>
  <c r="BU372" i="6"/>
  <c r="BQ372" i="6"/>
  <c r="BO372" i="6"/>
  <c r="BR372" i="6" s="1"/>
  <c r="BL372" i="6"/>
  <c r="BK372" i="6"/>
  <c r="BJ372" i="6"/>
  <c r="BI372" i="6"/>
  <c r="BE372" i="6"/>
  <c r="BC372" i="6"/>
  <c r="BF372" i="6" s="1"/>
  <c r="AZ372" i="6"/>
  <c r="AY372" i="6"/>
  <c r="AX372" i="6"/>
  <c r="AW372" i="6"/>
  <c r="AS372" i="6"/>
  <c r="AQ372" i="6"/>
  <c r="AT372" i="6" s="1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S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U366" i="6" s="1"/>
  <c r="HF366" i="6"/>
  <c r="HB366" i="6"/>
  <c r="HB367" i="6" s="1"/>
  <c r="HB368" i="6" s="1"/>
  <c r="HB369" i="6" s="1"/>
  <c r="HB370" i="6" s="1"/>
  <c r="HB371" i="6" s="1"/>
  <c r="GT366" i="6"/>
  <c r="GR366" i="6"/>
  <c r="GP366" i="6"/>
  <c r="GP367" i="6" s="1"/>
  <c r="GP368" i="6" s="1"/>
  <c r="GP369" i="6" s="1"/>
  <c r="GP370" i="6" s="1"/>
  <c r="GP371" i="6" s="1"/>
  <c r="GO366" i="6"/>
  <c r="GO367" i="6" s="1"/>
  <c r="GH366" i="6"/>
  <c r="GD366" i="6"/>
  <c r="GD367" i="6" s="1"/>
  <c r="GD368" i="6" s="1"/>
  <c r="GD369" i="6" s="1"/>
  <c r="GD370" i="6" s="1"/>
  <c r="GD371" i="6" s="1"/>
  <c r="FV366" i="6"/>
  <c r="FR366" i="6"/>
  <c r="FR367" i="6" s="1"/>
  <c r="FR368" i="6" s="1"/>
  <c r="FR369" i="6" s="1"/>
  <c r="FR370" i="6" s="1"/>
  <c r="FR371" i="6" s="1"/>
  <c r="FQ366" i="6"/>
  <c r="FQ367" i="6" s="1"/>
  <c r="FJ366" i="6"/>
  <c r="FF366" i="6"/>
  <c r="FF367" i="6" s="1"/>
  <c r="FF368" i="6" s="1"/>
  <c r="FF369" i="6" s="1"/>
  <c r="FF370" i="6" s="1"/>
  <c r="FF371" i="6" s="1"/>
  <c r="EX366" i="6"/>
  <c r="EV366" i="6"/>
  <c r="ET366" i="6"/>
  <c r="ET367" i="6" s="1"/>
  <c r="ET368" i="6" s="1"/>
  <c r="ET369" i="6" s="1"/>
  <c r="ET370" i="6" s="1"/>
  <c r="ET371" i="6" s="1"/>
  <c r="ES366" i="6"/>
  <c r="EL366" i="6"/>
  <c r="EH366" i="6"/>
  <c r="EH367" i="6" s="1"/>
  <c r="EH368" i="6" s="1"/>
  <c r="EH369" i="6" s="1"/>
  <c r="EH370" i="6" s="1"/>
  <c r="EH371" i="6" s="1"/>
  <c r="DZ366" i="6"/>
  <c r="DV366" i="6"/>
  <c r="DV367" i="6" s="1"/>
  <c r="DV368" i="6" s="1"/>
  <c r="DV369" i="6" s="1"/>
  <c r="DV370" i="6" s="1"/>
  <c r="DV371" i="6" s="1"/>
  <c r="DU366" i="6"/>
  <c r="DX366" i="6" s="1"/>
  <c r="DN366" i="6"/>
  <c r="DJ366" i="6"/>
  <c r="DJ367" i="6" s="1"/>
  <c r="DJ368" i="6" s="1"/>
  <c r="DJ369" i="6" s="1"/>
  <c r="DJ370" i="6" s="1"/>
  <c r="DJ371" i="6" s="1"/>
  <c r="DB366" i="6"/>
  <c r="CZ366" i="6"/>
  <c r="CX366" i="6"/>
  <c r="CX367" i="6" s="1"/>
  <c r="CX368" i="6" s="1"/>
  <c r="CX369" i="6" s="1"/>
  <c r="CX370" i="6" s="1"/>
  <c r="CX371" i="6" s="1"/>
  <c r="CW366" i="6"/>
  <c r="CW367" i="6" s="1"/>
  <c r="CP366" i="6"/>
  <c r="CL366" i="6"/>
  <c r="CL367" i="6" s="1"/>
  <c r="CL368" i="6" s="1"/>
  <c r="CL369" i="6" s="1"/>
  <c r="CL370" i="6" s="1"/>
  <c r="CL371" i="6" s="1"/>
  <c r="CD366" i="6"/>
  <c r="BZ366" i="6"/>
  <c r="BZ367" i="6" s="1"/>
  <c r="BZ368" i="6" s="1"/>
  <c r="BZ369" i="6" s="1"/>
  <c r="BZ370" i="6" s="1"/>
  <c r="BZ371" i="6" s="1"/>
  <c r="BY366" i="6"/>
  <c r="CB366" i="6" s="1"/>
  <c r="BR366" i="6"/>
  <c r="BN366" i="6"/>
  <c r="BN367" i="6" s="1"/>
  <c r="BN368" i="6" s="1"/>
  <c r="BN369" i="6" s="1"/>
  <c r="BN370" i="6" s="1"/>
  <c r="BN371" i="6" s="1"/>
  <c r="BF366" i="6"/>
  <c r="BD366" i="6"/>
  <c r="BB366" i="6"/>
  <c r="BB367" i="6" s="1"/>
  <c r="BB368" i="6" s="1"/>
  <c r="BB369" i="6" s="1"/>
  <c r="BB370" i="6" s="1"/>
  <c r="BB371" i="6" s="1"/>
  <c r="BA366" i="6"/>
  <c r="BA367" i="6" s="1"/>
  <c r="AT366" i="6"/>
  <c r="AP366" i="6"/>
  <c r="AP367" i="6" s="1"/>
  <c r="AP368" i="6" s="1"/>
  <c r="AP369" i="6" s="1"/>
  <c r="AP370" i="6" s="1"/>
  <c r="AP371" i="6" s="1"/>
  <c r="AH366" i="6"/>
  <c r="V366" i="6"/>
  <c r="R366" i="6"/>
  <c r="R367" i="6" s="1"/>
  <c r="R368" i="6" s="1"/>
  <c r="R369" i="6" s="1"/>
  <c r="R370" i="6" s="1"/>
  <c r="R371" i="6" s="1"/>
  <c r="J366" i="6"/>
  <c r="F366" i="6"/>
  <c r="F367" i="6" s="1"/>
  <c r="HQ365" i="6"/>
  <c r="HO365" i="6"/>
  <c r="HL365" i="6"/>
  <c r="HK365" i="6"/>
  <c r="HF365" i="6"/>
  <c r="HB365" i="6"/>
  <c r="HA365" i="6"/>
  <c r="GT365" i="6"/>
  <c r="GR365" i="6"/>
  <c r="GP365" i="6"/>
  <c r="GO365" i="6"/>
  <c r="GH365" i="6"/>
  <c r="GD365" i="6"/>
  <c r="GC365" i="6"/>
  <c r="FV365" i="6"/>
  <c r="FT365" i="6"/>
  <c r="FR365" i="6"/>
  <c r="FQ365" i="6"/>
  <c r="FJ365" i="6"/>
  <c r="FF365" i="6"/>
  <c r="FE365" i="6"/>
  <c r="EX365" i="6"/>
  <c r="EV365" i="6"/>
  <c r="ET365" i="6"/>
  <c r="ES365" i="6"/>
  <c r="EL365" i="6"/>
  <c r="EH365" i="6"/>
  <c r="EG365" i="6"/>
  <c r="DZ365" i="6"/>
  <c r="DX365" i="6"/>
  <c r="DV365" i="6"/>
  <c r="DU365" i="6"/>
  <c r="DN365" i="6"/>
  <c r="DJ365" i="6"/>
  <c r="DI365" i="6"/>
  <c r="DB365" i="6"/>
  <c r="CZ365" i="6"/>
  <c r="CX365" i="6"/>
  <c r="CW365" i="6"/>
  <c r="CP365" i="6"/>
  <c r="CL365" i="6"/>
  <c r="CK365" i="6"/>
  <c r="CD365" i="6"/>
  <c r="CB365" i="6"/>
  <c r="BZ365" i="6"/>
  <c r="BY365" i="6"/>
  <c r="BR365" i="6"/>
  <c r="BN365" i="6"/>
  <c r="BM365" i="6"/>
  <c r="BF365" i="6"/>
  <c r="BD365" i="6"/>
  <c r="BB365" i="6"/>
  <c r="BA365" i="6"/>
  <c r="AT365" i="6"/>
  <c r="AP365" i="6"/>
  <c r="AO365" i="6"/>
  <c r="AH365" i="6"/>
  <c r="V365" i="6"/>
  <c r="R365" i="6"/>
  <c r="J365" i="6"/>
  <c r="F365" i="6"/>
  <c r="B365" i="6"/>
  <c r="B366" i="6" s="1"/>
  <c r="B367" i="6" s="1"/>
  <c r="B368" i="6" s="1"/>
  <c r="B369" i="6" s="1"/>
  <c r="B370" i="6" s="1"/>
  <c r="B371" i="6" s="1"/>
  <c r="HW363" i="6"/>
  <c r="HV363" i="6"/>
  <c r="HT363" i="6"/>
  <c r="HS363" i="6"/>
  <c r="HN363" i="6"/>
  <c r="HM363" i="6"/>
  <c r="HJ363" i="6"/>
  <c r="HI363" i="6"/>
  <c r="HF363" i="6"/>
  <c r="HE363" i="6"/>
  <c r="HC363" i="6"/>
  <c r="GZ363" i="6"/>
  <c r="GY363" i="6"/>
  <c r="GX363" i="6"/>
  <c r="GW363" i="6"/>
  <c r="GT363" i="6"/>
  <c r="GS363" i="6"/>
  <c r="GQ363" i="6"/>
  <c r="GN363" i="6"/>
  <c r="GM363" i="6"/>
  <c r="GL363" i="6"/>
  <c r="GK363" i="6"/>
  <c r="GH363" i="6"/>
  <c r="GG363" i="6"/>
  <c r="GE363" i="6"/>
  <c r="GB363" i="6"/>
  <c r="GA363" i="6"/>
  <c r="FZ363" i="6"/>
  <c r="FY363" i="6"/>
  <c r="FV363" i="6"/>
  <c r="FU363" i="6"/>
  <c r="FS363" i="6"/>
  <c r="FP363" i="6"/>
  <c r="FO363" i="6"/>
  <c r="FN363" i="6"/>
  <c r="FM363" i="6"/>
  <c r="FJ363" i="6"/>
  <c r="FI363" i="6"/>
  <c r="FG363" i="6"/>
  <c r="FD363" i="6"/>
  <c r="FC363" i="6"/>
  <c r="FB363" i="6"/>
  <c r="FA363" i="6"/>
  <c r="EX363" i="6"/>
  <c r="EW363" i="6"/>
  <c r="EU363" i="6"/>
  <c r="ER363" i="6"/>
  <c r="EQ363" i="6"/>
  <c r="EP363" i="6"/>
  <c r="EO363" i="6"/>
  <c r="EL363" i="6"/>
  <c r="EK363" i="6"/>
  <c r="EI363" i="6"/>
  <c r="EF363" i="6"/>
  <c r="EE363" i="6"/>
  <c r="ED363" i="6"/>
  <c r="EC363" i="6"/>
  <c r="DZ363" i="6"/>
  <c r="DY363" i="6"/>
  <c r="DW363" i="6"/>
  <c r="DT363" i="6"/>
  <c r="DS363" i="6"/>
  <c r="DR363" i="6"/>
  <c r="DQ363" i="6"/>
  <c r="DN363" i="6"/>
  <c r="DM363" i="6"/>
  <c r="DK363" i="6"/>
  <c r="DH363" i="6"/>
  <c r="DG363" i="6"/>
  <c r="DF363" i="6"/>
  <c r="DE363" i="6"/>
  <c r="DB363" i="6"/>
  <c r="DA363" i="6"/>
  <c r="CY363" i="6"/>
  <c r="CV363" i="6"/>
  <c r="CU363" i="6"/>
  <c r="CT363" i="6"/>
  <c r="CS363" i="6"/>
  <c r="CP363" i="6"/>
  <c r="CO363" i="6"/>
  <c r="CM363" i="6"/>
  <c r="CJ363" i="6"/>
  <c r="CI363" i="6"/>
  <c r="CH363" i="6"/>
  <c r="CG363" i="6"/>
  <c r="CD363" i="6"/>
  <c r="CC363" i="6"/>
  <c r="CA363" i="6"/>
  <c r="BX363" i="6"/>
  <c r="BW363" i="6"/>
  <c r="BV363" i="6"/>
  <c r="BU363" i="6"/>
  <c r="BR363" i="6"/>
  <c r="BQ363" i="6"/>
  <c r="BO363" i="6"/>
  <c r="BL363" i="6"/>
  <c r="BK363" i="6"/>
  <c r="BJ363" i="6"/>
  <c r="BI363" i="6"/>
  <c r="BF363" i="6"/>
  <c r="BE363" i="6"/>
  <c r="BC363" i="6"/>
  <c r="AZ363" i="6"/>
  <c r="AY363" i="6"/>
  <c r="AX363" i="6"/>
  <c r="AW363" i="6"/>
  <c r="AT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HL363" i="6" s="1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U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HF357" i="6"/>
  <c r="HB357" i="6"/>
  <c r="HB358" i="6" s="1"/>
  <c r="HB359" i="6" s="1"/>
  <c r="HB360" i="6" s="1"/>
  <c r="HB361" i="6" s="1"/>
  <c r="HB362" i="6" s="1"/>
  <c r="HA357" i="6"/>
  <c r="GT357" i="6"/>
  <c r="GP357" i="6"/>
  <c r="GP358" i="6" s="1"/>
  <c r="GP359" i="6" s="1"/>
  <c r="GP360" i="6" s="1"/>
  <c r="GP361" i="6" s="1"/>
  <c r="GP362" i="6" s="1"/>
  <c r="GO357" i="6"/>
  <c r="GR357" i="6" s="1"/>
  <c r="GH357" i="6"/>
  <c r="GD357" i="6"/>
  <c r="GD358" i="6" s="1"/>
  <c r="GD359" i="6" s="1"/>
  <c r="GD360" i="6" s="1"/>
  <c r="GD361" i="6" s="1"/>
  <c r="GD362" i="6" s="1"/>
  <c r="GC357" i="6"/>
  <c r="FV357" i="6"/>
  <c r="FT357" i="6"/>
  <c r="FR357" i="6"/>
  <c r="FR358" i="6" s="1"/>
  <c r="FR359" i="6" s="1"/>
  <c r="FR360" i="6" s="1"/>
  <c r="FR361" i="6" s="1"/>
  <c r="FR362" i="6" s="1"/>
  <c r="FQ357" i="6"/>
  <c r="FQ358" i="6" s="1"/>
  <c r="FJ357" i="6"/>
  <c r="FF357" i="6"/>
  <c r="FF358" i="6" s="1"/>
  <c r="FF359" i="6" s="1"/>
  <c r="FF360" i="6" s="1"/>
  <c r="FF361" i="6" s="1"/>
  <c r="FF362" i="6" s="1"/>
  <c r="EX357" i="6"/>
  <c r="EV357" i="6"/>
  <c r="ET357" i="6"/>
  <c r="ET358" i="6" s="1"/>
  <c r="ET359" i="6" s="1"/>
  <c r="ET360" i="6" s="1"/>
  <c r="ET361" i="6" s="1"/>
  <c r="ET362" i="6" s="1"/>
  <c r="ES357" i="6"/>
  <c r="ES358" i="6" s="1"/>
  <c r="EL357" i="6"/>
  <c r="EH357" i="6"/>
  <c r="EH358" i="6" s="1"/>
  <c r="EH359" i="6" s="1"/>
  <c r="EH360" i="6" s="1"/>
  <c r="EH361" i="6" s="1"/>
  <c r="EH362" i="6" s="1"/>
  <c r="EG357" i="6"/>
  <c r="DZ357" i="6"/>
  <c r="DV357" i="6"/>
  <c r="DV358" i="6" s="1"/>
  <c r="DV359" i="6" s="1"/>
  <c r="DV360" i="6" s="1"/>
  <c r="DV361" i="6" s="1"/>
  <c r="DV362" i="6" s="1"/>
  <c r="DU357" i="6"/>
  <c r="DU358" i="6" s="1"/>
  <c r="DN357" i="6"/>
  <c r="DJ357" i="6"/>
  <c r="DJ358" i="6" s="1"/>
  <c r="DJ359" i="6" s="1"/>
  <c r="DJ360" i="6" s="1"/>
  <c r="DJ361" i="6" s="1"/>
  <c r="DJ362" i="6" s="1"/>
  <c r="DI357" i="6"/>
  <c r="DB357" i="6"/>
  <c r="CX357" i="6"/>
  <c r="CX358" i="6" s="1"/>
  <c r="CX359" i="6" s="1"/>
  <c r="CX360" i="6" s="1"/>
  <c r="CX361" i="6" s="1"/>
  <c r="CX362" i="6" s="1"/>
  <c r="CW357" i="6"/>
  <c r="CW358" i="6" s="1"/>
  <c r="CP357" i="6"/>
  <c r="CL357" i="6"/>
  <c r="CL358" i="6" s="1"/>
  <c r="CL359" i="6" s="1"/>
  <c r="CL360" i="6" s="1"/>
  <c r="CL361" i="6" s="1"/>
  <c r="CL362" i="6" s="1"/>
  <c r="CD357" i="6"/>
  <c r="CB357" i="6"/>
  <c r="BZ357" i="6"/>
  <c r="BZ358" i="6" s="1"/>
  <c r="BZ359" i="6" s="1"/>
  <c r="BZ360" i="6" s="1"/>
  <c r="BZ361" i="6" s="1"/>
  <c r="BZ362" i="6" s="1"/>
  <c r="BY357" i="6"/>
  <c r="BY358" i="6" s="1"/>
  <c r="BR357" i="6"/>
  <c r="BN357" i="6"/>
  <c r="BN358" i="6" s="1"/>
  <c r="BN359" i="6" s="1"/>
  <c r="BN360" i="6" s="1"/>
  <c r="BN361" i="6" s="1"/>
  <c r="BN362" i="6" s="1"/>
  <c r="BF357" i="6"/>
  <c r="BD357" i="6"/>
  <c r="BB357" i="6"/>
  <c r="BB358" i="6" s="1"/>
  <c r="BB359" i="6" s="1"/>
  <c r="BB360" i="6" s="1"/>
  <c r="BB361" i="6" s="1"/>
  <c r="BB362" i="6" s="1"/>
  <c r="BA357" i="6"/>
  <c r="BA358" i="6" s="1"/>
  <c r="AT357" i="6"/>
  <c r="AP357" i="6"/>
  <c r="AP358" i="6" s="1"/>
  <c r="AP359" i="6" s="1"/>
  <c r="AP360" i="6" s="1"/>
  <c r="AP361" i="6" s="1"/>
  <c r="AP362" i="6" s="1"/>
  <c r="AO357" i="6"/>
  <c r="AH357" i="6"/>
  <c r="AC357" i="6"/>
  <c r="AC358" i="6" s="1"/>
  <c r="V357" i="6"/>
  <c r="R357" i="6"/>
  <c r="R358" i="6" s="1"/>
  <c r="R359" i="6" s="1"/>
  <c r="R360" i="6" s="1"/>
  <c r="R361" i="6" s="1"/>
  <c r="R362" i="6" s="1"/>
  <c r="J357" i="6"/>
  <c r="F357" i="6"/>
  <c r="F358" i="6" s="1"/>
  <c r="E357" i="6"/>
  <c r="H357" i="6" s="1"/>
  <c r="HQ356" i="6"/>
  <c r="HO356" i="6"/>
  <c r="HL356" i="6"/>
  <c r="HK356" i="6"/>
  <c r="HF356" i="6"/>
  <c r="HD356" i="6"/>
  <c r="HB356" i="6"/>
  <c r="HA356" i="6"/>
  <c r="GT356" i="6"/>
  <c r="GR356" i="6"/>
  <c r="GP356" i="6"/>
  <c r="GO356" i="6"/>
  <c r="GH356" i="6"/>
  <c r="GF356" i="6"/>
  <c r="GD356" i="6"/>
  <c r="GC356" i="6"/>
  <c r="FV356" i="6"/>
  <c r="FT356" i="6"/>
  <c r="FR356" i="6"/>
  <c r="FQ356" i="6"/>
  <c r="FJ356" i="6"/>
  <c r="FH356" i="6"/>
  <c r="FF356" i="6"/>
  <c r="FE356" i="6"/>
  <c r="FE357" i="6" s="1"/>
  <c r="EX356" i="6"/>
  <c r="EV356" i="6"/>
  <c r="ET356" i="6"/>
  <c r="ES356" i="6"/>
  <c r="EL356" i="6"/>
  <c r="EJ356" i="6"/>
  <c r="EH356" i="6"/>
  <c r="EG356" i="6"/>
  <c r="DZ356" i="6"/>
  <c r="DX356" i="6"/>
  <c r="DV356" i="6"/>
  <c r="DU356" i="6"/>
  <c r="DN356" i="6"/>
  <c r="DL356" i="6"/>
  <c r="DJ356" i="6"/>
  <c r="DI356" i="6"/>
  <c r="DB356" i="6"/>
  <c r="CZ356" i="6"/>
  <c r="CX356" i="6"/>
  <c r="CW356" i="6"/>
  <c r="CP356" i="6"/>
  <c r="CN356" i="6"/>
  <c r="CL356" i="6"/>
  <c r="CK356" i="6"/>
  <c r="CK357" i="6" s="1"/>
  <c r="CD356" i="6"/>
  <c r="CB356" i="6"/>
  <c r="BZ356" i="6"/>
  <c r="BY356" i="6"/>
  <c r="BR356" i="6"/>
  <c r="BP356" i="6"/>
  <c r="BN356" i="6"/>
  <c r="BM356" i="6"/>
  <c r="BM357" i="6" s="1"/>
  <c r="BF356" i="6"/>
  <c r="BD356" i="6"/>
  <c r="BB356" i="6"/>
  <c r="BA356" i="6"/>
  <c r="AT356" i="6"/>
  <c r="AR356" i="6"/>
  <c r="AP356" i="6"/>
  <c r="AO356" i="6"/>
  <c r="AH356" i="6"/>
  <c r="AF356" i="6"/>
  <c r="AC356" i="6"/>
  <c r="V356" i="6"/>
  <c r="R356" i="6"/>
  <c r="Q356" i="6"/>
  <c r="HM356" i="6" s="1"/>
  <c r="J356" i="6"/>
  <c r="H356" i="6"/>
  <c r="F356" i="6"/>
  <c r="E356" i="6"/>
  <c r="B356" i="6"/>
  <c r="B357" i="6" s="1"/>
  <c r="B358" i="6" s="1"/>
  <c r="B359" i="6" s="1"/>
  <c r="B360" i="6" s="1"/>
  <c r="B361" i="6" s="1"/>
  <c r="B362" i="6" s="1"/>
  <c r="HL372" i="6" l="1"/>
  <c r="BZ368" i="1"/>
  <c r="BZ369" i="1" s="1"/>
  <c r="BZ370" i="1" s="1"/>
  <c r="BZ371" i="1" s="1"/>
  <c r="HN367" i="1"/>
  <c r="EL372" i="1"/>
  <c r="HR368" i="6"/>
  <c r="GT372" i="1"/>
  <c r="CP372" i="1"/>
  <c r="HR366" i="1"/>
  <c r="GH372" i="1"/>
  <c r="EX372" i="1"/>
  <c r="HL372" i="1"/>
  <c r="IH372" i="1"/>
  <c r="DN372" i="1"/>
  <c r="DB372" i="1"/>
  <c r="IG372" i="1"/>
  <c r="BF372" i="1"/>
  <c r="AT372" i="1"/>
  <c r="V372" i="1"/>
  <c r="AH372" i="6"/>
  <c r="HR362" i="1"/>
  <c r="HR361" i="1"/>
  <c r="HL363" i="1"/>
  <c r="BR363" i="1"/>
  <c r="BF363" i="1"/>
  <c r="AT363" i="1"/>
  <c r="HR358" i="1"/>
  <c r="GT363" i="1"/>
  <c r="FJ363" i="1"/>
  <c r="EX363" i="1"/>
  <c r="CP363" i="1"/>
  <c r="CD363" i="1"/>
  <c r="HU363" i="1"/>
  <c r="HR357" i="1"/>
  <c r="E358" i="6"/>
  <c r="GH363" i="1"/>
  <c r="FH356" i="1"/>
  <c r="EL363" i="1"/>
  <c r="ID363" i="1"/>
  <c r="DZ363" i="1"/>
  <c r="DN363" i="1"/>
  <c r="DB363" i="1"/>
  <c r="AH363" i="1"/>
  <c r="HQ363" i="1"/>
  <c r="V363" i="1"/>
  <c r="H356" i="1"/>
  <c r="AH363" i="6"/>
  <c r="HK363" i="6"/>
  <c r="HK364" i="6" s="1"/>
  <c r="V363" i="6"/>
  <c r="HQ363" i="6"/>
  <c r="IF372" i="1"/>
  <c r="HO363" i="1"/>
  <c r="HR367" i="1"/>
  <c r="HR368" i="1"/>
  <c r="HQ372" i="1"/>
  <c r="BD356" i="1"/>
  <c r="J363" i="1"/>
  <c r="HR356" i="1"/>
  <c r="IE363" i="1"/>
  <c r="IB363" i="1"/>
  <c r="II372" i="1"/>
  <c r="HN365" i="1"/>
  <c r="HR360" i="1"/>
  <c r="IC363" i="1"/>
  <c r="FV363" i="1"/>
  <c r="II363" i="1"/>
  <c r="II362" i="1" s="1"/>
  <c r="HR359" i="1"/>
  <c r="HK363" i="1"/>
  <c r="HR370" i="1"/>
  <c r="AH372" i="1"/>
  <c r="CD372" i="1"/>
  <c r="DZ372" i="1"/>
  <c r="FV372" i="1"/>
  <c r="DI366" i="1"/>
  <c r="DL365" i="1"/>
  <c r="HU365" i="1"/>
  <c r="HR365" i="1"/>
  <c r="HA366" i="1"/>
  <c r="HD365" i="1"/>
  <c r="HU369" i="1"/>
  <c r="HR369" i="1"/>
  <c r="HK372" i="1"/>
  <c r="IB372" i="1"/>
  <c r="F366" i="1"/>
  <c r="IC372" i="1"/>
  <c r="ID372" i="1"/>
  <c r="HO372" i="1"/>
  <c r="IE372" i="1"/>
  <c r="J372" i="1"/>
  <c r="BR372" i="1"/>
  <c r="F359" i="1"/>
  <c r="HN358" i="1"/>
  <c r="FT357" i="1"/>
  <c r="FQ358" i="1"/>
  <c r="Q357" i="1"/>
  <c r="HM356" i="1"/>
  <c r="HP356" i="1" s="1"/>
  <c r="AO358" i="1"/>
  <c r="AR357" i="1"/>
  <c r="BM357" i="1"/>
  <c r="HY356" i="1"/>
  <c r="CK358" i="1"/>
  <c r="CN357" i="1"/>
  <c r="DI358" i="1"/>
  <c r="DL357" i="1"/>
  <c r="EG358" i="1"/>
  <c r="EJ357" i="1"/>
  <c r="FE358" i="1"/>
  <c r="FH357" i="1"/>
  <c r="GC357" i="1"/>
  <c r="IA356" i="1"/>
  <c r="HA358" i="1"/>
  <c r="HD357" i="1"/>
  <c r="BD357" i="1"/>
  <c r="BA358" i="1"/>
  <c r="IH363" i="1"/>
  <c r="IH362" i="1" s="1"/>
  <c r="R357" i="1"/>
  <c r="R358" i="1" s="1"/>
  <c r="R359" i="1" s="1"/>
  <c r="R360" i="1" s="1"/>
  <c r="R361" i="1" s="1"/>
  <c r="R362" i="1" s="1"/>
  <c r="HN356" i="1"/>
  <c r="HZ357" i="1"/>
  <c r="DX357" i="1"/>
  <c r="DU358" i="1"/>
  <c r="H357" i="1"/>
  <c r="E358" i="1"/>
  <c r="CB357" i="1"/>
  <c r="BY358" i="1"/>
  <c r="IF363" i="1"/>
  <c r="IF362" i="1" s="1"/>
  <c r="HX356" i="1"/>
  <c r="HZ356" i="1"/>
  <c r="EV357" i="1"/>
  <c r="ES358" i="1"/>
  <c r="GR357" i="1"/>
  <c r="GO358" i="1"/>
  <c r="HN357" i="1"/>
  <c r="AF357" i="1"/>
  <c r="AC358" i="1"/>
  <c r="IG363" i="1"/>
  <c r="IG362" i="1" s="1"/>
  <c r="CZ357" i="1"/>
  <c r="CW358" i="1"/>
  <c r="T356" i="6"/>
  <c r="HQ372" i="6"/>
  <c r="Q357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BA368" i="6"/>
  <c r="BD367" i="6"/>
  <c r="GO368" i="6"/>
  <c r="GR367" i="6"/>
  <c r="CW368" i="6"/>
  <c r="CZ367" i="6"/>
  <c r="FQ368" i="6"/>
  <c r="FT367" i="6"/>
  <c r="AO366" i="6"/>
  <c r="AR365" i="6"/>
  <c r="HA366" i="6"/>
  <c r="HD365" i="6"/>
  <c r="DU367" i="6"/>
  <c r="GC366" i="6"/>
  <c r="GF365" i="6"/>
  <c r="BY367" i="6"/>
  <c r="FE366" i="6"/>
  <c r="FH365" i="6"/>
  <c r="F368" i="6"/>
  <c r="HU365" i="6"/>
  <c r="HR365" i="6"/>
  <c r="EG366" i="6"/>
  <c r="EJ365" i="6"/>
  <c r="DI366" i="6"/>
  <c r="DL365" i="6"/>
  <c r="CK366" i="6"/>
  <c r="CN365" i="6"/>
  <c r="FT366" i="6"/>
  <c r="HU369" i="6"/>
  <c r="HR369" i="6"/>
  <c r="ES368" i="6"/>
  <c r="EV367" i="6"/>
  <c r="BM366" i="6"/>
  <c r="BP365" i="6"/>
  <c r="HU368" i="6"/>
  <c r="HO372" i="6"/>
  <c r="BY359" i="6"/>
  <c r="CB358" i="6"/>
  <c r="FQ359" i="6"/>
  <c r="FT358" i="6"/>
  <c r="CW359" i="6"/>
  <c r="CZ358" i="6"/>
  <c r="ES359" i="6"/>
  <c r="EV358" i="6"/>
  <c r="BD358" i="6"/>
  <c r="BA359" i="6"/>
  <c r="BM358" i="6"/>
  <c r="BP357" i="6"/>
  <c r="CK358" i="6"/>
  <c r="CN357" i="6"/>
  <c r="FE358" i="6"/>
  <c r="FH357" i="6"/>
  <c r="AC359" i="6"/>
  <c r="AF358" i="6"/>
  <c r="DX358" i="6"/>
  <c r="DU359" i="6"/>
  <c r="Q358" i="6"/>
  <c r="HM358" i="6" s="1"/>
  <c r="HP358" i="6" s="1"/>
  <c r="T357" i="6"/>
  <c r="HA358" i="6"/>
  <c r="HD357" i="6"/>
  <c r="DX357" i="6"/>
  <c r="GC358" i="6"/>
  <c r="GF357" i="6"/>
  <c r="E359" i="6"/>
  <c r="HU359" i="6"/>
  <c r="HU356" i="6"/>
  <c r="HP356" i="6"/>
  <c r="CZ357" i="6"/>
  <c r="H358" i="6"/>
  <c r="GO358" i="6"/>
  <c r="HR359" i="6"/>
  <c r="HU360" i="6"/>
  <c r="F359" i="6"/>
  <c r="AF357" i="6"/>
  <c r="HM357" i="6"/>
  <c r="HP357" i="6" s="1"/>
  <c r="AO358" i="6"/>
  <c r="AR357" i="6"/>
  <c r="EG358" i="6"/>
  <c r="EJ357" i="6"/>
  <c r="DI358" i="6"/>
  <c r="DL357" i="6"/>
  <c r="DL349" i="1"/>
  <c r="HL373" i="1" l="1"/>
  <c r="HL364" i="1"/>
  <c r="HR363" i="1"/>
  <c r="HR363" i="6"/>
  <c r="HM357" i="1"/>
  <c r="HP357" i="1" s="1"/>
  <c r="HR372" i="1"/>
  <c r="DI367" i="1"/>
  <c r="DL366" i="1"/>
  <c r="HA367" i="1"/>
  <c r="HD366" i="1"/>
  <c r="HN366" i="1"/>
  <c r="F367" i="1"/>
  <c r="HU372" i="1"/>
  <c r="CW359" i="1"/>
  <c r="CZ358" i="1"/>
  <c r="HX357" i="1"/>
  <c r="GC358" i="1"/>
  <c r="GF357" i="1"/>
  <c r="CN358" i="1"/>
  <c r="CK359" i="1"/>
  <c r="GO359" i="1"/>
  <c r="GR358" i="1"/>
  <c r="FH358" i="1"/>
  <c r="FE359" i="1"/>
  <c r="DU359" i="1"/>
  <c r="HZ358" i="1"/>
  <c r="DX358" i="1"/>
  <c r="BA359" i="1"/>
  <c r="BD358" i="1"/>
  <c r="BM358" i="1"/>
  <c r="HY357" i="1"/>
  <c r="BP357" i="1"/>
  <c r="EJ358" i="1"/>
  <c r="EG359" i="1"/>
  <c r="AR358" i="1"/>
  <c r="AO359" i="1"/>
  <c r="IA357" i="1"/>
  <c r="FQ359" i="1"/>
  <c r="IA358" i="1"/>
  <c r="FT358" i="1"/>
  <c r="BY359" i="1"/>
  <c r="CB358" i="1"/>
  <c r="HK364" i="1"/>
  <c r="AC359" i="1"/>
  <c r="AF358" i="1"/>
  <c r="HD358" i="1"/>
  <c r="HA359" i="1"/>
  <c r="DL358" i="1"/>
  <c r="DI359" i="1"/>
  <c r="Q358" i="1"/>
  <c r="HX358" i="1" s="1"/>
  <c r="T357" i="1"/>
  <c r="ES359" i="1"/>
  <c r="EV358" i="1"/>
  <c r="E359" i="1"/>
  <c r="H358" i="1"/>
  <c r="F360" i="1"/>
  <c r="HN359" i="1"/>
  <c r="FE367" i="6"/>
  <c r="FH366" i="6"/>
  <c r="HA367" i="6"/>
  <c r="HD366" i="6"/>
  <c r="EG367" i="6"/>
  <c r="EJ366" i="6"/>
  <c r="BY368" i="6"/>
  <c r="CB367" i="6"/>
  <c r="FQ369" i="6"/>
  <c r="FT368" i="6"/>
  <c r="BA369" i="6"/>
  <c r="BD368" i="6"/>
  <c r="HR372" i="6"/>
  <c r="CW369" i="6"/>
  <c r="CZ368" i="6"/>
  <c r="CK367" i="6"/>
  <c r="CN366" i="6"/>
  <c r="AO367" i="6"/>
  <c r="AR366" i="6"/>
  <c r="ES369" i="6"/>
  <c r="EV368" i="6"/>
  <c r="F369" i="6"/>
  <c r="GC367" i="6"/>
  <c r="GF366" i="6"/>
  <c r="DI367" i="6"/>
  <c r="DL366" i="6"/>
  <c r="GO369" i="6"/>
  <c r="GR368" i="6"/>
  <c r="BM367" i="6"/>
  <c r="BP366" i="6"/>
  <c r="HU372" i="6"/>
  <c r="DU368" i="6"/>
  <c r="DX367" i="6"/>
  <c r="FQ360" i="6"/>
  <c r="FT359" i="6"/>
  <c r="E360" i="6"/>
  <c r="H359" i="6"/>
  <c r="HA359" i="6"/>
  <c r="HD358" i="6"/>
  <c r="AC360" i="6"/>
  <c r="AF359" i="6"/>
  <c r="BY360" i="6"/>
  <c r="CB359" i="6"/>
  <c r="AR358" i="6"/>
  <c r="AO359" i="6"/>
  <c r="HU363" i="6"/>
  <c r="F360" i="6"/>
  <c r="GC359" i="6"/>
  <c r="GF358" i="6"/>
  <c r="FH358" i="6"/>
  <c r="FE359" i="6"/>
  <c r="CK359" i="6"/>
  <c r="CN358" i="6"/>
  <c r="CW360" i="6"/>
  <c r="CZ359" i="6"/>
  <c r="BP358" i="6"/>
  <c r="BM359" i="6"/>
  <c r="DI359" i="6"/>
  <c r="DL358" i="6"/>
  <c r="BA360" i="6"/>
  <c r="BD359" i="6"/>
  <c r="Q359" i="6"/>
  <c r="T358" i="6"/>
  <c r="ES360" i="6"/>
  <c r="EV359" i="6"/>
  <c r="EG359" i="6"/>
  <c r="EJ358" i="6"/>
  <c r="GO359" i="6"/>
  <c r="GR358" i="6"/>
  <c r="DU360" i="6"/>
  <c r="DX359" i="6"/>
  <c r="AC343" i="1"/>
  <c r="HD367" i="1" l="1"/>
  <c r="HA368" i="1"/>
  <c r="F368" i="1"/>
  <c r="DL367" i="1"/>
  <c r="DI368" i="1"/>
  <c r="BA360" i="1"/>
  <c r="BD359" i="1"/>
  <c r="HN360" i="1"/>
  <c r="F361" i="1"/>
  <c r="AC360" i="1"/>
  <c r="AF359" i="1"/>
  <c r="CN359" i="1"/>
  <c r="CK360" i="1"/>
  <c r="T358" i="1"/>
  <c r="Q359" i="1"/>
  <c r="HX359" i="1" s="1"/>
  <c r="EJ359" i="1"/>
  <c r="EG360" i="1"/>
  <c r="DL359" i="1"/>
  <c r="DI360" i="1"/>
  <c r="BY360" i="1"/>
  <c r="CB359" i="1"/>
  <c r="DU360" i="1"/>
  <c r="DX359" i="1"/>
  <c r="HZ359" i="1"/>
  <c r="GF358" i="1"/>
  <c r="GC359" i="1"/>
  <c r="IA359" i="1" s="1"/>
  <c r="ES360" i="1"/>
  <c r="EV359" i="1"/>
  <c r="AR359" i="1"/>
  <c r="AO360" i="1"/>
  <c r="HM358" i="1"/>
  <c r="HP358" i="1" s="1"/>
  <c r="FH359" i="1"/>
  <c r="FE360" i="1"/>
  <c r="GO360" i="1"/>
  <c r="GR359" i="1"/>
  <c r="HD359" i="1"/>
  <c r="HA360" i="1"/>
  <c r="E360" i="1"/>
  <c r="H359" i="1"/>
  <c r="FQ360" i="1"/>
  <c r="FT359" i="1"/>
  <c r="BP358" i="1"/>
  <c r="BM359" i="1"/>
  <c r="HY358" i="1"/>
  <c r="CW360" i="1"/>
  <c r="CZ359" i="1"/>
  <c r="DU369" i="6"/>
  <c r="DX368" i="6"/>
  <c r="AO368" i="6"/>
  <c r="AR367" i="6"/>
  <c r="EG368" i="6"/>
  <c r="EJ367" i="6"/>
  <c r="DI368" i="6"/>
  <c r="DL367" i="6"/>
  <c r="BY369" i="6"/>
  <c r="CB368" i="6"/>
  <c r="CK368" i="6"/>
  <c r="CN367" i="6"/>
  <c r="ES370" i="6"/>
  <c r="EV369" i="6"/>
  <c r="BM368" i="6"/>
  <c r="BP367" i="6"/>
  <c r="GC368" i="6"/>
  <c r="GF367" i="6"/>
  <c r="BA370" i="6"/>
  <c r="BD369" i="6"/>
  <c r="HA368" i="6"/>
  <c r="HD367" i="6"/>
  <c r="GO370" i="6"/>
  <c r="GR369" i="6"/>
  <c r="F370" i="6"/>
  <c r="CW370" i="6"/>
  <c r="CZ369" i="6"/>
  <c r="FQ370" i="6"/>
  <c r="FT369" i="6"/>
  <c r="FE368" i="6"/>
  <c r="FH367" i="6"/>
  <c r="BM360" i="6"/>
  <c r="BP359" i="6"/>
  <c r="AF360" i="6"/>
  <c r="AC361" i="6"/>
  <c r="DX360" i="6"/>
  <c r="DU361" i="6"/>
  <c r="Q360" i="6"/>
  <c r="T359" i="6"/>
  <c r="CW361" i="6"/>
  <c r="CZ360" i="6"/>
  <c r="F361" i="6"/>
  <c r="HA360" i="6"/>
  <c r="HD359" i="6"/>
  <c r="GO360" i="6"/>
  <c r="GR359" i="6"/>
  <c r="BD360" i="6"/>
  <c r="BA361" i="6"/>
  <c r="CK360" i="6"/>
  <c r="CN359" i="6"/>
  <c r="AO360" i="6"/>
  <c r="AR359" i="6"/>
  <c r="BY361" i="6"/>
  <c r="CB360" i="6"/>
  <c r="FE360" i="6"/>
  <c r="FH359" i="6"/>
  <c r="HM359" i="6"/>
  <c r="HP359" i="6" s="1"/>
  <c r="EG360" i="6"/>
  <c r="EJ359" i="6"/>
  <c r="DI360" i="6"/>
  <c r="DL359" i="6"/>
  <c r="E361" i="6"/>
  <c r="H360" i="6"/>
  <c r="EV360" i="6"/>
  <c r="ES361" i="6"/>
  <c r="GC360" i="6"/>
  <c r="GF359" i="6"/>
  <c r="FQ361" i="6"/>
  <c r="FT360" i="6"/>
  <c r="BM341" i="1"/>
  <c r="BN341" i="1"/>
  <c r="BY341" i="1"/>
  <c r="BZ341" i="1"/>
  <c r="CK341" i="1"/>
  <c r="CL341" i="1"/>
  <c r="CW341" i="1"/>
  <c r="DI341" i="1"/>
  <c r="CX341" i="1"/>
  <c r="DJ341" i="1"/>
  <c r="HD368" i="1" l="1"/>
  <c r="HA369" i="1"/>
  <c r="DL368" i="1"/>
  <c r="DI369" i="1"/>
  <c r="F369" i="1"/>
  <c r="HN368" i="1"/>
  <c r="HD360" i="1"/>
  <c r="HA361" i="1"/>
  <c r="CK361" i="1"/>
  <c r="CN360" i="1"/>
  <c r="CB360" i="1"/>
  <c r="BY361" i="1"/>
  <c r="FT360" i="1"/>
  <c r="FQ361" i="1"/>
  <c r="EV360" i="1"/>
  <c r="ES361" i="1"/>
  <c r="DI361" i="1"/>
  <c r="DL360" i="1"/>
  <c r="BD360" i="1"/>
  <c r="BA361" i="1"/>
  <c r="GR360" i="1"/>
  <c r="GO361" i="1"/>
  <c r="GF359" i="1"/>
  <c r="GC360" i="1"/>
  <c r="AF360" i="1"/>
  <c r="AC361" i="1"/>
  <c r="FE361" i="1"/>
  <c r="FH360" i="1"/>
  <c r="EG361" i="1"/>
  <c r="EJ360" i="1"/>
  <c r="HN361" i="1"/>
  <c r="F362" i="1"/>
  <c r="HN362" i="1" s="1"/>
  <c r="BP359" i="1"/>
  <c r="BM360" i="1"/>
  <c r="HY359" i="1"/>
  <c r="AO361" i="1"/>
  <c r="AR360" i="1"/>
  <c r="HZ360" i="1"/>
  <c r="DX360" i="1"/>
  <c r="DU361" i="1"/>
  <c r="CZ360" i="1"/>
  <c r="CW361" i="1"/>
  <c r="HM359" i="1"/>
  <c r="HP359" i="1" s="1"/>
  <c r="H360" i="1"/>
  <c r="E361" i="1"/>
  <c r="T359" i="1"/>
  <c r="Q360" i="1"/>
  <c r="HX360" i="1" s="1"/>
  <c r="GC369" i="6"/>
  <c r="GF368" i="6"/>
  <c r="AR368" i="6"/>
  <c r="AO369" i="6"/>
  <c r="FH368" i="6"/>
  <c r="FE369" i="6"/>
  <c r="GO371" i="6"/>
  <c r="GR370" i="6"/>
  <c r="BM369" i="6"/>
  <c r="BP368" i="6"/>
  <c r="DL368" i="6"/>
  <c r="DI369" i="6"/>
  <c r="BY370" i="6"/>
  <c r="CB369" i="6"/>
  <c r="FQ371" i="6"/>
  <c r="FT370" i="6"/>
  <c r="HD368" i="6"/>
  <c r="HA369" i="6"/>
  <c r="ES371" i="6"/>
  <c r="EV370" i="6"/>
  <c r="EJ368" i="6"/>
  <c r="EG369" i="6"/>
  <c r="F371" i="6"/>
  <c r="DU370" i="6"/>
  <c r="DX369" i="6"/>
  <c r="CZ370" i="6"/>
  <c r="CW371" i="6"/>
  <c r="BA371" i="6"/>
  <c r="BD370" i="6"/>
  <c r="CN368" i="6"/>
  <c r="CK369" i="6"/>
  <c r="BP360" i="6"/>
  <c r="BM361" i="6"/>
  <c r="E362" i="6"/>
  <c r="H361" i="6"/>
  <c r="FQ362" i="6"/>
  <c r="FT361" i="6"/>
  <c r="CB361" i="6"/>
  <c r="BY362" i="6"/>
  <c r="GR360" i="6"/>
  <c r="GO361" i="6"/>
  <c r="T360" i="6"/>
  <c r="Q361" i="6"/>
  <c r="AO361" i="6"/>
  <c r="AR360" i="6"/>
  <c r="HD360" i="6"/>
  <c r="HA361" i="6"/>
  <c r="CZ361" i="6"/>
  <c r="CW362" i="6"/>
  <c r="DL360" i="6"/>
  <c r="DI361" i="6"/>
  <c r="AC362" i="6"/>
  <c r="AC365" i="6" s="1"/>
  <c r="AF361" i="6"/>
  <c r="FE361" i="6"/>
  <c r="FH360" i="6"/>
  <c r="DU362" i="6"/>
  <c r="DX361" i="6"/>
  <c r="GF360" i="6"/>
  <c r="GC361" i="6"/>
  <c r="ES362" i="6"/>
  <c r="EV361" i="6"/>
  <c r="EG361" i="6"/>
  <c r="EJ360" i="6"/>
  <c r="CN360" i="6"/>
  <c r="CK361" i="6"/>
  <c r="F362" i="6"/>
  <c r="HM360" i="6"/>
  <c r="HP360" i="6" s="1"/>
  <c r="BA362" i="6"/>
  <c r="BD361" i="6"/>
  <c r="HO311" i="6"/>
  <c r="HM360" i="1" l="1"/>
  <c r="HP360" i="1" s="1"/>
  <c r="IA360" i="1"/>
  <c r="DI370" i="1"/>
  <c r="DL369" i="1"/>
  <c r="HN369" i="1"/>
  <c r="F370" i="1"/>
  <c r="HA370" i="1"/>
  <c r="HD369" i="1"/>
  <c r="BD361" i="1"/>
  <c r="BA362" i="1"/>
  <c r="BA365" i="1" s="1"/>
  <c r="FE362" i="1"/>
  <c r="FE365" i="1" s="1"/>
  <c r="FH361" i="1"/>
  <c r="CB361" i="1"/>
  <c r="BY362" i="1"/>
  <c r="BY365" i="1" s="1"/>
  <c r="CZ361" i="1"/>
  <c r="CW362" i="1"/>
  <c r="CW365" i="1" s="1"/>
  <c r="BP360" i="1"/>
  <c r="BM361" i="1"/>
  <c r="HY360" i="1"/>
  <c r="AF361" i="1"/>
  <c r="AC362" i="1"/>
  <c r="AC365" i="1" s="1"/>
  <c r="FT361" i="1"/>
  <c r="FQ362" i="1"/>
  <c r="Q361" i="1"/>
  <c r="HM361" i="1" s="1"/>
  <c r="HP361" i="1" s="1"/>
  <c r="T360" i="1"/>
  <c r="DI362" i="1"/>
  <c r="DL361" i="1"/>
  <c r="HZ361" i="1"/>
  <c r="DX361" i="1"/>
  <c r="DU362" i="1"/>
  <c r="GC361" i="1"/>
  <c r="GF360" i="1"/>
  <c r="EV361" i="1"/>
  <c r="ES362" i="1"/>
  <c r="ES365" i="1" s="1"/>
  <c r="CK362" i="1"/>
  <c r="CK365" i="1" s="1"/>
  <c r="CN361" i="1"/>
  <c r="AO362" i="1"/>
  <c r="AO365" i="1" s="1"/>
  <c r="AR361" i="1"/>
  <c r="H361" i="1"/>
  <c r="HX361" i="1"/>
  <c r="E362" i="1"/>
  <c r="HA362" i="1"/>
  <c r="HD361" i="1"/>
  <c r="EG362" i="1"/>
  <c r="EG365" i="1" s="1"/>
  <c r="EJ361" i="1"/>
  <c r="GR361" i="1"/>
  <c r="GO362" i="1"/>
  <c r="GO365" i="1" s="1"/>
  <c r="AC366" i="6"/>
  <c r="AF365" i="6"/>
  <c r="E366" i="6"/>
  <c r="H365" i="6"/>
  <c r="BD371" i="6"/>
  <c r="BD372" i="6"/>
  <c r="EG370" i="6"/>
  <c r="EJ369" i="6"/>
  <c r="BY371" i="6"/>
  <c r="CB370" i="6"/>
  <c r="DI370" i="6"/>
  <c r="DL369" i="6"/>
  <c r="AO370" i="6"/>
  <c r="AR369" i="6"/>
  <c r="GR371" i="6"/>
  <c r="GR372" i="6"/>
  <c r="CZ371" i="6"/>
  <c r="CZ372" i="6"/>
  <c r="FE370" i="6"/>
  <c r="FH369" i="6"/>
  <c r="DX370" i="6"/>
  <c r="DU371" i="6"/>
  <c r="BM370" i="6"/>
  <c r="BP369" i="6"/>
  <c r="GC370" i="6"/>
  <c r="GF369" i="6"/>
  <c r="FT371" i="6"/>
  <c r="FT372" i="6"/>
  <c r="EV371" i="6"/>
  <c r="EV372" i="6"/>
  <c r="CK370" i="6"/>
  <c r="CN369" i="6"/>
  <c r="HA370" i="6"/>
  <c r="HD369" i="6"/>
  <c r="BM362" i="6"/>
  <c r="BP361" i="6"/>
  <c r="CB362" i="6"/>
  <c r="CB363" i="6"/>
  <c r="EG362" i="6"/>
  <c r="EJ361" i="6"/>
  <c r="FE362" i="6"/>
  <c r="FH361" i="6"/>
  <c r="BD362" i="6"/>
  <c r="BD363" i="6"/>
  <c r="AF362" i="6"/>
  <c r="AF363" i="6"/>
  <c r="FT362" i="6"/>
  <c r="FT363" i="6"/>
  <c r="GC362" i="6"/>
  <c r="GF361" i="6"/>
  <c r="DI362" i="6"/>
  <c r="DL361" i="6"/>
  <c r="Q362" i="6"/>
  <c r="Q365" i="6" s="1"/>
  <c r="HM365" i="6" s="1"/>
  <c r="HP365" i="6" s="1"/>
  <c r="T361" i="6"/>
  <c r="HM361" i="6"/>
  <c r="HP361" i="6" s="1"/>
  <c r="DX362" i="6"/>
  <c r="DX363" i="6"/>
  <c r="HA362" i="6"/>
  <c r="HD361" i="6"/>
  <c r="EV362" i="6"/>
  <c r="EV363" i="6"/>
  <c r="AO362" i="6"/>
  <c r="AR361" i="6"/>
  <c r="CK362" i="6"/>
  <c r="CN361" i="6"/>
  <c r="CZ362" i="6"/>
  <c r="CZ363" i="6"/>
  <c r="GO362" i="6"/>
  <c r="GR361" i="6"/>
  <c r="H362" i="6"/>
  <c r="H363" i="6"/>
  <c r="J302" i="1"/>
  <c r="FE366" i="1" l="1"/>
  <c r="FH365" i="1"/>
  <c r="IH373" i="1"/>
  <c r="IH371" i="1" s="1"/>
  <c r="DU365" i="1"/>
  <c r="ES366" i="1"/>
  <c r="EV365" i="1"/>
  <c r="GO366" i="1"/>
  <c r="GR365" i="1"/>
  <c r="CW366" i="1"/>
  <c r="CZ365" i="1"/>
  <c r="CK366" i="1"/>
  <c r="CN365" i="1"/>
  <c r="BA366" i="1"/>
  <c r="BD365" i="1"/>
  <c r="FQ365" i="1"/>
  <c r="BY366" i="1"/>
  <c r="CB365" i="1"/>
  <c r="EG366" i="1"/>
  <c r="EJ365" i="1"/>
  <c r="AO366" i="1"/>
  <c r="AR365" i="1"/>
  <c r="AC366" i="1"/>
  <c r="AF365" i="1"/>
  <c r="HN370" i="1"/>
  <c r="F371" i="1"/>
  <c r="HN371" i="1" s="1"/>
  <c r="DI371" i="1"/>
  <c r="DL370" i="1"/>
  <c r="HA371" i="1"/>
  <c r="HD370" i="1"/>
  <c r="DX362" i="1"/>
  <c r="HZ362" i="1"/>
  <c r="HZ363" i="1"/>
  <c r="DX363" i="1"/>
  <c r="GC362" i="1"/>
  <c r="GC365" i="1" s="1"/>
  <c r="GF361" i="1"/>
  <c r="CB362" i="1"/>
  <c r="CB363" i="1"/>
  <c r="EJ362" i="1"/>
  <c r="EJ363" i="1"/>
  <c r="AF362" i="1"/>
  <c r="AF363" i="1"/>
  <c r="CZ362" i="1"/>
  <c r="CZ363" i="1"/>
  <c r="AR362" i="1"/>
  <c r="AR363" i="1"/>
  <c r="HD362" i="1"/>
  <c r="HD363" i="1"/>
  <c r="CN362" i="1"/>
  <c r="CN363" i="1"/>
  <c r="IA362" i="1"/>
  <c r="FT362" i="1"/>
  <c r="FT363" i="1"/>
  <c r="H362" i="1"/>
  <c r="H363" i="1"/>
  <c r="EV362" i="1"/>
  <c r="EV363" i="1"/>
  <c r="DL362" i="1"/>
  <c r="DL363" i="1"/>
  <c r="FH362" i="1"/>
  <c r="FH363" i="1"/>
  <c r="IA361" i="1"/>
  <c r="BM362" i="1"/>
  <c r="HY361" i="1"/>
  <c r="BP361" i="1"/>
  <c r="BD362" i="1"/>
  <c r="BD363" i="1"/>
  <c r="GR362" i="1"/>
  <c r="GR363" i="1"/>
  <c r="Q362" i="1"/>
  <c r="T361" i="1"/>
  <c r="T365" i="6"/>
  <c r="Q366" i="6"/>
  <c r="HM366" i="6" s="1"/>
  <c r="HP366" i="6" s="1"/>
  <c r="AC367" i="6"/>
  <c r="AF366" i="6"/>
  <c r="E367" i="6"/>
  <c r="H366" i="6"/>
  <c r="DX371" i="6"/>
  <c r="DX372" i="6"/>
  <c r="CB371" i="6"/>
  <c r="CB372" i="6"/>
  <c r="AO371" i="6"/>
  <c r="AR370" i="6"/>
  <c r="GC371" i="6"/>
  <c r="GF370" i="6"/>
  <c r="FE371" i="6"/>
  <c r="FH370" i="6"/>
  <c r="DI371" i="6"/>
  <c r="DL370" i="6"/>
  <c r="EG371" i="6"/>
  <c r="EJ370" i="6"/>
  <c r="HA371" i="6"/>
  <c r="HD370" i="6"/>
  <c r="CK371" i="6"/>
  <c r="CN370" i="6"/>
  <c r="BM371" i="6"/>
  <c r="BP370" i="6"/>
  <c r="GR362" i="6"/>
  <c r="GR363" i="6"/>
  <c r="HD362" i="6"/>
  <c r="HD363" i="6"/>
  <c r="GF362" i="6"/>
  <c r="GF363" i="6"/>
  <c r="FH362" i="6"/>
  <c r="FH363" i="6"/>
  <c r="CN362" i="6"/>
  <c r="CN363" i="6"/>
  <c r="EJ362" i="6"/>
  <c r="EJ363" i="6"/>
  <c r="HM362" i="6"/>
  <c r="HK373" i="6" s="1"/>
  <c r="AR362" i="6"/>
  <c r="AR363" i="6"/>
  <c r="T362" i="6"/>
  <c r="T363" i="6"/>
  <c r="DL362" i="6"/>
  <c r="DL363" i="6"/>
  <c r="BP362" i="6"/>
  <c r="BP363" i="6"/>
  <c r="FV239" i="1"/>
  <c r="FE367" i="1" l="1"/>
  <c r="FH366" i="1"/>
  <c r="IA365" i="1"/>
  <c r="GC366" i="1"/>
  <c r="GF365" i="1"/>
  <c r="CB366" i="1"/>
  <c r="BY367" i="1"/>
  <c r="CZ366" i="1"/>
  <c r="CW367" i="1"/>
  <c r="AO367" i="1"/>
  <c r="AR366" i="1"/>
  <c r="II373" i="1"/>
  <c r="II371" i="1" s="1"/>
  <c r="GR366" i="1"/>
  <c r="FQ366" i="1"/>
  <c r="FT365" i="1"/>
  <c r="IG373" i="1"/>
  <c r="IG371" i="1" s="1"/>
  <c r="BM365" i="1"/>
  <c r="HX362" i="1"/>
  <c r="Q365" i="1"/>
  <c r="EG367" i="1"/>
  <c r="EJ366" i="1"/>
  <c r="BD366" i="1"/>
  <c r="BA367" i="1"/>
  <c r="EV366" i="1"/>
  <c r="ES367" i="1"/>
  <c r="H365" i="1"/>
  <c r="E366" i="1"/>
  <c r="DU366" i="1"/>
  <c r="DX365" i="1"/>
  <c r="HZ365" i="1"/>
  <c r="AF366" i="1"/>
  <c r="AC367" i="1"/>
  <c r="IA363" i="1"/>
  <c r="IF373" i="1"/>
  <c r="IF371" i="1" s="1"/>
  <c r="CK367" i="1"/>
  <c r="CN366" i="1"/>
  <c r="HD371" i="1"/>
  <c r="HD372" i="1"/>
  <c r="DL371" i="1"/>
  <c r="DL372" i="1"/>
  <c r="HY363" i="1"/>
  <c r="BP362" i="1"/>
  <c r="HY362" i="1"/>
  <c r="BP363" i="1"/>
  <c r="GF362" i="1"/>
  <c r="GF363" i="1"/>
  <c r="T362" i="1"/>
  <c r="T363" i="1"/>
  <c r="HM362" i="1"/>
  <c r="HX363" i="1"/>
  <c r="AC368" i="6"/>
  <c r="AF367" i="6"/>
  <c r="Q367" i="6"/>
  <c r="HM367" i="6" s="1"/>
  <c r="HP367" i="6" s="1"/>
  <c r="T366" i="6"/>
  <c r="H367" i="6"/>
  <c r="E368" i="6"/>
  <c r="CN371" i="6"/>
  <c r="CN372" i="6"/>
  <c r="HD371" i="6"/>
  <c r="HD372" i="6"/>
  <c r="GF371" i="6"/>
  <c r="GF372" i="6"/>
  <c r="FH371" i="6"/>
  <c r="FH372" i="6"/>
  <c r="EJ371" i="6"/>
  <c r="EJ372" i="6"/>
  <c r="AR371" i="6"/>
  <c r="AR372" i="6"/>
  <c r="BP371" i="6"/>
  <c r="BP372" i="6"/>
  <c r="DL371" i="6"/>
  <c r="DL372" i="6"/>
  <c r="HP363" i="6"/>
  <c r="HP362" i="6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4" i="6"/>
  <c r="IJ23" i="6"/>
  <c r="IJ22" i="6"/>
  <c r="IJ21" i="6"/>
  <c r="IJ20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0" i="6"/>
  <c r="IK21" i="6"/>
  <c r="IK22" i="6"/>
  <c r="IK23" i="6"/>
  <c r="IK24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AO116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0" i="6"/>
  <c r="II21" i="6"/>
  <c r="II22" i="6"/>
  <c r="II23" i="6"/>
  <c r="II24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Q101" i="1"/>
  <c r="HO101" i="1"/>
  <c r="HU101" i="1" s="1"/>
  <c r="HL101" i="1"/>
  <c r="HK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HQ100" i="1"/>
  <c r="HO100" i="1"/>
  <c r="HU100" i="1" s="1"/>
  <c r="HL100" i="1"/>
  <c r="HK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HQ99" i="1"/>
  <c r="HO99" i="1"/>
  <c r="HU99" i="1" s="1"/>
  <c r="HL99" i="1"/>
  <c r="HK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HQ98" i="1"/>
  <c r="HO98" i="1"/>
  <c r="HU98" i="1" s="1"/>
  <c r="HL98" i="1"/>
  <c r="HK98" i="1"/>
  <c r="HF98" i="1"/>
  <c r="GT98" i="1"/>
  <c r="GH98" i="1"/>
  <c r="FV98" i="1"/>
  <c r="FJ98" i="1"/>
  <c r="FF98" i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EX98" i="1"/>
  <c r="ET98" i="1"/>
  <c r="ET99" i="1" s="1"/>
  <c r="ET100" i="1" s="1"/>
  <c r="ET101" i="1" s="1"/>
  <c r="EL98" i="1"/>
  <c r="EH98" i="1"/>
  <c r="EH99" i="1" s="1"/>
  <c r="EH100" i="1" s="1"/>
  <c r="EH101" i="1" s="1"/>
  <c r="DZ98" i="1"/>
  <c r="DV98" i="1"/>
  <c r="DV99" i="1" s="1"/>
  <c r="DV100" i="1" s="1"/>
  <c r="DV101" i="1" s="1"/>
  <c r="DN98" i="1"/>
  <c r="DB98" i="1"/>
  <c r="CP98" i="1"/>
  <c r="CD98" i="1"/>
  <c r="BR98" i="1"/>
  <c r="BF98" i="1"/>
  <c r="AT98" i="1"/>
  <c r="AH98" i="1"/>
  <c r="V98" i="1"/>
  <c r="J98" i="1"/>
  <c r="HQ97" i="1"/>
  <c r="HO97" i="1"/>
  <c r="HU97" i="1" s="1"/>
  <c r="HL97" i="1"/>
  <c r="HK97" i="1"/>
  <c r="HF97" i="1"/>
  <c r="GT97" i="1"/>
  <c r="GH97" i="1"/>
  <c r="FV97" i="1"/>
  <c r="FJ97" i="1"/>
  <c r="EX97" i="1"/>
  <c r="EL97" i="1"/>
  <c r="DZ97" i="1"/>
  <c r="DN97" i="1"/>
  <c r="DB97" i="1"/>
  <c r="CX97" i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P97" i="1"/>
  <c r="CL97" i="1"/>
  <c r="CL98" i="1" s="1"/>
  <c r="CL99" i="1" s="1"/>
  <c r="CL100" i="1" s="1"/>
  <c r="CL101" i="1" s="1"/>
  <c r="CD97" i="1"/>
  <c r="BZ97" i="1"/>
  <c r="BZ98" i="1" s="1"/>
  <c r="BZ99" i="1" s="1"/>
  <c r="BZ100" i="1" s="1"/>
  <c r="BZ101" i="1" s="1"/>
  <c r="BR97" i="1"/>
  <c r="BN97" i="1"/>
  <c r="BN98" i="1" s="1"/>
  <c r="BN99" i="1" s="1"/>
  <c r="BN100" i="1" s="1"/>
  <c r="BN101" i="1" s="1"/>
  <c r="BF97" i="1"/>
  <c r="AT97" i="1"/>
  <c r="AH97" i="1"/>
  <c r="V97" i="1"/>
  <c r="J97" i="1"/>
  <c r="HQ96" i="1"/>
  <c r="HO96" i="1"/>
  <c r="HU96" i="1" s="1"/>
  <c r="HK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HQ95" i="1"/>
  <c r="HO95" i="1"/>
  <c r="HL95" i="1"/>
  <c r="HK95" i="1"/>
  <c r="HF95" i="1"/>
  <c r="GT95" i="1"/>
  <c r="GH95" i="1"/>
  <c r="FV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HF93" i="6" s="1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H93" i="6" s="1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BJ84" i="6"/>
  <c r="BI84" i="6"/>
  <c r="BE84" i="6"/>
  <c r="BC84" i="6"/>
  <c r="AZ84" i="6"/>
  <c r="AY84" i="6"/>
  <c r="AX84" i="6"/>
  <c r="AW84" i="6"/>
  <c r="AS84" i="6"/>
  <c r="AQ84" i="6"/>
  <c r="AN84" i="6"/>
  <c r="AM84" i="6"/>
  <c r="T12" i="11" s="1"/>
  <c r="AL84" i="6"/>
  <c r="AK84" i="6"/>
  <c r="AG84" i="6"/>
  <c r="AE84" i="6"/>
  <c r="AB84" i="6"/>
  <c r="AA84" i="6"/>
  <c r="Z84" i="6"/>
  <c r="Y84" i="6"/>
  <c r="U84" i="6"/>
  <c r="S84" i="6"/>
  <c r="P84" i="6"/>
  <c r="O84" i="6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HR68" i="6" s="1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HR71" i="6" s="1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P11" i="11" s="1"/>
  <c r="D75" i="6"/>
  <c r="G75" i="6"/>
  <c r="I75" i="6"/>
  <c r="M75" i="6"/>
  <c r="N75" i="6"/>
  <c r="O75" i="6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T11" i="11" s="1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P75" i="6" s="1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Q92" i="1"/>
  <c r="HO92" i="1"/>
  <c r="HU92" i="1" s="1"/>
  <c r="HL92" i="1"/>
  <c r="HK92" i="1"/>
  <c r="HF92" i="1"/>
  <c r="GT92" i="1"/>
  <c r="GH92" i="1"/>
  <c r="FV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Q91" i="1"/>
  <c r="HO91" i="1"/>
  <c r="HU91" i="1" s="1"/>
  <c r="HL91" i="1"/>
  <c r="HK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Q90" i="1"/>
  <c r="HO90" i="1"/>
  <c r="HU90" i="1" s="1"/>
  <c r="HL90" i="1"/>
  <c r="HK90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Q89" i="1"/>
  <c r="HO89" i="1"/>
  <c r="HL89" i="1"/>
  <c r="HK89" i="1"/>
  <c r="HF89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Q88" i="1"/>
  <c r="HO88" i="1"/>
  <c r="HU88" i="1" s="1"/>
  <c r="HL88" i="1"/>
  <c r="HK88" i="1"/>
  <c r="HF88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Q87" i="1"/>
  <c r="HO87" i="1"/>
  <c r="HU87" i="1" s="1"/>
  <c r="HL87" i="1"/>
  <c r="HK87" i="1"/>
  <c r="HF87" i="1"/>
  <c r="GT87" i="1"/>
  <c r="GH87" i="1"/>
  <c r="FV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Q86" i="1"/>
  <c r="HO86" i="1"/>
  <c r="HU86" i="1" s="1"/>
  <c r="HL86" i="1"/>
  <c r="HK86" i="1"/>
  <c r="HF86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W84" i="1"/>
  <c r="HV84" i="1"/>
  <c r="HT84" i="1"/>
  <c r="HS84" i="1"/>
  <c r="HN84" i="1"/>
  <c r="HM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Z84" i="1"/>
  <c r="FY84" i="1"/>
  <c r="FU84" i="1"/>
  <c r="FS84" i="1"/>
  <c r="FP84" i="1"/>
  <c r="FO84" i="1"/>
  <c r="II84" i="1" s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ID84" i="1" s="1"/>
  <c r="EF84" i="1"/>
  <c r="EE84" i="1"/>
  <c r="ED84" i="1"/>
  <c r="EC84" i="1"/>
  <c r="DY84" i="1"/>
  <c r="DW84" i="1"/>
  <c r="DT84" i="1"/>
  <c r="DS84" i="1"/>
  <c r="IH84" i="1" s="1"/>
  <c r="DR84" i="1"/>
  <c r="DQ84" i="1"/>
  <c r="DM84" i="1"/>
  <c r="DK84" i="1"/>
  <c r="DH84" i="1"/>
  <c r="DG84" i="1"/>
  <c r="DF84" i="1"/>
  <c r="DE84" i="1"/>
  <c r="DA84" i="1"/>
  <c r="CY84" i="1"/>
  <c r="DB84" i="1" s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IG84" i="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E12" i="11" s="1"/>
  <c r="Z84" i="1"/>
  <c r="Y84" i="1"/>
  <c r="U84" i="1"/>
  <c r="S84" i="1"/>
  <c r="P84" i="1"/>
  <c r="O84" i="1"/>
  <c r="N84" i="1"/>
  <c r="M84" i="1"/>
  <c r="I84" i="1"/>
  <c r="G84" i="1"/>
  <c r="D84" i="1"/>
  <c r="C84" i="1"/>
  <c r="HQ83" i="1"/>
  <c r="HO83" i="1"/>
  <c r="HU83" i="1" s="1"/>
  <c r="HL83" i="1"/>
  <c r="HK83" i="1"/>
  <c r="HF83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Q82" i="1"/>
  <c r="HO82" i="1"/>
  <c r="HU82" i="1" s="1"/>
  <c r="HL82" i="1"/>
  <c r="HK82" i="1"/>
  <c r="HF82" i="1"/>
  <c r="GT82" i="1"/>
  <c r="GH82" i="1"/>
  <c r="FV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Q81" i="1"/>
  <c r="HO81" i="1"/>
  <c r="HU81" i="1" s="1"/>
  <c r="HL81" i="1"/>
  <c r="HK81" i="1"/>
  <c r="HF81" i="1"/>
  <c r="GT81" i="1"/>
  <c r="GH81" i="1"/>
  <c r="FV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Q80" i="1"/>
  <c r="HO80" i="1"/>
  <c r="HL80" i="1"/>
  <c r="HK80" i="1"/>
  <c r="HF80" i="1"/>
  <c r="GT80" i="1"/>
  <c r="GH80" i="1"/>
  <c r="FV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Q79" i="1"/>
  <c r="HO79" i="1"/>
  <c r="HU79" i="1" s="1"/>
  <c r="HL79" i="1"/>
  <c r="HK79" i="1"/>
  <c r="HF79" i="1"/>
  <c r="GT79" i="1"/>
  <c r="GH79" i="1"/>
  <c r="FV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Q78" i="1"/>
  <c r="HO78" i="1"/>
  <c r="HU78" i="1" s="1"/>
  <c r="HL78" i="1"/>
  <c r="HK78" i="1"/>
  <c r="HF78" i="1"/>
  <c r="GT78" i="1"/>
  <c r="GH78" i="1"/>
  <c r="FV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Q77" i="1"/>
  <c r="HO77" i="1"/>
  <c r="HU77" i="1" s="1"/>
  <c r="HL77" i="1"/>
  <c r="HK77" i="1"/>
  <c r="HF77" i="1"/>
  <c r="GT77" i="1"/>
  <c r="GH77" i="1"/>
  <c r="FV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GT75" i="6"/>
  <c r="AH84" i="6"/>
  <c r="HR88" i="1"/>
  <c r="HU92" i="6"/>
  <c r="HR78" i="1"/>
  <c r="GT84" i="1"/>
  <c r="HO74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T7" i="12"/>
  <c r="HO34" i="6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G255" i="10" s="1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FV104" i="1"/>
  <c r="GH104" i="1"/>
  <c r="GT104" i="1"/>
  <c r="HF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FV105" i="1"/>
  <c r="GH105" i="1"/>
  <c r="GT105" i="1"/>
  <c r="HF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FV106" i="1"/>
  <c r="GH106" i="1"/>
  <c r="GT106" i="1"/>
  <c r="HF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FV107" i="1"/>
  <c r="GH107" i="1"/>
  <c r="GT107" i="1"/>
  <c r="HF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FV108" i="1"/>
  <c r="GH108" i="1"/>
  <c r="GT108" i="1"/>
  <c r="HF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FV109" i="1"/>
  <c r="GH109" i="1"/>
  <c r="GT109" i="1"/>
  <c r="HF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FV110" i="1"/>
  <c r="GH110" i="1"/>
  <c r="GT110" i="1"/>
  <c r="HF110" i="1"/>
  <c r="C111" i="1"/>
  <c r="D111" i="1"/>
  <c r="G111" i="1"/>
  <c r="I111" i="1"/>
  <c r="M111" i="1"/>
  <c r="N111" i="1"/>
  <c r="O111" i="1"/>
  <c r="IF111" i="1" s="1"/>
  <c r="P111" i="1"/>
  <c r="S111" i="1"/>
  <c r="U111" i="1"/>
  <c r="Y111" i="1"/>
  <c r="Z111" i="1"/>
  <c r="AA111" i="1"/>
  <c r="AB111" i="1"/>
  <c r="AE111" i="1"/>
  <c r="AH111" i="1" s="1"/>
  <c r="AG111" i="1"/>
  <c r="AK111" i="1"/>
  <c r="AL111" i="1"/>
  <c r="AM111" i="1"/>
  <c r="AN111" i="1"/>
  <c r="AQ111" i="1"/>
  <c r="AS111" i="1"/>
  <c r="AT111" i="1" s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D111" i="1" s="1"/>
  <c r="CC111" i="1"/>
  <c r="CG111" i="1"/>
  <c r="CH111" i="1"/>
  <c r="CI111" i="1"/>
  <c r="CJ111" i="1"/>
  <c r="CM111" i="1"/>
  <c r="CO111" i="1"/>
  <c r="CP111" i="1" s="1"/>
  <c r="CS111" i="1"/>
  <c r="CT111" i="1"/>
  <c r="CU111" i="1"/>
  <c r="CV111" i="1"/>
  <c r="CY111" i="1"/>
  <c r="DA111" i="1"/>
  <c r="DE111" i="1"/>
  <c r="DF111" i="1"/>
  <c r="DG111" i="1"/>
  <c r="K15" i="11" s="1"/>
  <c r="DH111" i="1"/>
  <c r="DK111" i="1"/>
  <c r="DM111" i="1"/>
  <c r="DN111" i="1" s="1"/>
  <c r="DQ111" i="1"/>
  <c r="DR111" i="1"/>
  <c r="DS111" i="1"/>
  <c r="DT111" i="1"/>
  <c r="DW111" i="1"/>
  <c r="DZ111" i="1" s="1"/>
  <c r="DY111" i="1"/>
  <c r="EC111" i="1"/>
  <c r="ED111" i="1"/>
  <c r="EE111" i="1"/>
  <c r="EF111" i="1"/>
  <c r="EI111" i="1"/>
  <c r="EK111" i="1"/>
  <c r="EL111" i="1" s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FO111" i="1"/>
  <c r="FP111" i="1"/>
  <c r="FS111" i="1"/>
  <c r="FU111" i="1"/>
  <c r="FY111" i="1"/>
  <c r="FZ111" i="1"/>
  <c r="GA111" i="1"/>
  <c r="GB111" i="1"/>
  <c r="GE111" i="1"/>
  <c r="GG111" i="1"/>
  <c r="GH111" i="1" s="1"/>
  <c r="GK111" i="1"/>
  <c r="GL111" i="1"/>
  <c r="GM111" i="1"/>
  <c r="GN111" i="1"/>
  <c r="GQ111" i="1"/>
  <c r="GS111" i="1"/>
  <c r="GW111" i="1"/>
  <c r="GX111" i="1"/>
  <c r="GY111" i="1"/>
  <c r="II111" i="1" s="1"/>
  <c r="GZ111" i="1"/>
  <c r="HC111" i="1"/>
  <c r="HE111" i="1"/>
  <c r="HI111" i="1"/>
  <c r="HJ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FV113" i="1"/>
  <c r="GH113" i="1"/>
  <c r="GT113" i="1"/>
  <c r="HF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FV114" i="1"/>
  <c r="GH114" i="1"/>
  <c r="GT114" i="1"/>
  <c r="HF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FV115" i="1"/>
  <c r="GH115" i="1"/>
  <c r="GT115" i="1"/>
  <c r="HF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FV116" i="1"/>
  <c r="GH116" i="1"/>
  <c r="GT116" i="1"/>
  <c r="HF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FV117" i="1"/>
  <c r="GH117" i="1"/>
  <c r="GT117" i="1"/>
  <c r="HF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FV118" i="1"/>
  <c r="GH118" i="1"/>
  <c r="GT118" i="1"/>
  <c r="HF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FV119" i="1"/>
  <c r="GH119" i="1"/>
  <c r="GT119" i="1"/>
  <c r="HF119" i="1"/>
  <c r="C120" i="1"/>
  <c r="D120" i="1"/>
  <c r="G120" i="1"/>
  <c r="I120" i="1"/>
  <c r="M120" i="1"/>
  <c r="N120" i="1"/>
  <c r="O120" i="1"/>
  <c r="P120" i="1"/>
  <c r="S120" i="1"/>
  <c r="U120" i="1"/>
  <c r="V120" i="1" s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T120" i="1" s="1"/>
  <c r="AW120" i="1"/>
  <c r="AX120" i="1"/>
  <c r="AY120" i="1"/>
  <c r="K16" i="11" s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N120" i="1" s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L120" i="1" s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J120" i="1" s="1"/>
  <c r="FM120" i="1"/>
  <c r="FN120" i="1"/>
  <c r="FO120" i="1"/>
  <c r="FP120" i="1"/>
  <c r="FS120" i="1"/>
  <c r="FU120" i="1"/>
  <c r="FY120" i="1"/>
  <c r="FZ120" i="1"/>
  <c r="GA120" i="1"/>
  <c r="GB120" i="1"/>
  <c r="GE120" i="1"/>
  <c r="GG120" i="1"/>
  <c r="GH120" i="1" s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F120" i="1" s="1"/>
  <c r="HI120" i="1"/>
  <c r="HJ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FV122" i="1"/>
  <c r="GH122" i="1"/>
  <c r="GT122" i="1"/>
  <c r="HF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FV123" i="1"/>
  <c r="GH123" i="1"/>
  <c r="GT123" i="1"/>
  <c r="HF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FV124" i="1"/>
  <c r="GH124" i="1"/>
  <c r="GT124" i="1"/>
  <c r="HF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FV125" i="1"/>
  <c r="GH125" i="1"/>
  <c r="GT125" i="1"/>
  <c r="HF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FV126" i="1"/>
  <c r="GH126" i="1"/>
  <c r="GT126" i="1"/>
  <c r="HF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FV127" i="1"/>
  <c r="GH127" i="1"/>
  <c r="GT127" i="1"/>
  <c r="HF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FV128" i="1"/>
  <c r="GH128" i="1"/>
  <c r="GT128" i="1"/>
  <c r="HF128" i="1"/>
  <c r="C129" i="1"/>
  <c r="D129" i="1"/>
  <c r="G129" i="1"/>
  <c r="I129" i="1"/>
  <c r="J129" i="1" s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T129" i="1" s="1"/>
  <c r="AS129" i="1"/>
  <c r="AW129" i="1"/>
  <c r="AX129" i="1"/>
  <c r="AY129" i="1"/>
  <c r="AZ129" i="1"/>
  <c r="BC129" i="1"/>
  <c r="BE129" i="1"/>
  <c r="BF129" i="1" s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D129" i="1" s="1"/>
  <c r="CG129" i="1"/>
  <c r="CH129" i="1"/>
  <c r="CI129" i="1"/>
  <c r="CJ129" i="1"/>
  <c r="CM129" i="1"/>
  <c r="CP129" i="1" s="1"/>
  <c r="CO129" i="1"/>
  <c r="CS129" i="1"/>
  <c r="CT129" i="1"/>
  <c r="CU129" i="1"/>
  <c r="I17" i="11" s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DZ129" i="1" s="1"/>
  <c r="EC129" i="1"/>
  <c r="ED129" i="1"/>
  <c r="EE129" i="1"/>
  <c r="EF129" i="1"/>
  <c r="EI129" i="1"/>
  <c r="EL129" i="1" s="1"/>
  <c r="EK129" i="1"/>
  <c r="EO129" i="1"/>
  <c r="EP129" i="1"/>
  <c r="EQ129" i="1"/>
  <c r="ER129" i="1"/>
  <c r="EU129" i="1"/>
  <c r="EW129" i="1"/>
  <c r="EX129" i="1" s="1"/>
  <c r="FA129" i="1"/>
  <c r="FB129" i="1"/>
  <c r="FC129" i="1"/>
  <c r="FD129" i="1"/>
  <c r="FG129" i="1"/>
  <c r="FI129" i="1"/>
  <c r="FM129" i="1"/>
  <c r="FN129" i="1"/>
  <c r="FO129" i="1"/>
  <c r="FP129" i="1"/>
  <c r="FS129" i="1"/>
  <c r="FU129" i="1"/>
  <c r="FV129" i="1" s="1"/>
  <c r="FY129" i="1"/>
  <c r="FZ129" i="1"/>
  <c r="GA129" i="1"/>
  <c r="GB129" i="1"/>
  <c r="GE129" i="1"/>
  <c r="GH129" i="1" s="1"/>
  <c r="GG129" i="1"/>
  <c r="GK129" i="1"/>
  <c r="GL129" i="1"/>
  <c r="GM129" i="1"/>
  <c r="GN129" i="1"/>
  <c r="GQ129" i="1"/>
  <c r="GS129" i="1"/>
  <c r="GT129" i="1" s="1"/>
  <c r="GW129" i="1"/>
  <c r="GX129" i="1"/>
  <c r="GY129" i="1"/>
  <c r="GZ129" i="1"/>
  <c r="HC129" i="1"/>
  <c r="HE129" i="1"/>
  <c r="HI129" i="1"/>
  <c r="HJ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FV131" i="1"/>
  <c r="GH131" i="1"/>
  <c r="GT131" i="1"/>
  <c r="HF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FV132" i="1"/>
  <c r="GH132" i="1"/>
  <c r="GT132" i="1"/>
  <c r="HF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FV133" i="1"/>
  <c r="GH133" i="1"/>
  <c r="GT133" i="1"/>
  <c r="HF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FV134" i="1"/>
  <c r="GH134" i="1"/>
  <c r="GT134" i="1"/>
  <c r="HF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FV135" i="1"/>
  <c r="GH135" i="1"/>
  <c r="GT135" i="1"/>
  <c r="HF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FV136" i="1"/>
  <c r="GH136" i="1"/>
  <c r="GT136" i="1"/>
  <c r="HF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FV137" i="1"/>
  <c r="GH137" i="1"/>
  <c r="GT137" i="1"/>
  <c r="HF137" i="1"/>
  <c r="C138" i="1"/>
  <c r="D138" i="1"/>
  <c r="G138" i="1"/>
  <c r="J138" i="1" s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T138" i="1" s="1"/>
  <c r="AW138" i="1"/>
  <c r="AX138" i="1"/>
  <c r="AY138" i="1"/>
  <c r="AZ138" i="1"/>
  <c r="BC138" i="1"/>
  <c r="BF138" i="1" s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B138" i="1" s="1"/>
  <c r="DA138" i="1"/>
  <c r="DE138" i="1"/>
  <c r="DF138" i="1"/>
  <c r="DG138" i="1"/>
  <c r="DH138" i="1"/>
  <c r="DK138" i="1"/>
  <c r="DM138" i="1"/>
  <c r="DN138" i="1" s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X138" i="1" s="1"/>
  <c r="EW138" i="1"/>
  <c r="FA138" i="1"/>
  <c r="FB138" i="1"/>
  <c r="FC138" i="1"/>
  <c r="FD138" i="1"/>
  <c r="FG138" i="1"/>
  <c r="FI138" i="1"/>
  <c r="FM138" i="1"/>
  <c r="FN138" i="1"/>
  <c r="FO138" i="1"/>
  <c r="FP138" i="1"/>
  <c r="FS138" i="1"/>
  <c r="FU138" i="1"/>
  <c r="FY138" i="1"/>
  <c r="FZ138" i="1"/>
  <c r="GA138" i="1"/>
  <c r="GB138" i="1"/>
  <c r="GE138" i="1"/>
  <c r="GG138" i="1"/>
  <c r="GH138" i="1" s="1"/>
  <c r="GK138" i="1"/>
  <c r="GL138" i="1"/>
  <c r="GM138" i="1"/>
  <c r="GN138" i="1"/>
  <c r="GQ138" i="1"/>
  <c r="GT138" i="1" s="1"/>
  <c r="GS138" i="1"/>
  <c r="GW138" i="1"/>
  <c r="GX138" i="1"/>
  <c r="GY138" i="1"/>
  <c r="GZ138" i="1"/>
  <c r="HC138" i="1"/>
  <c r="HE138" i="1"/>
  <c r="HF138" i="1" s="1"/>
  <c r="HI138" i="1"/>
  <c r="HJ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FV140" i="1"/>
  <c r="GH140" i="1"/>
  <c r="GT140" i="1"/>
  <c r="HF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FV141" i="1"/>
  <c r="GH141" i="1"/>
  <c r="GT141" i="1"/>
  <c r="HF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FV142" i="1"/>
  <c r="GH142" i="1"/>
  <c r="GT142" i="1"/>
  <c r="HF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FV143" i="1"/>
  <c r="GH143" i="1"/>
  <c r="GT143" i="1"/>
  <c r="HF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FV144" i="1"/>
  <c r="GH144" i="1"/>
  <c r="GT144" i="1"/>
  <c r="HF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FV145" i="1"/>
  <c r="GH145" i="1"/>
  <c r="GT145" i="1"/>
  <c r="HF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FV146" i="1"/>
  <c r="GH146" i="1"/>
  <c r="GT146" i="1"/>
  <c r="HF146" i="1"/>
  <c r="C147" i="1"/>
  <c r="D147" i="1"/>
  <c r="G147" i="1"/>
  <c r="I147" i="1"/>
  <c r="M147" i="1"/>
  <c r="N147" i="1"/>
  <c r="O147" i="1"/>
  <c r="P147" i="1"/>
  <c r="S147" i="1"/>
  <c r="V147" i="1" s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R147" i="1" s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J147" i="1" s="1"/>
  <c r="FI147" i="1"/>
  <c r="FM147" i="1"/>
  <c r="FN147" i="1"/>
  <c r="FO147" i="1"/>
  <c r="FP147" i="1"/>
  <c r="FS147" i="1"/>
  <c r="FU147" i="1"/>
  <c r="FY147" i="1"/>
  <c r="FZ147" i="1"/>
  <c r="GA147" i="1"/>
  <c r="GB147" i="1"/>
  <c r="GE147" i="1"/>
  <c r="GG147" i="1"/>
  <c r="GK147" i="1"/>
  <c r="GL147" i="1"/>
  <c r="GM147" i="1"/>
  <c r="GN147" i="1"/>
  <c r="GQ147" i="1"/>
  <c r="GS147" i="1"/>
  <c r="GT147" i="1" s="1"/>
  <c r="GW147" i="1"/>
  <c r="GX147" i="1"/>
  <c r="GY147" i="1"/>
  <c r="GZ147" i="1"/>
  <c r="HC147" i="1"/>
  <c r="HE147" i="1"/>
  <c r="HI147" i="1"/>
  <c r="HJ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FV149" i="1"/>
  <c r="GH149" i="1"/>
  <c r="GT149" i="1"/>
  <c r="HF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FV150" i="1"/>
  <c r="GH150" i="1"/>
  <c r="GT150" i="1"/>
  <c r="HF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FV151" i="1"/>
  <c r="GH151" i="1"/>
  <c r="GT151" i="1"/>
  <c r="HF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FV152" i="1"/>
  <c r="GH152" i="1"/>
  <c r="GT152" i="1"/>
  <c r="HF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FV153" i="1"/>
  <c r="GH153" i="1"/>
  <c r="GT153" i="1"/>
  <c r="HF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FV154" i="1"/>
  <c r="GH154" i="1"/>
  <c r="GT154" i="1"/>
  <c r="HF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FV155" i="1"/>
  <c r="GH155" i="1"/>
  <c r="GT155" i="1"/>
  <c r="HF155" i="1"/>
  <c r="C156" i="1"/>
  <c r="D156" i="1"/>
  <c r="G156" i="1"/>
  <c r="I156" i="1"/>
  <c r="M156" i="1"/>
  <c r="N156" i="1"/>
  <c r="O156" i="1"/>
  <c r="P156" i="1"/>
  <c r="S156" i="1"/>
  <c r="U156" i="1"/>
  <c r="V156" i="1" s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N156" i="1" s="1"/>
  <c r="DQ156" i="1"/>
  <c r="DR156" i="1"/>
  <c r="DS156" i="1"/>
  <c r="DT156" i="1"/>
  <c r="DW156" i="1"/>
  <c r="DZ156" i="1" s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FO156" i="1"/>
  <c r="FP156" i="1"/>
  <c r="FS156" i="1"/>
  <c r="FV156" i="1" s="1"/>
  <c r="FU156" i="1"/>
  <c r="FY156" i="1"/>
  <c r="FZ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FV158" i="1"/>
  <c r="GH158" i="1"/>
  <c r="GT158" i="1"/>
  <c r="HF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FV159" i="1"/>
  <c r="GH159" i="1"/>
  <c r="GT159" i="1"/>
  <c r="HF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FV160" i="1"/>
  <c r="GH160" i="1"/>
  <c r="GT160" i="1"/>
  <c r="HF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FV161" i="1"/>
  <c r="GH161" i="1"/>
  <c r="GT161" i="1"/>
  <c r="HF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FV162" i="1"/>
  <c r="GH162" i="1"/>
  <c r="GT162" i="1"/>
  <c r="HF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FV163" i="1"/>
  <c r="GH163" i="1"/>
  <c r="GT163" i="1"/>
  <c r="HF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FV164" i="1"/>
  <c r="GH164" i="1"/>
  <c r="GT164" i="1"/>
  <c r="HF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H165" i="1" s="1"/>
  <c r="AG165" i="1"/>
  <c r="AK165" i="1"/>
  <c r="AL165" i="1"/>
  <c r="AM165" i="1"/>
  <c r="I21" i="11" s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R165" i="1" s="1"/>
  <c r="BU165" i="1"/>
  <c r="BV165" i="1"/>
  <c r="BW165" i="1"/>
  <c r="BX165" i="1"/>
  <c r="CA165" i="1"/>
  <c r="CD165" i="1" s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K21" i="11" s="1"/>
  <c r="DH165" i="1"/>
  <c r="DK165" i="1"/>
  <c r="DM165" i="1"/>
  <c r="DQ165" i="1"/>
  <c r="DR165" i="1"/>
  <c r="DS165" i="1"/>
  <c r="DT165" i="1"/>
  <c r="DW165" i="1"/>
  <c r="DZ165" i="1" s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FO165" i="1"/>
  <c r="FP165" i="1"/>
  <c r="FS165" i="1"/>
  <c r="FU165" i="1"/>
  <c r="FY165" i="1"/>
  <c r="FZ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FV167" i="1"/>
  <c r="GH167" i="1"/>
  <c r="GT167" i="1"/>
  <c r="HF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FV168" i="1"/>
  <c r="GH168" i="1"/>
  <c r="GT168" i="1"/>
  <c r="HF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FV169" i="1"/>
  <c r="GH169" i="1"/>
  <c r="GT169" i="1"/>
  <c r="HF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FV170" i="1"/>
  <c r="GH170" i="1"/>
  <c r="GT170" i="1"/>
  <c r="HF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FV171" i="1"/>
  <c r="GH171" i="1"/>
  <c r="GT171" i="1"/>
  <c r="HF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FV172" i="1"/>
  <c r="GH172" i="1"/>
  <c r="GT172" i="1"/>
  <c r="HF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FV173" i="1"/>
  <c r="GH173" i="1"/>
  <c r="GT173" i="1"/>
  <c r="HF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R174" i="1" s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N174" i="1" s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EX174" i="1" s="1"/>
  <c r="FA174" i="1"/>
  <c r="FB174" i="1"/>
  <c r="FC174" i="1"/>
  <c r="FD174" i="1"/>
  <c r="FG174" i="1"/>
  <c r="FJ174" i="1" s="1"/>
  <c r="FI174" i="1"/>
  <c r="FM174" i="1"/>
  <c r="FN174" i="1"/>
  <c r="FO174" i="1"/>
  <c r="FP174" i="1"/>
  <c r="FS174" i="1"/>
  <c r="FU174" i="1"/>
  <c r="FY174" i="1"/>
  <c r="FZ174" i="1"/>
  <c r="GA174" i="1"/>
  <c r="GB174" i="1"/>
  <c r="GE174" i="1"/>
  <c r="GG174" i="1"/>
  <c r="GK174" i="1"/>
  <c r="GL174" i="1"/>
  <c r="GM174" i="1"/>
  <c r="GN174" i="1"/>
  <c r="GQ174" i="1"/>
  <c r="GS174" i="1"/>
  <c r="GT174" i="1" s="1"/>
  <c r="GW174" i="1"/>
  <c r="GX174" i="1"/>
  <c r="GY174" i="1"/>
  <c r="GZ174" i="1"/>
  <c r="HC174" i="1"/>
  <c r="HE174" i="1"/>
  <c r="HI174" i="1"/>
  <c r="HJ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FV176" i="1"/>
  <c r="GH176" i="1"/>
  <c r="GT176" i="1"/>
  <c r="HF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FV177" i="1"/>
  <c r="GH177" i="1"/>
  <c r="GT177" i="1"/>
  <c r="HF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FV178" i="1"/>
  <c r="GH178" i="1"/>
  <c r="GT178" i="1"/>
  <c r="HF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FV179" i="1"/>
  <c r="GH179" i="1"/>
  <c r="GT179" i="1"/>
  <c r="HF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FV180" i="1"/>
  <c r="GH180" i="1"/>
  <c r="GT180" i="1"/>
  <c r="HF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FV181" i="1"/>
  <c r="GH181" i="1"/>
  <c r="GT181" i="1"/>
  <c r="HF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FV182" i="1"/>
  <c r="GH182" i="1"/>
  <c r="GT182" i="1"/>
  <c r="HF182" i="1"/>
  <c r="C183" i="1"/>
  <c r="D183" i="1"/>
  <c r="G183" i="1"/>
  <c r="I183" i="1"/>
  <c r="M183" i="1"/>
  <c r="N183" i="1"/>
  <c r="O183" i="1"/>
  <c r="P183" i="1"/>
  <c r="S183" i="1"/>
  <c r="U183" i="1"/>
  <c r="V183" i="1" s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N183" i="1" s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J183" i="1" s="1"/>
  <c r="FM183" i="1"/>
  <c r="FN183" i="1"/>
  <c r="FO183" i="1"/>
  <c r="FP183" i="1"/>
  <c r="FS183" i="1"/>
  <c r="FV183" i="1" s="1"/>
  <c r="FU183" i="1"/>
  <c r="FY183" i="1"/>
  <c r="FZ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FV185" i="1"/>
  <c r="GH185" i="1"/>
  <c r="GT185" i="1"/>
  <c r="HF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FV186" i="1"/>
  <c r="GH186" i="1"/>
  <c r="GT186" i="1"/>
  <c r="HF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FV187" i="1"/>
  <c r="GH187" i="1"/>
  <c r="GT187" i="1"/>
  <c r="HF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FV188" i="1"/>
  <c r="GH188" i="1"/>
  <c r="GT188" i="1"/>
  <c r="HF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FV189" i="1"/>
  <c r="GH189" i="1"/>
  <c r="GT189" i="1"/>
  <c r="HF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FV190" i="1"/>
  <c r="GH190" i="1"/>
  <c r="GT190" i="1"/>
  <c r="HF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FV191" i="1"/>
  <c r="GH191" i="1"/>
  <c r="GT191" i="1"/>
  <c r="HF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K24" i="11" s="1"/>
  <c r="AZ192" i="1"/>
  <c r="BC192" i="1"/>
  <c r="BE192" i="1"/>
  <c r="BI192" i="1"/>
  <c r="BJ192" i="1"/>
  <c r="BK192" i="1"/>
  <c r="BL192" i="1"/>
  <c r="BO192" i="1"/>
  <c r="BQ192" i="1"/>
  <c r="BR192" i="1" s="1"/>
  <c r="BU192" i="1"/>
  <c r="BV192" i="1"/>
  <c r="BW192" i="1"/>
  <c r="BX192" i="1"/>
  <c r="CA192" i="1"/>
  <c r="CC192" i="1"/>
  <c r="CD192" i="1" s="1"/>
  <c r="CG192" i="1"/>
  <c r="CH192" i="1"/>
  <c r="CI192" i="1"/>
  <c r="CJ192" i="1"/>
  <c r="CM192" i="1"/>
  <c r="CO192" i="1"/>
  <c r="CP192" i="1" s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FO192" i="1"/>
  <c r="FP192" i="1"/>
  <c r="FS192" i="1"/>
  <c r="FU192" i="1"/>
  <c r="FV192" i="1" s="1"/>
  <c r="FY192" i="1"/>
  <c r="FZ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F192" i="1" s="1"/>
  <c r="HI192" i="1"/>
  <c r="HJ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FV194" i="1"/>
  <c r="GH194" i="1"/>
  <c r="GT194" i="1"/>
  <c r="HF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FV195" i="1"/>
  <c r="GH195" i="1"/>
  <c r="GT195" i="1"/>
  <c r="HF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FV196" i="1"/>
  <c r="GH196" i="1"/>
  <c r="GT196" i="1"/>
  <c r="HF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FV197" i="1"/>
  <c r="GH197" i="1"/>
  <c r="GT197" i="1"/>
  <c r="HF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FV198" i="1"/>
  <c r="GH198" i="1"/>
  <c r="GT198" i="1"/>
  <c r="HF198" i="1"/>
  <c r="J199" i="1"/>
  <c r="V199" i="1"/>
  <c r="AH199" i="1"/>
  <c r="AT199" i="1"/>
  <c r="BF199" i="1"/>
  <c r="BR199" i="1"/>
  <c r="CD199" i="1"/>
  <c r="CP199" i="1"/>
  <c r="DB199" i="1"/>
  <c r="DN199" i="1"/>
  <c r="DZ199" i="1"/>
  <c r="EL199" i="1"/>
  <c r="EX199" i="1"/>
  <c r="FJ199" i="1"/>
  <c r="FV199" i="1"/>
  <c r="GH199" i="1"/>
  <c r="GT199" i="1"/>
  <c r="HF199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FV200" i="1"/>
  <c r="GH200" i="1"/>
  <c r="GT200" i="1"/>
  <c r="HF200" i="1"/>
  <c r="C201" i="1"/>
  <c r="D201" i="1"/>
  <c r="G201" i="1"/>
  <c r="I201" i="1"/>
  <c r="J201" i="1" s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F201" i="1" s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L201" i="1" s="1"/>
  <c r="EO201" i="1"/>
  <c r="EP201" i="1"/>
  <c r="EQ201" i="1"/>
  <c r="ER201" i="1"/>
  <c r="EU201" i="1"/>
  <c r="EW201" i="1"/>
  <c r="EX201" i="1" s="1"/>
  <c r="FA201" i="1"/>
  <c r="FB201" i="1"/>
  <c r="FC201" i="1"/>
  <c r="FD201" i="1"/>
  <c r="FG201" i="1"/>
  <c r="FI201" i="1"/>
  <c r="FM201" i="1"/>
  <c r="FN201" i="1"/>
  <c r="FO201" i="1"/>
  <c r="FP201" i="1"/>
  <c r="FS201" i="1"/>
  <c r="FU201" i="1"/>
  <c r="FY201" i="1"/>
  <c r="FZ201" i="1"/>
  <c r="GA201" i="1"/>
  <c r="GB201" i="1"/>
  <c r="GE201" i="1"/>
  <c r="GG201" i="1"/>
  <c r="GK201" i="1"/>
  <c r="GL201" i="1"/>
  <c r="GM201" i="1"/>
  <c r="GN201" i="1"/>
  <c r="GQ201" i="1"/>
  <c r="GS201" i="1"/>
  <c r="GT201" i="1" s="1"/>
  <c r="GW201" i="1"/>
  <c r="GX201" i="1"/>
  <c r="GY201" i="1"/>
  <c r="GZ201" i="1"/>
  <c r="HC201" i="1"/>
  <c r="HE201" i="1"/>
  <c r="HI201" i="1"/>
  <c r="HJ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FV203" i="1"/>
  <c r="GH203" i="1"/>
  <c r="GT203" i="1"/>
  <c r="HF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FV204" i="1"/>
  <c r="GH204" i="1"/>
  <c r="GT204" i="1"/>
  <c r="HF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FV205" i="1"/>
  <c r="GH205" i="1"/>
  <c r="GT205" i="1"/>
  <c r="HF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FV206" i="1"/>
  <c r="GH206" i="1"/>
  <c r="GT206" i="1"/>
  <c r="HF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FV207" i="1"/>
  <c r="GH207" i="1"/>
  <c r="GT207" i="1"/>
  <c r="HF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FV208" i="1"/>
  <c r="GH208" i="1"/>
  <c r="GT208" i="1"/>
  <c r="HF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FV209" i="1"/>
  <c r="GH209" i="1"/>
  <c r="GT209" i="1"/>
  <c r="HF209" i="1"/>
  <c r="C210" i="1"/>
  <c r="D210" i="1"/>
  <c r="G210" i="1"/>
  <c r="I210" i="1"/>
  <c r="J210" i="1" s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F210" i="1" s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X210" i="1" s="1"/>
  <c r="EW210" i="1"/>
  <c r="FA210" i="1"/>
  <c r="FB210" i="1"/>
  <c r="FC210" i="1"/>
  <c r="FD210" i="1"/>
  <c r="FG210" i="1"/>
  <c r="FI210" i="1"/>
  <c r="FM210" i="1"/>
  <c r="FN210" i="1"/>
  <c r="FO210" i="1"/>
  <c r="FP210" i="1"/>
  <c r="FS210" i="1"/>
  <c r="FU210" i="1"/>
  <c r="FY210" i="1"/>
  <c r="FZ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FV212" i="1"/>
  <c r="GH212" i="1"/>
  <c r="GT212" i="1"/>
  <c r="HF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FV213" i="1"/>
  <c r="GH213" i="1"/>
  <c r="GT213" i="1"/>
  <c r="HF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FV214" i="1"/>
  <c r="GH214" i="1"/>
  <c r="GT214" i="1"/>
  <c r="HF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FV215" i="1"/>
  <c r="GH215" i="1"/>
  <c r="GT215" i="1"/>
  <c r="HF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FV216" i="1"/>
  <c r="GH216" i="1"/>
  <c r="GT216" i="1"/>
  <c r="HF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FV217" i="1"/>
  <c r="GH217" i="1"/>
  <c r="GT217" i="1"/>
  <c r="HF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FV218" i="1"/>
  <c r="GH218" i="1"/>
  <c r="GT218" i="1"/>
  <c r="HF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I27" i="11" s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FO219" i="1"/>
  <c r="FP219" i="1"/>
  <c r="FS219" i="1"/>
  <c r="FU219" i="1"/>
  <c r="FY219" i="1"/>
  <c r="FZ219" i="1"/>
  <c r="GA219" i="1"/>
  <c r="GB219" i="1"/>
  <c r="GE219" i="1"/>
  <c r="GG219" i="1"/>
  <c r="GK219" i="1"/>
  <c r="GL219" i="1"/>
  <c r="GM219" i="1"/>
  <c r="GN219" i="1"/>
  <c r="GQ219" i="1"/>
  <c r="GS219" i="1"/>
  <c r="GT219" i="1" s="1"/>
  <c r="GW219" i="1"/>
  <c r="GX219" i="1"/>
  <c r="GY219" i="1"/>
  <c r="GZ219" i="1"/>
  <c r="HC219" i="1"/>
  <c r="HF219" i="1" s="1"/>
  <c r="HE219" i="1"/>
  <c r="HI219" i="1"/>
  <c r="HJ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FV221" i="1"/>
  <c r="GH221" i="1"/>
  <c r="GT221" i="1"/>
  <c r="HF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FV222" i="1"/>
  <c r="GH222" i="1"/>
  <c r="GT222" i="1"/>
  <c r="HF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FV223" i="1"/>
  <c r="GH223" i="1"/>
  <c r="GT223" i="1"/>
  <c r="HF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FV224" i="1"/>
  <c r="GH224" i="1"/>
  <c r="GT224" i="1"/>
  <c r="HF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FV225" i="1"/>
  <c r="GH225" i="1"/>
  <c r="GT225" i="1"/>
  <c r="HF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FV226" i="1"/>
  <c r="GH226" i="1"/>
  <c r="GT226" i="1"/>
  <c r="HF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FV227" i="1"/>
  <c r="GH227" i="1"/>
  <c r="GT227" i="1"/>
  <c r="HF227" i="1"/>
  <c r="C228" i="1"/>
  <c r="D228" i="1"/>
  <c r="G228" i="1"/>
  <c r="I228" i="1"/>
  <c r="M228" i="1"/>
  <c r="N228" i="1"/>
  <c r="O228" i="1"/>
  <c r="G28" i="11" s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FO228" i="1"/>
  <c r="FP228" i="1"/>
  <c r="FS228" i="1"/>
  <c r="FU228" i="1"/>
  <c r="FY228" i="1"/>
  <c r="FZ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FV230" i="1"/>
  <c r="GH230" i="1"/>
  <c r="GT230" i="1"/>
  <c r="HF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FV231" i="1"/>
  <c r="GH231" i="1"/>
  <c r="GT231" i="1"/>
  <c r="HF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FV232" i="1"/>
  <c r="GH232" i="1"/>
  <c r="GT232" i="1"/>
  <c r="HF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FV233" i="1"/>
  <c r="GH233" i="1"/>
  <c r="GT233" i="1"/>
  <c r="HF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FV234" i="1"/>
  <c r="GH234" i="1"/>
  <c r="GT234" i="1"/>
  <c r="HF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FV235" i="1"/>
  <c r="GH235" i="1"/>
  <c r="GT235" i="1"/>
  <c r="HF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FV236" i="1"/>
  <c r="GH236" i="1"/>
  <c r="GT236" i="1"/>
  <c r="HF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FO237" i="1"/>
  <c r="FP237" i="1"/>
  <c r="FS237" i="1"/>
  <c r="FU237" i="1"/>
  <c r="FY237" i="1"/>
  <c r="FZ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H239" i="1"/>
  <c r="GT239" i="1"/>
  <c r="HF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FV240" i="1"/>
  <c r="GH240" i="1"/>
  <c r="GT240" i="1"/>
  <c r="HF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FV241" i="1"/>
  <c r="GH241" i="1"/>
  <c r="GT241" i="1"/>
  <c r="HF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FV242" i="1"/>
  <c r="GH242" i="1"/>
  <c r="GT242" i="1"/>
  <c r="HF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FV243" i="1"/>
  <c r="GH243" i="1"/>
  <c r="GT243" i="1"/>
  <c r="HF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FV244" i="1"/>
  <c r="GH244" i="1"/>
  <c r="GT244" i="1"/>
  <c r="HF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FV245" i="1"/>
  <c r="GH245" i="1"/>
  <c r="GT245" i="1"/>
  <c r="HF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R246" i="1" s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FO246" i="1"/>
  <c r="FP246" i="1"/>
  <c r="FS246" i="1"/>
  <c r="FU246" i="1"/>
  <c r="FY246" i="1"/>
  <c r="FZ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FV248" i="1"/>
  <c r="GH248" i="1"/>
  <c r="GT248" i="1"/>
  <c r="HF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FV249" i="1"/>
  <c r="GH249" i="1"/>
  <c r="GT249" i="1"/>
  <c r="HF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FV250" i="1"/>
  <c r="GH250" i="1"/>
  <c r="GT250" i="1"/>
  <c r="HF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FV251" i="1"/>
  <c r="GH251" i="1"/>
  <c r="GT251" i="1"/>
  <c r="HF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FV252" i="1"/>
  <c r="GH252" i="1"/>
  <c r="GT252" i="1"/>
  <c r="HF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FV253" i="1"/>
  <c r="GH253" i="1"/>
  <c r="GT253" i="1"/>
  <c r="HF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FV254" i="1"/>
  <c r="GH254" i="1"/>
  <c r="GT254" i="1"/>
  <c r="HF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F255" i="1" s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FO255" i="1"/>
  <c r="FP255" i="1"/>
  <c r="FS255" i="1"/>
  <c r="FU255" i="1"/>
  <c r="FY255" i="1"/>
  <c r="FZ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FV257" i="1"/>
  <c r="GH257" i="1"/>
  <c r="GT257" i="1"/>
  <c r="HF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FV258" i="1"/>
  <c r="GH258" i="1"/>
  <c r="GT258" i="1"/>
  <c r="HF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FV259" i="1"/>
  <c r="GH259" i="1"/>
  <c r="GT259" i="1"/>
  <c r="HF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FV260" i="1"/>
  <c r="GH260" i="1"/>
  <c r="GT260" i="1"/>
  <c r="HF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FV261" i="1"/>
  <c r="GH261" i="1"/>
  <c r="GT261" i="1"/>
  <c r="HF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FV262" i="1"/>
  <c r="GH262" i="1"/>
  <c r="GT262" i="1"/>
  <c r="HF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FV263" i="1"/>
  <c r="GH263" i="1"/>
  <c r="GT263" i="1"/>
  <c r="HF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N264" i="1" s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J264" i="1" s="1"/>
  <c r="FM264" i="1"/>
  <c r="FN264" i="1"/>
  <c r="FO264" i="1"/>
  <c r="FP264" i="1"/>
  <c r="FS264" i="1"/>
  <c r="FU264" i="1"/>
  <c r="FY264" i="1"/>
  <c r="FZ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FV266" i="1"/>
  <c r="GH266" i="1"/>
  <c r="GT266" i="1"/>
  <c r="HF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FV267" i="1"/>
  <c r="GH267" i="1"/>
  <c r="GT267" i="1"/>
  <c r="HF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FV268" i="1"/>
  <c r="GH268" i="1"/>
  <c r="GT268" i="1"/>
  <c r="HF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FV269" i="1"/>
  <c r="GH269" i="1"/>
  <c r="GT269" i="1"/>
  <c r="HF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FV270" i="1"/>
  <c r="GH270" i="1"/>
  <c r="GT270" i="1"/>
  <c r="HF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FV271" i="1"/>
  <c r="GH271" i="1"/>
  <c r="GT271" i="1"/>
  <c r="HF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FV272" i="1"/>
  <c r="GH272" i="1"/>
  <c r="GT272" i="1"/>
  <c r="HF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FO273" i="1"/>
  <c r="FP273" i="1"/>
  <c r="FS273" i="1"/>
  <c r="FU273" i="1"/>
  <c r="FY273" i="1"/>
  <c r="FZ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FV275" i="1"/>
  <c r="GH275" i="1"/>
  <c r="GT275" i="1"/>
  <c r="HF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FV276" i="1"/>
  <c r="GH276" i="1"/>
  <c r="GT276" i="1"/>
  <c r="HF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FV277" i="1"/>
  <c r="GH277" i="1"/>
  <c r="GT277" i="1"/>
  <c r="HF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FV278" i="1"/>
  <c r="GH278" i="1"/>
  <c r="GT278" i="1"/>
  <c r="HF278" i="1"/>
  <c r="J279" i="1"/>
  <c r="V279" i="1"/>
  <c r="AH279" i="1"/>
  <c r="AT279" i="1"/>
  <c r="BF279" i="1"/>
  <c r="BR279" i="1"/>
  <c r="CD279" i="1"/>
  <c r="CP279" i="1"/>
  <c r="DB279" i="1"/>
  <c r="DN279" i="1"/>
  <c r="DZ279" i="1"/>
  <c r="EL279" i="1"/>
  <c r="EX279" i="1"/>
  <c r="FJ279" i="1"/>
  <c r="FV279" i="1"/>
  <c r="GH279" i="1"/>
  <c r="GT279" i="1"/>
  <c r="HF279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FV280" i="1"/>
  <c r="GH280" i="1"/>
  <c r="GT280" i="1"/>
  <c r="HF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FV281" i="1"/>
  <c r="GH281" i="1"/>
  <c r="GT281" i="1"/>
  <c r="HF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L282" i="1" s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FO282" i="1"/>
  <c r="FP282" i="1"/>
  <c r="FS282" i="1"/>
  <c r="FU282" i="1"/>
  <c r="FY282" i="1"/>
  <c r="FZ282" i="1"/>
  <c r="GA282" i="1"/>
  <c r="GB282" i="1"/>
  <c r="GE282" i="1"/>
  <c r="GG282" i="1"/>
  <c r="GH282" i="1" s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FV284" i="1"/>
  <c r="GH284" i="1"/>
  <c r="GT284" i="1"/>
  <c r="HF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FV285" i="1"/>
  <c r="GH285" i="1"/>
  <c r="GT285" i="1"/>
  <c r="HF285" i="1"/>
  <c r="J286" i="1"/>
  <c r="V286" i="1"/>
  <c r="AH286" i="1"/>
  <c r="AT286" i="1"/>
  <c r="BF286" i="1"/>
  <c r="BR286" i="1"/>
  <c r="CD286" i="1"/>
  <c r="CP286" i="1"/>
  <c r="DB286" i="1"/>
  <c r="DN286" i="1"/>
  <c r="DZ286" i="1"/>
  <c r="EL286" i="1"/>
  <c r="EX286" i="1"/>
  <c r="FJ286" i="1"/>
  <c r="FV286" i="1"/>
  <c r="GH286" i="1"/>
  <c r="GT286" i="1"/>
  <c r="HF286" i="1"/>
  <c r="J287" i="1"/>
  <c r="V287" i="1"/>
  <c r="AH287" i="1"/>
  <c r="AT287" i="1"/>
  <c r="BF287" i="1"/>
  <c r="BR287" i="1"/>
  <c r="CD287" i="1"/>
  <c r="CP287" i="1"/>
  <c r="DB287" i="1"/>
  <c r="DN287" i="1"/>
  <c r="DZ287" i="1"/>
  <c r="EL287" i="1"/>
  <c r="EX287" i="1"/>
  <c r="FJ287" i="1"/>
  <c r="FV287" i="1"/>
  <c r="GH287" i="1"/>
  <c r="GT287" i="1"/>
  <c r="HF287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FV288" i="1"/>
  <c r="GH288" i="1"/>
  <c r="GT288" i="1"/>
  <c r="HF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FV289" i="1"/>
  <c r="GH289" i="1"/>
  <c r="GT289" i="1"/>
  <c r="HF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FV290" i="1"/>
  <c r="GH290" i="1"/>
  <c r="GT290" i="1"/>
  <c r="HF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I35" i="11" s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FO291" i="1"/>
  <c r="FP291" i="1"/>
  <c r="FS291" i="1"/>
  <c r="FU291" i="1"/>
  <c r="FY291" i="1"/>
  <c r="FZ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FV293" i="1"/>
  <c r="GH293" i="1"/>
  <c r="GT293" i="1"/>
  <c r="HF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FV294" i="1"/>
  <c r="GH294" i="1"/>
  <c r="GT294" i="1"/>
  <c r="HF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FV295" i="1"/>
  <c r="GH295" i="1"/>
  <c r="GT295" i="1"/>
  <c r="HF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FV296" i="1"/>
  <c r="GH296" i="1"/>
  <c r="GT296" i="1"/>
  <c r="HF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FV297" i="1"/>
  <c r="GH297" i="1"/>
  <c r="GT297" i="1"/>
  <c r="HF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FV298" i="1"/>
  <c r="GH298" i="1"/>
  <c r="GT298" i="1"/>
  <c r="HF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FV299" i="1"/>
  <c r="GH299" i="1"/>
  <c r="GT299" i="1"/>
  <c r="HF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FO300" i="1"/>
  <c r="FP300" i="1"/>
  <c r="FS300" i="1"/>
  <c r="FU300" i="1"/>
  <c r="FY300" i="1"/>
  <c r="FZ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FV302" i="1"/>
  <c r="GH302" i="1"/>
  <c r="GT302" i="1"/>
  <c r="HF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FV303" i="1"/>
  <c r="GH303" i="1"/>
  <c r="GT303" i="1"/>
  <c r="HF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FV304" i="1"/>
  <c r="GH304" i="1"/>
  <c r="GT304" i="1"/>
  <c r="HF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FV305" i="1"/>
  <c r="GH305" i="1"/>
  <c r="GT305" i="1"/>
  <c r="HF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FV306" i="1"/>
  <c r="GH306" i="1"/>
  <c r="GT306" i="1"/>
  <c r="HF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FV307" i="1"/>
  <c r="GH307" i="1"/>
  <c r="GT307" i="1"/>
  <c r="HF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FV308" i="1"/>
  <c r="GH308" i="1"/>
  <c r="GT308" i="1"/>
  <c r="HF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FO309" i="1"/>
  <c r="FP309" i="1"/>
  <c r="FS309" i="1"/>
  <c r="FU309" i="1"/>
  <c r="FY309" i="1"/>
  <c r="FZ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FV311" i="1"/>
  <c r="GH311" i="1"/>
  <c r="GT311" i="1"/>
  <c r="HF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FV312" i="1"/>
  <c r="GH312" i="1"/>
  <c r="GT312" i="1"/>
  <c r="HF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FV313" i="1"/>
  <c r="GH313" i="1"/>
  <c r="GT313" i="1"/>
  <c r="HF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FV314" i="1"/>
  <c r="GH314" i="1"/>
  <c r="GT314" i="1"/>
  <c r="HF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FV315" i="1"/>
  <c r="GH315" i="1"/>
  <c r="GT315" i="1"/>
  <c r="HF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FV316" i="1"/>
  <c r="GH316" i="1"/>
  <c r="GT316" i="1"/>
  <c r="HF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FV317" i="1"/>
  <c r="GH317" i="1"/>
  <c r="GT317" i="1"/>
  <c r="HF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FO318" i="1"/>
  <c r="FP318" i="1"/>
  <c r="FS318" i="1"/>
  <c r="FU318" i="1"/>
  <c r="FY318" i="1"/>
  <c r="FZ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FV320" i="1"/>
  <c r="GH320" i="1"/>
  <c r="GT320" i="1"/>
  <c r="HF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FV321" i="1"/>
  <c r="GH321" i="1"/>
  <c r="GT321" i="1"/>
  <c r="HF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FV322" i="1"/>
  <c r="GH322" i="1"/>
  <c r="GT322" i="1"/>
  <c r="HF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FV323" i="1"/>
  <c r="GH323" i="1"/>
  <c r="GT323" i="1"/>
  <c r="HF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FV324" i="1"/>
  <c r="GH324" i="1"/>
  <c r="GT324" i="1"/>
  <c r="HF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FV325" i="1"/>
  <c r="GH325" i="1"/>
  <c r="GT325" i="1"/>
  <c r="HF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FV326" i="1"/>
  <c r="GH326" i="1"/>
  <c r="GT326" i="1"/>
  <c r="HF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N327" i="1" s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J327" i="1" s="1"/>
  <c r="FM327" i="1"/>
  <c r="FN327" i="1"/>
  <c r="FO327" i="1"/>
  <c r="FP327" i="1"/>
  <c r="FS327" i="1"/>
  <c r="FU327" i="1"/>
  <c r="FY327" i="1"/>
  <c r="FZ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FV329" i="1"/>
  <c r="GH329" i="1"/>
  <c r="GT329" i="1"/>
  <c r="HF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FV330" i="1"/>
  <c r="GH330" i="1"/>
  <c r="GT330" i="1"/>
  <c r="HF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FV331" i="1"/>
  <c r="GH331" i="1"/>
  <c r="GT331" i="1"/>
  <c r="HF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FV332" i="1"/>
  <c r="GH332" i="1"/>
  <c r="GT332" i="1"/>
  <c r="HF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FV333" i="1"/>
  <c r="GH333" i="1"/>
  <c r="GT333" i="1"/>
  <c r="HF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FV334" i="1"/>
  <c r="GH334" i="1"/>
  <c r="GT334" i="1"/>
  <c r="HF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FV335" i="1"/>
  <c r="GH335" i="1"/>
  <c r="GT335" i="1"/>
  <c r="HF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FO336" i="1"/>
  <c r="FP336" i="1"/>
  <c r="FS336" i="1"/>
  <c r="FU336" i="1"/>
  <c r="FY336" i="1"/>
  <c r="FZ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FV338" i="1"/>
  <c r="GH338" i="1"/>
  <c r="GT338" i="1"/>
  <c r="HF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FV339" i="1"/>
  <c r="GH339" i="1"/>
  <c r="GT339" i="1"/>
  <c r="HF339" i="1"/>
  <c r="J340" i="1"/>
  <c r="V340" i="1"/>
  <c r="AH340" i="1"/>
  <c r="AT340" i="1"/>
  <c r="BF340" i="1"/>
  <c r="BR340" i="1"/>
  <c r="CD340" i="1"/>
  <c r="CP340" i="1"/>
  <c r="DB340" i="1"/>
  <c r="DN340" i="1"/>
  <c r="DZ340" i="1"/>
  <c r="EL340" i="1"/>
  <c r="EX340" i="1"/>
  <c r="FJ340" i="1"/>
  <c r="FV340" i="1"/>
  <c r="GH340" i="1"/>
  <c r="GT340" i="1"/>
  <c r="HF340" i="1"/>
  <c r="J341" i="1"/>
  <c r="V341" i="1"/>
  <c r="AH341" i="1"/>
  <c r="AT341" i="1"/>
  <c r="BF341" i="1"/>
  <c r="BR341" i="1"/>
  <c r="CD341" i="1"/>
  <c r="CP341" i="1"/>
  <c r="DB341" i="1"/>
  <c r="DN341" i="1"/>
  <c r="DZ341" i="1"/>
  <c r="EL341" i="1"/>
  <c r="EX341" i="1"/>
  <c r="FJ341" i="1"/>
  <c r="FV341" i="1"/>
  <c r="GH341" i="1"/>
  <c r="GT341" i="1"/>
  <c r="HF341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FV342" i="1"/>
  <c r="GH342" i="1"/>
  <c r="GT342" i="1"/>
  <c r="HF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FV343" i="1"/>
  <c r="GH343" i="1"/>
  <c r="GT343" i="1"/>
  <c r="HF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FV344" i="1"/>
  <c r="GH344" i="1"/>
  <c r="GT344" i="1"/>
  <c r="HF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FO345" i="1"/>
  <c r="FP345" i="1"/>
  <c r="FS345" i="1"/>
  <c r="FU345" i="1"/>
  <c r="FY345" i="1"/>
  <c r="FZ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FV347" i="1"/>
  <c r="GH347" i="1"/>
  <c r="GT347" i="1"/>
  <c r="HF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FV348" i="1"/>
  <c r="GH348" i="1"/>
  <c r="GT348" i="1"/>
  <c r="HF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FV349" i="1"/>
  <c r="GH349" i="1"/>
  <c r="GT349" i="1"/>
  <c r="HF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FV350" i="1"/>
  <c r="GH350" i="1"/>
  <c r="GT350" i="1"/>
  <c r="HF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FV351" i="1"/>
  <c r="GH351" i="1"/>
  <c r="GT351" i="1"/>
  <c r="HF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FV352" i="1"/>
  <c r="GH352" i="1"/>
  <c r="GT352" i="1"/>
  <c r="HF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FV353" i="1"/>
  <c r="GH353" i="1"/>
  <c r="GT353" i="1"/>
  <c r="HF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FO354" i="1"/>
  <c r="FP354" i="1"/>
  <c r="FS354" i="1"/>
  <c r="FU354" i="1"/>
  <c r="FY354" i="1"/>
  <c r="FZ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N336" i="1"/>
  <c r="HN354" i="1"/>
  <c r="HK23" i="1"/>
  <c r="HL23" i="1"/>
  <c r="HO23" i="1"/>
  <c r="HU23" i="1" s="1"/>
  <c r="HQ23" i="1"/>
  <c r="HK24" i="1"/>
  <c r="HL24" i="1"/>
  <c r="HO24" i="1"/>
  <c r="HU24" i="1" s="1"/>
  <c r="HQ24" i="1"/>
  <c r="HK25" i="1"/>
  <c r="HL25" i="1"/>
  <c r="HO25" i="1"/>
  <c r="HQ25" i="1"/>
  <c r="HK26" i="1"/>
  <c r="HL26" i="1"/>
  <c r="HO26" i="1"/>
  <c r="HU26" i="1" s="1"/>
  <c r="HQ26" i="1"/>
  <c r="HK27" i="1"/>
  <c r="HL27" i="1"/>
  <c r="HO27" i="1"/>
  <c r="HU27" i="1" s="1"/>
  <c r="HQ27" i="1"/>
  <c r="HK28" i="1"/>
  <c r="HL28" i="1"/>
  <c r="HO28" i="1"/>
  <c r="HU28" i="1" s="1"/>
  <c r="HQ28" i="1"/>
  <c r="HK29" i="1"/>
  <c r="HL29" i="1"/>
  <c r="HO29" i="1"/>
  <c r="HU29" i="1" s="1"/>
  <c r="HQ29" i="1"/>
  <c r="HM30" i="1"/>
  <c r="HN30" i="1"/>
  <c r="HS30" i="1"/>
  <c r="HT30" i="1"/>
  <c r="HV30" i="1"/>
  <c r="HW30" i="1"/>
  <c r="HK32" i="1"/>
  <c r="HL32" i="1"/>
  <c r="HO32" i="1"/>
  <c r="HU32" i="1" s="1"/>
  <c r="HQ32" i="1"/>
  <c r="HK33" i="1"/>
  <c r="HL33" i="1"/>
  <c r="HO33" i="1"/>
  <c r="HU33" i="1" s="1"/>
  <c r="HQ33" i="1"/>
  <c r="HK34" i="1"/>
  <c r="HL34" i="1"/>
  <c r="HO34" i="1"/>
  <c r="HU34" i="1" s="1"/>
  <c r="HQ34" i="1"/>
  <c r="HK35" i="1"/>
  <c r="HL35" i="1"/>
  <c r="HO35" i="1"/>
  <c r="HU35" i="1" s="1"/>
  <c r="HQ35" i="1"/>
  <c r="HK36" i="1"/>
  <c r="HL36" i="1"/>
  <c r="HO36" i="1"/>
  <c r="HU36" i="1" s="1"/>
  <c r="HQ36" i="1"/>
  <c r="HK37" i="1"/>
  <c r="HL37" i="1"/>
  <c r="HO37" i="1"/>
  <c r="HU37" i="1" s="1"/>
  <c r="HQ37" i="1"/>
  <c r="HK38" i="1"/>
  <c r="HL38" i="1"/>
  <c r="HO38" i="1"/>
  <c r="HU38" i="1" s="1"/>
  <c r="HQ38" i="1"/>
  <c r="HM39" i="1"/>
  <c r="HN39" i="1"/>
  <c r="HS39" i="1"/>
  <c r="HT39" i="1"/>
  <c r="HV39" i="1"/>
  <c r="HW39" i="1"/>
  <c r="HK41" i="1"/>
  <c r="HL41" i="1"/>
  <c r="HO41" i="1"/>
  <c r="HU41" i="1" s="1"/>
  <c r="HQ41" i="1"/>
  <c r="HK42" i="1"/>
  <c r="HL42" i="1"/>
  <c r="HO42" i="1"/>
  <c r="HU42" i="1" s="1"/>
  <c r="HQ42" i="1"/>
  <c r="HK43" i="1"/>
  <c r="HL43" i="1"/>
  <c r="HO43" i="1"/>
  <c r="HU43" i="1" s="1"/>
  <c r="HQ43" i="1"/>
  <c r="HK44" i="1"/>
  <c r="HL44" i="1"/>
  <c r="HO44" i="1"/>
  <c r="HU44" i="1" s="1"/>
  <c r="HQ44" i="1"/>
  <c r="HK45" i="1"/>
  <c r="HL45" i="1"/>
  <c r="HO45" i="1"/>
  <c r="HU45" i="1" s="1"/>
  <c r="HQ45" i="1"/>
  <c r="HK46" i="1"/>
  <c r="HL46" i="1"/>
  <c r="HO46" i="1"/>
  <c r="HU46" i="1" s="1"/>
  <c r="HQ46" i="1"/>
  <c r="HK47" i="1"/>
  <c r="HL47" i="1"/>
  <c r="HO47" i="1"/>
  <c r="HQ47" i="1"/>
  <c r="HM48" i="1"/>
  <c r="HN48" i="1"/>
  <c r="HS48" i="1"/>
  <c r="HT48" i="1"/>
  <c r="HV48" i="1"/>
  <c r="HW48" i="1"/>
  <c r="HK50" i="1"/>
  <c r="HL50" i="1"/>
  <c r="HO50" i="1"/>
  <c r="HU50" i="1" s="1"/>
  <c r="HQ50" i="1"/>
  <c r="HK51" i="1"/>
  <c r="HL51" i="1"/>
  <c r="HO51" i="1"/>
  <c r="HU51" i="1" s="1"/>
  <c r="HQ51" i="1"/>
  <c r="HR51" i="1" s="1"/>
  <c r="HK52" i="1"/>
  <c r="HL52" i="1"/>
  <c r="HO52" i="1"/>
  <c r="HU52" i="1" s="1"/>
  <c r="HQ52" i="1"/>
  <c r="HK53" i="1"/>
  <c r="HL53" i="1"/>
  <c r="HO53" i="1"/>
  <c r="HU53" i="1" s="1"/>
  <c r="HQ53" i="1"/>
  <c r="HR53" i="1" s="1"/>
  <c r="HK54" i="1"/>
  <c r="HL54" i="1"/>
  <c r="HO54" i="1"/>
  <c r="HU54" i="1" s="1"/>
  <c r="HQ54" i="1"/>
  <c r="HK55" i="1"/>
  <c r="HL55" i="1"/>
  <c r="HO55" i="1"/>
  <c r="HU55" i="1" s="1"/>
  <c r="HQ55" i="1"/>
  <c r="HK56" i="1"/>
  <c r="HL56" i="1"/>
  <c r="HO56" i="1"/>
  <c r="HU56" i="1" s="1"/>
  <c r="HQ56" i="1"/>
  <c r="HM57" i="1"/>
  <c r="HN57" i="1"/>
  <c r="HS57" i="1"/>
  <c r="HT57" i="1"/>
  <c r="HV57" i="1"/>
  <c r="HW57" i="1"/>
  <c r="HK59" i="1"/>
  <c r="HL59" i="1"/>
  <c r="HO59" i="1"/>
  <c r="HU59" i="1" s="1"/>
  <c r="HQ59" i="1"/>
  <c r="HK60" i="1"/>
  <c r="HL60" i="1"/>
  <c r="HO60" i="1"/>
  <c r="HU60" i="1" s="1"/>
  <c r="HQ60" i="1"/>
  <c r="HK61" i="1"/>
  <c r="HL61" i="1"/>
  <c r="HO61" i="1"/>
  <c r="HQ61" i="1"/>
  <c r="HK62" i="1"/>
  <c r="HL62" i="1"/>
  <c r="HO62" i="1"/>
  <c r="HU62" i="1" s="1"/>
  <c r="HQ62" i="1"/>
  <c r="HK63" i="1"/>
  <c r="HL63" i="1"/>
  <c r="HO63" i="1"/>
  <c r="HU63" i="1" s="1"/>
  <c r="HQ63" i="1"/>
  <c r="HK64" i="1"/>
  <c r="HL64" i="1"/>
  <c r="HO64" i="1"/>
  <c r="HU64" i="1" s="1"/>
  <c r="HQ64" i="1"/>
  <c r="HK65" i="1"/>
  <c r="HL65" i="1"/>
  <c r="HO65" i="1"/>
  <c r="HU65" i="1" s="1"/>
  <c r="HQ65" i="1"/>
  <c r="HM66" i="1"/>
  <c r="HN66" i="1"/>
  <c r="HS66" i="1"/>
  <c r="HT66" i="1"/>
  <c r="HV66" i="1"/>
  <c r="HW66" i="1"/>
  <c r="HK68" i="1"/>
  <c r="HL68" i="1"/>
  <c r="HO68" i="1"/>
  <c r="HU68" i="1" s="1"/>
  <c r="HQ68" i="1"/>
  <c r="HR68" i="1" s="1"/>
  <c r="HK69" i="1"/>
  <c r="HL69" i="1"/>
  <c r="HO69" i="1"/>
  <c r="HU69" i="1" s="1"/>
  <c r="HQ69" i="1"/>
  <c r="HK70" i="1"/>
  <c r="HL70" i="1"/>
  <c r="HO70" i="1"/>
  <c r="HU70" i="1" s="1"/>
  <c r="HQ70" i="1"/>
  <c r="HK71" i="1"/>
  <c r="HL71" i="1"/>
  <c r="HO71" i="1"/>
  <c r="HU71" i="1" s="1"/>
  <c r="HQ71" i="1"/>
  <c r="HK72" i="1"/>
  <c r="HL72" i="1"/>
  <c r="HO72" i="1"/>
  <c r="HU72" i="1" s="1"/>
  <c r="HQ72" i="1"/>
  <c r="HK73" i="1"/>
  <c r="HL73" i="1"/>
  <c r="HO73" i="1"/>
  <c r="HQ73" i="1"/>
  <c r="HK74" i="1"/>
  <c r="HL74" i="1"/>
  <c r="HU74" i="1"/>
  <c r="HQ74" i="1"/>
  <c r="HM75" i="1"/>
  <c r="HN75" i="1"/>
  <c r="HS75" i="1"/>
  <c r="HT75" i="1"/>
  <c r="HV75" i="1"/>
  <c r="HW75" i="1"/>
  <c r="HM93" i="1"/>
  <c r="HN93" i="1"/>
  <c r="HS93" i="1"/>
  <c r="HT93" i="1"/>
  <c r="HV93" i="1"/>
  <c r="HW93" i="1"/>
  <c r="HM102" i="1"/>
  <c r="HN102" i="1"/>
  <c r="HS102" i="1"/>
  <c r="HT102" i="1"/>
  <c r="HV102" i="1"/>
  <c r="HW102" i="1"/>
  <c r="HK104" i="1"/>
  <c r="HL104" i="1"/>
  <c r="HO104" i="1"/>
  <c r="HU104" i="1" s="1"/>
  <c r="HQ104" i="1"/>
  <c r="HK105" i="1"/>
  <c r="HL105" i="1"/>
  <c r="HO105" i="1"/>
  <c r="HU105" i="1" s="1"/>
  <c r="HQ105" i="1"/>
  <c r="HK106" i="1"/>
  <c r="HL106" i="1"/>
  <c r="HO106" i="1"/>
  <c r="HU106" i="1" s="1"/>
  <c r="HQ106" i="1"/>
  <c r="HK107" i="1"/>
  <c r="HL107" i="1"/>
  <c r="HO107" i="1"/>
  <c r="HU107" i="1" s="1"/>
  <c r="HQ107" i="1"/>
  <c r="HK108" i="1"/>
  <c r="HL108" i="1"/>
  <c r="HO108" i="1"/>
  <c r="HU108" i="1" s="1"/>
  <c r="HQ108" i="1"/>
  <c r="HK109" i="1"/>
  <c r="HL109" i="1"/>
  <c r="HO109" i="1"/>
  <c r="HU109" i="1" s="1"/>
  <c r="HQ109" i="1"/>
  <c r="HK110" i="1"/>
  <c r="HL110" i="1"/>
  <c r="HO110" i="1"/>
  <c r="HU110" i="1" s="1"/>
  <c r="HQ110" i="1"/>
  <c r="HM111" i="1"/>
  <c r="HN111" i="1"/>
  <c r="HS111" i="1"/>
  <c r="HT111" i="1"/>
  <c r="HV111" i="1"/>
  <c r="HW111" i="1"/>
  <c r="HK113" i="1"/>
  <c r="HL113" i="1"/>
  <c r="HO113" i="1"/>
  <c r="HU113" i="1" s="1"/>
  <c r="HQ113" i="1"/>
  <c r="HK114" i="1"/>
  <c r="HL114" i="1"/>
  <c r="HO114" i="1"/>
  <c r="HQ114" i="1"/>
  <c r="HK115" i="1"/>
  <c r="HL115" i="1"/>
  <c r="HO115" i="1"/>
  <c r="HU115" i="1" s="1"/>
  <c r="HQ115" i="1"/>
  <c r="HK116" i="1"/>
  <c r="HL116" i="1"/>
  <c r="HO116" i="1"/>
  <c r="HU116" i="1" s="1"/>
  <c r="HQ116" i="1"/>
  <c r="HK117" i="1"/>
  <c r="HL117" i="1"/>
  <c r="HO117" i="1"/>
  <c r="HU117" i="1" s="1"/>
  <c r="HQ117" i="1"/>
  <c r="HK118" i="1"/>
  <c r="HL118" i="1"/>
  <c r="HO118" i="1"/>
  <c r="HU118" i="1" s="1"/>
  <c r="HQ118" i="1"/>
  <c r="HK119" i="1"/>
  <c r="HL119" i="1"/>
  <c r="HO119" i="1"/>
  <c r="HQ119" i="1"/>
  <c r="HN120" i="1"/>
  <c r="HS120" i="1"/>
  <c r="HT120" i="1"/>
  <c r="HV120" i="1"/>
  <c r="HW120" i="1"/>
  <c r="HK122" i="1"/>
  <c r="HL122" i="1"/>
  <c r="HO122" i="1"/>
  <c r="HU122" i="1" s="1"/>
  <c r="HQ122" i="1"/>
  <c r="HK123" i="1"/>
  <c r="HL123" i="1"/>
  <c r="HO123" i="1"/>
  <c r="HQ123" i="1"/>
  <c r="HK124" i="1"/>
  <c r="HL124" i="1"/>
  <c r="HO124" i="1"/>
  <c r="HU124" i="1" s="1"/>
  <c r="HQ124" i="1"/>
  <c r="HK125" i="1"/>
  <c r="HL125" i="1"/>
  <c r="HO125" i="1"/>
  <c r="HQ125" i="1"/>
  <c r="HK126" i="1"/>
  <c r="HL126" i="1"/>
  <c r="HO126" i="1"/>
  <c r="HU126" i="1" s="1"/>
  <c r="HQ126" i="1"/>
  <c r="HK127" i="1"/>
  <c r="HL127" i="1"/>
  <c r="HO127" i="1"/>
  <c r="HQ127" i="1"/>
  <c r="HK128" i="1"/>
  <c r="HL128" i="1"/>
  <c r="HO128" i="1"/>
  <c r="HU128" i="1" s="1"/>
  <c r="HQ128" i="1"/>
  <c r="HN129" i="1"/>
  <c r="HS129" i="1"/>
  <c r="HT129" i="1"/>
  <c r="HV129" i="1"/>
  <c r="HW129" i="1"/>
  <c r="HK131" i="1"/>
  <c r="HL131" i="1"/>
  <c r="HO131" i="1"/>
  <c r="HQ131" i="1"/>
  <c r="HK132" i="1"/>
  <c r="HL132" i="1"/>
  <c r="HO132" i="1"/>
  <c r="HU132" i="1" s="1"/>
  <c r="HQ132" i="1"/>
  <c r="HK133" i="1"/>
  <c r="HL133" i="1"/>
  <c r="HO133" i="1"/>
  <c r="HQ133" i="1"/>
  <c r="HK134" i="1"/>
  <c r="HL134" i="1"/>
  <c r="HO134" i="1"/>
  <c r="HU134" i="1" s="1"/>
  <c r="HQ134" i="1"/>
  <c r="HK135" i="1"/>
  <c r="HL135" i="1"/>
  <c r="HO135" i="1"/>
  <c r="HQ135" i="1"/>
  <c r="HK136" i="1"/>
  <c r="HL136" i="1"/>
  <c r="HO136" i="1"/>
  <c r="HU136" i="1" s="1"/>
  <c r="HQ136" i="1"/>
  <c r="HK137" i="1"/>
  <c r="HL137" i="1"/>
  <c r="HO137" i="1"/>
  <c r="HU137" i="1" s="1"/>
  <c r="HQ137" i="1"/>
  <c r="HN138" i="1"/>
  <c r="HS138" i="1"/>
  <c r="HT138" i="1"/>
  <c r="HV138" i="1"/>
  <c r="HW138" i="1"/>
  <c r="HK140" i="1"/>
  <c r="HL140" i="1"/>
  <c r="HO140" i="1"/>
  <c r="HQ140" i="1"/>
  <c r="HK141" i="1"/>
  <c r="HL141" i="1"/>
  <c r="HO141" i="1"/>
  <c r="HQ141" i="1"/>
  <c r="HK142" i="1"/>
  <c r="HL142" i="1"/>
  <c r="HO142" i="1"/>
  <c r="HU142" i="1" s="1"/>
  <c r="HQ142" i="1"/>
  <c r="HK143" i="1"/>
  <c r="HL143" i="1"/>
  <c r="HO143" i="1"/>
  <c r="HU143" i="1" s="1"/>
  <c r="HQ143" i="1"/>
  <c r="HK144" i="1"/>
  <c r="HL144" i="1"/>
  <c r="HO144" i="1"/>
  <c r="HU144" i="1" s="1"/>
  <c r="HQ144" i="1"/>
  <c r="HK145" i="1"/>
  <c r="HL145" i="1"/>
  <c r="HO145" i="1"/>
  <c r="HU145" i="1" s="1"/>
  <c r="HQ145" i="1"/>
  <c r="HK146" i="1"/>
  <c r="HL146" i="1"/>
  <c r="HO146" i="1"/>
  <c r="HU146" i="1" s="1"/>
  <c r="HQ146" i="1"/>
  <c r="HN147" i="1"/>
  <c r="HS147" i="1"/>
  <c r="HT147" i="1"/>
  <c r="HV147" i="1"/>
  <c r="HW147" i="1"/>
  <c r="HK149" i="1"/>
  <c r="HL149" i="1"/>
  <c r="HO149" i="1"/>
  <c r="HQ149" i="1"/>
  <c r="HK150" i="1"/>
  <c r="HL150" i="1"/>
  <c r="HO150" i="1"/>
  <c r="HU150" i="1" s="1"/>
  <c r="HQ150" i="1"/>
  <c r="HK151" i="1"/>
  <c r="HL151" i="1"/>
  <c r="HO151" i="1"/>
  <c r="HQ151" i="1"/>
  <c r="HK152" i="1"/>
  <c r="HL152" i="1"/>
  <c r="HO152" i="1"/>
  <c r="HU152" i="1" s="1"/>
  <c r="HQ152" i="1"/>
  <c r="HK153" i="1"/>
  <c r="HL153" i="1"/>
  <c r="HO153" i="1"/>
  <c r="HU153" i="1" s="1"/>
  <c r="HQ153" i="1"/>
  <c r="HK154" i="1"/>
  <c r="HL154" i="1"/>
  <c r="HO154" i="1"/>
  <c r="HU154" i="1" s="1"/>
  <c r="HQ154" i="1"/>
  <c r="HK155" i="1"/>
  <c r="HL155" i="1"/>
  <c r="HO155" i="1"/>
  <c r="HU155" i="1" s="1"/>
  <c r="HQ155" i="1"/>
  <c r="HN156" i="1"/>
  <c r="HS156" i="1"/>
  <c r="HT156" i="1"/>
  <c r="HV156" i="1"/>
  <c r="HW156" i="1"/>
  <c r="HK158" i="1"/>
  <c r="HL158" i="1"/>
  <c r="HO158" i="1"/>
  <c r="HU158" i="1" s="1"/>
  <c r="HQ158" i="1"/>
  <c r="HK159" i="1"/>
  <c r="HL159" i="1"/>
  <c r="HO159" i="1"/>
  <c r="HQ159" i="1"/>
  <c r="HK160" i="1"/>
  <c r="HL160" i="1"/>
  <c r="HO160" i="1"/>
  <c r="HU160" i="1" s="1"/>
  <c r="HQ160" i="1"/>
  <c r="HK161" i="1"/>
  <c r="HL161" i="1"/>
  <c r="HO161" i="1"/>
  <c r="HQ161" i="1"/>
  <c r="HK162" i="1"/>
  <c r="HL162" i="1"/>
  <c r="HO162" i="1"/>
  <c r="HU162" i="1" s="1"/>
  <c r="HQ162" i="1"/>
  <c r="HK163" i="1"/>
  <c r="HL163" i="1"/>
  <c r="HO163" i="1"/>
  <c r="HQ163" i="1"/>
  <c r="HK164" i="1"/>
  <c r="HL164" i="1"/>
  <c r="HO164" i="1"/>
  <c r="HU164" i="1" s="1"/>
  <c r="HQ164" i="1"/>
  <c r="HN165" i="1"/>
  <c r="HS165" i="1"/>
  <c r="HT165" i="1"/>
  <c r="HV165" i="1"/>
  <c r="HW165" i="1"/>
  <c r="HK167" i="1"/>
  <c r="HL167" i="1"/>
  <c r="HO167" i="1"/>
  <c r="HU167" i="1" s="1"/>
  <c r="HQ167" i="1"/>
  <c r="HK168" i="1"/>
  <c r="HL168" i="1"/>
  <c r="HO168" i="1"/>
  <c r="HU168" i="1" s="1"/>
  <c r="HQ168" i="1"/>
  <c r="HK169" i="1"/>
  <c r="HL169" i="1"/>
  <c r="HO169" i="1"/>
  <c r="HU169" i="1" s="1"/>
  <c r="HQ169" i="1"/>
  <c r="HK170" i="1"/>
  <c r="HL170" i="1"/>
  <c r="HO170" i="1"/>
  <c r="HU170" i="1" s="1"/>
  <c r="HQ170" i="1"/>
  <c r="HK171" i="1"/>
  <c r="HL171" i="1"/>
  <c r="HO171" i="1"/>
  <c r="HQ171" i="1"/>
  <c r="HK172" i="1"/>
  <c r="HL172" i="1"/>
  <c r="HO172" i="1"/>
  <c r="HU172" i="1" s="1"/>
  <c r="HQ172" i="1"/>
  <c r="HK173" i="1"/>
  <c r="HL173" i="1"/>
  <c r="HO173" i="1"/>
  <c r="HU173" i="1" s="1"/>
  <c r="HQ173" i="1"/>
  <c r="HM174" i="1"/>
  <c r="HN174" i="1"/>
  <c r="HS174" i="1"/>
  <c r="HT174" i="1"/>
  <c r="HV174" i="1"/>
  <c r="HW174" i="1"/>
  <c r="HK176" i="1"/>
  <c r="HL176" i="1"/>
  <c r="HO176" i="1"/>
  <c r="HU176" i="1" s="1"/>
  <c r="HQ176" i="1"/>
  <c r="HK177" i="1"/>
  <c r="HL177" i="1"/>
  <c r="HO177" i="1"/>
  <c r="HU177" i="1" s="1"/>
  <c r="HQ177" i="1"/>
  <c r="HK178" i="1"/>
  <c r="HL178" i="1"/>
  <c r="HO178" i="1"/>
  <c r="HQ178" i="1"/>
  <c r="HK179" i="1"/>
  <c r="HL179" i="1"/>
  <c r="HO179" i="1"/>
  <c r="HU179" i="1" s="1"/>
  <c r="HQ179" i="1"/>
  <c r="HK180" i="1"/>
  <c r="HL180" i="1"/>
  <c r="HO180" i="1"/>
  <c r="HU180" i="1" s="1"/>
  <c r="HQ180" i="1"/>
  <c r="HK181" i="1"/>
  <c r="HL181" i="1"/>
  <c r="HO181" i="1"/>
  <c r="HU181" i="1" s="1"/>
  <c r="HQ181" i="1"/>
  <c r="HK182" i="1"/>
  <c r="HL182" i="1"/>
  <c r="HO182" i="1"/>
  <c r="HU182" i="1" s="1"/>
  <c r="HQ182" i="1"/>
  <c r="HM183" i="1"/>
  <c r="HN183" i="1"/>
  <c r="HS183" i="1"/>
  <c r="HT183" i="1"/>
  <c r="HV183" i="1"/>
  <c r="HW183" i="1"/>
  <c r="HK185" i="1"/>
  <c r="HL185" i="1"/>
  <c r="HO185" i="1"/>
  <c r="HU185" i="1" s="1"/>
  <c r="HQ185" i="1"/>
  <c r="HK186" i="1"/>
  <c r="HL186" i="1"/>
  <c r="HO186" i="1"/>
  <c r="HU186" i="1" s="1"/>
  <c r="HQ186" i="1"/>
  <c r="HK187" i="1"/>
  <c r="HL187" i="1"/>
  <c r="HO187" i="1"/>
  <c r="HU187" i="1" s="1"/>
  <c r="HQ187" i="1"/>
  <c r="HK188" i="1"/>
  <c r="HL188" i="1"/>
  <c r="HO188" i="1"/>
  <c r="HQ188" i="1"/>
  <c r="HK189" i="1"/>
  <c r="HL189" i="1"/>
  <c r="HO189" i="1"/>
  <c r="HU189" i="1" s="1"/>
  <c r="HQ189" i="1"/>
  <c r="HK190" i="1"/>
  <c r="HL190" i="1"/>
  <c r="HO190" i="1"/>
  <c r="HU190" i="1" s="1"/>
  <c r="HQ190" i="1"/>
  <c r="HK191" i="1"/>
  <c r="HL191" i="1"/>
  <c r="HO191" i="1"/>
  <c r="HU191" i="1" s="1"/>
  <c r="HQ191" i="1"/>
  <c r="HM192" i="1"/>
  <c r="HN192" i="1"/>
  <c r="HS192" i="1"/>
  <c r="HT192" i="1"/>
  <c r="HV192" i="1"/>
  <c r="HW192" i="1"/>
  <c r="HK194" i="1"/>
  <c r="HL194" i="1"/>
  <c r="HO194" i="1"/>
  <c r="HQ194" i="1"/>
  <c r="HK195" i="1"/>
  <c r="HL195" i="1"/>
  <c r="HO195" i="1"/>
  <c r="HU195" i="1" s="1"/>
  <c r="HQ195" i="1"/>
  <c r="HK196" i="1"/>
  <c r="HL196" i="1"/>
  <c r="HO196" i="1"/>
  <c r="HQ196" i="1"/>
  <c r="HK197" i="1"/>
  <c r="HL197" i="1"/>
  <c r="HO197" i="1"/>
  <c r="HQ197" i="1"/>
  <c r="HK198" i="1"/>
  <c r="HL198" i="1"/>
  <c r="HO198" i="1"/>
  <c r="HU198" i="1" s="1"/>
  <c r="HQ198" i="1"/>
  <c r="HK199" i="1"/>
  <c r="HO199" i="1"/>
  <c r="HU199" i="1" s="1"/>
  <c r="HQ199" i="1"/>
  <c r="HK200" i="1"/>
  <c r="HL200" i="1"/>
  <c r="HO200" i="1"/>
  <c r="HU200" i="1" s="1"/>
  <c r="HQ200" i="1"/>
  <c r="HM201" i="1"/>
  <c r="HN201" i="1"/>
  <c r="HS201" i="1"/>
  <c r="HT201" i="1"/>
  <c r="HV201" i="1"/>
  <c r="HW201" i="1"/>
  <c r="HK203" i="1"/>
  <c r="HL203" i="1"/>
  <c r="HO203" i="1"/>
  <c r="HU203" i="1" s="1"/>
  <c r="HQ203" i="1"/>
  <c r="HK204" i="1"/>
  <c r="HL204" i="1"/>
  <c r="HO204" i="1"/>
  <c r="HQ204" i="1"/>
  <c r="HK205" i="1"/>
  <c r="HL205" i="1"/>
  <c r="HO205" i="1"/>
  <c r="HQ205" i="1"/>
  <c r="HK206" i="1"/>
  <c r="HL206" i="1"/>
  <c r="HO206" i="1"/>
  <c r="HU206" i="1" s="1"/>
  <c r="HQ206" i="1"/>
  <c r="HK207" i="1"/>
  <c r="HL207" i="1"/>
  <c r="HO207" i="1"/>
  <c r="HU207" i="1" s="1"/>
  <c r="HQ207" i="1"/>
  <c r="HK208" i="1"/>
  <c r="HL208" i="1"/>
  <c r="HO208" i="1"/>
  <c r="HU208" i="1" s="1"/>
  <c r="HQ208" i="1"/>
  <c r="HK209" i="1"/>
  <c r="HL209" i="1"/>
  <c r="HO209" i="1"/>
  <c r="HU209" i="1" s="1"/>
  <c r="HQ209" i="1"/>
  <c r="HN210" i="1"/>
  <c r="HS210" i="1"/>
  <c r="HT210" i="1"/>
  <c r="HV210" i="1"/>
  <c r="HW210" i="1"/>
  <c r="HK212" i="1"/>
  <c r="HL212" i="1"/>
  <c r="HO212" i="1"/>
  <c r="HU212" i="1" s="1"/>
  <c r="HQ212" i="1"/>
  <c r="HK213" i="1"/>
  <c r="HL213" i="1"/>
  <c r="HO213" i="1"/>
  <c r="HU213" i="1" s="1"/>
  <c r="HQ213" i="1"/>
  <c r="HK214" i="1"/>
  <c r="HL214" i="1"/>
  <c r="HO214" i="1"/>
  <c r="HQ214" i="1"/>
  <c r="HK215" i="1"/>
  <c r="HL215" i="1"/>
  <c r="HO215" i="1"/>
  <c r="HU215" i="1" s="1"/>
  <c r="HQ215" i="1"/>
  <c r="HK216" i="1"/>
  <c r="HL216" i="1"/>
  <c r="HO216" i="1"/>
  <c r="HU216" i="1" s="1"/>
  <c r="HQ216" i="1"/>
  <c r="HK217" i="1"/>
  <c r="HL217" i="1"/>
  <c r="HO217" i="1"/>
  <c r="HU217" i="1" s="1"/>
  <c r="HQ217" i="1"/>
  <c r="HK218" i="1"/>
  <c r="HL218" i="1"/>
  <c r="HO218" i="1"/>
  <c r="HQ218" i="1"/>
  <c r="HN219" i="1"/>
  <c r="HS219" i="1"/>
  <c r="HT219" i="1"/>
  <c r="HV219" i="1"/>
  <c r="HW219" i="1"/>
  <c r="HK221" i="1"/>
  <c r="HL221" i="1"/>
  <c r="HO221" i="1"/>
  <c r="HU221" i="1" s="1"/>
  <c r="HQ221" i="1"/>
  <c r="HK222" i="1"/>
  <c r="HL222" i="1"/>
  <c r="HO222" i="1"/>
  <c r="HQ222" i="1"/>
  <c r="HK223" i="1"/>
  <c r="HL223" i="1"/>
  <c r="HO223" i="1"/>
  <c r="HU223" i="1" s="1"/>
  <c r="HQ223" i="1"/>
  <c r="HK224" i="1"/>
  <c r="HL224" i="1"/>
  <c r="HO224" i="1"/>
  <c r="HU224" i="1" s="1"/>
  <c r="HQ224" i="1"/>
  <c r="HK225" i="1"/>
  <c r="HL225" i="1"/>
  <c r="HO225" i="1"/>
  <c r="HU225" i="1" s="1"/>
  <c r="HQ225" i="1"/>
  <c r="HK226" i="1"/>
  <c r="HL226" i="1"/>
  <c r="HO226" i="1"/>
  <c r="HU226" i="1" s="1"/>
  <c r="HQ226" i="1"/>
  <c r="HK227" i="1"/>
  <c r="HL227" i="1"/>
  <c r="HO227" i="1"/>
  <c r="HQ227" i="1"/>
  <c r="HN228" i="1"/>
  <c r="HS228" i="1"/>
  <c r="HT228" i="1"/>
  <c r="HV228" i="1"/>
  <c r="HW228" i="1"/>
  <c r="HK230" i="1"/>
  <c r="HL230" i="1"/>
  <c r="HO230" i="1"/>
  <c r="HU230" i="1" s="1"/>
  <c r="HQ230" i="1"/>
  <c r="HK231" i="1"/>
  <c r="HL231" i="1"/>
  <c r="HO231" i="1"/>
  <c r="HU231" i="1" s="1"/>
  <c r="HQ231" i="1"/>
  <c r="HK232" i="1"/>
  <c r="HL232" i="1"/>
  <c r="HO232" i="1"/>
  <c r="HU232" i="1" s="1"/>
  <c r="HQ232" i="1"/>
  <c r="HK233" i="1"/>
  <c r="HL233" i="1"/>
  <c r="HO233" i="1"/>
  <c r="HU233" i="1" s="1"/>
  <c r="HQ233" i="1"/>
  <c r="HK234" i="1"/>
  <c r="HL234" i="1"/>
  <c r="HO234" i="1"/>
  <c r="HU234" i="1" s="1"/>
  <c r="HQ234" i="1"/>
  <c r="HK235" i="1"/>
  <c r="HL235" i="1"/>
  <c r="HO235" i="1"/>
  <c r="HU235" i="1" s="1"/>
  <c r="HQ235" i="1"/>
  <c r="HK236" i="1"/>
  <c r="HL236" i="1"/>
  <c r="HO236" i="1"/>
  <c r="HU236" i="1" s="1"/>
  <c r="HQ236" i="1"/>
  <c r="HN237" i="1"/>
  <c r="HS237" i="1"/>
  <c r="HT237" i="1"/>
  <c r="HV237" i="1"/>
  <c r="HW237" i="1"/>
  <c r="HK239" i="1"/>
  <c r="HL239" i="1"/>
  <c r="HO239" i="1"/>
  <c r="HQ239" i="1"/>
  <c r="HK240" i="1"/>
  <c r="HL240" i="1"/>
  <c r="HO240" i="1"/>
  <c r="HU240" i="1" s="1"/>
  <c r="HQ240" i="1"/>
  <c r="HK241" i="1"/>
  <c r="HL241" i="1"/>
  <c r="HO241" i="1"/>
  <c r="HU241" i="1" s="1"/>
  <c r="HQ241" i="1"/>
  <c r="HK242" i="1"/>
  <c r="HL242" i="1"/>
  <c r="HO242" i="1"/>
  <c r="HU242" i="1" s="1"/>
  <c r="HQ242" i="1"/>
  <c r="HK243" i="1"/>
  <c r="HL243" i="1"/>
  <c r="HO243" i="1"/>
  <c r="HU243" i="1" s="1"/>
  <c r="HQ243" i="1"/>
  <c r="HK244" i="1"/>
  <c r="HL244" i="1"/>
  <c r="HO244" i="1"/>
  <c r="HU244" i="1" s="1"/>
  <c r="HQ244" i="1"/>
  <c r="HK245" i="1"/>
  <c r="HL245" i="1"/>
  <c r="HO245" i="1"/>
  <c r="HU245" i="1" s="1"/>
  <c r="HQ245" i="1"/>
  <c r="HN246" i="1"/>
  <c r="HS246" i="1"/>
  <c r="HT246" i="1"/>
  <c r="HV246" i="1"/>
  <c r="HW246" i="1"/>
  <c r="HK248" i="1"/>
  <c r="HL248" i="1"/>
  <c r="HO248" i="1"/>
  <c r="HQ248" i="1"/>
  <c r="HK249" i="1"/>
  <c r="HL249" i="1"/>
  <c r="HO249" i="1"/>
  <c r="HU249" i="1" s="1"/>
  <c r="HQ249" i="1"/>
  <c r="HK250" i="1"/>
  <c r="HL250" i="1"/>
  <c r="HO250" i="1"/>
  <c r="HQ250" i="1"/>
  <c r="HK251" i="1"/>
  <c r="HL251" i="1"/>
  <c r="HO251" i="1"/>
  <c r="HQ251" i="1"/>
  <c r="HK252" i="1"/>
  <c r="HL252" i="1"/>
  <c r="HO252" i="1"/>
  <c r="HU252" i="1" s="1"/>
  <c r="HQ252" i="1"/>
  <c r="HK253" i="1"/>
  <c r="HL253" i="1"/>
  <c r="HO253" i="1"/>
  <c r="HU253" i="1" s="1"/>
  <c r="HQ253" i="1"/>
  <c r="HK254" i="1"/>
  <c r="HL254" i="1"/>
  <c r="HO254" i="1"/>
  <c r="HU254" i="1" s="1"/>
  <c r="HQ254" i="1"/>
  <c r="HN255" i="1"/>
  <c r="HS255" i="1"/>
  <c r="HT255" i="1"/>
  <c r="HV255" i="1"/>
  <c r="HW255" i="1"/>
  <c r="HK257" i="1"/>
  <c r="HL257" i="1"/>
  <c r="HO257" i="1"/>
  <c r="HQ257" i="1"/>
  <c r="HK258" i="1"/>
  <c r="HL258" i="1"/>
  <c r="HO258" i="1"/>
  <c r="HQ258" i="1"/>
  <c r="HK259" i="1"/>
  <c r="HL259" i="1"/>
  <c r="HO259" i="1"/>
  <c r="HU259" i="1" s="1"/>
  <c r="HQ259" i="1"/>
  <c r="HK260" i="1"/>
  <c r="HL260" i="1"/>
  <c r="HO260" i="1"/>
  <c r="HU260" i="1" s="1"/>
  <c r="HQ260" i="1"/>
  <c r="HK261" i="1"/>
  <c r="HL261" i="1"/>
  <c r="HO261" i="1"/>
  <c r="HU261" i="1" s="1"/>
  <c r="HQ261" i="1"/>
  <c r="HK262" i="1"/>
  <c r="HL262" i="1"/>
  <c r="HO262" i="1"/>
  <c r="HU262" i="1" s="1"/>
  <c r="HQ262" i="1"/>
  <c r="HK263" i="1"/>
  <c r="HL263" i="1"/>
  <c r="HO263" i="1"/>
  <c r="HU263" i="1" s="1"/>
  <c r="HQ263" i="1"/>
  <c r="HM264" i="1"/>
  <c r="HN264" i="1"/>
  <c r="HS264" i="1"/>
  <c r="HT264" i="1"/>
  <c r="HV264" i="1"/>
  <c r="HW264" i="1"/>
  <c r="HK266" i="1"/>
  <c r="HL266" i="1"/>
  <c r="HO266" i="1"/>
  <c r="HQ266" i="1"/>
  <c r="HK267" i="1"/>
  <c r="HL267" i="1"/>
  <c r="HO267" i="1"/>
  <c r="HU267" i="1" s="1"/>
  <c r="HQ267" i="1"/>
  <c r="HK268" i="1"/>
  <c r="HL268" i="1"/>
  <c r="HO268" i="1"/>
  <c r="HU268" i="1" s="1"/>
  <c r="HQ268" i="1"/>
  <c r="HK269" i="1"/>
  <c r="HL269" i="1"/>
  <c r="HO269" i="1"/>
  <c r="HU269" i="1" s="1"/>
  <c r="HQ269" i="1"/>
  <c r="HK270" i="1"/>
  <c r="HL270" i="1"/>
  <c r="HO270" i="1"/>
  <c r="HQ270" i="1"/>
  <c r="HK271" i="1"/>
  <c r="HL271" i="1"/>
  <c r="HO271" i="1"/>
  <c r="HU271" i="1" s="1"/>
  <c r="HQ271" i="1"/>
  <c r="HK272" i="1"/>
  <c r="HL272" i="1"/>
  <c r="HO272" i="1"/>
  <c r="HQ272" i="1"/>
  <c r="HM273" i="1"/>
  <c r="HN273" i="1"/>
  <c r="HS273" i="1"/>
  <c r="HT273" i="1"/>
  <c r="HV273" i="1"/>
  <c r="HW273" i="1"/>
  <c r="HK275" i="1"/>
  <c r="HL275" i="1"/>
  <c r="HO275" i="1"/>
  <c r="HU275" i="1" s="1"/>
  <c r="HQ275" i="1"/>
  <c r="HK276" i="1"/>
  <c r="HL276" i="1"/>
  <c r="HO276" i="1"/>
  <c r="HU276" i="1" s="1"/>
  <c r="HQ276" i="1"/>
  <c r="HK277" i="1"/>
  <c r="HL277" i="1"/>
  <c r="HO277" i="1"/>
  <c r="HU277" i="1" s="1"/>
  <c r="HQ277" i="1"/>
  <c r="HK278" i="1"/>
  <c r="HL278" i="1"/>
  <c r="HO278" i="1"/>
  <c r="HU278" i="1" s="1"/>
  <c r="HQ278" i="1"/>
  <c r="HK279" i="1"/>
  <c r="HL279" i="1"/>
  <c r="HO279" i="1"/>
  <c r="HU279" i="1" s="1"/>
  <c r="HQ279" i="1"/>
  <c r="HK280" i="1"/>
  <c r="HL280" i="1"/>
  <c r="HO280" i="1"/>
  <c r="HU280" i="1" s="1"/>
  <c r="HQ280" i="1"/>
  <c r="HK281" i="1"/>
  <c r="HL281" i="1"/>
  <c r="HO281" i="1"/>
  <c r="HU281" i="1" s="1"/>
  <c r="HQ281" i="1"/>
  <c r="HM282" i="1"/>
  <c r="HN282" i="1"/>
  <c r="HS282" i="1"/>
  <c r="HT282" i="1"/>
  <c r="HV282" i="1"/>
  <c r="HW282" i="1"/>
  <c r="HK284" i="1"/>
  <c r="HL284" i="1"/>
  <c r="HO284" i="1"/>
  <c r="HQ284" i="1"/>
  <c r="HK285" i="1"/>
  <c r="HL285" i="1"/>
  <c r="HO285" i="1"/>
  <c r="HU285" i="1" s="1"/>
  <c r="HQ285" i="1"/>
  <c r="HK286" i="1"/>
  <c r="HL286" i="1"/>
  <c r="HO286" i="1"/>
  <c r="HU286" i="1" s="1"/>
  <c r="HQ286" i="1"/>
  <c r="HK287" i="1"/>
  <c r="HO287" i="1"/>
  <c r="HU287" i="1" s="1"/>
  <c r="HQ287" i="1"/>
  <c r="HK288" i="1"/>
  <c r="HL288" i="1"/>
  <c r="HO288" i="1"/>
  <c r="HU288" i="1" s="1"/>
  <c r="HQ288" i="1"/>
  <c r="HK289" i="1"/>
  <c r="HL289" i="1"/>
  <c r="HO289" i="1"/>
  <c r="HU289" i="1" s="1"/>
  <c r="HQ289" i="1"/>
  <c r="HK290" i="1"/>
  <c r="HL290" i="1"/>
  <c r="HO290" i="1"/>
  <c r="HQ290" i="1"/>
  <c r="HM291" i="1"/>
  <c r="HN291" i="1"/>
  <c r="HS291" i="1"/>
  <c r="HT291" i="1"/>
  <c r="HV291" i="1"/>
  <c r="HW291" i="1"/>
  <c r="HK293" i="1"/>
  <c r="HL293" i="1"/>
  <c r="HO293" i="1"/>
  <c r="HU293" i="1" s="1"/>
  <c r="HQ293" i="1"/>
  <c r="HK294" i="1"/>
  <c r="HL294" i="1"/>
  <c r="HO294" i="1"/>
  <c r="HU294" i="1" s="1"/>
  <c r="HQ294" i="1"/>
  <c r="HK295" i="1"/>
  <c r="HL295" i="1"/>
  <c r="HO295" i="1"/>
  <c r="HU295" i="1" s="1"/>
  <c r="HQ295" i="1"/>
  <c r="HK296" i="1"/>
  <c r="HL296" i="1"/>
  <c r="HO296" i="1"/>
  <c r="HU296" i="1" s="1"/>
  <c r="HQ296" i="1"/>
  <c r="HK297" i="1"/>
  <c r="HL297" i="1"/>
  <c r="HO297" i="1"/>
  <c r="HU297" i="1" s="1"/>
  <c r="HQ297" i="1"/>
  <c r="HK298" i="1"/>
  <c r="HL298" i="1"/>
  <c r="HO298" i="1"/>
  <c r="HU298" i="1" s="1"/>
  <c r="HQ298" i="1"/>
  <c r="HK299" i="1"/>
  <c r="HL299" i="1"/>
  <c r="HO299" i="1"/>
  <c r="HU299" i="1" s="1"/>
  <c r="HQ299" i="1"/>
  <c r="HN300" i="1"/>
  <c r="HS300" i="1"/>
  <c r="HT300" i="1"/>
  <c r="HV300" i="1"/>
  <c r="HW300" i="1"/>
  <c r="HK302" i="1"/>
  <c r="HL302" i="1"/>
  <c r="HO302" i="1"/>
  <c r="HU302" i="1" s="1"/>
  <c r="HQ302" i="1"/>
  <c r="HK303" i="1"/>
  <c r="HL303" i="1"/>
  <c r="HO303" i="1"/>
  <c r="HU303" i="1" s="1"/>
  <c r="HQ303" i="1"/>
  <c r="HK304" i="1"/>
  <c r="HL304" i="1"/>
  <c r="HO304" i="1"/>
  <c r="HU304" i="1" s="1"/>
  <c r="HQ304" i="1"/>
  <c r="HK305" i="1"/>
  <c r="HL305" i="1"/>
  <c r="HO305" i="1"/>
  <c r="HQ305" i="1"/>
  <c r="HK306" i="1"/>
  <c r="HL306" i="1"/>
  <c r="HO306" i="1"/>
  <c r="HU306" i="1" s="1"/>
  <c r="HQ306" i="1"/>
  <c r="HK307" i="1"/>
  <c r="HL307" i="1"/>
  <c r="HO307" i="1"/>
  <c r="HQ307" i="1"/>
  <c r="HK308" i="1"/>
  <c r="HL308" i="1"/>
  <c r="HO308" i="1"/>
  <c r="HU308" i="1" s="1"/>
  <c r="HQ308" i="1"/>
  <c r="HN309" i="1"/>
  <c r="HS309" i="1"/>
  <c r="HT309" i="1"/>
  <c r="HV309" i="1"/>
  <c r="HW309" i="1"/>
  <c r="HK311" i="1"/>
  <c r="HL311" i="1"/>
  <c r="HO311" i="1"/>
  <c r="HU311" i="1" s="1"/>
  <c r="HQ311" i="1"/>
  <c r="HK312" i="1"/>
  <c r="HL312" i="1"/>
  <c r="HO312" i="1"/>
  <c r="HU312" i="1" s="1"/>
  <c r="HQ312" i="1"/>
  <c r="HK313" i="1"/>
  <c r="HL313" i="1"/>
  <c r="HO313" i="1"/>
  <c r="HU313" i="1" s="1"/>
  <c r="HQ313" i="1"/>
  <c r="HK314" i="1"/>
  <c r="HL314" i="1"/>
  <c r="HO314" i="1"/>
  <c r="HU314" i="1" s="1"/>
  <c r="HQ314" i="1"/>
  <c r="HK315" i="1"/>
  <c r="HL315" i="1"/>
  <c r="HO315" i="1"/>
  <c r="HU315" i="1" s="1"/>
  <c r="HQ315" i="1"/>
  <c r="HK316" i="1"/>
  <c r="HL316" i="1"/>
  <c r="HO316" i="1"/>
  <c r="HU316" i="1" s="1"/>
  <c r="HQ316" i="1"/>
  <c r="HK317" i="1"/>
  <c r="HL317" i="1"/>
  <c r="HO317" i="1"/>
  <c r="HU317" i="1" s="1"/>
  <c r="HQ317" i="1"/>
  <c r="HN318" i="1"/>
  <c r="HS318" i="1"/>
  <c r="HT318" i="1"/>
  <c r="HV318" i="1"/>
  <c r="HW318" i="1"/>
  <c r="HK320" i="1"/>
  <c r="HL320" i="1"/>
  <c r="HO320" i="1"/>
  <c r="HU320" i="1" s="1"/>
  <c r="HQ320" i="1"/>
  <c r="HK321" i="1"/>
  <c r="HL321" i="1"/>
  <c r="HO321" i="1"/>
  <c r="HU321" i="1" s="1"/>
  <c r="HQ321" i="1"/>
  <c r="HK322" i="1"/>
  <c r="HL322" i="1"/>
  <c r="HO322" i="1"/>
  <c r="HU322" i="1" s="1"/>
  <c r="HQ322" i="1"/>
  <c r="HK323" i="1"/>
  <c r="HL323" i="1"/>
  <c r="HO323" i="1"/>
  <c r="HU323" i="1" s="1"/>
  <c r="HQ323" i="1"/>
  <c r="HK324" i="1"/>
  <c r="HL324" i="1"/>
  <c r="HO324" i="1"/>
  <c r="HU324" i="1" s="1"/>
  <c r="HQ324" i="1"/>
  <c r="HK325" i="1"/>
  <c r="HL325" i="1"/>
  <c r="HO325" i="1"/>
  <c r="HU325" i="1" s="1"/>
  <c r="HQ325" i="1"/>
  <c r="HK326" i="1"/>
  <c r="HL326" i="1"/>
  <c r="HO326" i="1"/>
  <c r="HU326" i="1" s="1"/>
  <c r="HQ326" i="1"/>
  <c r="HS327" i="1"/>
  <c r="HT327" i="1"/>
  <c r="HV327" i="1"/>
  <c r="HW327" i="1"/>
  <c r="HK329" i="1"/>
  <c r="HL329" i="1"/>
  <c r="HO329" i="1"/>
  <c r="HU329" i="1" s="1"/>
  <c r="HQ329" i="1"/>
  <c r="HK330" i="1"/>
  <c r="HL330" i="1"/>
  <c r="HO330" i="1"/>
  <c r="HU330" i="1" s="1"/>
  <c r="HQ330" i="1"/>
  <c r="HK331" i="1"/>
  <c r="HL331" i="1"/>
  <c r="HO331" i="1"/>
  <c r="HU331" i="1" s="1"/>
  <c r="HQ331" i="1"/>
  <c r="HK332" i="1"/>
  <c r="HL332" i="1"/>
  <c r="HO332" i="1"/>
  <c r="HU332" i="1" s="1"/>
  <c r="HQ332" i="1"/>
  <c r="HK333" i="1"/>
  <c r="HL333" i="1"/>
  <c r="HO333" i="1"/>
  <c r="HU333" i="1" s="1"/>
  <c r="HQ333" i="1"/>
  <c r="HK334" i="1"/>
  <c r="HL334" i="1"/>
  <c r="HO334" i="1"/>
  <c r="HU334" i="1" s="1"/>
  <c r="HQ334" i="1"/>
  <c r="HK335" i="1"/>
  <c r="HL335" i="1"/>
  <c r="HO335" i="1"/>
  <c r="HU335" i="1" s="1"/>
  <c r="HQ335" i="1"/>
  <c r="HS336" i="1"/>
  <c r="HT336" i="1"/>
  <c r="HV336" i="1"/>
  <c r="HW336" i="1"/>
  <c r="HK338" i="1"/>
  <c r="HL338" i="1"/>
  <c r="HO338" i="1"/>
  <c r="HQ338" i="1"/>
  <c r="HK339" i="1"/>
  <c r="HL339" i="1"/>
  <c r="HO339" i="1"/>
  <c r="HU339" i="1" s="1"/>
  <c r="HQ339" i="1"/>
  <c r="HK340" i="1"/>
  <c r="HL340" i="1"/>
  <c r="HO340" i="1"/>
  <c r="HU340" i="1" s="1"/>
  <c r="HQ340" i="1"/>
  <c r="HK341" i="1"/>
  <c r="HL341" i="1"/>
  <c r="HO341" i="1"/>
  <c r="HU341" i="1" s="1"/>
  <c r="HQ341" i="1"/>
  <c r="HK342" i="1"/>
  <c r="HL342" i="1"/>
  <c r="HO342" i="1"/>
  <c r="HU342" i="1" s="1"/>
  <c r="HQ342" i="1"/>
  <c r="HK343" i="1"/>
  <c r="HL343" i="1"/>
  <c r="HO343" i="1"/>
  <c r="HU343" i="1" s="1"/>
  <c r="HQ343" i="1"/>
  <c r="HK344" i="1"/>
  <c r="HL344" i="1"/>
  <c r="HO344" i="1"/>
  <c r="HU344" i="1" s="1"/>
  <c r="HQ344" i="1"/>
  <c r="HM345" i="1"/>
  <c r="HN345" i="1"/>
  <c r="HS345" i="1"/>
  <c r="HT345" i="1"/>
  <c r="HV345" i="1"/>
  <c r="HW345" i="1"/>
  <c r="HK347" i="1"/>
  <c r="HL347" i="1"/>
  <c r="HO347" i="1"/>
  <c r="HU347" i="1" s="1"/>
  <c r="HQ347" i="1"/>
  <c r="HK348" i="1"/>
  <c r="HL348" i="1"/>
  <c r="HO348" i="1"/>
  <c r="HU348" i="1" s="1"/>
  <c r="HQ348" i="1"/>
  <c r="HK349" i="1"/>
  <c r="HL349" i="1"/>
  <c r="HO349" i="1"/>
  <c r="HU349" i="1" s="1"/>
  <c r="HQ349" i="1"/>
  <c r="HK350" i="1"/>
  <c r="HL350" i="1"/>
  <c r="HO350" i="1"/>
  <c r="HU350" i="1" s="1"/>
  <c r="HQ350" i="1"/>
  <c r="HK351" i="1"/>
  <c r="HL351" i="1"/>
  <c r="HO351" i="1"/>
  <c r="HU351" i="1" s="1"/>
  <c r="HQ351" i="1"/>
  <c r="HK352" i="1"/>
  <c r="HL352" i="1"/>
  <c r="HO352" i="1"/>
  <c r="HU352" i="1" s="1"/>
  <c r="HQ352" i="1"/>
  <c r="HK353" i="1"/>
  <c r="HL353" i="1"/>
  <c r="HO353" i="1"/>
  <c r="HU353" i="1" s="1"/>
  <c r="HQ353" i="1"/>
  <c r="HS354" i="1"/>
  <c r="HT354" i="1"/>
  <c r="HV354" i="1"/>
  <c r="HW354" i="1"/>
  <c r="HU178" i="1"/>
  <c r="AH120" i="1"/>
  <c r="GH345" i="1"/>
  <c r="CD156" i="1"/>
  <c r="EL156" i="1"/>
  <c r="CP120" i="1"/>
  <c r="AT156" i="1"/>
  <c r="AH192" i="1"/>
  <c r="K26" i="11"/>
  <c r="FJ165" i="1"/>
  <c r="AH183" i="1"/>
  <c r="BR156" i="1"/>
  <c r="HR74" i="1"/>
  <c r="HF156" i="1"/>
  <c r="DZ183" i="1"/>
  <c r="CP138" i="1"/>
  <c r="CD120" i="1"/>
  <c r="DB147" i="1"/>
  <c r="HR26" i="1"/>
  <c r="BR111" i="1"/>
  <c r="V111" i="1"/>
  <c r="CD183" i="1"/>
  <c r="EX219" i="1"/>
  <c r="GT210" i="1"/>
  <c r="DB129" i="1"/>
  <c r="HN327" i="1"/>
  <c r="HM354" i="1"/>
  <c r="HU140" i="1"/>
  <c r="HU119" i="1"/>
  <c r="HR36" i="1"/>
  <c r="HU47" i="1"/>
  <c r="HM165" i="1"/>
  <c r="HM237" i="1"/>
  <c r="HM147" i="1"/>
  <c r="HM255" i="1"/>
  <c r="HM327" i="1"/>
  <c r="HM318" i="1"/>
  <c r="HM336" i="1"/>
  <c r="HM138" i="1"/>
  <c r="HM246" i="1"/>
  <c r="HM300" i="1"/>
  <c r="HM156" i="1"/>
  <c r="HM210" i="1"/>
  <c r="HM228" i="1"/>
  <c r="HM120" i="1"/>
  <c r="HM309" i="1"/>
  <c r="HM219" i="1"/>
  <c r="HM129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J20" i="6"/>
  <c r="V20" i="6"/>
  <c r="AH20" i="6"/>
  <c r="AT20" i="6"/>
  <c r="BF20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4" i="6"/>
  <c r="V24" i="6"/>
  <c r="AH24" i="6"/>
  <c r="AT24" i="6"/>
  <c r="BF24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V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R11" i="11"/>
  <c r="R12" i="11"/>
  <c r="R13" i="11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J111" i="6" s="1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F111" i="6" s="1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6" i="6"/>
  <c r="V116" i="6"/>
  <c r="AH116" i="6"/>
  <c r="AT116" i="6"/>
  <c r="BF116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F129" i="6" s="1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V147" i="6" s="1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199" i="6"/>
  <c r="V199" i="6"/>
  <c r="AH199" i="6"/>
  <c r="AT199" i="6"/>
  <c r="BF199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79" i="6"/>
  <c r="V279" i="6"/>
  <c r="AH279" i="6"/>
  <c r="AT279" i="6"/>
  <c r="BF279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0" i="6"/>
  <c r="V340" i="6"/>
  <c r="AH340" i="6"/>
  <c r="AT340" i="6"/>
  <c r="BF340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I12" i="6"/>
  <c r="BJ12" i="6"/>
  <c r="R117" i="6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AP117" i="6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BB117" i="6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AD117" i="6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200" i="6" s="1"/>
  <c r="AD203" i="6" s="1"/>
  <c r="AD204" i="6" s="1"/>
  <c r="AD205" i="6" s="1"/>
  <c r="AD206" i="6" s="1"/>
  <c r="AD207" i="6" s="1"/>
  <c r="AD208" i="6" s="1"/>
  <c r="AD209" i="6" s="1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P14" i="11"/>
  <c r="P12" i="11"/>
  <c r="T14" i="11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117" i="6"/>
  <c r="F118" i="6" s="1"/>
  <c r="F119" i="6" s="1"/>
  <c r="F122" i="6" s="1"/>
  <c r="F123" i="6" s="1"/>
  <c r="F124" i="6" s="1"/>
  <c r="F125" i="6" s="1"/>
  <c r="F126" i="6" s="1"/>
  <c r="F127" i="6" s="1"/>
  <c r="F128" i="6" s="1"/>
  <c r="F131" i="6" s="1"/>
  <c r="F132" i="6" s="1"/>
  <c r="F133" i="6" s="1"/>
  <c r="F134" i="6" s="1"/>
  <c r="F135" i="6" s="1"/>
  <c r="F136" i="6" s="1"/>
  <c r="F137" i="6" s="1"/>
  <c r="F140" i="6" s="1"/>
  <c r="F141" i="6" s="1"/>
  <c r="F142" i="6" s="1"/>
  <c r="F143" i="6" s="1"/>
  <c r="F144" i="6" s="1"/>
  <c r="F145" i="6" s="1"/>
  <c r="F146" i="6" s="1"/>
  <c r="F149" i="6" s="1"/>
  <c r="F150" i="6" s="1"/>
  <c r="F151" i="6" s="1"/>
  <c r="F152" i="6" s="1"/>
  <c r="F153" i="6" s="1"/>
  <c r="F154" i="6" s="1"/>
  <c r="F155" i="6" s="1"/>
  <c r="F158" i="6" s="1"/>
  <c r="F159" i="6" s="1"/>
  <c r="F160" i="6" s="1"/>
  <c r="F161" i="6" s="1"/>
  <c r="F162" i="6" s="1"/>
  <c r="F163" i="6" s="1"/>
  <c r="F164" i="6" s="1"/>
  <c r="F167" i="6" s="1"/>
  <c r="F168" i="6" s="1"/>
  <c r="F169" i="6" s="1"/>
  <c r="F170" i="6" s="1"/>
  <c r="F171" i="6" s="1"/>
  <c r="F172" i="6" s="1"/>
  <c r="F173" i="6" s="1"/>
  <c r="F176" i="6" s="1"/>
  <c r="F177" i="6" s="1"/>
  <c r="F178" i="6" s="1"/>
  <c r="F179" i="6" s="1"/>
  <c r="F180" i="6" s="1"/>
  <c r="F181" i="6" s="1"/>
  <c r="F182" i="6" s="1"/>
  <c r="F185" i="6" s="1"/>
  <c r="F186" i="6" s="1"/>
  <c r="F187" i="6" s="1"/>
  <c r="F188" i="6" s="1"/>
  <c r="F189" i="6" s="1"/>
  <c r="F190" i="6" s="1"/>
  <c r="F191" i="6" s="1"/>
  <c r="F194" i="6" s="1"/>
  <c r="F195" i="6" s="1"/>
  <c r="II13" i="1"/>
  <c r="IH13" i="1"/>
  <c r="IG13" i="1"/>
  <c r="IF13" i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U350" i="6" s="1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T345" i="6" s="1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HQ339" i="6"/>
  <c r="HO339" i="6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U324" i="6" s="1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U320" i="6" s="1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U315" i="6" s="1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U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L309" i="6" s="1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U306" i="6" s="1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U288" i="6" s="1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U280" i="6" s="1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U270" i="6" s="1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U261" i="6" s="1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U257" i="6" s="1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S246" i="6"/>
  <c r="HU245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X237" i="6" s="1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U235" i="6" s="1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U233" i="6" s="1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U222" i="6" s="1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H219" i="6" s="1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L219" i="6" s="1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U214" i="6" s="1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U208" i="6" s="1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U207" i="6" s="1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9" i="6"/>
  <c r="HO199" i="6"/>
  <c r="HU199" i="6" s="1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HQ198" i="6"/>
  <c r="HO198" i="6"/>
  <c r="HU198" i="6" s="1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M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R185" i="6" s="1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M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U180" i="6" s="1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U177" i="6" s="1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U176" i="6" s="1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J165" i="6" s="1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U162" i="6" s="1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U159" i="6" s="1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R151" i="6" s="1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U150" i="6" s="1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U135" i="6" s="1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U133" i="6" s="1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U128" i="6" s="1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K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U113" i="6" s="1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U109" i="6" s="1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U107" i="6" s="1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V14" i="11"/>
  <c r="V13" i="11"/>
  <c r="V12" i="11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U63" i="6" s="1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U59" i="6" s="1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U54" i="6" s="1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U52" i="6" s="1"/>
  <c r="HL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BR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U50" i="6" s="1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Q44" i="6"/>
  <c r="HO44" i="6"/>
  <c r="HU44" i="6" s="1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Q43" i="6"/>
  <c r="HO43" i="6"/>
  <c r="HU43" i="6" s="1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U35" i="6" s="1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U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N30" i="6" s="1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R30" i="6" s="1"/>
  <c r="BL30" i="6"/>
  <c r="BK30" i="6"/>
  <c r="V6" i="11" s="1"/>
  <c r="HQ29" i="6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4" i="6"/>
  <c r="HO24" i="6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HQ23" i="6"/>
  <c r="HO23" i="6"/>
  <c r="HU23" i="6" s="1"/>
  <c r="HU30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U17" i="6" s="1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P4" i="11" s="1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O5" i="6"/>
  <c r="GO6" i="6" s="1"/>
  <c r="GR6" i="6" s="1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C5" i="6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Q5" i="6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E5" i="6"/>
  <c r="FE6" i="6" s="1"/>
  <c r="FE7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S5" i="6"/>
  <c r="ES6" i="6" s="1"/>
  <c r="EV6" i="6" s="1"/>
  <c r="EL5" i="6"/>
  <c r="EH5" i="6"/>
  <c r="EG5" i="6"/>
  <c r="EJ5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U5" i="6"/>
  <c r="DX5" i="6" s="1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I5" i="6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W5" i="6"/>
  <c r="CW6" i="6" s="1"/>
  <c r="CZ6" i="6" s="1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K5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FV57" i="6"/>
  <c r="HU181" i="6"/>
  <c r="DN228" i="6"/>
  <c r="FV147" i="6"/>
  <c r="HU268" i="6"/>
  <c r="HU279" i="6"/>
  <c r="HU293" i="6"/>
  <c r="HU307" i="6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Z102" i="1"/>
  <c r="FY102" i="1"/>
  <c r="FU102" i="1"/>
  <c r="FS102" i="1"/>
  <c r="FP102" i="1"/>
  <c r="FO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DB102" i="1" s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J93" i="1"/>
  <c r="HI93" i="1"/>
  <c r="HE93" i="1"/>
  <c r="HC93" i="1"/>
  <c r="HF93" i="1" s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Z93" i="1"/>
  <c r="FY93" i="1"/>
  <c r="FU93" i="1"/>
  <c r="FS93" i="1"/>
  <c r="FP93" i="1"/>
  <c r="FO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Z75" i="1"/>
  <c r="FY75" i="1"/>
  <c r="FU75" i="1"/>
  <c r="FS75" i="1"/>
  <c r="FP75" i="1"/>
  <c r="FO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F74" i="1"/>
  <c r="GT74" i="1"/>
  <c r="GH74" i="1"/>
  <c r="FV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F73" i="1"/>
  <c r="GT73" i="1"/>
  <c r="GH73" i="1"/>
  <c r="FV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F72" i="1"/>
  <c r="GT72" i="1"/>
  <c r="GH72" i="1"/>
  <c r="FV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F71" i="1"/>
  <c r="GT71" i="1"/>
  <c r="GH71" i="1"/>
  <c r="FV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F70" i="1"/>
  <c r="GT70" i="1"/>
  <c r="GH70" i="1"/>
  <c r="FV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F69" i="1"/>
  <c r="GT69" i="1"/>
  <c r="GH69" i="1"/>
  <c r="FV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F68" i="1"/>
  <c r="GT68" i="1"/>
  <c r="GH68" i="1"/>
  <c r="FV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Z66" i="1"/>
  <c r="FY66" i="1"/>
  <c r="FU66" i="1"/>
  <c r="FS66" i="1"/>
  <c r="FP66" i="1"/>
  <c r="FO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F65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F64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F63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F62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F61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F60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F59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Z57" i="1"/>
  <c r="FY57" i="1"/>
  <c r="FU57" i="1"/>
  <c r="FS57" i="1"/>
  <c r="FP57" i="1"/>
  <c r="FO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Z48" i="1"/>
  <c r="FY48" i="1"/>
  <c r="FU48" i="1"/>
  <c r="FS48" i="1"/>
  <c r="FP48" i="1"/>
  <c r="FO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F47" i="1"/>
  <c r="GT47" i="1"/>
  <c r="GH47" i="1"/>
  <c r="FV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F46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J46" i="1"/>
  <c r="HF45" i="1"/>
  <c r="GT45" i="1"/>
  <c r="GH45" i="1"/>
  <c r="FV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F44" i="1"/>
  <c r="GT44" i="1"/>
  <c r="GH44" i="1"/>
  <c r="FV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F43" i="1"/>
  <c r="GT43" i="1"/>
  <c r="GH43" i="1"/>
  <c r="FV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F42" i="1"/>
  <c r="GT42" i="1"/>
  <c r="GH42" i="1"/>
  <c r="FV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F41" i="1"/>
  <c r="GT41" i="1"/>
  <c r="GH41" i="1"/>
  <c r="FV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Z39" i="1"/>
  <c r="FY39" i="1"/>
  <c r="FU39" i="1"/>
  <c r="FS39" i="1"/>
  <c r="FP39" i="1"/>
  <c r="FO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F38" i="1"/>
  <c r="GT38" i="1"/>
  <c r="GH38" i="1"/>
  <c r="FV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F37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F36" i="1"/>
  <c r="GT36" i="1"/>
  <c r="GH36" i="1"/>
  <c r="FV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F35" i="1"/>
  <c r="GT35" i="1"/>
  <c r="GH35" i="1"/>
  <c r="FV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F34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F33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F32" i="1"/>
  <c r="GT32" i="1"/>
  <c r="GH32" i="1"/>
  <c r="FV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J32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Z30" i="1"/>
  <c r="FY30" i="1"/>
  <c r="FU30" i="1"/>
  <c r="FS30" i="1"/>
  <c r="FP30" i="1"/>
  <c r="FO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F29" i="1"/>
  <c r="GT29" i="1"/>
  <c r="GH29" i="1"/>
  <c r="FV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F28" i="1"/>
  <c r="GT28" i="1"/>
  <c r="GH28" i="1"/>
  <c r="FV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F27" i="1"/>
  <c r="GT27" i="1"/>
  <c r="GH27" i="1"/>
  <c r="FV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F26" i="1"/>
  <c r="GT26" i="1"/>
  <c r="GH26" i="1"/>
  <c r="FV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HF23" i="1"/>
  <c r="GT23" i="1"/>
  <c r="GH23" i="1"/>
  <c r="FV23" i="1"/>
  <c r="FJ23" i="1"/>
  <c r="EX23" i="1"/>
  <c r="EL23" i="1"/>
  <c r="DZ23" i="1"/>
  <c r="DN23" i="1"/>
  <c r="DB23" i="1"/>
  <c r="CP23" i="1"/>
  <c r="CD23" i="1"/>
  <c r="BR23" i="1"/>
  <c r="BF23" i="1"/>
  <c r="AT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FV14" i="1"/>
  <c r="GH14" i="1"/>
  <c r="GT14" i="1"/>
  <c r="HF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FV15" i="1"/>
  <c r="GH15" i="1"/>
  <c r="GT15" i="1"/>
  <c r="HF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FV16" i="1"/>
  <c r="GH16" i="1"/>
  <c r="GT16" i="1"/>
  <c r="HF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FV17" i="1"/>
  <c r="GH17" i="1"/>
  <c r="GT17" i="1"/>
  <c r="HF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FV18" i="1"/>
  <c r="GH18" i="1"/>
  <c r="GT18" i="1"/>
  <c r="HF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FV19" i="1"/>
  <c r="GH19" i="1"/>
  <c r="GT19" i="1"/>
  <c r="HF19" i="1"/>
  <c r="V20" i="1"/>
  <c r="AH20" i="1"/>
  <c r="AT20" i="1"/>
  <c r="BF20" i="1"/>
  <c r="BR20" i="1"/>
  <c r="CD20" i="1"/>
  <c r="CP20" i="1"/>
  <c r="DB20" i="1"/>
  <c r="DN20" i="1"/>
  <c r="DZ20" i="1"/>
  <c r="EL20" i="1"/>
  <c r="EX20" i="1"/>
  <c r="FJ20" i="1"/>
  <c r="FV20" i="1"/>
  <c r="GH20" i="1"/>
  <c r="GT20" i="1"/>
  <c r="HF20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CD5" i="1"/>
  <c r="CK5" i="1"/>
  <c r="CN5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CX89" i="1" s="1"/>
  <c r="CX90" i="1" s="1"/>
  <c r="CX91" i="1" s="1"/>
  <c r="CX92" i="1" s="1"/>
  <c r="CX95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J5" i="1"/>
  <c r="FQ5" i="1"/>
  <c r="FT5" i="1" s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V5" i="1"/>
  <c r="GC5" i="1"/>
  <c r="GF5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T5" i="1"/>
  <c r="HA5" i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B20" i="1" s="1"/>
  <c r="HB23" i="1" s="1"/>
  <c r="HB24" i="1" s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F5" i="1"/>
  <c r="AT6" i="1"/>
  <c r="BF6" i="1"/>
  <c r="BR6" i="1"/>
  <c r="CD6" i="1"/>
  <c r="CP6" i="1"/>
  <c r="DB6" i="1"/>
  <c r="DN6" i="1"/>
  <c r="DZ6" i="1"/>
  <c r="EL6" i="1"/>
  <c r="EX6" i="1"/>
  <c r="FJ6" i="1"/>
  <c r="FV6" i="1"/>
  <c r="GH6" i="1"/>
  <c r="GT6" i="1"/>
  <c r="HF6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HF7" i="1"/>
  <c r="AT8" i="1"/>
  <c r="BF8" i="1"/>
  <c r="BR8" i="1"/>
  <c r="CD8" i="1"/>
  <c r="CP8" i="1"/>
  <c r="DB8" i="1"/>
  <c r="DN8" i="1"/>
  <c r="DZ8" i="1"/>
  <c r="EL8" i="1"/>
  <c r="EX8" i="1"/>
  <c r="FJ8" i="1"/>
  <c r="FV8" i="1"/>
  <c r="GH8" i="1"/>
  <c r="GT8" i="1"/>
  <c r="HF8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HF9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HF10" i="1"/>
  <c r="AT11" i="1"/>
  <c r="BF11" i="1"/>
  <c r="BR11" i="1"/>
  <c r="CD11" i="1"/>
  <c r="CP11" i="1"/>
  <c r="DB11" i="1"/>
  <c r="DN11" i="1"/>
  <c r="DZ11" i="1"/>
  <c r="EL11" i="1"/>
  <c r="EX11" i="1"/>
  <c r="FJ11" i="1"/>
  <c r="FV11" i="1"/>
  <c r="GH11" i="1"/>
  <c r="GT11" i="1"/>
  <c r="HF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D35" i="1" s="1"/>
  <c r="AD36" i="1" s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AD88" i="1" s="1"/>
  <c r="AD89" i="1" s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5" i="1" s="1"/>
  <c r="AD196" i="1" s="1"/>
  <c r="AD197" i="1" s="1"/>
  <c r="AD198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DV104" i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CL104" i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ET104" i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H104" i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BN104" i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Z104" i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I12" i="11"/>
  <c r="K12" i="11"/>
  <c r="IF300" i="1"/>
  <c r="IG111" i="1"/>
  <c r="IF264" i="1"/>
  <c r="IF129" i="1"/>
  <c r="IF246" i="1"/>
  <c r="IG255" i="1"/>
  <c r="IF201" i="1"/>
  <c r="IF255" i="1"/>
  <c r="IH264" i="1"/>
  <c r="IH246" i="1"/>
  <c r="II246" i="1"/>
  <c r="AR8" i="6"/>
  <c r="BD10" i="6"/>
  <c r="HT12" i="1"/>
  <c r="HS12" i="1"/>
  <c r="HN12" i="1"/>
  <c r="HM12" i="1"/>
  <c r="HQ11" i="1"/>
  <c r="HO11" i="1"/>
  <c r="HL11" i="1"/>
  <c r="HK11" i="1"/>
  <c r="HQ10" i="1"/>
  <c r="HO10" i="1"/>
  <c r="HU10" i="1" s="1"/>
  <c r="HL10" i="1"/>
  <c r="HK10" i="1"/>
  <c r="HQ9" i="1"/>
  <c r="HO9" i="1"/>
  <c r="HU9" i="1" s="1"/>
  <c r="HL9" i="1"/>
  <c r="HK9" i="1"/>
  <c r="HQ8" i="1"/>
  <c r="HO8" i="1"/>
  <c r="HL8" i="1"/>
  <c r="HK8" i="1"/>
  <c r="HQ7" i="1"/>
  <c r="HO7" i="1"/>
  <c r="HU7" i="1" s="1"/>
  <c r="HL7" i="1"/>
  <c r="HK7" i="1"/>
  <c r="HQ6" i="1"/>
  <c r="HO6" i="1"/>
  <c r="HU6" i="1" s="1"/>
  <c r="HL6" i="1"/>
  <c r="HK6" i="1"/>
  <c r="HQ5" i="1"/>
  <c r="HO5" i="1"/>
  <c r="HU5" i="1" s="1"/>
  <c r="HU12" i="1" s="1"/>
  <c r="HL5" i="1"/>
  <c r="HK5" i="1"/>
  <c r="HT21" i="1"/>
  <c r="HS21" i="1"/>
  <c r="HN21" i="1"/>
  <c r="HM21" i="1"/>
  <c r="HQ20" i="1"/>
  <c r="HO20" i="1"/>
  <c r="HU20" i="1" s="1"/>
  <c r="HL20" i="1"/>
  <c r="HK20" i="1"/>
  <c r="HQ19" i="1"/>
  <c r="HO19" i="1"/>
  <c r="HU19" i="1" s="1"/>
  <c r="HL19" i="1"/>
  <c r="HK19" i="1"/>
  <c r="HQ18" i="1"/>
  <c r="HO18" i="1"/>
  <c r="HU18" i="1" s="1"/>
  <c r="HL18" i="1"/>
  <c r="HK18" i="1"/>
  <c r="HQ17" i="1"/>
  <c r="HO17" i="1"/>
  <c r="HU17" i="1" s="1"/>
  <c r="HL17" i="1"/>
  <c r="HK17" i="1"/>
  <c r="HQ16" i="1"/>
  <c r="HO16" i="1"/>
  <c r="HU16" i="1" s="1"/>
  <c r="HL16" i="1"/>
  <c r="HK16" i="1"/>
  <c r="HQ15" i="1"/>
  <c r="HO15" i="1"/>
  <c r="HL15" i="1"/>
  <c r="HK15" i="1"/>
  <c r="HQ14" i="1"/>
  <c r="HO14" i="1"/>
  <c r="HU14" i="1" s="1"/>
  <c r="HL14" i="1"/>
  <c r="HK14" i="1"/>
  <c r="HW12" i="1"/>
  <c r="HV12" i="1"/>
  <c r="BN117" i="6"/>
  <c r="BN118" i="6" s="1"/>
  <c r="BN119" i="6" s="1"/>
  <c r="BN122" i="6" s="1"/>
  <c r="BN123" i="6" s="1"/>
  <c r="T116" i="6"/>
  <c r="Q117" i="6"/>
  <c r="T117" i="6" s="1"/>
  <c r="BA117" i="6"/>
  <c r="BA118" i="6" s="1"/>
  <c r="BD116" i="6"/>
  <c r="AO117" i="6"/>
  <c r="AO118" i="6" s="1"/>
  <c r="AR116" i="6"/>
  <c r="H116" i="6"/>
  <c r="E117" i="6"/>
  <c r="H117" i="6" s="1"/>
  <c r="AF116" i="6"/>
  <c r="AC117" i="6"/>
  <c r="AC118" i="6" s="1"/>
  <c r="AC119" i="6" s="1"/>
  <c r="AF119" i="6" s="1"/>
  <c r="BD117" i="6"/>
  <c r="DI104" i="6"/>
  <c r="DI105" i="6" s="1"/>
  <c r="FE104" i="6"/>
  <c r="FE105" i="6" s="1"/>
  <c r="GC104" i="6"/>
  <c r="GF104" i="6" s="1"/>
  <c r="GO104" i="6"/>
  <c r="CK104" i="6"/>
  <c r="HA104" i="6"/>
  <c r="HD104" i="6" s="1"/>
  <c r="DU104" i="6"/>
  <c r="DU105" i="6" s="1"/>
  <c r="DX105" i="6" s="1"/>
  <c r="EG104" i="6"/>
  <c r="CW104" i="6"/>
  <c r="CW105" i="6" s="1"/>
  <c r="CZ105" i="6" s="1"/>
  <c r="BY104" i="6"/>
  <c r="CB104" i="6" s="1"/>
  <c r="ES104" i="6"/>
  <c r="EV104" i="6" s="1"/>
  <c r="FQ104" i="6"/>
  <c r="BM117" i="6"/>
  <c r="BP117" i="6" s="1"/>
  <c r="BP116" i="6"/>
  <c r="HW21" i="1"/>
  <c r="HV21" i="1"/>
  <c r="HM4" i="1"/>
  <c r="C4" i="10" s="1"/>
  <c r="HN4" i="1"/>
  <c r="N21" i="1"/>
  <c r="M21" i="1"/>
  <c r="I21" i="1"/>
  <c r="G21" i="1"/>
  <c r="D21" i="1"/>
  <c r="C21" i="1"/>
  <c r="J20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F6" i="1" s="1"/>
  <c r="E5" i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N356" i="6" l="1"/>
  <c r="AD357" i="6"/>
  <c r="HM365" i="1"/>
  <c r="HP365" i="1" s="1"/>
  <c r="FE368" i="1"/>
  <c r="FH367" i="1"/>
  <c r="CZ367" i="1"/>
  <c r="CW368" i="1"/>
  <c r="ES368" i="1"/>
  <c r="EV367" i="1"/>
  <c r="BM366" i="1"/>
  <c r="HY365" i="1"/>
  <c r="BP365" i="1"/>
  <c r="AR367" i="1"/>
  <c r="AO368" i="1"/>
  <c r="HZ366" i="1"/>
  <c r="DX366" i="1"/>
  <c r="DU367" i="1"/>
  <c r="FT366" i="1"/>
  <c r="IA366" i="1"/>
  <c r="BY368" i="1"/>
  <c r="CB367" i="1"/>
  <c r="CN367" i="1"/>
  <c r="CK368" i="1"/>
  <c r="HX365" i="1"/>
  <c r="GO368" i="1"/>
  <c r="GR367" i="1"/>
  <c r="BA368" i="1"/>
  <c r="BD367" i="1"/>
  <c r="EJ367" i="1"/>
  <c r="EG368" i="1"/>
  <c r="H366" i="1"/>
  <c r="HX366" i="1"/>
  <c r="E367" i="1"/>
  <c r="Q366" i="1"/>
  <c r="HM366" i="1" s="1"/>
  <c r="HP366" i="1" s="1"/>
  <c r="T365" i="1"/>
  <c r="GF366" i="1"/>
  <c r="AC368" i="1"/>
  <c r="AF367" i="1"/>
  <c r="HP362" i="1"/>
  <c r="HP363" i="1"/>
  <c r="Q368" i="6"/>
  <c r="T367" i="6"/>
  <c r="AC369" i="6"/>
  <c r="AF368" i="6"/>
  <c r="H368" i="6"/>
  <c r="E369" i="6"/>
  <c r="HM368" i="6"/>
  <c r="HP368" i="6" s="1"/>
  <c r="I42" i="11"/>
  <c r="HU354" i="1"/>
  <c r="EX354" i="1"/>
  <c r="DB264" i="6"/>
  <c r="BR291" i="1"/>
  <c r="GT246" i="1"/>
  <c r="FV309" i="6"/>
  <c r="GT237" i="1"/>
  <c r="EX237" i="1"/>
  <c r="BF237" i="1"/>
  <c r="CP228" i="1"/>
  <c r="GH183" i="1"/>
  <c r="EL183" i="1"/>
  <c r="CP183" i="1"/>
  <c r="AT183" i="1"/>
  <c r="FV174" i="1"/>
  <c r="DZ174" i="1"/>
  <c r="CD174" i="1"/>
  <c r="AH174" i="1"/>
  <c r="GH165" i="1"/>
  <c r="EL165" i="1"/>
  <c r="CP165" i="1"/>
  <c r="AT165" i="1"/>
  <c r="CP156" i="1"/>
  <c r="FV147" i="1"/>
  <c r="DZ147" i="1"/>
  <c r="CD147" i="1"/>
  <c r="AH147" i="1"/>
  <c r="FJ138" i="1"/>
  <c r="BR138" i="1"/>
  <c r="V138" i="1"/>
  <c r="FJ75" i="1"/>
  <c r="DN138" i="6"/>
  <c r="FV57" i="1"/>
  <c r="AR7" i="6"/>
  <c r="IH282" i="1"/>
  <c r="IH273" i="1"/>
  <c r="G32" i="11"/>
  <c r="II255" i="1"/>
  <c r="IH255" i="1"/>
  <c r="IG246" i="1"/>
  <c r="IG192" i="1"/>
  <c r="T13" i="11"/>
  <c r="II354" i="1"/>
  <c r="IH354" i="1"/>
  <c r="IG354" i="1"/>
  <c r="IF354" i="1"/>
  <c r="IF345" i="1"/>
  <c r="II336" i="1"/>
  <c r="II237" i="1"/>
  <c r="II210" i="1"/>
  <c r="IH210" i="1"/>
  <c r="IG210" i="1"/>
  <c r="IG183" i="1"/>
  <c r="IF183" i="1"/>
  <c r="II174" i="1"/>
  <c r="II165" i="1"/>
  <c r="IH165" i="1"/>
  <c r="II156" i="1"/>
  <c r="IF156" i="1"/>
  <c r="IH147" i="1"/>
  <c r="IG147" i="1"/>
  <c r="IF147" i="1"/>
  <c r="II138" i="1"/>
  <c r="I165" i="10"/>
  <c r="HF102" i="1"/>
  <c r="IF84" i="1"/>
  <c r="G12" i="11"/>
  <c r="DN21" i="6"/>
  <c r="HR64" i="1"/>
  <c r="I19" i="11"/>
  <c r="G17" i="11"/>
  <c r="CD138" i="6"/>
  <c r="CP219" i="6"/>
  <c r="HF318" i="6"/>
  <c r="T33" i="11"/>
  <c r="V120" i="6"/>
  <c r="HF174" i="1"/>
  <c r="V174" i="1"/>
  <c r="FV165" i="1"/>
  <c r="AH156" i="1"/>
  <c r="HF147" i="1"/>
  <c r="DN147" i="1"/>
  <c r="FV111" i="1"/>
  <c r="II345" i="1"/>
  <c r="IG345" i="1"/>
  <c r="IH345" i="1"/>
  <c r="IH336" i="1"/>
  <c r="IF336" i="1"/>
  <c r="IG336" i="1"/>
  <c r="BR336" i="1"/>
  <c r="HU336" i="1"/>
  <c r="GT327" i="1"/>
  <c r="II327" i="1"/>
  <c r="IH327" i="1"/>
  <c r="HU327" i="1"/>
  <c r="IG327" i="1"/>
  <c r="IF327" i="1"/>
  <c r="IH318" i="1"/>
  <c r="GT318" i="1"/>
  <c r="J318" i="1"/>
  <c r="HU318" i="1"/>
  <c r="II318" i="1"/>
  <c r="I38" i="11"/>
  <c r="IF318" i="1"/>
  <c r="AH309" i="1"/>
  <c r="II309" i="1"/>
  <c r="IF309" i="1"/>
  <c r="IG309" i="1"/>
  <c r="IH309" i="1"/>
  <c r="DZ300" i="1"/>
  <c r="IG300" i="1"/>
  <c r="HU300" i="1"/>
  <c r="II300" i="1"/>
  <c r="FV300" i="1"/>
  <c r="IH300" i="1"/>
  <c r="CD300" i="1"/>
  <c r="V300" i="1"/>
  <c r="II291" i="1"/>
  <c r="IF291" i="1"/>
  <c r="G18" i="11"/>
  <c r="II129" i="1"/>
  <c r="IH129" i="1"/>
  <c r="K17" i="11"/>
  <c r="HK129" i="1"/>
  <c r="IC120" i="1"/>
  <c r="G15" i="11"/>
  <c r="E15" i="11"/>
  <c r="I15" i="11"/>
  <c r="IB84" i="1"/>
  <c r="IC84" i="1"/>
  <c r="IE84" i="1"/>
  <c r="HR191" i="6"/>
  <c r="BR183" i="1"/>
  <c r="FJ156" i="1"/>
  <c r="IC183" i="1"/>
  <c r="IG318" i="1"/>
  <c r="AH66" i="1"/>
  <c r="DN93" i="1"/>
  <c r="HR34" i="6"/>
  <c r="T32" i="11"/>
  <c r="HR47" i="1"/>
  <c r="CP354" i="1"/>
  <c r="DZ345" i="1"/>
  <c r="CD345" i="1"/>
  <c r="AH345" i="1"/>
  <c r="HF336" i="1"/>
  <c r="FJ336" i="1"/>
  <c r="DN336" i="1"/>
  <c r="V336" i="1"/>
  <c r="DB327" i="1"/>
  <c r="BF327" i="1"/>
  <c r="J327" i="1"/>
  <c r="GH318" i="1"/>
  <c r="EL318" i="1"/>
  <c r="HF300" i="1"/>
  <c r="DN300" i="1"/>
  <c r="BR300" i="1"/>
  <c r="EX255" i="1"/>
  <c r="ID147" i="1"/>
  <c r="AR10" i="6"/>
  <c r="O12" i="11"/>
  <c r="AR9" i="6"/>
  <c r="AR5" i="6"/>
  <c r="DB255" i="6"/>
  <c r="HF282" i="6"/>
  <c r="HR305" i="6"/>
  <c r="DB309" i="6"/>
  <c r="GT309" i="6"/>
  <c r="HR312" i="6"/>
  <c r="DN336" i="6"/>
  <c r="CD345" i="6"/>
  <c r="P16" i="11"/>
  <c r="I30" i="11"/>
  <c r="AR6" i="6"/>
  <c r="DN21" i="1"/>
  <c r="EL93" i="1"/>
  <c r="V57" i="6"/>
  <c r="BF39" i="6"/>
  <c r="J39" i="6"/>
  <c r="AT336" i="1"/>
  <c r="HR95" i="1"/>
  <c r="IH111" i="1"/>
  <c r="BD11" i="6"/>
  <c r="IG129" i="1"/>
  <c r="HU312" i="6"/>
  <c r="AH12" i="6"/>
  <c r="BD12" i="6"/>
  <c r="DZ264" i="6"/>
  <c r="G21" i="11"/>
  <c r="HR92" i="6"/>
  <c r="E17" i="11"/>
  <c r="D17" i="11" s="1"/>
  <c r="HR287" i="6"/>
  <c r="BR120" i="1"/>
  <c r="G138" i="10"/>
  <c r="IH291" i="1"/>
  <c r="II282" i="1"/>
  <c r="BD9" i="6"/>
  <c r="BD6" i="6"/>
  <c r="AF5" i="6"/>
  <c r="BD8" i="6"/>
  <c r="HR338" i="6"/>
  <c r="BD5" i="6"/>
  <c r="DB210" i="6"/>
  <c r="GT210" i="6"/>
  <c r="HR227" i="6"/>
  <c r="EL228" i="6"/>
  <c r="FV255" i="6"/>
  <c r="HR302" i="6"/>
  <c r="AH156" i="6"/>
  <c r="HR119" i="1"/>
  <c r="BF354" i="1"/>
  <c r="EL345" i="1"/>
  <c r="CP345" i="1"/>
  <c r="DZ336" i="1"/>
  <c r="CD336" i="1"/>
  <c r="HF327" i="1"/>
  <c r="BR327" i="1"/>
  <c r="V327" i="1"/>
  <c r="BF318" i="1"/>
  <c r="GH309" i="1"/>
  <c r="EL309" i="1"/>
  <c r="AH300" i="1"/>
  <c r="IG291" i="1"/>
  <c r="K31" i="11"/>
  <c r="DB246" i="1"/>
  <c r="BD7" i="6"/>
  <c r="HR306" i="6"/>
  <c r="HR29" i="6"/>
  <c r="GT327" i="6"/>
  <c r="DZ336" i="6"/>
  <c r="HR190" i="1"/>
  <c r="HR186" i="1"/>
  <c r="HR173" i="1"/>
  <c r="HR169" i="1"/>
  <c r="HR110" i="1"/>
  <c r="HR108" i="1"/>
  <c r="HR106" i="1"/>
  <c r="HR104" i="1"/>
  <c r="HR65" i="1"/>
  <c r="HR27" i="1"/>
  <c r="HR23" i="1"/>
  <c r="FV327" i="1"/>
  <c r="CD327" i="1"/>
  <c r="GT309" i="1"/>
  <c r="CP300" i="1"/>
  <c r="FJ246" i="1"/>
  <c r="II228" i="1"/>
  <c r="IH228" i="1"/>
  <c r="IH219" i="1"/>
  <c r="II183" i="1"/>
  <c r="IH183" i="1"/>
  <c r="IH174" i="1"/>
  <c r="G22" i="11"/>
  <c r="IG165" i="1"/>
  <c r="IF165" i="1"/>
  <c r="IH156" i="1"/>
  <c r="IG156" i="1"/>
  <c r="II147" i="1"/>
  <c r="E19" i="11"/>
  <c r="G19" i="11"/>
  <c r="IH138" i="1"/>
  <c r="IG138" i="1"/>
  <c r="HU291" i="6"/>
  <c r="HR286" i="6"/>
  <c r="GT291" i="1"/>
  <c r="EX291" i="1"/>
  <c r="DB291" i="1"/>
  <c r="BF291" i="1"/>
  <c r="AH291" i="1"/>
  <c r="J291" i="1"/>
  <c r="HR80" i="1"/>
  <c r="EL84" i="1"/>
  <c r="DB84" i="6"/>
  <c r="DB327" i="6"/>
  <c r="GT354" i="6"/>
  <c r="ES7" i="6"/>
  <c r="ES8" i="6" s="1"/>
  <c r="ES9" i="6" s="1"/>
  <c r="EV9" i="6" s="1"/>
  <c r="FJ228" i="6"/>
  <c r="HF228" i="6"/>
  <c r="EX255" i="6"/>
  <c r="GT255" i="6"/>
  <c r="E327" i="10"/>
  <c r="J8" i="12"/>
  <c r="HR43" i="1"/>
  <c r="HR60" i="1"/>
  <c r="K40" i="11"/>
  <c r="J237" i="1"/>
  <c r="G25" i="11"/>
  <c r="DB201" i="1"/>
  <c r="GH192" i="1"/>
  <c r="EL192" i="1"/>
  <c r="AT192" i="1"/>
  <c r="L7" i="12"/>
  <c r="BR30" i="1"/>
  <c r="DN30" i="1"/>
  <c r="CP48" i="1"/>
  <c r="EX57" i="1"/>
  <c r="BR66" i="1"/>
  <c r="CD75" i="1"/>
  <c r="FV75" i="1"/>
  <c r="J93" i="1"/>
  <c r="BF93" i="1"/>
  <c r="HR24" i="1"/>
  <c r="HL192" i="1"/>
  <c r="HQ192" i="1"/>
  <c r="E23" i="11"/>
  <c r="K22" i="11"/>
  <c r="IG174" i="1"/>
  <c r="IE156" i="1"/>
  <c r="K19" i="11"/>
  <c r="K18" i="11"/>
  <c r="HK138" i="1"/>
  <c r="CP174" i="1"/>
  <c r="GT165" i="1"/>
  <c r="EX165" i="1"/>
  <c r="DB165" i="1"/>
  <c r="BF165" i="1"/>
  <c r="GT156" i="1"/>
  <c r="DB156" i="1"/>
  <c r="GH147" i="1"/>
  <c r="EL147" i="1"/>
  <c r="CP147" i="1"/>
  <c r="FV138" i="1"/>
  <c r="DZ138" i="1"/>
  <c r="CD138" i="1"/>
  <c r="HF129" i="1"/>
  <c r="FJ129" i="1"/>
  <c r="DN129" i="1"/>
  <c r="BR129" i="1"/>
  <c r="GT111" i="1"/>
  <c r="DB111" i="1"/>
  <c r="BF111" i="1"/>
  <c r="HR97" i="6"/>
  <c r="HR137" i="1"/>
  <c r="BR165" i="6"/>
  <c r="HF165" i="6"/>
  <c r="HR180" i="6"/>
  <c r="HR186" i="6"/>
  <c r="HR207" i="6"/>
  <c r="HF291" i="1"/>
  <c r="K35" i="11"/>
  <c r="V291" i="1"/>
  <c r="EX282" i="1"/>
  <c r="IG282" i="1"/>
  <c r="BF282" i="1"/>
  <c r="J282" i="1"/>
  <c r="T19" i="11"/>
  <c r="BF138" i="6"/>
  <c r="J120" i="6"/>
  <c r="J48" i="6"/>
  <c r="G20" i="11"/>
  <c r="I18" i="11"/>
  <c r="D18" i="11" s="1"/>
  <c r="II273" i="1"/>
  <c r="G33" i="11"/>
  <c r="IF273" i="1"/>
  <c r="AT228" i="1"/>
  <c r="IC300" i="1"/>
  <c r="HR9" i="6"/>
  <c r="DZ30" i="6"/>
  <c r="HR37" i="6"/>
  <c r="BR48" i="6"/>
  <c r="DN48" i="6"/>
  <c r="DN174" i="6"/>
  <c r="HR189" i="6"/>
  <c r="FV264" i="6"/>
  <c r="CP273" i="6"/>
  <c r="EL273" i="6"/>
  <c r="GH273" i="6"/>
  <c r="DN291" i="6"/>
  <c r="FJ291" i="6"/>
  <c r="EX309" i="6"/>
  <c r="HR311" i="6"/>
  <c r="CD318" i="6"/>
  <c r="DZ318" i="6"/>
  <c r="FV318" i="6"/>
  <c r="HR331" i="6"/>
  <c r="EL354" i="6"/>
  <c r="HR38" i="1"/>
  <c r="HR32" i="1"/>
  <c r="E18" i="11"/>
  <c r="GH156" i="1"/>
  <c r="HR146" i="1"/>
  <c r="HR144" i="1"/>
  <c r="HR142" i="1"/>
  <c r="HR140" i="1"/>
  <c r="HR83" i="6"/>
  <c r="CD84" i="6"/>
  <c r="DZ84" i="6"/>
  <c r="DN120" i="6"/>
  <c r="IF174" i="1"/>
  <c r="IF138" i="1"/>
  <c r="BF66" i="1"/>
  <c r="CP282" i="1"/>
  <c r="HQ111" i="6"/>
  <c r="P5" i="11"/>
  <c r="E21" i="11"/>
  <c r="CD21" i="6"/>
  <c r="DB111" i="6"/>
  <c r="DN165" i="6"/>
  <c r="DB183" i="6"/>
  <c r="EX183" i="6"/>
  <c r="GT183" i="6"/>
  <c r="EX210" i="6"/>
  <c r="HR113" i="1"/>
  <c r="HF282" i="1"/>
  <c r="DN282" i="1"/>
  <c r="HR277" i="6"/>
  <c r="BR282" i="1"/>
  <c r="IE282" i="1"/>
  <c r="GT282" i="1"/>
  <c r="FJ282" i="1"/>
  <c r="DB282" i="1"/>
  <c r="V282" i="1"/>
  <c r="HU282" i="1"/>
  <c r="IF282" i="1"/>
  <c r="I34" i="11"/>
  <c r="BR282" i="6"/>
  <c r="BF282" i="6"/>
  <c r="V282" i="6"/>
  <c r="J282" i="6"/>
  <c r="EV8" i="6"/>
  <c r="DZ102" i="1"/>
  <c r="HR272" i="6"/>
  <c r="BR66" i="6"/>
  <c r="DN66" i="6"/>
  <c r="FJ66" i="6"/>
  <c r="HF66" i="6"/>
  <c r="CD120" i="6"/>
  <c r="DZ120" i="6"/>
  <c r="FV120" i="6"/>
  <c r="BR138" i="6"/>
  <c r="CD192" i="6"/>
  <c r="DZ192" i="6"/>
  <c r="FV192" i="6"/>
  <c r="CP201" i="6"/>
  <c r="EL201" i="6"/>
  <c r="GH201" i="6"/>
  <c r="DZ219" i="6"/>
  <c r="DN237" i="6"/>
  <c r="EX264" i="6"/>
  <c r="GT264" i="6"/>
  <c r="CP282" i="6"/>
  <c r="EL282" i="6"/>
  <c r="GH282" i="6"/>
  <c r="BR300" i="6"/>
  <c r="DN300" i="6"/>
  <c r="FJ300" i="6"/>
  <c r="HF300" i="6"/>
  <c r="IG264" i="1"/>
  <c r="GT273" i="1"/>
  <c r="BM6" i="1"/>
  <c r="I25" i="11"/>
  <c r="DI6" i="1"/>
  <c r="DL6" i="1" s="1"/>
  <c r="HR258" i="6"/>
  <c r="HR278" i="6"/>
  <c r="BR21" i="6"/>
  <c r="FJ21" i="6"/>
  <c r="HF21" i="6"/>
  <c r="DB273" i="6"/>
  <c r="EX273" i="6"/>
  <c r="GT273" i="6"/>
  <c r="EX327" i="6"/>
  <c r="DB354" i="6"/>
  <c r="EX354" i="6"/>
  <c r="T39" i="11"/>
  <c r="HR302" i="1"/>
  <c r="IE345" i="1"/>
  <c r="ID345" i="1"/>
  <c r="HR108" i="6"/>
  <c r="AT111" i="6"/>
  <c r="I37" i="11"/>
  <c r="GO7" i="6"/>
  <c r="GO8" i="6" s="1"/>
  <c r="GO9" i="6" s="1"/>
  <c r="GR9" i="6" s="1"/>
  <c r="HR190" i="6"/>
  <c r="FJ30" i="6"/>
  <c r="CP237" i="1"/>
  <c r="CP21" i="1"/>
  <c r="FV30" i="1"/>
  <c r="GT48" i="1"/>
  <c r="CD66" i="1"/>
  <c r="FV66" i="1"/>
  <c r="EL75" i="1"/>
  <c r="CP102" i="1"/>
  <c r="CB5" i="6"/>
  <c r="J192" i="6"/>
  <c r="HR55" i="1"/>
  <c r="HR70" i="1"/>
  <c r="HR271" i="6"/>
  <c r="EX273" i="1"/>
  <c r="DZ273" i="1"/>
  <c r="DB273" i="1"/>
  <c r="J273" i="1"/>
  <c r="IE273" i="1"/>
  <c r="CP273" i="1"/>
  <c r="IG273" i="1"/>
  <c r="AT273" i="1"/>
  <c r="P33" i="11"/>
  <c r="O33" i="11" s="1"/>
  <c r="E33" i="11"/>
  <c r="BF273" i="1"/>
  <c r="DN12" i="1"/>
  <c r="BR12" i="1"/>
  <c r="EX21" i="1"/>
  <c r="BF21" i="1"/>
  <c r="V21" i="1"/>
  <c r="HF30" i="1"/>
  <c r="CD39" i="1"/>
  <c r="FV39" i="1"/>
  <c r="J48" i="1"/>
  <c r="EL48" i="1"/>
  <c r="GH48" i="1"/>
  <c r="J57" i="1"/>
  <c r="DB57" i="1"/>
  <c r="GT57" i="1"/>
  <c r="V66" i="1"/>
  <c r="DN66" i="1"/>
  <c r="HF66" i="1"/>
  <c r="AH75" i="1"/>
  <c r="DZ75" i="1"/>
  <c r="I13" i="11"/>
  <c r="DB93" i="1"/>
  <c r="EX93" i="1"/>
  <c r="ID93" i="1"/>
  <c r="GT93" i="1"/>
  <c r="AH102" i="1"/>
  <c r="DB12" i="6"/>
  <c r="DB21" i="6"/>
  <c r="HQ30" i="6"/>
  <c r="GH30" i="6"/>
  <c r="CD39" i="6"/>
  <c r="CP39" i="6"/>
  <c r="DZ39" i="6"/>
  <c r="EL39" i="6"/>
  <c r="GH39" i="6"/>
  <c r="HR41" i="6"/>
  <c r="HR46" i="6"/>
  <c r="CD48" i="6"/>
  <c r="DZ48" i="6"/>
  <c r="FV48" i="6"/>
  <c r="GH48" i="6"/>
  <c r="DB57" i="6"/>
  <c r="HF57" i="6"/>
  <c r="HR115" i="6"/>
  <c r="HR118" i="6"/>
  <c r="FJ120" i="6"/>
  <c r="HF129" i="6"/>
  <c r="HF138" i="6"/>
  <c r="HR146" i="6"/>
  <c r="EL147" i="6"/>
  <c r="HR152" i="6"/>
  <c r="DB156" i="6"/>
  <c r="FV165" i="6"/>
  <c r="HR178" i="6"/>
  <c r="DN183" i="6"/>
  <c r="DN210" i="6"/>
  <c r="FJ210" i="6"/>
  <c r="HF210" i="6"/>
  <c r="DB228" i="6"/>
  <c r="DB237" i="6"/>
  <c r="GT237" i="6"/>
  <c r="DN264" i="6"/>
  <c r="FJ264" i="6"/>
  <c r="HF264" i="6"/>
  <c r="CD273" i="6"/>
  <c r="DZ273" i="6"/>
  <c r="FV273" i="6"/>
  <c r="HR280" i="6"/>
  <c r="EX282" i="6"/>
  <c r="HR293" i="6"/>
  <c r="CP309" i="6"/>
  <c r="GH309" i="6"/>
  <c r="HR317" i="6"/>
  <c r="CD327" i="6"/>
  <c r="HR334" i="6"/>
  <c r="CD336" i="6"/>
  <c r="FV336" i="6"/>
  <c r="HR343" i="6"/>
  <c r="HR349" i="6"/>
  <c r="AH336" i="6"/>
  <c r="BF300" i="6"/>
  <c r="BF273" i="6"/>
  <c r="HQ273" i="6"/>
  <c r="HL147" i="6"/>
  <c r="T10" i="11"/>
  <c r="HU258" i="1"/>
  <c r="HR205" i="1"/>
  <c r="HR133" i="1"/>
  <c r="G40" i="11"/>
  <c r="E40" i="11"/>
  <c r="HK327" i="1"/>
  <c r="HK300" i="1"/>
  <c r="HK273" i="1"/>
  <c r="FV264" i="1"/>
  <c r="CD264" i="1"/>
  <c r="AH264" i="1"/>
  <c r="G31" i="11"/>
  <c r="E30" i="11"/>
  <c r="GT192" i="1"/>
  <c r="EX192" i="1"/>
  <c r="DN192" i="1"/>
  <c r="BF192" i="1"/>
  <c r="GT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EX75" i="6"/>
  <c r="BF75" i="6"/>
  <c r="BR84" i="6"/>
  <c r="CD93" i="6"/>
  <c r="DZ93" i="6"/>
  <c r="FV93" i="6"/>
  <c r="HK102" i="6"/>
  <c r="BR264" i="1"/>
  <c r="II264" i="1"/>
  <c r="G264" i="10"/>
  <c r="GH264" i="1"/>
  <c r="EL264" i="1"/>
  <c r="CP264" i="1"/>
  <c r="AT264" i="1"/>
  <c r="BR264" i="6"/>
  <c r="BR255" i="1"/>
  <c r="HR253" i="6"/>
  <c r="AH255" i="1"/>
  <c r="HR252" i="6"/>
  <c r="FV255" i="1"/>
  <c r="HU255" i="6"/>
  <c r="DN255" i="1"/>
  <c r="CD255" i="1"/>
  <c r="DZ255" i="1"/>
  <c r="HF255" i="1"/>
  <c r="BF255" i="6"/>
  <c r="HR248" i="6"/>
  <c r="IE309" i="1"/>
  <c r="FJ309" i="1"/>
  <c r="BR309" i="1"/>
  <c r="P13" i="11"/>
  <c r="O13" i="11" s="1"/>
  <c r="V93" i="6"/>
  <c r="BR93" i="6"/>
  <c r="DN93" i="6"/>
  <c r="FJ93" i="6"/>
  <c r="AH102" i="6"/>
  <c r="HR107" i="6"/>
  <c r="BF291" i="6"/>
  <c r="V165" i="6"/>
  <c r="BF147" i="6"/>
  <c r="J147" i="6"/>
  <c r="CW6" i="1"/>
  <c r="CW7" i="1" s="1"/>
  <c r="EG6" i="6"/>
  <c r="EJ6" i="6" s="1"/>
  <c r="HR153" i="6"/>
  <c r="EX12" i="6"/>
  <c r="GT12" i="6"/>
  <c r="DZ21" i="6"/>
  <c r="FV21" i="6"/>
  <c r="HR56" i="6"/>
  <c r="CP57" i="6"/>
  <c r="HQ327" i="6"/>
  <c r="J345" i="6"/>
  <c r="AT327" i="6"/>
  <c r="AT183" i="6"/>
  <c r="HR311" i="1"/>
  <c r="HR289" i="1"/>
  <c r="EL354" i="1"/>
  <c r="IH237" i="1"/>
  <c r="M8" i="12"/>
  <c r="M9" i="12" s="1"/>
  <c r="M10" i="12" s="1"/>
  <c r="M11" i="12" s="1"/>
  <c r="HR91" i="1"/>
  <c r="AT102" i="6"/>
  <c r="K7" i="11"/>
  <c r="I10" i="11"/>
  <c r="II93" i="1"/>
  <c r="HR200" i="6"/>
  <c r="HR261" i="6"/>
  <c r="CD129" i="6"/>
  <c r="DZ129" i="6"/>
  <c r="HL228" i="6"/>
  <c r="HU205" i="1"/>
  <c r="HR113" i="6"/>
  <c r="IF21" i="1"/>
  <c r="CW7" i="6"/>
  <c r="CZ5" i="6"/>
  <c r="HR116" i="6"/>
  <c r="HR330" i="6"/>
  <c r="T25" i="11"/>
  <c r="T15" i="11"/>
  <c r="GH12" i="1"/>
  <c r="EL12" i="1"/>
  <c r="HR289" i="6"/>
  <c r="HR179" i="6"/>
  <c r="HR315" i="6"/>
  <c r="HF30" i="6"/>
  <c r="HQ57" i="6"/>
  <c r="CD66" i="6"/>
  <c r="EL120" i="6"/>
  <c r="GH120" i="6"/>
  <c r="HR125" i="6"/>
  <c r="J10" i="12"/>
  <c r="HR267" i="6"/>
  <c r="HR288" i="6"/>
  <c r="DB291" i="6"/>
  <c r="EX291" i="6"/>
  <c r="GT291" i="6"/>
  <c r="P35" i="11"/>
  <c r="G26" i="11"/>
  <c r="GT183" i="1"/>
  <c r="EX183" i="1"/>
  <c r="DB183" i="1"/>
  <c r="HR244" i="1"/>
  <c r="HF246" i="1"/>
  <c r="AT246" i="1"/>
  <c r="HR243" i="1"/>
  <c r="V246" i="1"/>
  <c r="GH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F75" i="1"/>
  <c r="BR102" i="1"/>
  <c r="EX102" i="1"/>
  <c r="GT102" i="1"/>
  <c r="CP12" i="6"/>
  <c r="CD30" i="6"/>
  <c r="FJ48" i="6"/>
  <c r="HF48" i="6"/>
  <c r="EX57" i="6"/>
  <c r="GH66" i="6"/>
  <c r="DB129" i="6"/>
  <c r="DN129" i="6"/>
  <c r="EX129" i="6"/>
  <c r="FJ129" i="6"/>
  <c r="CP156" i="6"/>
  <c r="EL156" i="6"/>
  <c r="GH156" i="6"/>
  <c r="HR161" i="6"/>
  <c r="HR167" i="6"/>
  <c r="DZ174" i="6"/>
  <c r="FV174" i="6"/>
  <c r="HR181" i="6"/>
  <c r="HR187" i="6"/>
  <c r="BR192" i="6"/>
  <c r="DN192" i="6"/>
  <c r="FJ192" i="6"/>
  <c r="HF192" i="6"/>
  <c r="HR249" i="6"/>
  <c r="J57" i="6"/>
  <c r="HR339" i="1"/>
  <c r="HR332" i="1"/>
  <c r="HR323" i="1"/>
  <c r="HR303" i="1"/>
  <c r="HR286" i="1"/>
  <c r="HR269" i="1"/>
  <c r="HR267" i="1"/>
  <c r="G29" i="11"/>
  <c r="HR262" i="6"/>
  <c r="BR273" i="6"/>
  <c r="DN273" i="6"/>
  <c r="FJ273" i="6"/>
  <c r="CD309" i="6"/>
  <c r="DZ309" i="6"/>
  <c r="HR322" i="6"/>
  <c r="HR323" i="6"/>
  <c r="HR326" i="6"/>
  <c r="CP327" i="6"/>
  <c r="EL327" i="6"/>
  <c r="FJ327" i="6"/>
  <c r="GH327" i="6"/>
  <c r="HR332" i="6"/>
  <c r="BR336" i="6"/>
  <c r="CP336" i="6"/>
  <c r="FJ336" i="6"/>
  <c r="HF336" i="6"/>
  <c r="DB345" i="6"/>
  <c r="EX345" i="6"/>
  <c r="HR347" i="6"/>
  <c r="HR348" i="6"/>
  <c r="BR354" i="6"/>
  <c r="DN354" i="6"/>
  <c r="FJ354" i="6"/>
  <c r="HF354" i="6"/>
  <c r="HF246" i="6"/>
  <c r="AT237" i="6"/>
  <c r="AH183" i="6"/>
  <c r="EX300" i="1"/>
  <c r="CD282" i="1"/>
  <c r="AH282" i="1"/>
  <c r="ID273" i="1"/>
  <c r="EL255" i="1"/>
  <c r="AT255" i="1"/>
  <c r="G237" i="10"/>
  <c r="IG237" i="1"/>
  <c r="BR237" i="6"/>
  <c r="FV237" i="1"/>
  <c r="DB237" i="1"/>
  <c r="CD237" i="1"/>
  <c r="AH237" i="1"/>
  <c r="IF237" i="1"/>
  <c r="HU237" i="1"/>
  <c r="IE237" i="1"/>
  <c r="ID237" i="1"/>
  <c r="DN237" i="1"/>
  <c r="CP12" i="1"/>
  <c r="AT12" i="1"/>
  <c r="IF57" i="1"/>
  <c r="IG57" i="1"/>
  <c r="IG66" i="1"/>
  <c r="IG75" i="1"/>
  <c r="HK93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DZ156" i="6"/>
  <c r="FV156" i="6"/>
  <c r="HR163" i="6"/>
  <c r="GT165" i="6"/>
  <c r="BR174" i="6"/>
  <c r="EX174" i="6"/>
  <c r="FJ174" i="6"/>
  <c r="GC105" i="6"/>
  <c r="GC106" i="6" s="1"/>
  <c r="HR15" i="1"/>
  <c r="J12" i="6"/>
  <c r="CP21" i="6"/>
  <c r="GH21" i="6"/>
  <c r="HR43" i="6"/>
  <c r="HR59" i="6"/>
  <c r="HR65" i="6"/>
  <c r="HR123" i="6"/>
  <c r="GT129" i="6"/>
  <c r="GT174" i="6"/>
  <c r="HF174" i="6"/>
  <c r="HL183" i="6"/>
  <c r="GH183" i="6"/>
  <c r="GH192" i="6"/>
  <c r="DN201" i="6"/>
  <c r="FJ201" i="6"/>
  <c r="HF201" i="6"/>
  <c r="HR213" i="6"/>
  <c r="CD228" i="6"/>
  <c r="DZ228" i="6"/>
  <c r="FV228" i="6"/>
  <c r="HR235" i="6"/>
  <c r="HK237" i="6"/>
  <c r="CP237" i="6"/>
  <c r="EL237" i="6"/>
  <c r="GH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R338" i="1"/>
  <c r="HR277" i="1"/>
  <c r="HR270" i="1"/>
  <c r="HR191" i="1"/>
  <c r="HR189" i="1"/>
  <c r="HR187" i="1"/>
  <c r="HR185" i="1"/>
  <c r="HR180" i="1"/>
  <c r="HR178" i="1"/>
  <c r="HR176" i="1"/>
  <c r="HR172" i="1"/>
  <c r="HR170" i="1"/>
  <c r="HR168" i="1"/>
  <c r="HR154" i="1"/>
  <c r="HR152" i="1"/>
  <c r="HR150" i="1"/>
  <c r="HR123" i="1"/>
  <c r="HR118" i="1"/>
  <c r="HR116" i="1"/>
  <c r="IB345" i="1"/>
  <c r="IB327" i="1"/>
  <c r="IE318" i="1"/>
  <c r="IB318" i="1"/>
  <c r="IB309" i="1"/>
  <c r="IE300" i="1"/>
  <c r="IE291" i="1"/>
  <c r="ID291" i="1"/>
  <c r="IC291" i="1"/>
  <c r="IB291" i="1"/>
  <c r="ID282" i="1"/>
  <c r="IB273" i="1"/>
  <c r="ID264" i="1"/>
  <c r="IC264" i="1"/>
  <c r="IE255" i="1"/>
  <c r="IC255" i="1"/>
  <c r="IE246" i="1"/>
  <c r="ID246" i="1"/>
  <c r="IC246" i="1"/>
  <c r="IB237" i="1"/>
  <c r="II192" i="1"/>
  <c r="E24" i="11"/>
  <c r="IF192" i="1"/>
  <c r="IE174" i="1"/>
  <c r="ID174" i="1"/>
  <c r="IB147" i="1"/>
  <c r="II120" i="1"/>
  <c r="E16" i="11"/>
  <c r="D16" i="11" s="1"/>
  <c r="HL84" i="6"/>
  <c r="HK255" i="6"/>
  <c r="HR259" i="6"/>
  <c r="HR298" i="6"/>
  <c r="DZ300" i="6"/>
  <c r="EX300" i="6"/>
  <c r="FV300" i="6"/>
  <c r="HR307" i="6"/>
  <c r="HF309" i="6"/>
  <c r="HR313" i="6"/>
  <c r="CP318" i="6"/>
  <c r="DN318" i="6"/>
  <c r="FJ318" i="6"/>
  <c r="HR320" i="6"/>
  <c r="HR335" i="6"/>
  <c r="HR340" i="6"/>
  <c r="AT354" i="6"/>
  <c r="V318" i="6"/>
  <c r="AT129" i="6"/>
  <c r="I28" i="11"/>
  <c r="K309" i="10"/>
  <c r="CD228" i="1"/>
  <c r="AH228" i="1"/>
  <c r="K28" i="11"/>
  <c r="IG228" i="1"/>
  <c r="DZ228" i="1"/>
  <c r="V228" i="1"/>
  <c r="BR228" i="1"/>
  <c r="E28" i="11"/>
  <c r="HR224" i="6"/>
  <c r="HR223" i="6"/>
  <c r="HF228" i="1"/>
  <c r="DN228" i="1"/>
  <c r="IF228" i="1"/>
  <c r="HK228" i="1"/>
  <c r="EX228" i="1"/>
  <c r="DB228" i="1"/>
  <c r="I14" i="12"/>
  <c r="J13" i="12"/>
  <c r="HQ21" i="1"/>
  <c r="HL21" i="1"/>
  <c r="J30" i="1"/>
  <c r="BF30" i="1"/>
  <c r="DB30" i="1"/>
  <c r="EX30" i="1"/>
  <c r="GT30" i="1"/>
  <c r="V39" i="1"/>
  <c r="BR39" i="1"/>
  <c r="DN39" i="1"/>
  <c r="FJ39" i="1"/>
  <c r="HF39" i="1"/>
  <c r="DZ48" i="1"/>
  <c r="FV48" i="1"/>
  <c r="AT57" i="1"/>
  <c r="CP57" i="1"/>
  <c r="GH57" i="1"/>
  <c r="J66" i="1"/>
  <c r="DB66" i="1"/>
  <c r="GT66" i="1"/>
  <c r="V75" i="1"/>
  <c r="BR75" i="1"/>
  <c r="AT93" i="1"/>
  <c r="CP93" i="1"/>
  <c r="GH93" i="1"/>
  <c r="V102" i="1"/>
  <c r="HU348" i="6"/>
  <c r="HR119" i="6"/>
  <c r="HU125" i="6"/>
  <c r="HR8" i="6"/>
  <c r="FH5" i="6"/>
  <c r="HO57" i="6"/>
  <c r="FJ57" i="6"/>
  <c r="CD111" i="6"/>
  <c r="FV111" i="6"/>
  <c r="CP138" i="6"/>
  <c r="EL138" i="6"/>
  <c r="GH138" i="6"/>
  <c r="BR147" i="6"/>
  <c r="DN147" i="6"/>
  <c r="FJ147" i="6"/>
  <c r="HF147" i="6"/>
  <c r="HR162" i="6"/>
  <c r="HK165" i="6"/>
  <c r="DB165" i="6"/>
  <c r="EX165" i="6"/>
  <c r="CP183" i="6"/>
  <c r="EL183" i="6"/>
  <c r="CD282" i="6"/>
  <c r="DZ282" i="6"/>
  <c r="FV282" i="6"/>
  <c r="DB300" i="6"/>
  <c r="GT300" i="6"/>
  <c r="EL318" i="6"/>
  <c r="GH318" i="6"/>
  <c r="HU323" i="6"/>
  <c r="DN327" i="6"/>
  <c r="HF327" i="6"/>
  <c r="EL336" i="6"/>
  <c r="GH336" i="6"/>
  <c r="HR263" i="1"/>
  <c r="HR261" i="1"/>
  <c r="HR233" i="1"/>
  <c r="HR231" i="1"/>
  <c r="HR181" i="1"/>
  <c r="HR179" i="1"/>
  <c r="HR177" i="1"/>
  <c r="HR155" i="1"/>
  <c r="G27" i="11"/>
  <c r="IC273" i="1"/>
  <c r="HQ264" i="1"/>
  <c r="IC237" i="1"/>
  <c r="IB192" i="1"/>
  <c r="HL165" i="1"/>
  <c r="IB165" i="1"/>
  <c r="G16" i="11"/>
  <c r="IB111" i="1"/>
  <c r="J7" i="12"/>
  <c r="CD84" i="1"/>
  <c r="AH75" i="6"/>
  <c r="HR87" i="6"/>
  <c r="HR19" i="6"/>
  <c r="DZ66" i="6"/>
  <c r="FV66" i="6"/>
  <c r="HR105" i="6"/>
  <c r="DB219" i="6"/>
  <c r="EX219" i="6"/>
  <c r="GT219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GT57" i="6"/>
  <c r="HR60" i="6"/>
  <c r="BR111" i="6"/>
  <c r="HR126" i="6"/>
  <c r="HR131" i="6"/>
  <c r="DZ138" i="6"/>
  <c r="FV138" i="6"/>
  <c r="HR144" i="6"/>
  <c r="EX147" i="6"/>
  <c r="GT147" i="6"/>
  <c r="HR150" i="6"/>
  <c r="HK156" i="6"/>
  <c r="HR164" i="6"/>
  <c r="HL165" i="6"/>
  <c r="GH165" i="6"/>
  <c r="HR170" i="6"/>
  <c r="HR176" i="6"/>
  <c r="DZ183" i="6"/>
  <c r="FV183" i="6"/>
  <c r="CD210" i="6"/>
  <c r="DZ210" i="6"/>
  <c r="FV210" i="6"/>
  <c r="BR228" i="6"/>
  <c r="HR324" i="6"/>
  <c r="J273" i="6"/>
  <c r="HR279" i="1"/>
  <c r="HR5" i="1"/>
  <c r="AC6" i="1"/>
  <c r="AF6" i="1" s="1"/>
  <c r="GT12" i="1"/>
  <c r="EL21" i="1"/>
  <c r="DZ30" i="1"/>
  <c r="AT39" i="1"/>
  <c r="IH39" i="1"/>
  <c r="EL39" i="1"/>
  <c r="BF48" i="1"/>
  <c r="DB48" i="1"/>
  <c r="V57" i="1"/>
  <c r="HF57" i="1"/>
  <c r="II75" i="1"/>
  <c r="HR342" i="6"/>
  <c r="EV5" i="6"/>
  <c r="HR27" i="6"/>
  <c r="DB30" i="6"/>
  <c r="GT30" i="6"/>
  <c r="HR33" i="6"/>
  <c r="BR39" i="6"/>
  <c r="DN39" i="6"/>
  <c r="FJ39" i="6"/>
  <c r="HF39" i="6"/>
  <c r="CP48" i="6"/>
  <c r="HR230" i="6"/>
  <c r="CD237" i="6"/>
  <c r="DZ237" i="6"/>
  <c r="FV237" i="6"/>
  <c r="HR344" i="6"/>
  <c r="CP345" i="6"/>
  <c r="EL345" i="6"/>
  <c r="GH345" i="6"/>
  <c r="HR350" i="6"/>
  <c r="V354" i="6"/>
  <c r="J327" i="6"/>
  <c r="AH291" i="6"/>
  <c r="V273" i="6"/>
  <c r="T16" i="11"/>
  <c r="O16" i="11" s="1"/>
  <c r="P8" i="11"/>
  <c r="HR304" i="1"/>
  <c r="HR329" i="1"/>
  <c r="HR326" i="1"/>
  <c r="HR324" i="1"/>
  <c r="HR322" i="1"/>
  <c r="HR320" i="1"/>
  <c r="HR262" i="1"/>
  <c r="HR128" i="1"/>
  <c r="EV5" i="1"/>
  <c r="HR143" i="6"/>
  <c r="HR169" i="6"/>
  <c r="T4" i="11"/>
  <c r="O4" i="11" s="1"/>
  <c r="HQ300" i="6"/>
  <c r="HK309" i="6"/>
  <c r="HL336" i="6"/>
  <c r="P21" i="11"/>
  <c r="P15" i="11"/>
  <c r="P7" i="11"/>
  <c r="HR259" i="1"/>
  <c r="HK57" i="1"/>
  <c r="HR270" i="6"/>
  <c r="HK12" i="6"/>
  <c r="HK13" i="6" s="1"/>
  <c r="CP228" i="6"/>
  <c r="GH228" i="6"/>
  <c r="HR232" i="6"/>
  <c r="FJ237" i="6"/>
  <c r="HF237" i="6"/>
  <c r="HR254" i="6"/>
  <c r="CP255" i="6"/>
  <c r="EL255" i="6"/>
  <c r="GH255" i="6"/>
  <c r="AH345" i="6"/>
  <c r="V327" i="6"/>
  <c r="J318" i="6"/>
  <c r="BF309" i="6"/>
  <c r="J309" i="6"/>
  <c r="AT300" i="6"/>
  <c r="V264" i="6"/>
  <c r="BF174" i="6"/>
  <c r="T22" i="11"/>
  <c r="V21" i="6"/>
  <c r="HR285" i="1"/>
  <c r="HR167" i="1"/>
  <c r="GO6" i="1"/>
  <c r="GR6" i="1" s="1"/>
  <c r="HQ75" i="1"/>
  <c r="HR329" i="6"/>
  <c r="DN219" i="6"/>
  <c r="FJ219" i="6"/>
  <c r="HF219" i="6"/>
  <c r="BR345" i="6"/>
  <c r="DN345" i="6"/>
  <c r="FJ345" i="6"/>
  <c r="HF345" i="6"/>
  <c r="CD354" i="6"/>
  <c r="DZ354" i="6"/>
  <c r="FV354" i="6"/>
  <c r="T31" i="11"/>
  <c r="T29" i="11"/>
  <c r="T23" i="11"/>
  <c r="V174" i="6"/>
  <c r="T21" i="11"/>
  <c r="BF156" i="6"/>
  <c r="J156" i="6"/>
  <c r="AT138" i="6"/>
  <c r="BF66" i="6"/>
  <c r="J66" i="6"/>
  <c r="AT48" i="6"/>
  <c r="GT228" i="1"/>
  <c r="IE228" i="1"/>
  <c r="GH228" i="1"/>
  <c r="HR221" i="1"/>
  <c r="EL228" i="1"/>
  <c r="BF228" i="1"/>
  <c r="IB228" i="1"/>
  <c r="AH228" i="6"/>
  <c r="HR221" i="6"/>
  <c r="FJ219" i="1"/>
  <c r="EL219" i="1"/>
  <c r="AH219" i="1"/>
  <c r="DZ219" i="1"/>
  <c r="HR217" i="1"/>
  <c r="BR219" i="6"/>
  <c r="V219" i="6"/>
  <c r="HR217" i="6"/>
  <c r="HR216" i="1"/>
  <c r="HR216" i="6"/>
  <c r="BF219" i="6"/>
  <c r="J219" i="1"/>
  <c r="HR215" i="1"/>
  <c r="II219" i="1"/>
  <c r="IG219" i="1"/>
  <c r="DB219" i="1"/>
  <c r="BR219" i="1"/>
  <c r="BF219" i="1"/>
  <c r="HR214" i="6"/>
  <c r="FV219" i="1"/>
  <c r="ID219" i="1"/>
  <c r="CD219" i="1"/>
  <c r="E27" i="11"/>
  <c r="V219" i="1"/>
  <c r="IF219" i="1"/>
  <c r="K27" i="11"/>
  <c r="HK219" i="1"/>
  <c r="HR212" i="1"/>
  <c r="AT219" i="6"/>
  <c r="HR212" i="6"/>
  <c r="J219" i="6"/>
  <c r="HL309" i="1"/>
  <c r="HL273" i="1"/>
  <c r="GT264" i="1"/>
  <c r="IE264" i="1"/>
  <c r="HL246" i="1"/>
  <c r="HL237" i="1"/>
  <c r="HL219" i="1"/>
  <c r="HL210" i="1"/>
  <c r="HL147" i="1"/>
  <c r="HL138" i="1"/>
  <c r="HK120" i="1"/>
  <c r="I16" i="11"/>
  <c r="HL111" i="1"/>
  <c r="IC282" i="1"/>
  <c r="IB282" i="1"/>
  <c r="IE147" i="1"/>
  <c r="IC138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O32" i="11" s="1"/>
  <c r="HK264" i="6"/>
  <c r="IE183" i="1"/>
  <c r="IE138" i="1"/>
  <c r="HR222" i="6"/>
  <c r="HU55" i="6"/>
  <c r="HR55" i="6"/>
  <c r="HU61" i="6"/>
  <c r="HU66" i="6" s="1"/>
  <c r="HR61" i="6"/>
  <c r="HU127" i="6"/>
  <c r="HR127" i="6"/>
  <c r="HU145" i="6"/>
  <c r="HR145" i="6"/>
  <c r="DB147" i="6"/>
  <c r="HQ147" i="6"/>
  <c r="HU171" i="6"/>
  <c r="HR171" i="6"/>
  <c r="CD183" i="6"/>
  <c r="HQ183" i="6"/>
  <c r="HU218" i="6"/>
  <c r="HR218" i="6"/>
  <c r="AH246" i="1"/>
  <c r="HQ246" i="1"/>
  <c r="HL228" i="1"/>
  <c r="GH219" i="1"/>
  <c r="IE219" i="1"/>
  <c r="AT219" i="1"/>
  <c r="HQ219" i="1"/>
  <c r="IB219" i="1"/>
  <c r="IC192" i="1"/>
  <c r="DB192" i="1"/>
  <c r="I24" i="11"/>
  <c r="HK192" i="1"/>
  <c r="HL183" i="1"/>
  <c r="HQ174" i="1"/>
  <c r="HO174" i="1"/>
  <c r="HQ138" i="1"/>
  <c r="AH138" i="1"/>
  <c r="HL129" i="1"/>
  <c r="ID228" i="1"/>
  <c r="IE129" i="1"/>
  <c r="IE192" i="1"/>
  <c r="IE48" i="1"/>
  <c r="IC147" i="1"/>
  <c r="T5" i="1"/>
  <c r="V12" i="1"/>
  <c r="HR19" i="1"/>
  <c r="ID309" i="1"/>
  <c r="ID255" i="1"/>
  <c r="ID183" i="1"/>
  <c r="ID129" i="1"/>
  <c r="ID192" i="1"/>
  <c r="ID138" i="1"/>
  <c r="IC309" i="1"/>
  <c r="IC129" i="1"/>
  <c r="FQ6" i="6"/>
  <c r="FT5" i="6"/>
  <c r="HU28" i="6"/>
  <c r="HR28" i="6"/>
  <c r="HR351" i="6"/>
  <c r="HU351" i="6"/>
  <c r="HU352" i="6"/>
  <c r="HR352" i="6"/>
  <c r="HU25" i="6"/>
  <c r="HR25" i="6"/>
  <c r="HR125" i="1"/>
  <c r="HU125" i="1"/>
  <c r="HQ300" i="1"/>
  <c r="HO273" i="1"/>
  <c r="HQ273" i="1"/>
  <c r="V237" i="1"/>
  <c r="HQ237" i="1"/>
  <c r="HL174" i="1"/>
  <c r="HO156" i="1"/>
  <c r="HQ156" i="1"/>
  <c r="J156" i="1"/>
  <c r="IB156" i="1"/>
  <c r="HQ111" i="1"/>
  <c r="HO111" i="1"/>
  <c r="J111" i="1"/>
  <c r="IB138" i="1"/>
  <c r="IC165" i="1"/>
  <c r="E7" i="11"/>
  <c r="HU15" i="6"/>
  <c r="HR15" i="6"/>
  <c r="HR260" i="6"/>
  <c r="HU260" i="6"/>
  <c r="HU264" i="6" s="1"/>
  <c r="HU266" i="6"/>
  <c r="HR266" i="6"/>
  <c r="HR294" i="6"/>
  <c r="HU294" i="6"/>
  <c r="HU300" i="6" s="1"/>
  <c r="HU308" i="6"/>
  <c r="HR308" i="6"/>
  <c r="HU314" i="6"/>
  <c r="HR314" i="6"/>
  <c r="HQ318" i="6"/>
  <c r="BR318" i="6"/>
  <c r="HU333" i="6"/>
  <c r="HU336" i="6" s="1"/>
  <c r="HR333" i="6"/>
  <c r="HU53" i="6"/>
  <c r="HR53" i="6"/>
  <c r="HL291" i="1"/>
  <c r="J228" i="1"/>
  <c r="HQ228" i="1"/>
  <c r="HO192" i="1"/>
  <c r="HR192" i="1" s="1"/>
  <c r="J192" i="1"/>
  <c r="HQ183" i="1"/>
  <c r="HO183" i="1"/>
  <c r="J183" i="1"/>
  <c r="HQ165" i="1"/>
  <c r="J165" i="1"/>
  <c r="EX156" i="1"/>
  <c r="ID156" i="1"/>
  <c r="HQ129" i="1"/>
  <c r="EX111" i="1"/>
  <c r="ID111" i="1"/>
  <c r="IF120" i="1"/>
  <c r="IG120" i="1"/>
  <c r="IH120" i="1"/>
  <c r="IE165" i="1"/>
  <c r="IE111" i="1"/>
  <c r="IC174" i="1"/>
  <c r="IE120" i="1"/>
  <c r="II12" i="1"/>
  <c r="II11" i="1" s="1"/>
  <c r="I4" i="11"/>
  <c r="V129" i="1"/>
  <c r="HU127" i="1"/>
  <c r="HR127" i="1"/>
  <c r="CP219" i="1"/>
  <c r="IC219" i="1"/>
  <c r="G24" i="11"/>
  <c r="IH192" i="1"/>
  <c r="HL156" i="1"/>
  <c r="HQ147" i="1"/>
  <c r="HO147" i="1"/>
  <c r="AT147" i="1"/>
  <c r="HO120" i="1"/>
  <c r="IB264" i="1"/>
  <c r="HR236" i="6"/>
  <c r="IB300" i="1"/>
  <c r="IB246" i="1"/>
  <c r="IB174" i="1"/>
  <c r="IB120" i="1"/>
  <c r="IC228" i="1"/>
  <c r="IB255" i="1"/>
  <c r="IB183" i="1"/>
  <c r="IB129" i="1"/>
  <c r="IC111" i="1"/>
  <c r="G9" i="11"/>
  <c r="HK30" i="1"/>
  <c r="CK6" i="1"/>
  <c r="CN6" i="1" s="1"/>
  <c r="FH6" i="6"/>
  <c r="ID165" i="1"/>
  <c r="IC156" i="1"/>
  <c r="ID300" i="1"/>
  <c r="ID120" i="1"/>
  <c r="FJ12" i="1"/>
  <c r="I9" i="11"/>
  <c r="BY7" i="6"/>
  <c r="CB7" i="6" s="1"/>
  <c r="CB6" i="6"/>
  <c r="GF5" i="6"/>
  <c r="GC6" i="6"/>
  <c r="J120" i="1"/>
  <c r="HR7" i="6"/>
  <c r="HR11" i="6"/>
  <c r="HR20" i="6"/>
  <c r="HQ48" i="6"/>
  <c r="HR48" i="6" s="1"/>
  <c r="DN57" i="6"/>
  <c r="HL111" i="6"/>
  <c r="DZ111" i="6"/>
  <c r="CP120" i="6"/>
  <c r="BR129" i="6"/>
  <c r="HR194" i="6"/>
  <c r="HU250" i="1"/>
  <c r="HR250" i="1"/>
  <c r="HR248" i="1"/>
  <c r="HU248" i="1"/>
  <c r="HU222" i="1"/>
  <c r="HR222" i="1"/>
  <c r="HU151" i="1"/>
  <c r="HR151" i="1"/>
  <c r="HU149" i="1"/>
  <c r="HR149" i="1"/>
  <c r="HU80" i="6"/>
  <c r="HR80" i="6"/>
  <c r="HQ12" i="6"/>
  <c r="HR32" i="6"/>
  <c r="FV39" i="6"/>
  <c r="HR47" i="6"/>
  <c r="HR52" i="6"/>
  <c r="HR106" i="6"/>
  <c r="DN111" i="6"/>
  <c r="HF111" i="6"/>
  <c r="HR295" i="6"/>
  <c r="Q24" i="12"/>
  <c r="R23" i="12"/>
  <c r="HR132" i="6"/>
  <c r="DN156" i="6"/>
  <c r="FJ156" i="6"/>
  <c r="HF156" i="6"/>
  <c r="DB174" i="6"/>
  <c r="HR177" i="6"/>
  <c r="HR250" i="6"/>
  <c r="BR255" i="6"/>
  <c r="HL255" i="6"/>
  <c r="DN255" i="6"/>
  <c r="FJ255" i="6"/>
  <c r="HF255" i="6"/>
  <c r="HR263" i="6"/>
  <c r="CP264" i="6"/>
  <c r="EL264" i="6"/>
  <c r="GH264" i="6"/>
  <c r="HR252" i="1"/>
  <c r="CP30" i="6"/>
  <c r="EL30" i="6"/>
  <c r="HR35" i="6"/>
  <c r="EL57" i="6"/>
  <c r="GH57" i="6"/>
  <c r="HR62" i="6"/>
  <c r="O11" i="11"/>
  <c r="EX111" i="6"/>
  <c r="GT111" i="6"/>
  <c r="HR114" i="6"/>
  <c r="HR133" i="6"/>
  <c r="FJ138" i="6"/>
  <c r="CP147" i="6"/>
  <c r="GH147" i="6"/>
  <c r="DZ165" i="6"/>
  <c r="HR172" i="6"/>
  <c r="EL174" i="6"/>
  <c r="GH174" i="6"/>
  <c r="K219" i="10"/>
  <c r="K300" i="10"/>
  <c r="K291" i="10"/>
  <c r="FV21" i="1"/>
  <c r="II30" i="1"/>
  <c r="IG39" i="1"/>
  <c r="II39" i="1"/>
  <c r="E8" i="11"/>
  <c r="K8" i="11"/>
  <c r="IH48" i="1"/>
  <c r="K9" i="11"/>
  <c r="IH66" i="1"/>
  <c r="I11" i="11"/>
  <c r="IF93" i="1"/>
  <c r="BF12" i="6"/>
  <c r="EL12" i="6"/>
  <c r="GH12" i="6"/>
  <c r="HR17" i="6"/>
  <c r="EX21" i="6"/>
  <c r="GT21" i="6"/>
  <c r="HR23" i="6"/>
  <c r="FV30" i="6"/>
  <c r="HL30" i="1"/>
  <c r="HL57" i="1"/>
  <c r="IH102" i="1"/>
  <c r="II102" i="1"/>
  <c r="FV12" i="6"/>
  <c r="HL219" i="6"/>
  <c r="FV219" i="6"/>
  <c r="HR225" i="6"/>
  <c r="CD300" i="6"/>
  <c r="HR254" i="1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49" i="1"/>
  <c r="HR352" i="1"/>
  <c r="HR350" i="1"/>
  <c r="HR348" i="1"/>
  <c r="HR281" i="1"/>
  <c r="HR236" i="1"/>
  <c r="K41" i="11"/>
  <c r="G38" i="11"/>
  <c r="HF309" i="1"/>
  <c r="DN309" i="1"/>
  <c r="K37" i="11"/>
  <c r="V309" i="1"/>
  <c r="GT300" i="1"/>
  <c r="DB300" i="1"/>
  <c r="BF300" i="1"/>
  <c r="GH291" i="1"/>
  <c r="EL291" i="1"/>
  <c r="CP291" i="1"/>
  <c r="FV282" i="1"/>
  <c r="DZ282" i="1"/>
  <c r="E34" i="11"/>
  <c r="HF273" i="1"/>
  <c r="FJ273" i="1"/>
  <c r="DN273" i="1"/>
  <c r="I33" i="11"/>
  <c r="BR273" i="1"/>
  <c r="V273" i="1"/>
  <c r="EX264" i="1"/>
  <c r="DB264" i="1"/>
  <c r="BF264" i="1"/>
  <c r="GH255" i="1"/>
  <c r="CP255" i="1"/>
  <c r="FV246" i="1"/>
  <c r="DZ246" i="1"/>
  <c r="CD246" i="1"/>
  <c r="HF237" i="1"/>
  <c r="FJ237" i="1"/>
  <c r="I29" i="11"/>
  <c r="BR237" i="1"/>
  <c r="K29" i="11"/>
  <c r="DZ84" i="1"/>
  <c r="FV84" i="1"/>
  <c r="CP84" i="6"/>
  <c r="EL84" i="6"/>
  <c r="GH84" i="6"/>
  <c r="P38" i="11"/>
  <c r="P34" i="11"/>
  <c r="P31" i="11"/>
  <c r="T24" i="11"/>
  <c r="P24" i="11"/>
  <c r="P20" i="11"/>
  <c r="P10" i="11"/>
  <c r="O10" i="11" s="1"/>
  <c r="P6" i="11"/>
  <c r="P37" i="11"/>
  <c r="T35" i="11"/>
  <c r="T30" i="11"/>
  <c r="T28" i="11"/>
  <c r="AH30" i="6"/>
  <c r="HR341" i="1"/>
  <c r="HR330" i="1"/>
  <c r="HR293" i="1"/>
  <c r="HR126" i="1"/>
  <c r="C48" i="12"/>
  <c r="C49" i="12" s="1"/>
  <c r="D49" i="12" s="1"/>
  <c r="HR353" i="1"/>
  <c r="HR325" i="1"/>
  <c r="HU270" i="1"/>
  <c r="HR268" i="1"/>
  <c r="HR242" i="1"/>
  <c r="HR240" i="1"/>
  <c r="HR117" i="1"/>
  <c r="K129" i="10"/>
  <c r="J102" i="6"/>
  <c r="BF102" i="6"/>
  <c r="HR351" i="1"/>
  <c r="HR347" i="1"/>
  <c r="HR316" i="1"/>
  <c r="HR314" i="1"/>
  <c r="HR312" i="1"/>
  <c r="HR288" i="1"/>
  <c r="HR280" i="1"/>
  <c r="HR278" i="1"/>
  <c r="HR276" i="1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HR271" i="1"/>
  <c r="HR226" i="1"/>
  <c r="HR224" i="1"/>
  <c r="HR61" i="1"/>
  <c r="HR25" i="1"/>
  <c r="DB345" i="1"/>
  <c r="GH336" i="1"/>
  <c r="EL336" i="1"/>
  <c r="DZ327" i="1"/>
  <c r="AH327" i="1"/>
  <c r="HF318" i="1"/>
  <c r="FJ318" i="1"/>
  <c r="DN318" i="1"/>
  <c r="BR318" i="1"/>
  <c r="EX309" i="1"/>
  <c r="DB309" i="1"/>
  <c r="BF309" i="1"/>
  <c r="J309" i="1"/>
  <c r="GH300" i="1"/>
  <c r="EL300" i="1"/>
  <c r="AT300" i="1"/>
  <c r="HR209" i="1"/>
  <c r="V210" i="6"/>
  <c r="HN6" i="1"/>
  <c r="HL12" i="1"/>
  <c r="ES105" i="6"/>
  <c r="IH12" i="1"/>
  <c r="IH11" i="1" s="1"/>
  <c r="ID12" i="1"/>
  <c r="IG12" i="1"/>
  <c r="IG11" i="1" s="1"/>
  <c r="HK21" i="6"/>
  <c r="HK174" i="6"/>
  <c r="BF318" i="6"/>
  <c r="HU284" i="1"/>
  <c r="HR284" i="1"/>
  <c r="HR63" i="6"/>
  <c r="EX66" i="6"/>
  <c r="GT66" i="6"/>
  <c r="HR109" i="6"/>
  <c r="BR120" i="6"/>
  <c r="HF120" i="6"/>
  <c r="HL129" i="6"/>
  <c r="EL129" i="6"/>
  <c r="GH129" i="6"/>
  <c r="HR134" i="6"/>
  <c r="HK138" i="6"/>
  <c r="HR140" i="6"/>
  <c r="EX156" i="6"/>
  <c r="GT156" i="6"/>
  <c r="HR159" i="6"/>
  <c r="DZ255" i="6"/>
  <c r="HR240" i="6"/>
  <c r="HR242" i="6"/>
  <c r="HR244" i="6"/>
  <c r="HL246" i="6"/>
  <c r="HQ246" i="6"/>
  <c r="T38" i="11"/>
  <c r="FQ6" i="1"/>
  <c r="FQ7" i="1" s="1"/>
  <c r="FT7" i="1" s="1"/>
  <c r="I5" i="11"/>
  <c r="G5" i="11"/>
  <c r="AH48" i="1"/>
  <c r="EL57" i="1"/>
  <c r="EX66" i="1"/>
  <c r="HL75" i="1"/>
  <c r="HR42" i="6"/>
  <c r="DU6" i="6"/>
  <c r="CD12" i="6"/>
  <c r="DZ12" i="6"/>
  <c r="EL21" i="6"/>
  <c r="HL57" i="6"/>
  <c r="HK66" i="6"/>
  <c r="CP66" i="6"/>
  <c r="EL66" i="6"/>
  <c r="HK120" i="6"/>
  <c r="EX120" i="6"/>
  <c r="GT120" i="6"/>
  <c r="HR141" i="6"/>
  <c r="CD147" i="6"/>
  <c r="DZ147" i="6"/>
  <c r="HR154" i="6"/>
  <c r="CD201" i="6"/>
  <c r="DZ201" i="6"/>
  <c r="FV201" i="6"/>
  <c r="HF273" i="6"/>
  <c r="DB318" i="6"/>
  <c r="HU39" i="6"/>
  <c r="EX48" i="6"/>
  <c r="HR209" i="6"/>
  <c r="EL210" i="6"/>
  <c r="EX228" i="6"/>
  <c r="GT228" i="6"/>
  <c r="HR275" i="6"/>
  <c r="T5" i="11"/>
  <c r="O5" i="11" s="1"/>
  <c r="HR299" i="1"/>
  <c r="HR297" i="1"/>
  <c r="HR295" i="1"/>
  <c r="K5" i="11"/>
  <c r="CD21" i="1"/>
  <c r="IG21" i="1"/>
  <c r="IB30" i="1"/>
  <c r="CP30" i="1"/>
  <c r="EL30" i="1"/>
  <c r="GH30" i="1"/>
  <c r="HO39" i="1"/>
  <c r="BF39" i="1"/>
  <c r="DB39" i="1"/>
  <c r="EX39" i="1"/>
  <c r="IE39" i="1"/>
  <c r="V48" i="1"/>
  <c r="BR48" i="1"/>
  <c r="DN48" i="1"/>
  <c r="FJ48" i="1"/>
  <c r="HF48" i="1"/>
  <c r="IB57" i="1"/>
  <c r="CD57" i="1"/>
  <c r="DZ57" i="1"/>
  <c r="AT66" i="1"/>
  <c r="CP66" i="1"/>
  <c r="EL66" i="1"/>
  <c r="GH66" i="1"/>
  <c r="J75" i="1"/>
  <c r="BF75" i="1"/>
  <c r="IC75" i="1"/>
  <c r="EX75" i="1"/>
  <c r="IE75" i="1"/>
  <c r="AH93" i="1"/>
  <c r="CD93" i="1"/>
  <c r="DZ93" i="1"/>
  <c r="IE93" i="1"/>
  <c r="HL102" i="1"/>
  <c r="BF102" i="1"/>
  <c r="EL102" i="1"/>
  <c r="GH102" i="1"/>
  <c r="DN12" i="6"/>
  <c r="FJ12" i="6"/>
  <c r="HF12" i="6"/>
  <c r="AT345" i="6"/>
  <c r="V309" i="6"/>
  <c r="J300" i="6"/>
  <c r="AH264" i="6"/>
  <c r="BF237" i="6"/>
  <c r="J237" i="6"/>
  <c r="HQ39" i="6"/>
  <c r="HL39" i="6"/>
  <c r="HO30" i="6"/>
  <c r="HR30" i="6" s="1"/>
  <c r="HL21" i="6"/>
  <c r="HU251" i="1"/>
  <c r="HR251" i="1"/>
  <c r="EX30" i="6"/>
  <c r="HL345" i="6"/>
  <c r="HO336" i="6"/>
  <c r="HK336" i="6"/>
  <c r="HL327" i="6"/>
  <c r="HO318" i="6"/>
  <c r="HR318" i="6" s="1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HU218" i="1"/>
  <c r="HR218" i="1"/>
  <c r="HU214" i="1"/>
  <c r="HR214" i="1"/>
  <c r="E118" i="6"/>
  <c r="E119" i="6" s="1"/>
  <c r="D5" i="10"/>
  <c r="G12" i="10"/>
  <c r="CW106" i="6"/>
  <c r="CZ106" i="6" s="1"/>
  <c r="HU15" i="1"/>
  <c r="HU21" i="1" s="1"/>
  <c r="I12" i="10"/>
  <c r="HF12" i="1"/>
  <c r="GR5" i="6"/>
  <c r="CP192" i="6"/>
  <c r="EL192" i="6"/>
  <c r="DB201" i="6"/>
  <c r="EX201" i="6"/>
  <c r="GT201" i="6"/>
  <c r="DN282" i="6"/>
  <c r="FJ282" i="6"/>
  <c r="HR284" i="6"/>
  <c r="HR285" i="6"/>
  <c r="HL291" i="6"/>
  <c r="CD291" i="6"/>
  <c r="DZ291" i="6"/>
  <c r="FV291" i="6"/>
  <c r="HR304" i="6"/>
  <c r="BR309" i="6"/>
  <c r="DN309" i="6"/>
  <c r="FJ309" i="6"/>
  <c r="CP246" i="6"/>
  <c r="EL246" i="6"/>
  <c r="GH246" i="6"/>
  <c r="IB21" i="1"/>
  <c r="GT21" i="1"/>
  <c r="V30" i="1"/>
  <c r="AH39" i="1"/>
  <c r="DZ39" i="1"/>
  <c r="BF57" i="1"/>
  <c r="FJ66" i="1"/>
  <c r="CD102" i="1"/>
  <c r="HA6" i="6"/>
  <c r="HA7" i="6" s="1"/>
  <c r="HL30" i="6"/>
  <c r="HR36" i="6"/>
  <c r="HK39" i="6"/>
  <c r="DB39" i="6"/>
  <c r="EX39" i="6"/>
  <c r="GT39" i="6"/>
  <c r="BR183" i="6"/>
  <c r="FJ183" i="6"/>
  <c r="HF183" i="6"/>
  <c r="HR279" i="6"/>
  <c r="HK282" i="6"/>
  <c r="GT282" i="6"/>
  <c r="BR291" i="6"/>
  <c r="HF291" i="6"/>
  <c r="BF327" i="6"/>
  <c r="J264" i="6"/>
  <c r="AH237" i="6"/>
  <c r="T27" i="11"/>
  <c r="HU257" i="1"/>
  <c r="HR257" i="1"/>
  <c r="FJ354" i="1"/>
  <c r="HO318" i="1"/>
  <c r="E36" i="11"/>
  <c r="FV291" i="1"/>
  <c r="DZ291" i="1"/>
  <c r="CD291" i="1"/>
  <c r="FJ210" i="1"/>
  <c r="DN210" i="1"/>
  <c r="E26" i="11"/>
  <c r="I102" i="10"/>
  <c r="I237" i="10"/>
  <c r="HR79" i="1"/>
  <c r="HR83" i="1"/>
  <c r="AH84" i="1"/>
  <c r="HR95" i="6"/>
  <c r="V102" i="6"/>
  <c r="BR102" i="6"/>
  <c r="HR234" i="1"/>
  <c r="HR232" i="1"/>
  <c r="HR230" i="1"/>
  <c r="HR56" i="1"/>
  <c r="HR54" i="1"/>
  <c r="HR52" i="1"/>
  <c r="HR50" i="1"/>
  <c r="HR37" i="1"/>
  <c r="HR35" i="1"/>
  <c r="HR33" i="1"/>
  <c r="FV354" i="1"/>
  <c r="HF345" i="1"/>
  <c r="FJ345" i="1"/>
  <c r="DN345" i="1"/>
  <c r="BR345" i="1"/>
  <c r="GT336" i="1"/>
  <c r="EX336" i="1"/>
  <c r="DB336" i="1"/>
  <c r="BF336" i="1"/>
  <c r="GH327" i="1"/>
  <c r="EL327" i="1"/>
  <c r="FV318" i="1"/>
  <c r="DZ318" i="1"/>
  <c r="CD318" i="1"/>
  <c r="CD210" i="1"/>
  <c r="G34" i="11"/>
  <c r="E32" i="11"/>
  <c r="HO255" i="1"/>
  <c r="E31" i="11"/>
  <c r="K30" i="11"/>
  <c r="HO246" i="1"/>
  <c r="HO237" i="1"/>
  <c r="HK237" i="1"/>
  <c r="S9" i="12"/>
  <c r="T9" i="12" s="1"/>
  <c r="N47" i="12"/>
  <c r="HQ93" i="6"/>
  <c r="EX318" i="6"/>
  <c r="GT318" i="6"/>
  <c r="HR321" i="6"/>
  <c r="DZ327" i="6"/>
  <c r="FV327" i="6"/>
  <c r="DB336" i="6"/>
  <c r="EX336" i="6"/>
  <c r="GT336" i="6"/>
  <c r="DZ345" i="6"/>
  <c r="FV345" i="6"/>
  <c r="CP354" i="6"/>
  <c r="GH354" i="6"/>
  <c r="DN246" i="6"/>
  <c r="FJ246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HR227" i="1"/>
  <c r="HR122" i="1"/>
  <c r="HR109" i="1"/>
  <c r="HR107" i="1"/>
  <c r="HR62" i="1"/>
  <c r="HR41" i="1"/>
  <c r="HR28" i="1"/>
  <c r="FV345" i="1"/>
  <c r="EX327" i="1"/>
  <c r="CP318" i="1"/>
  <c r="AT318" i="1"/>
  <c r="FV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H174" i="1"/>
  <c r="EL174" i="1"/>
  <c r="AT174" i="1"/>
  <c r="BF156" i="1"/>
  <c r="H23" i="12"/>
  <c r="C8" i="12"/>
  <c r="HR72" i="6"/>
  <c r="V84" i="6"/>
  <c r="DN84" i="6"/>
  <c r="FJ84" i="6"/>
  <c r="HF84" i="6"/>
  <c r="HR86" i="6"/>
  <c r="HR241" i="1"/>
  <c r="HR298" i="1"/>
  <c r="HR235" i="1"/>
  <c r="HR115" i="1"/>
  <c r="I39" i="11"/>
  <c r="K36" i="11"/>
  <c r="K32" i="11"/>
  <c r="I31" i="11"/>
  <c r="J9" i="12"/>
  <c r="HR100" i="1"/>
  <c r="HR136" i="1"/>
  <c r="HR134" i="1"/>
  <c r="HR132" i="1"/>
  <c r="HR72" i="1"/>
  <c r="GT354" i="1"/>
  <c r="DB354" i="1"/>
  <c r="J354" i="1"/>
  <c r="AT345" i="1"/>
  <c r="FV336" i="1"/>
  <c r="AH336" i="1"/>
  <c r="EX318" i="1"/>
  <c r="DB318" i="1"/>
  <c r="CP309" i="1"/>
  <c r="AT309" i="1"/>
  <c r="FJ291" i="1"/>
  <c r="DN291" i="1"/>
  <c r="GH273" i="1"/>
  <c r="EL273" i="1"/>
  <c r="DZ264" i="1"/>
  <c r="FJ255" i="1"/>
  <c r="V255" i="1"/>
  <c r="EX246" i="1"/>
  <c r="BF246" i="1"/>
  <c r="GH237" i="1"/>
  <c r="AT237" i="1"/>
  <c r="FV228" i="1"/>
  <c r="DN219" i="1"/>
  <c r="GH201" i="1"/>
  <c r="DZ192" i="1"/>
  <c r="FV120" i="1"/>
  <c r="DZ120" i="1"/>
  <c r="BR75" i="6"/>
  <c r="HL75" i="6"/>
  <c r="HR73" i="6"/>
  <c r="HR245" i="1"/>
  <c r="F47" i="12"/>
  <c r="AT84" i="1"/>
  <c r="CP84" i="1"/>
  <c r="GH84" i="1"/>
  <c r="HR87" i="1"/>
  <c r="T26" i="11"/>
  <c r="BF30" i="6"/>
  <c r="J30" i="6"/>
  <c r="HU111" i="1"/>
  <c r="HR308" i="1"/>
  <c r="HR306" i="1"/>
  <c r="HR287" i="1"/>
  <c r="HR275" i="1"/>
  <c r="HR153" i="1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ID210" i="1"/>
  <c r="HR208" i="1"/>
  <c r="HL210" i="6"/>
  <c r="HR208" i="6"/>
  <c r="HR207" i="1"/>
  <c r="IF210" i="1"/>
  <c r="J210" i="6"/>
  <c r="HK210" i="1"/>
  <c r="V210" i="1"/>
  <c r="HR206" i="1"/>
  <c r="IB210" i="1"/>
  <c r="BF210" i="6"/>
  <c r="HR206" i="6"/>
  <c r="IE210" i="1"/>
  <c r="I26" i="11"/>
  <c r="BR210" i="1"/>
  <c r="AH210" i="1"/>
  <c r="HK210" i="6"/>
  <c r="HR205" i="6"/>
  <c r="P26" i="11"/>
  <c r="HF210" i="1"/>
  <c r="FV210" i="1"/>
  <c r="DZ210" i="1"/>
  <c r="DB210" i="1"/>
  <c r="IC210" i="1"/>
  <c r="AT210" i="1"/>
  <c r="BR210" i="6"/>
  <c r="GH210" i="1"/>
  <c r="CP210" i="1"/>
  <c r="HR203" i="1"/>
  <c r="HO210" i="6"/>
  <c r="AH210" i="6"/>
  <c r="HR203" i="6"/>
  <c r="CD201" i="1"/>
  <c r="HR200" i="1"/>
  <c r="DL105" i="6"/>
  <c r="DI106" i="6"/>
  <c r="B198" i="6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FE8" i="6"/>
  <c r="FH7" i="6"/>
  <c r="HU215" i="6"/>
  <c r="HR215" i="6"/>
  <c r="HU269" i="6"/>
  <c r="HR269" i="6"/>
  <c r="HU239" i="1"/>
  <c r="HU246" i="1" s="1"/>
  <c r="HR239" i="1"/>
  <c r="HU226" i="6"/>
  <c r="HU228" i="6" s="1"/>
  <c r="HR226" i="6"/>
  <c r="HO354" i="6"/>
  <c r="DZ354" i="1"/>
  <c r="ID354" i="1"/>
  <c r="CD354" i="1"/>
  <c r="IC354" i="1"/>
  <c r="HQ345" i="1"/>
  <c r="V345" i="1"/>
  <c r="HL336" i="1"/>
  <c r="HO336" i="1"/>
  <c r="J336" i="1"/>
  <c r="AH318" i="1"/>
  <c r="HQ318" i="1"/>
  <c r="G25" i="12"/>
  <c r="G26" i="12" s="1"/>
  <c r="H26" i="12" s="1"/>
  <c r="H24" i="12"/>
  <c r="HQ39" i="1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HN117" i="6"/>
  <c r="DU106" i="6"/>
  <c r="DL104" i="6"/>
  <c r="FE6" i="1"/>
  <c r="FE7" i="1" s="1"/>
  <c r="J39" i="1"/>
  <c r="BA6" i="1"/>
  <c r="BA7" i="1" s="1"/>
  <c r="AH57" i="1"/>
  <c r="IE21" i="1"/>
  <c r="GT75" i="1"/>
  <c r="BY6" i="1"/>
  <c r="IB336" i="1"/>
  <c r="ID318" i="1"/>
  <c r="IC345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O17" i="11" s="1"/>
  <c r="HK129" i="6"/>
  <c r="R15" i="11"/>
  <c r="O15" i="11" s="1"/>
  <c r="HK111" i="6"/>
  <c r="AH354" i="1"/>
  <c r="IB354" i="1"/>
  <c r="HL345" i="1"/>
  <c r="CP327" i="1"/>
  <c r="IC327" i="1"/>
  <c r="AT327" i="1"/>
  <c r="HQ327" i="1"/>
  <c r="E6" i="1"/>
  <c r="H6" i="1" s="1"/>
  <c r="F5" i="10"/>
  <c r="HN116" i="6"/>
  <c r="GC6" i="1"/>
  <c r="HY5" i="1"/>
  <c r="GT39" i="1"/>
  <c r="IE327" i="1"/>
  <c r="ID57" i="1"/>
  <c r="HQ93" i="1"/>
  <c r="HQ66" i="1"/>
  <c r="EX12" i="1"/>
  <c r="DB12" i="1"/>
  <c r="BF12" i="1"/>
  <c r="IG102" i="1"/>
  <c r="IE102" i="1"/>
  <c r="HK273" i="6"/>
  <c r="CP210" i="6"/>
  <c r="HU197" i="6"/>
  <c r="HR197" i="6"/>
  <c r="HU204" i="6"/>
  <c r="HU210" i="6" s="1"/>
  <c r="HR204" i="6"/>
  <c r="P19" i="11"/>
  <c r="O19" i="11" s="1"/>
  <c r="E4" i="11"/>
  <c r="CZ104" i="6"/>
  <c r="FH104" i="6"/>
  <c r="HZ5" i="1"/>
  <c r="DB75" i="1"/>
  <c r="ID327" i="1"/>
  <c r="IE354" i="1"/>
  <c r="ID102" i="1"/>
  <c r="HQ282" i="6"/>
  <c r="HR24" i="6"/>
  <c r="HU24" i="6"/>
  <c r="HU48" i="6"/>
  <c r="HO282" i="6"/>
  <c r="DB282" i="6"/>
  <c r="HR299" i="6"/>
  <c r="CP300" i="6"/>
  <c r="EL300" i="6"/>
  <c r="GH300" i="6"/>
  <c r="P40" i="11"/>
  <c r="CD219" i="6"/>
  <c r="HQ219" i="6"/>
  <c r="HK21" i="1"/>
  <c r="DX104" i="6"/>
  <c r="E5" i="11"/>
  <c r="IC21" i="1"/>
  <c r="HO57" i="1"/>
  <c r="HF21" i="1"/>
  <c r="FJ21" i="1"/>
  <c r="BR21" i="1"/>
  <c r="I7" i="11"/>
  <c r="HK75" i="1"/>
  <c r="E13" i="11"/>
  <c r="HK228" i="6"/>
  <c r="DB48" i="6"/>
  <c r="HR18" i="6"/>
  <c r="CD165" i="6"/>
  <c r="HQ165" i="6"/>
  <c r="HU173" i="6"/>
  <c r="HU174" i="6" s="1"/>
  <c r="HR173" i="6"/>
  <c r="CP174" i="6"/>
  <c r="HO174" i="6"/>
  <c r="P9" i="11"/>
  <c r="O9" i="11" s="1"/>
  <c r="HU231" i="6"/>
  <c r="HU237" i="6" s="1"/>
  <c r="HR231" i="6"/>
  <c r="BP5" i="6"/>
  <c r="BM6" i="6"/>
  <c r="P23" i="11"/>
  <c r="HK183" i="6"/>
  <c r="AT30" i="1"/>
  <c r="IC336" i="1"/>
  <c r="IE336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IB102" i="1"/>
  <c r="J102" i="1"/>
  <c r="HN5" i="1"/>
  <c r="AF117" i="6"/>
  <c r="HN122" i="6"/>
  <c r="Q118" i="6"/>
  <c r="T118" i="6" s="1"/>
  <c r="HO21" i="1"/>
  <c r="HN118" i="6"/>
  <c r="HA105" i="6"/>
  <c r="HR18" i="1"/>
  <c r="HR20" i="1"/>
  <c r="BP6" i="1"/>
  <c r="BM7" i="1"/>
  <c r="IA5" i="1"/>
  <c r="FV93" i="1"/>
  <c r="IC318" i="1"/>
  <c r="ID336" i="1"/>
  <c r="DZ21" i="1"/>
  <c r="HQ345" i="6"/>
  <c r="HR45" i="6"/>
  <c r="HR10" i="6"/>
  <c r="HQ255" i="6"/>
  <c r="V12" i="6"/>
  <c r="HO12" i="6"/>
  <c r="HR12" i="6" s="1"/>
  <c r="AT12" i="6"/>
  <c r="AR12" i="6"/>
  <c r="BR12" i="6"/>
  <c r="CD57" i="6"/>
  <c r="DZ57" i="6"/>
  <c r="HR64" i="6"/>
  <c r="HR110" i="6"/>
  <c r="CP111" i="6"/>
  <c r="EL111" i="6"/>
  <c r="GH111" i="6"/>
  <c r="HU117" i="6"/>
  <c r="HU120" i="6" s="1"/>
  <c r="HR117" i="6"/>
  <c r="DB120" i="6"/>
  <c r="HO120" i="6"/>
  <c r="HR122" i="6"/>
  <c r="HR135" i="6"/>
  <c r="HU136" i="6"/>
  <c r="HR136" i="6"/>
  <c r="DB138" i="6"/>
  <c r="EX138" i="6"/>
  <c r="GT138" i="6"/>
  <c r="HU155" i="6"/>
  <c r="HU156" i="6" s="1"/>
  <c r="HR155" i="6"/>
  <c r="V39" i="11"/>
  <c r="HK327" i="6"/>
  <c r="HU339" i="6"/>
  <c r="HR339" i="6"/>
  <c r="V41" i="11"/>
  <c r="HK345" i="6"/>
  <c r="HO345" i="6"/>
  <c r="HU353" i="6"/>
  <c r="HR353" i="6"/>
  <c r="AH39" i="6"/>
  <c r="GT48" i="6"/>
  <c r="FV129" i="6"/>
  <c r="HU338" i="1"/>
  <c r="HU345" i="1" s="1"/>
  <c r="HR272" i="1"/>
  <c r="HU272" i="1"/>
  <c r="HU204" i="1"/>
  <c r="HU210" i="1" s="1"/>
  <c r="HR204" i="1"/>
  <c r="HR163" i="1"/>
  <c r="HU163" i="1"/>
  <c r="HR161" i="1"/>
  <c r="HU161" i="1"/>
  <c r="HU159" i="1"/>
  <c r="HR159" i="1"/>
  <c r="HU135" i="1"/>
  <c r="HR135" i="1"/>
  <c r="HU131" i="1"/>
  <c r="HR131" i="1"/>
  <c r="HR114" i="1"/>
  <c r="HU114" i="1"/>
  <c r="HU120" i="1" s="1"/>
  <c r="HR73" i="1"/>
  <c r="HK345" i="1"/>
  <c r="E41" i="11"/>
  <c r="E37" i="11"/>
  <c r="HO300" i="1"/>
  <c r="J300" i="1"/>
  <c r="HO291" i="1"/>
  <c r="AT291" i="1"/>
  <c r="E35" i="11"/>
  <c r="K34" i="11"/>
  <c r="HK264" i="1"/>
  <c r="HO264" i="1"/>
  <c r="J264" i="1"/>
  <c r="H5" i="10"/>
  <c r="K6" i="11"/>
  <c r="IH30" i="1"/>
  <c r="G7" i="11"/>
  <c r="IG48" i="1"/>
  <c r="II48" i="1"/>
  <c r="E9" i="11"/>
  <c r="IH57" i="1"/>
  <c r="II57" i="1"/>
  <c r="HO66" i="1"/>
  <c r="E10" i="11"/>
  <c r="K10" i="11"/>
  <c r="II66" i="1"/>
  <c r="G11" i="11"/>
  <c r="IH75" i="1"/>
  <c r="K13" i="11"/>
  <c r="IG93" i="1"/>
  <c r="IH93" i="1"/>
  <c r="HO102" i="1"/>
  <c r="G14" i="11"/>
  <c r="HU281" i="6"/>
  <c r="HU282" i="6" s="1"/>
  <c r="HR281" i="6"/>
  <c r="HR290" i="1"/>
  <c r="HR266" i="1"/>
  <c r="HR10" i="1"/>
  <c r="II21" i="1"/>
  <c r="IH21" i="1"/>
  <c r="ID30" i="1"/>
  <c r="IE30" i="1"/>
  <c r="HL39" i="1"/>
  <c r="IB39" i="1"/>
  <c r="ID39" i="1"/>
  <c r="GH39" i="1"/>
  <c r="HQ48" i="1"/>
  <c r="HL48" i="1"/>
  <c r="IC48" i="1"/>
  <c r="EX48" i="1"/>
  <c r="HQ57" i="1"/>
  <c r="IC57" i="1"/>
  <c r="DN57" i="1"/>
  <c r="FJ57" i="1"/>
  <c r="IE57" i="1"/>
  <c r="HL66" i="1"/>
  <c r="IB66" i="1"/>
  <c r="IC66" i="1"/>
  <c r="ID66" i="1"/>
  <c r="IE66" i="1"/>
  <c r="IB75" i="1"/>
  <c r="CP75" i="1"/>
  <c r="ID75" i="1"/>
  <c r="GH75" i="1"/>
  <c r="HL93" i="1"/>
  <c r="V93" i="1"/>
  <c r="BR93" i="1"/>
  <c r="FJ93" i="1"/>
  <c r="HQ102" i="1"/>
  <c r="IC102" i="1"/>
  <c r="FV102" i="1"/>
  <c r="EL48" i="6"/>
  <c r="HR342" i="1"/>
  <c r="HR340" i="1"/>
  <c r="HR335" i="1"/>
  <c r="HR333" i="1"/>
  <c r="HR331" i="1"/>
  <c r="HR305" i="1"/>
  <c r="HU305" i="1"/>
  <c r="DZ12" i="1"/>
  <c r="CD12" i="1"/>
  <c r="HQ21" i="6"/>
  <c r="HL156" i="6"/>
  <c r="HK192" i="6"/>
  <c r="EX192" i="6"/>
  <c r="GT192" i="6"/>
  <c r="GH210" i="6"/>
  <c r="BA16" i="6"/>
  <c r="BD16" i="6" s="1"/>
  <c r="AH327" i="6"/>
  <c r="AT282" i="6"/>
  <c r="V192" i="6"/>
  <c r="J174" i="6"/>
  <c r="AT156" i="6"/>
  <c r="AH138" i="6"/>
  <c r="AH120" i="6"/>
  <c r="AT66" i="6"/>
  <c r="AH48" i="6"/>
  <c r="V39" i="6"/>
  <c r="T6" i="11"/>
  <c r="O6" i="11" s="1"/>
  <c r="BF21" i="6"/>
  <c r="J21" i="6"/>
  <c r="HU133" i="1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HR321" i="1"/>
  <c r="K42" i="11"/>
  <c r="I41" i="11"/>
  <c r="HO345" i="1"/>
  <c r="K39" i="11"/>
  <c r="G39" i="11"/>
  <c r="K38" i="11"/>
  <c r="G37" i="11"/>
  <c r="G36" i="11"/>
  <c r="G35" i="11"/>
  <c r="HK246" i="1"/>
  <c r="BR57" i="6"/>
  <c r="BF345" i="6"/>
  <c r="E29" i="11"/>
  <c r="HQ255" i="1"/>
  <c r="HO228" i="1"/>
  <c r="HQ210" i="1"/>
  <c r="HO210" i="1"/>
  <c r="G23" i="11"/>
  <c r="HK174" i="1"/>
  <c r="HK165" i="1"/>
  <c r="FJ111" i="6"/>
  <c r="HR199" i="6"/>
  <c r="CD264" i="6"/>
  <c r="T42" i="11"/>
  <c r="P42" i="11"/>
  <c r="BF336" i="6"/>
  <c r="T40" i="11"/>
  <c r="G42" i="11"/>
  <c r="G41" i="11"/>
  <c r="I40" i="11"/>
  <c r="HK336" i="1"/>
  <c r="E39" i="11"/>
  <c r="HK291" i="6"/>
  <c r="EL291" i="6"/>
  <c r="GH291" i="6"/>
  <c r="HR239" i="6"/>
  <c r="HR241" i="6"/>
  <c r="HR243" i="6"/>
  <c r="HR245" i="6"/>
  <c r="DB246" i="6"/>
  <c r="GT246" i="6"/>
  <c r="AH354" i="6"/>
  <c r="T41" i="11"/>
  <c r="P41" i="11"/>
  <c r="HU227" i="1"/>
  <c r="HK255" i="1"/>
  <c r="G30" i="11"/>
  <c r="HR225" i="1"/>
  <c r="D21" i="11"/>
  <c r="V318" i="1"/>
  <c r="HR171" i="1"/>
  <c r="HR141" i="1"/>
  <c r="O7" i="11"/>
  <c r="HL201" i="6"/>
  <c r="J345" i="1"/>
  <c r="HR158" i="1"/>
  <c r="CP165" i="6"/>
  <c r="EL165" i="6"/>
  <c r="P39" i="11"/>
  <c r="T37" i="11"/>
  <c r="J183" i="6"/>
  <c r="P22" i="11"/>
  <c r="AT165" i="6"/>
  <c r="HQ309" i="1"/>
  <c r="HR253" i="1"/>
  <c r="HR249" i="1"/>
  <c r="P7" i="12"/>
  <c r="HF75" i="6"/>
  <c r="FJ75" i="6"/>
  <c r="DN75" i="6"/>
  <c r="V75" i="6"/>
  <c r="HR77" i="6"/>
  <c r="J84" i="6"/>
  <c r="BF84" i="6"/>
  <c r="EX84" i="6"/>
  <c r="GT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HK84" i="1"/>
  <c r="V84" i="1"/>
  <c r="BR84" i="1"/>
  <c r="DN84" i="1"/>
  <c r="HF84" i="1"/>
  <c r="HR90" i="1"/>
  <c r="FV75" i="6"/>
  <c r="DZ75" i="6"/>
  <c r="CD75" i="6"/>
  <c r="HR70" i="6"/>
  <c r="HR296" i="1"/>
  <c r="HR294" i="1"/>
  <c r="HR213" i="1"/>
  <c r="HL327" i="1"/>
  <c r="HL318" i="1"/>
  <c r="HF183" i="1"/>
  <c r="I23" i="11"/>
  <c r="K23" i="11"/>
  <c r="E22" i="11"/>
  <c r="BF174" i="1"/>
  <c r="I22" i="11"/>
  <c r="J174" i="1"/>
  <c r="HF165" i="1"/>
  <c r="DN165" i="1"/>
  <c r="I20" i="11"/>
  <c r="K20" i="11"/>
  <c r="EX147" i="1"/>
  <c r="BF147" i="1"/>
  <c r="J147" i="1"/>
  <c r="EL138" i="1"/>
  <c r="HF111" i="1"/>
  <c r="FJ111" i="1"/>
  <c r="K24" i="12"/>
  <c r="HL84" i="1"/>
  <c r="HQ84" i="1"/>
  <c r="HR343" i="1"/>
  <c r="HR317" i="1"/>
  <c r="HR223" i="1"/>
  <c r="HR59" i="1"/>
  <c r="HR44" i="1"/>
  <c r="HR42" i="1"/>
  <c r="HR29" i="1"/>
  <c r="J84" i="1"/>
  <c r="BF84" i="1"/>
  <c r="EX84" i="1"/>
  <c r="GH75" i="6"/>
  <c r="EL75" i="6"/>
  <c r="FV84" i="6"/>
  <c r="HU95" i="1"/>
  <c r="HU102" i="1" s="1"/>
  <c r="HR96" i="1"/>
  <c r="HR98" i="1"/>
  <c r="HU48" i="1"/>
  <c r="HF354" i="1"/>
  <c r="DN354" i="1"/>
  <c r="BR354" i="1"/>
  <c r="V354" i="1"/>
  <c r="GT345" i="1"/>
  <c r="EX345" i="1"/>
  <c r="BF345" i="1"/>
  <c r="CP336" i="1"/>
  <c r="I24" i="12"/>
  <c r="L47" i="12"/>
  <c r="HR91" i="6"/>
  <c r="J93" i="6"/>
  <c r="BF93" i="6"/>
  <c r="DB93" i="6"/>
  <c r="EX93" i="6"/>
  <c r="GT93" i="6"/>
  <c r="HR99" i="1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R97" i="1"/>
  <c r="HL102" i="6"/>
  <c r="AT201" i="1"/>
  <c r="T6" i="1"/>
  <c r="Q7" i="1"/>
  <c r="GF106" i="6"/>
  <c r="GC107" i="6"/>
  <c r="IE12" i="1"/>
  <c r="FV12" i="1"/>
  <c r="HO291" i="6"/>
  <c r="CP291" i="6"/>
  <c r="HU325" i="6"/>
  <c r="HR325" i="6"/>
  <c r="F7" i="6"/>
  <c r="ES106" i="6"/>
  <c r="EV105" i="6"/>
  <c r="HQ66" i="6"/>
  <c r="HO66" i="6"/>
  <c r="DB66" i="6"/>
  <c r="HQ129" i="6"/>
  <c r="HO129" i="6"/>
  <c r="CP129" i="6"/>
  <c r="HO156" i="6"/>
  <c r="HQ156" i="6"/>
  <c r="BR156" i="6"/>
  <c r="HR158" i="6"/>
  <c r="HU158" i="6"/>
  <c r="DB192" i="6"/>
  <c r="HO192" i="6"/>
  <c r="EJ104" i="6"/>
  <c r="EG105" i="6"/>
  <c r="AR118" i="6"/>
  <c r="AO119" i="6"/>
  <c r="K12" i="10"/>
  <c r="IC12" i="1"/>
  <c r="HM5" i="1"/>
  <c r="HX5" i="1"/>
  <c r="BY105" i="6"/>
  <c r="HU11" i="1"/>
  <c r="HR11" i="1"/>
  <c r="EJ5" i="1"/>
  <c r="EG6" i="1"/>
  <c r="HO30" i="1"/>
  <c r="HK48" i="1"/>
  <c r="HR6" i="6"/>
  <c r="HU6" i="6"/>
  <c r="IB12" i="1"/>
  <c r="GF105" i="6"/>
  <c r="BN124" i="6"/>
  <c r="HN123" i="6"/>
  <c r="HA6" i="1"/>
  <c r="HD5" i="1"/>
  <c r="J21" i="1"/>
  <c r="HN119" i="6"/>
  <c r="HL130" i="6" s="1"/>
  <c r="IB48" i="1"/>
  <c r="D12" i="11"/>
  <c r="EH6" i="6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HN5" i="6"/>
  <c r="DX5" i="1"/>
  <c r="DU6" i="1"/>
  <c r="DX6" i="1" s="1"/>
  <c r="F7" i="1"/>
  <c r="HN7" i="1" s="1"/>
  <c r="AR117" i="6"/>
  <c r="H5" i="1"/>
  <c r="HR6" i="1"/>
  <c r="FQ8" i="1"/>
  <c r="BD6" i="1"/>
  <c r="EV6" i="1"/>
  <c r="ES7" i="1"/>
  <c r="AO6" i="1"/>
  <c r="AR5" i="1"/>
  <c r="GH21" i="1"/>
  <c r="ID21" i="1"/>
  <c r="AT21" i="1"/>
  <c r="G6" i="11"/>
  <c r="IF30" i="1"/>
  <c r="E6" i="11"/>
  <c r="IG30" i="1"/>
  <c r="HK39" i="1"/>
  <c r="IF39" i="1"/>
  <c r="HO48" i="1"/>
  <c r="IF48" i="1"/>
  <c r="I8" i="11"/>
  <c r="HK66" i="1"/>
  <c r="IF66" i="1"/>
  <c r="G10" i="11"/>
  <c r="IF75" i="1"/>
  <c r="E11" i="11"/>
  <c r="HO75" i="1"/>
  <c r="AT75" i="1"/>
  <c r="HO93" i="1"/>
  <c r="IB93" i="1"/>
  <c r="IF102" i="1"/>
  <c r="E14" i="11"/>
  <c r="HK102" i="1"/>
  <c r="CN5" i="6"/>
  <c r="CK6" i="6"/>
  <c r="DL5" i="6"/>
  <c r="DI6" i="6"/>
  <c r="AH30" i="1"/>
  <c r="HQ30" i="1"/>
  <c r="IC30" i="1"/>
  <c r="CD30" i="1"/>
  <c r="IC39" i="1"/>
  <c r="CP39" i="1"/>
  <c r="ID48" i="1"/>
  <c r="I6" i="11"/>
  <c r="K11" i="11"/>
  <c r="HR14" i="1"/>
  <c r="HR16" i="1"/>
  <c r="BR57" i="1"/>
  <c r="AT102" i="1"/>
  <c r="IC93" i="1"/>
  <c r="G8" i="11"/>
  <c r="HR7" i="1"/>
  <c r="HR9" i="1"/>
  <c r="HM5" i="6"/>
  <c r="HP5" i="6" s="1"/>
  <c r="AO14" i="6"/>
  <c r="U4" i="11"/>
  <c r="HR17" i="1"/>
  <c r="DZ66" i="1"/>
  <c r="HR162" i="1"/>
  <c r="HU266" i="1"/>
  <c r="HR164" i="1"/>
  <c r="HU307" i="1"/>
  <c r="HR307" i="1"/>
  <c r="HU290" i="1"/>
  <c r="HR105" i="1"/>
  <c r="HU73" i="1"/>
  <c r="HU75" i="1" s="1"/>
  <c r="HR71" i="1"/>
  <c r="HR69" i="1"/>
  <c r="HL354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HU183" i="1"/>
  <c r="HU57" i="1"/>
  <c r="HR258" i="1"/>
  <c r="HR160" i="1"/>
  <c r="HR34" i="1"/>
  <c r="HR334" i="1"/>
  <c r="HR315" i="1"/>
  <c r="HR313" i="1"/>
  <c r="HK354" i="1"/>
  <c r="E38" i="11"/>
  <c r="D23" i="12"/>
  <c r="C24" i="12"/>
  <c r="D24" i="12" s="1"/>
  <c r="HU89" i="1"/>
  <c r="HU93" i="1" s="1"/>
  <c r="HR89" i="1"/>
  <c r="HR63" i="1"/>
  <c r="HR199" i="1"/>
  <c r="HR182" i="1"/>
  <c r="HR45" i="1"/>
  <c r="O24" i="12"/>
  <c r="P23" i="12"/>
  <c r="CD246" i="6"/>
  <c r="DZ246" i="6"/>
  <c r="FV246" i="6"/>
  <c r="HU39" i="1"/>
  <c r="HU61" i="1"/>
  <c r="HU66" i="1" s="1"/>
  <c r="HU141" i="1"/>
  <c r="HU147" i="1" s="1"/>
  <c r="HR124" i="1"/>
  <c r="HR344" i="1"/>
  <c r="HU123" i="1"/>
  <c r="HR145" i="1"/>
  <c r="GH354" i="1"/>
  <c r="AT354" i="1"/>
  <c r="HQ336" i="1"/>
  <c r="CD309" i="1"/>
  <c r="HL300" i="1"/>
  <c r="HQ291" i="1"/>
  <c r="HL282" i="1"/>
  <c r="FV273" i="1"/>
  <c r="HF264" i="1"/>
  <c r="V264" i="1"/>
  <c r="HL264" i="1"/>
  <c r="GT255" i="1"/>
  <c r="DB255" i="1"/>
  <c r="J255" i="1"/>
  <c r="E21" i="10"/>
  <c r="J47" i="12"/>
  <c r="I48" i="12"/>
  <c r="HR77" i="1"/>
  <c r="O14" i="11"/>
  <c r="BR246" i="6"/>
  <c r="HU25" i="1"/>
  <c r="HU30" i="1" s="1"/>
  <c r="HR143" i="1"/>
  <c r="HR260" i="1"/>
  <c r="HU188" i="1"/>
  <c r="HU192" i="1" s="1"/>
  <c r="HR188" i="1"/>
  <c r="HU171" i="1"/>
  <c r="HU174" i="1" s="1"/>
  <c r="HO327" i="1"/>
  <c r="HK318" i="1"/>
  <c r="HO309" i="1"/>
  <c r="HK309" i="1"/>
  <c r="HK291" i="1"/>
  <c r="HO282" i="1"/>
  <c r="HK282" i="1"/>
  <c r="K33" i="11"/>
  <c r="HU78" i="6"/>
  <c r="HR78" i="6"/>
  <c r="HU82" i="6"/>
  <c r="HR82" i="6"/>
  <c r="EX246" i="6"/>
  <c r="HR5" i="6"/>
  <c r="HO354" i="1"/>
  <c r="HR46" i="1"/>
  <c r="HQ354" i="1"/>
  <c r="HQ282" i="1"/>
  <c r="HL255" i="1"/>
  <c r="HO219" i="1"/>
  <c r="HK183" i="1"/>
  <c r="V165" i="1"/>
  <c r="HO165" i="1"/>
  <c r="HK156" i="1"/>
  <c r="E20" i="11"/>
  <c r="HK147" i="1"/>
  <c r="HO138" i="1"/>
  <c r="AH129" i="1"/>
  <c r="HO129" i="1"/>
  <c r="HR129" i="1" s="1"/>
  <c r="HQ120" i="1"/>
  <c r="HL120" i="1"/>
  <c r="HK111" i="1"/>
  <c r="E49" i="12"/>
  <c r="F48" i="12"/>
  <c r="I201" i="10"/>
  <c r="E8" i="12"/>
  <c r="HO84" i="1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C50" i="12"/>
  <c r="D50" i="12" s="1"/>
  <c r="HR86" i="1"/>
  <c r="HR79" i="6"/>
  <c r="HR98" i="6"/>
  <c r="CP201" i="1"/>
  <c r="M24" i="12"/>
  <c r="HR82" i="1"/>
  <c r="FJ84" i="1"/>
  <c r="HU77" i="6"/>
  <c r="I39" i="10"/>
  <c r="I192" i="10"/>
  <c r="I120" i="10"/>
  <c r="I111" i="10"/>
  <c r="I84" i="10"/>
  <c r="I300" i="10"/>
  <c r="I318" i="10"/>
  <c r="I354" i="10"/>
  <c r="HK93" i="6"/>
  <c r="HR101" i="1"/>
  <c r="G21" i="10"/>
  <c r="G39" i="10"/>
  <c r="G201" i="10"/>
  <c r="G192" i="10"/>
  <c r="G174" i="10"/>
  <c r="G165" i="10"/>
  <c r="D48" i="12"/>
  <c r="HU80" i="1"/>
  <c r="HU84" i="1" s="1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R92" i="1"/>
  <c r="DB75" i="6"/>
  <c r="HQ75" i="6"/>
  <c r="HU87" i="6"/>
  <c r="HU93" i="6" s="1"/>
  <c r="HR88" i="6"/>
  <c r="DZ201" i="1"/>
  <c r="IG201" i="1"/>
  <c r="HR198" i="1"/>
  <c r="HR198" i="6"/>
  <c r="V201" i="6"/>
  <c r="HK201" i="6"/>
  <c r="HF201" i="1"/>
  <c r="DN201" i="1"/>
  <c r="HR197" i="1"/>
  <c r="HU197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J12" i="1"/>
  <c r="HO12" i="1"/>
  <c r="HK12" i="1"/>
  <c r="HQ12" i="1"/>
  <c r="IF12" i="1"/>
  <c r="IF11" i="1" s="1"/>
  <c r="G4" i="11"/>
  <c r="CK105" i="6"/>
  <c r="CN104" i="6"/>
  <c r="GR104" i="6"/>
  <c r="GO105" i="6"/>
  <c r="BM118" i="6"/>
  <c r="FE106" i="6"/>
  <c r="FH105" i="6"/>
  <c r="FT104" i="6"/>
  <c r="FQ105" i="6"/>
  <c r="BA119" i="6"/>
  <c r="BD118" i="6"/>
  <c r="HU8" i="1"/>
  <c r="HR8" i="1"/>
  <c r="AF118" i="6"/>
  <c r="AF120" i="6"/>
  <c r="AC122" i="6"/>
  <c r="BN74" i="6"/>
  <c r="BD7" i="1"/>
  <c r="BA8" i="1"/>
  <c r="DI7" i="1"/>
  <c r="I15" i="12"/>
  <c r="J15" i="12" s="1"/>
  <c r="J14" i="12"/>
  <c r="AT201" i="6"/>
  <c r="P25" i="11"/>
  <c r="G183" i="10"/>
  <c r="L8" i="12"/>
  <c r="K9" i="12"/>
  <c r="E39" i="10"/>
  <c r="E246" i="10"/>
  <c r="E264" i="10"/>
  <c r="G27" i="12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II201" i="1"/>
  <c r="ID201" i="1"/>
  <c r="IH201" i="1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HR81" i="1"/>
  <c r="CP93" i="6"/>
  <c r="EL93" i="6"/>
  <c r="GH93" i="6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25" i="12"/>
  <c r="HQ84" i="6"/>
  <c r="AT84" i="6"/>
  <c r="HR101" i="6"/>
  <c r="J75" i="6"/>
  <c r="HU95" i="6"/>
  <c r="HO102" i="6"/>
  <c r="IC201" i="1"/>
  <c r="HR196" i="1"/>
  <c r="HU196" i="1"/>
  <c r="AH201" i="1"/>
  <c r="HR196" i="6"/>
  <c r="AH201" i="6"/>
  <c r="HL201" i="1"/>
  <c r="HK201" i="1"/>
  <c r="E25" i="11"/>
  <c r="IE201" i="1"/>
  <c r="FJ201" i="1"/>
  <c r="HQ201" i="1"/>
  <c r="DJ197" i="1"/>
  <c r="HR195" i="1"/>
  <c r="E201" i="10"/>
  <c r="HR195" i="6"/>
  <c r="HQ201" i="6"/>
  <c r="HU201" i="6"/>
  <c r="FV201" i="1"/>
  <c r="BR201" i="1"/>
  <c r="HO201" i="1"/>
  <c r="HR194" i="1"/>
  <c r="IB201" i="1"/>
  <c r="V201" i="1"/>
  <c r="HU194" i="1"/>
  <c r="F196" i="6"/>
  <c r="J201" i="6"/>
  <c r="HO201" i="6"/>
  <c r="AD358" i="6" l="1"/>
  <c r="HN357" i="6"/>
  <c r="HK373" i="1"/>
  <c r="FE369" i="1"/>
  <c r="FH368" i="1"/>
  <c r="H367" i="1"/>
  <c r="E368" i="1"/>
  <c r="GO369" i="1"/>
  <c r="GR368" i="1"/>
  <c r="DU368" i="1"/>
  <c r="DX367" i="1"/>
  <c r="HZ367" i="1"/>
  <c r="HY366" i="1"/>
  <c r="BM367" i="1"/>
  <c r="BP366" i="1"/>
  <c r="AF368" i="1"/>
  <c r="AC369" i="1"/>
  <c r="CN368" i="1"/>
  <c r="CK369" i="1"/>
  <c r="ES369" i="1"/>
  <c r="EV368" i="1"/>
  <c r="FQ368" i="1"/>
  <c r="FT367" i="1"/>
  <c r="IA367" i="1"/>
  <c r="EJ368" i="1"/>
  <c r="EG369" i="1"/>
  <c r="CZ368" i="1"/>
  <c r="CW369" i="1"/>
  <c r="GF367" i="1"/>
  <c r="GC368" i="1"/>
  <c r="AR368" i="1"/>
  <c r="AO369" i="1"/>
  <c r="BY369" i="1"/>
  <c r="CB368" i="1"/>
  <c r="Q367" i="1"/>
  <c r="HM367" i="1" s="1"/>
  <c r="T366" i="1"/>
  <c r="BD368" i="1"/>
  <c r="BA369" i="1"/>
  <c r="AF369" i="6"/>
  <c r="AC370" i="6"/>
  <c r="T368" i="6"/>
  <c r="Q369" i="6"/>
  <c r="HM369" i="6" s="1"/>
  <c r="HP369" i="6" s="1"/>
  <c r="E370" i="6"/>
  <c r="H369" i="6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HR21" i="1"/>
  <c r="O18" i="11"/>
  <c r="HR156" i="1"/>
  <c r="HR111" i="6"/>
  <c r="D40" i="11"/>
  <c r="HU327" i="6"/>
  <c r="O39" i="11"/>
  <c r="HU318" i="6"/>
  <c r="HR318" i="1"/>
  <c r="HU309" i="6"/>
  <c r="HU309" i="1"/>
  <c r="HR300" i="6"/>
  <c r="O22" i="11"/>
  <c r="HU264" i="1"/>
  <c r="HR84" i="1"/>
  <c r="HU291" i="1"/>
  <c r="D19" i="11"/>
  <c r="H118" i="6"/>
  <c r="FH6" i="1"/>
  <c r="EG7" i="6"/>
  <c r="GR7" i="6"/>
  <c r="GR8" i="6"/>
  <c r="N10" i="12"/>
  <c r="N9" i="12"/>
  <c r="HR336" i="6"/>
  <c r="HR327" i="6"/>
  <c r="GO10" i="6"/>
  <c r="N8" i="12"/>
  <c r="O8" i="11"/>
  <c r="ES10" i="6"/>
  <c r="HU129" i="1"/>
  <c r="EV7" i="6"/>
  <c r="HD6" i="6"/>
  <c r="HR39" i="6"/>
  <c r="CK7" i="1"/>
  <c r="O23" i="11"/>
  <c r="BY9" i="6"/>
  <c r="HR138" i="6"/>
  <c r="O35" i="11"/>
  <c r="O21" i="11"/>
  <c r="HR291" i="1"/>
  <c r="HR291" i="6"/>
  <c r="HU156" i="1"/>
  <c r="O34" i="11"/>
  <c r="P9" i="12"/>
  <c r="P10" i="12"/>
  <c r="O29" i="11"/>
  <c r="HR336" i="1"/>
  <c r="HR165" i="1"/>
  <c r="O37" i="11"/>
  <c r="P11" i="12"/>
  <c r="HU273" i="1"/>
  <c r="HU273" i="6"/>
  <c r="HR273" i="6"/>
  <c r="D26" i="11"/>
  <c r="O20" i="11"/>
  <c r="HR264" i="1"/>
  <c r="HR264" i="6"/>
  <c r="O31" i="11"/>
  <c r="HU255" i="1"/>
  <c r="D31" i="11"/>
  <c r="HR255" i="6"/>
  <c r="F8" i="1"/>
  <c r="D42" i="11"/>
  <c r="HR75" i="1"/>
  <c r="IA6" i="1"/>
  <c r="HR192" i="6"/>
  <c r="D34" i="11"/>
  <c r="CW8" i="6"/>
  <c r="CZ7" i="6"/>
  <c r="FT6" i="1"/>
  <c r="HR39" i="1"/>
  <c r="HR354" i="6"/>
  <c r="S10" i="12"/>
  <c r="HR120" i="1"/>
  <c r="CZ6" i="1"/>
  <c r="D32" i="11"/>
  <c r="HR21" i="6"/>
  <c r="HL13" i="1"/>
  <c r="HR237" i="6"/>
  <c r="P12" i="12"/>
  <c r="D36" i="11"/>
  <c r="HR255" i="1"/>
  <c r="HR120" i="6"/>
  <c r="HR165" i="6"/>
  <c r="HY6" i="1"/>
  <c r="O27" i="11"/>
  <c r="O30" i="11"/>
  <c r="O38" i="11"/>
  <c r="HR246" i="1"/>
  <c r="GO7" i="1"/>
  <c r="HR147" i="6"/>
  <c r="HR183" i="6"/>
  <c r="HU129" i="6"/>
  <c r="D29" i="11"/>
  <c r="HR237" i="1"/>
  <c r="D28" i="11"/>
  <c r="HU228" i="1"/>
  <c r="HR147" i="1"/>
  <c r="D24" i="11"/>
  <c r="HR273" i="1"/>
  <c r="HR228" i="6"/>
  <c r="D39" i="11"/>
  <c r="O41" i="11"/>
  <c r="HR282" i="1"/>
  <c r="HR102" i="1"/>
  <c r="D35" i="11"/>
  <c r="HU165" i="1"/>
  <c r="O26" i="11"/>
  <c r="O24" i="11"/>
  <c r="HR57" i="1"/>
  <c r="HR228" i="1"/>
  <c r="O28" i="11"/>
  <c r="HU219" i="6"/>
  <c r="HU219" i="1"/>
  <c r="D27" i="11"/>
  <c r="E7" i="6"/>
  <c r="H6" i="6"/>
  <c r="HU57" i="6"/>
  <c r="GC7" i="6"/>
  <c r="GF6" i="6"/>
  <c r="HR174" i="1"/>
  <c r="AC8" i="6"/>
  <c r="AF7" i="6"/>
  <c r="E7" i="1"/>
  <c r="H7" i="1" s="1"/>
  <c r="D4" i="11"/>
  <c r="D6" i="10"/>
  <c r="Q119" i="6"/>
  <c r="S16" i="11" s="1"/>
  <c r="D9" i="11"/>
  <c r="HR183" i="1"/>
  <c r="HR309" i="1"/>
  <c r="HU165" i="6"/>
  <c r="HR300" i="1"/>
  <c r="HU138" i="1"/>
  <c r="AF8" i="1"/>
  <c r="C25" i="12"/>
  <c r="C26" i="12" s="1"/>
  <c r="AF7" i="1"/>
  <c r="CW107" i="6"/>
  <c r="HR246" i="6"/>
  <c r="FQ7" i="6"/>
  <c r="FT6" i="6"/>
  <c r="HU147" i="6"/>
  <c r="HR219" i="1"/>
  <c r="D33" i="11"/>
  <c r="HR327" i="1"/>
  <c r="D30" i="11"/>
  <c r="D7" i="11"/>
  <c r="HU138" i="6"/>
  <c r="HR174" i="6"/>
  <c r="O36" i="11"/>
  <c r="AC11" i="1"/>
  <c r="D20" i="11"/>
  <c r="R24" i="12"/>
  <c r="Q25" i="12"/>
  <c r="HK13" i="1"/>
  <c r="HR138" i="1"/>
  <c r="HR30" i="1"/>
  <c r="AF9" i="1"/>
  <c r="HR111" i="1"/>
  <c r="D38" i="11"/>
  <c r="HR309" i="6"/>
  <c r="O42" i="11"/>
  <c r="D23" i="11"/>
  <c r="HR66" i="1"/>
  <c r="HR129" i="6"/>
  <c r="D13" i="11"/>
  <c r="HR93" i="1"/>
  <c r="DU7" i="6"/>
  <c r="DX6" i="6"/>
  <c r="C51" i="12"/>
  <c r="D37" i="11"/>
  <c r="D22" i="11"/>
  <c r="HR48" i="1"/>
  <c r="D8" i="12"/>
  <c r="C9" i="12"/>
  <c r="HR210" i="1"/>
  <c r="HR210" i="6"/>
  <c r="O40" i="11"/>
  <c r="HU84" i="6"/>
  <c r="I25" i="12"/>
  <c r="J24" i="12"/>
  <c r="E25" i="12"/>
  <c r="F24" i="12"/>
  <c r="HA106" i="6"/>
  <c r="HD105" i="6"/>
  <c r="BP6" i="6"/>
  <c r="BM7" i="6"/>
  <c r="HR282" i="6"/>
  <c r="Q7" i="6"/>
  <c r="T6" i="6"/>
  <c r="DX106" i="6"/>
  <c r="DU107" i="6"/>
  <c r="D41" i="11"/>
  <c r="BA17" i="6"/>
  <c r="BD17" i="6" s="1"/>
  <c r="O14" i="12"/>
  <c r="P13" i="12"/>
  <c r="CB6" i="1"/>
  <c r="BY7" i="1"/>
  <c r="D8" i="11"/>
  <c r="D14" i="11"/>
  <c r="D10" i="11"/>
  <c r="HR219" i="6"/>
  <c r="HR345" i="1"/>
  <c r="B198" i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HR354" i="1"/>
  <c r="HR345" i="6"/>
  <c r="N11" i="12"/>
  <c r="M12" i="12"/>
  <c r="FE9" i="6"/>
  <c r="FH8" i="6"/>
  <c r="DI107" i="6"/>
  <c r="DL106" i="6"/>
  <c r="J6" i="10"/>
  <c r="L24" i="12"/>
  <c r="K25" i="12"/>
  <c r="BP7" i="1"/>
  <c r="BM8" i="1"/>
  <c r="GF6" i="1"/>
  <c r="GC7" i="1"/>
  <c r="AO7" i="1"/>
  <c r="AR6" i="1"/>
  <c r="HR84" i="6"/>
  <c r="BY10" i="6"/>
  <c r="CB9" i="6"/>
  <c r="D6" i="11"/>
  <c r="EV7" i="1"/>
  <c r="ES8" i="1"/>
  <c r="EG8" i="6"/>
  <c r="EJ7" i="6"/>
  <c r="BY106" i="6"/>
  <c r="CB105" i="6"/>
  <c r="AR120" i="6"/>
  <c r="AO122" i="6"/>
  <c r="AR119" i="6"/>
  <c r="HR66" i="6"/>
  <c r="D25" i="11"/>
  <c r="O25" i="12"/>
  <c r="P24" i="12"/>
  <c r="DI7" i="6"/>
  <c r="DL6" i="6"/>
  <c r="T120" i="6"/>
  <c r="HR156" i="6"/>
  <c r="DU7" i="1"/>
  <c r="DU8" i="1" s="1"/>
  <c r="H6" i="10"/>
  <c r="I49" i="12"/>
  <c r="J48" i="12"/>
  <c r="H9" i="12"/>
  <c r="G10" i="12"/>
  <c r="AR14" i="6"/>
  <c r="AO15" i="6"/>
  <c r="HP5" i="1"/>
  <c r="C5" i="10"/>
  <c r="EG106" i="6"/>
  <c r="EJ105" i="6"/>
  <c r="ES107" i="6"/>
  <c r="EV106" i="6"/>
  <c r="HD7" i="6"/>
  <c r="HA8" i="6"/>
  <c r="F8" i="12"/>
  <c r="E9" i="12"/>
  <c r="CN6" i="6"/>
  <c r="HM6" i="6"/>
  <c r="HP6" i="6" s="1"/>
  <c r="CK7" i="6"/>
  <c r="EG7" i="1"/>
  <c r="EJ6" i="1"/>
  <c r="HM6" i="1"/>
  <c r="D11" i="11"/>
  <c r="FT8" i="1"/>
  <c r="FQ9" i="1"/>
  <c r="BN125" i="6"/>
  <c r="HN124" i="6"/>
  <c r="HN6" i="6"/>
  <c r="T7" i="1"/>
  <c r="Q8" i="1"/>
  <c r="HZ6" i="1"/>
  <c r="BA18" i="6"/>
  <c r="HX6" i="1"/>
  <c r="F8" i="6"/>
  <c r="HN7" i="6"/>
  <c r="N24" i="12"/>
  <c r="M25" i="12"/>
  <c r="F49" i="12"/>
  <c r="E50" i="12"/>
  <c r="HA7" i="1"/>
  <c r="J7" i="10" s="1"/>
  <c r="HD6" i="1"/>
  <c r="GC108" i="6"/>
  <c r="GF107" i="6"/>
  <c r="F6" i="10"/>
  <c r="N49" i="12"/>
  <c r="M50" i="12"/>
  <c r="BN77" i="6"/>
  <c r="BM119" i="6"/>
  <c r="BP118" i="6"/>
  <c r="Q11" i="12"/>
  <c r="R10" i="12"/>
  <c r="G49" i="12"/>
  <c r="H48" i="12"/>
  <c r="HR102" i="6"/>
  <c r="AC123" i="6"/>
  <c r="AF122" i="6"/>
  <c r="HR93" i="6"/>
  <c r="C52" i="12"/>
  <c r="D51" i="12"/>
  <c r="FT105" i="6"/>
  <c r="FQ106" i="6"/>
  <c r="G28" i="12"/>
  <c r="H27" i="12"/>
  <c r="DL7" i="1"/>
  <c r="DI8" i="1"/>
  <c r="FH7" i="1"/>
  <c r="FE8" i="1"/>
  <c r="Q16" i="11"/>
  <c r="H119" i="6"/>
  <c r="H120" i="6"/>
  <c r="E122" i="6"/>
  <c r="GR105" i="6"/>
  <c r="GO106" i="6"/>
  <c r="S11" i="12"/>
  <c r="T10" i="12"/>
  <c r="GO11" i="6"/>
  <c r="GR10" i="6"/>
  <c r="HR12" i="1"/>
  <c r="HR75" i="6"/>
  <c r="FE107" i="6"/>
  <c r="FH106" i="6"/>
  <c r="CK106" i="6"/>
  <c r="CN105" i="6"/>
  <c r="L49" i="12"/>
  <c r="K50" i="12"/>
  <c r="BD8" i="1"/>
  <c r="BA9" i="1"/>
  <c r="F9" i="1"/>
  <c r="HN8" i="1"/>
  <c r="K10" i="12"/>
  <c r="L9" i="12"/>
  <c r="BD120" i="6"/>
  <c r="BD119" i="6"/>
  <c r="U16" i="11"/>
  <c r="BA122" i="6"/>
  <c r="S26" i="12"/>
  <c r="T25" i="12"/>
  <c r="CW8" i="1"/>
  <c r="CZ7" i="1"/>
  <c r="HU201" i="1"/>
  <c r="DJ198" i="1"/>
  <c r="HR201" i="1"/>
  <c r="HR201" i="6"/>
  <c r="F197" i="6"/>
  <c r="AD359" i="6" l="1"/>
  <c r="HN358" i="6"/>
  <c r="FH369" i="1"/>
  <c r="FE370" i="1"/>
  <c r="EG370" i="1"/>
  <c r="EJ369" i="1"/>
  <c r="T367" i="1"/>
  <c r="Q368" i="1"/>
  <c r="HX368" i="1" s="1"/>
  <c r="CK370" i="1"/>
  <c r="CN369" i="1"/>
  <c r="CB369" i="1"/>
  <c r="BY370" i="1"/>
  <c r="AO370" i="1"/>
  <c r="AR369" i="1"/>
  <c r="GO370" i="1"/>
  <c r="GR369" i="1"/>
  <c r="E369" i="1"/>
  <c r="H368" i="1"/>
  <c r="BD369" i="1"/>
  <c r="BA370" i="1"/>
  <c r="GF368" i="1"/>
  <c r="GC369" i="1"/>
  <c r="FQ369" i="1"/>
  <c r="FT368" i="1"/>
  <c r="IA368" i="1"/>
  <c r="HY367" i="1"/>
  <c r="BM368" i="1"/>
  <c r="BP367" i="1"/>
  <c r="HX367" i="1"/>
  <c r="DU369" i="1"/>
  <c r="DX368" i="1"/>
  <c r="HZ368" i="1"/>
  <c r="AC370" i="1"/>
  <c r="AF369" i="1"/>
  <c r="CZ369" i="1"/>
  <c r="CW370" i="1"/>
  <c r="EV369" i="1"/>
  <c r="ES370" i="1"/>
  <c r="HP367" i="1"/>
  <c r="T369" i="6"/>
  <c r="Q370" i="6"/>
  <c r="HM370" i="6" s="1"/>
  <c r="HP370" i="6" s="1"/>
  <c r="AC371" i="6"/>
  <c r="AF370" i="6"/>
  <c r="E371" i="6"/>
  <c r="H370" i="6"/>
  <c r="HY7" i="1"/>
  <c r="CK8" i="1"/>
  <c r="CN8" i="1" s="1"/>
  <c r="CN7" i="1"/>
  <c r="EV10" i="6"/>
  <c r="ES11" i="6"/>
  <c r="Q122" i="6"/>
  <c r="Q123" i="6" s="1"/>
  <c r="T119" i="6"/>
  <c r="D25" i="12"/>
  <c r="CZ8" i="6"/>
  <c r="CW9" i="6"/>
  <c r="GR7" i="1"/>
  <c r="GO8" i="1"/>
  <c r="HM7" i="1"/>
  <c r="HP7" i="1" s="1"/>
  <c r="E8" i="1"/>
  <c r="AC9" i="6"/>
  <c r="AF8" i="6"/>
  <c r="FQ8" i="6"/>
  <c r="FT7" i="6"/>
  <c r="R25" i="12"/>
  <c r="Q26" i="12"/>
  <c r="CZ107" i="6"/>
  <c r="CW108" i="6"/>
  <c r="F7" i="10"/>
  <c r="GF7" i="6"/>
  <c r="GC8" i="6"/>
  <c r="AF11" i="1"/>
  <c r="AF12" i="1"/>
  <c r="AC14" i="1"/>
  <c r="E8" i="6"/>
  <c r="H7" i="6"/>
  <c r="C10" i="12"/>
  <c r="D9" i="12"/>
  <c r="DU8" i="6"/>
  <c r="DX7" i="6"/>
  <c r="HZ7" i="1"/>
  <c r="HX7" i="1"/>
  <c r="L25" i="12"/>
  <c r="K26" i="12"/>
  <c r="HA107" i="6"/>
  <c r="HD106" i="6"/>
  <c r="CB7" i="1"/>
  <c r="BY8" i="1"/>
  <c r="F25" i="12"/>
  <c r="E26" i="12"/>
  <c r="GC8" i="1"/>
  <c r="GF7" i="1"/>
  <c r="DI108" i="6"/>
  <c r="DL107" i="6"/>
  <c r="Q8" i="6"/>
  <c r="T7" i="6"/>
  <c r="D7" i="10"/>
  <c r="I26" i="12"/>
  <c r="J25" i="12"/>
  <c r="DX7" i="1"/>
  <c r="BP8" i="1"/>
  <c r="BM9" i="1"/>
  <c r="FH9" i="6"/>
  <c r="FE10" i="6"/>
  <c r="P14" i="12"/>
  <c r="O15" i="12"/>
  <c r="P15" i="12" s="1"/>
  <c r="BP7" i="6"/>
  <c r="BM8" i="6"/>
  <c r="DX107" i="6"/>
  <c r="DU108" i="6"/>
  <c r="N12" i="12"/>
  <c r="M13" i="12"/>
  <c r="C6" i="10"/>
  <c r="HP6" i="1"/>
  <c r="P25" i="12"/>
  <c r="O26" i="12"/>
  <c r="N25" i="12"/>
  <c r="M26" i="12"/>
  <c r="Q9" i="1"/>
  <c r="T8" i="1"/>
  <c r="ES108" i="6"/>
  <c r="EV107" i="6"/>
  <c r="E10" i="12"/>
  <c r="F9" i="12"/>
  <c r="EG107" i="6"/>
  <c r="EJ106" i="6"/>
  <c r="I50" i="12"/>
  <c r="J49" i="12"/>
  <c r="CB106" i="6"/>
  <c r="BY107" i="6"/>
  <c r="GF108" i="6"/>
  <c r="GC109" i="6"/>
  <c r="F9" i="6"/>
  <c r="HN8" i="6"/>
  <c r="CK9" i="1"/>
  <c r="BY11" i="6"/>
  <c r="CB10" i="6"/>
  <c r="HA8" i="1"/>
  <c r="HD7" i="1"/>
  <c r="IA7" i="1"/>
  <c r="BD18" i="6"/>
  <c r="BA19" i="6"/>
  <c r="BN126" i="6"/>
  <c r="HN125" i="6"/>
  <c r="HD8" i="6"/>
  <c r="HA9" i="6"/>
  <c r="AO16" i="6"/>
  <c r="AR15" i="6"/>
  <c r="F50" i="12"/>
  <c r="E51" i="12"/>
  <c r="FQ10" i="1"/>
  <c r="FT9" i="1"/>
  <c r="EG8" i="1"/>
  <c r="HZ8" i="1" s="1"/>
  <c r="EJ7" i="1"/>
  <c r="EG9" i="6"/>
  <c r="EJ8" i="6"/>
  <c r="AR7" i="1"/>
  <c r="AO8" i="1"/>
  <c r="H7" i="10"/>
  <c r="T122" i="6"/>
  <c r="CK8" i="6"/>
  <c r="CN7" i="6"/>
  <c r="HM7" i="6"/>
  <c r="HP7" i="6" s="1"/>
  <c r="H10" i="12"/>
  <c r="G11" i="12"/>
  <c r="DL7" i="6"/>
  <c r="DI8" i="6"/>
  <c r="AR122" i="6"/>
  <c r="AO123" i="6"/>
  <c r="EV8" i="1"/>
  <c r="ES9" i="1"/>
  <c r="BN78" i="6"/>
  <c r="GO14" i="6"/>
  <c r="GR11" i="6"/>
  <c r="GR12" i="6"/>
  <c r="G50" i="12"/>
  <c r="H49" i="12"/>
  <c r="CN106" i="6"/>
  <c r="CK107" i="6"/>
  <c r="HN9" i="1"/>
  <c r="F10" i="1"/>
  <c r="FE9" i="1"/>
  <c r="FH8" i="1"/>
  <c r="AC124" i="6"/>
  <c r="AF123" i="6"/>
  <c r="CZ8" i="1"/>
  <c r="CW9" i="1"/>
  <c r="GO107" i="6"/>
  <c r="GR106" i="6"/>
  <c r="S27" i="12"/>
  <c r="T26" i="12"/>
  <c r="BA10" i="1"/>
  <c r="BD9" i="1"/>
  <c r="T11" i="12"/>
  <c r="S12" i="12"/>
  <c r="R11" i="12"/>
  <c r="Q12" i="12"/>
  <c r="H28" i="12"/>
  <c r="G29" i="12"/>
  <c r="E123" i="6"/>
  <c r="H122" i="6"/>
  <c r="DI9" i="1"/>
  <c r="DL8" i="1"/>
  <c r="FT106" i="6"/>
  <c r="FQ107" i="6"/>
  <c r="D52" i="12"/>
  <c r="C53" i="12"/>
  <c r="K11" i="12"/>
  <c r="L10" i="12"/>
  <c r="K51" i="12"/>
  <c r="L50" i="12"/>
  <c r="DX8" i="1"/>
  <c r="DU9" i="1"/>
  <c r="C27" i="12"/>
  <c r="D26" i="12"/>
  <c r="BD122" i="6"/>
  <c r="BA123" i="6"/>
  <c r="FH107" i="6"/>
  <c r="FE108" i="6"/>
  <c r="HY8" i="1"/>
  <c r="W16" i="11"/>
  <c r="BP119" i="6"/>
  <c r="BM122" i="6"/>
  <c r="BP120" i="6"/>
  <c r="M51" i="12"/>
  <c r="N50" i="12"/>
  <c r="F198" i="6"/>
  <c r="AD360" i="6" l="1"/>
  <c r="HN359" i="6"/>
  <c r="HM368" i="1"/>
  <c r="HP368" i="1" s="1"/>
  <c r="FH370" i="1"/>
  <c r="FE371" i="1"/>
  <c r="CB370" i="1"/>
  <c r="BY371" i="1"/>
  <c r="FT369" i="1"/>
  <c r="IA369" i="1"/>
  <c r="FQ370" i="1"/>
  <c r="CK371" i="1"/>
  <c r="CN370" i="1"/>
  <c r="AC371" i="1"/>
  <c r="AF370" i="1"/>
  <c r="EV370" i="1"/>
  <c r="ES371" i="1"/>
  <c r="DX369" i="1"/>
  <c r="DU370" i="1"/>
  <c r="HZ369" i="1"/>
  <c r="GF369" i="1"/>
  <c r="GC370" i="1"/>
  <c r="T368" i="1"/>
  <c r="Q369" i="1"/>
  <c r="GO371" i="1"/>
  <c r="GR370" i="1"/>
  <c r="CZ370" i="1"/>
  <c r="CW371" i="1"/>
  <c r="BD370" i="1"/>
  <c r="BA371" i="1"/>
  <c r="H369" i="1"/>
  <c r="HX369" i="1"/>
  <c r="E370" i="1"/>
  <c r="BM369" i="1"/>
  <c r="HY368" i="1"/>
  <c r="BP368" i="1"/>
  <c r="AR370" i="1"/>
  <c r="AO371" i="1"/>
  <c r="EJ370" i="1"/>
  <c r="EG371" i="1"/>
  <c r="AF372" i="6"/>
  <c r="AF371" i="6"/>
  <c r="T370" i="6"/>
  <c r="Q371" i="6"/>
  <c r="HM371" i="6" s="1"/>
  <c r="H372" i="6"/>
  <c r="H371" i="6"/>
  <c r="C7" i="10"/>
  <c r="D8" i="10"/>
  <c r="ES14" i="6"/>
  <c r="EV12" i="6"/>
  <c r="EV11" i="6"/>
  <c r="E9" i="1"/>
  <c r="H8" i="1"/>
  <c r="CW10" i="6"/>
  <c r="CZ9" i="6"/>
  <c r="GR8" i="1"/>
  <c r="GO9" i="1"/>
  <c r="CZ108" i="6"/>
  <c r="CW109" i="6"/>
  <c r="E9" i="6"/>
  <c r="H8" i="6"/>
  <c r="AF14" i="1"/>
  <c r="AC15" i="1"/>
  <c r="Q27" i="12"/>
  <c r="R26" i="12"/>
  <c r="GC9" i="6"/>
  <c r="GF8" i="6"/>
  <c r="FT8" i="6"/>
  <c r="FQ9" i="6"/>
  <c r="AC10" i="6"/>
  <c r="AF9" i="6"/>
  <c r="HM8" i="1"/>
  <c r="C8" i="10" s="1"/>
  <c r="DX8" i="6"/>
  <c r="DU9" i="6"/>
  <c r="D10" i="12"/>
  <c r="C11" i="12"/>
  <c r="N13" i="12"/>
  <c r="M14" i="12"/>
  <c r="FE11" i="6"/>
  <c r="FH10" i="6"/>
  <c r="CB8" i="1"/>
  <c r="BY9" i="1"/>
  <c r="DX108" i="6"/>
  <c r="DU109" i="6"/>
  <c r="BM10" i="1"/>
  <c r="BP9" i="1"/>
  <c r="DI109" i="6"/>
  <c r="DL108" i="6"/>
  <c r="HA108" i="6"/>
  <c r="HD107" i="6"/>
  <c r="BP8" i="6"/>
  <c r="BM9" i="6"/>
  <c r="K27" i="12"/>
  <c r="L26" i="12"/>
  <c r="GF8" i="1"/>
  <c r="GC9" i="1"/>
  <c r="I27" i="12"/>
  <c r="J26" i="12"/>
  <c r="E27" i="12"/>
  <c r="F26" i="12"/>
  <c r="Q9" i="6"/>
  <c r="T8" i="6"/>
  <c r="FQ11" i="1"/>
  <c r="FT10" i="1"/>
  <c r="CK10" i="1"/>
  <c r="CN9" i="1"/>
  <c r="EV108" i="6"/>
  <c r="ES109" i="6"/>
  <c r="EV9" i="1"/>
  <c r="ES10" i="1"/>
  <c r="AR8" i="1"/>
  <c r="AO9" i="1"/>
  <c r="E52" i="12"/>
  <c r="F51" i="12"/>
  <c r="BA20" i="6"/>
  <c r="BD19" i="6"/>
  <c r="GC110" i="6"/>
  <c r="GF109" i="6"/>
  <c r="EJ107" i="6"/>
  <c r="EG108" i="6"/>
  <c r="Q10" i="1"/>
  <c r="T9" i="1"/>
  <c r="BN127" i="6"/>
  <c r="HN126" i="6"/>
  <c r="F10" i="6"/>
  <c r="HN9" i="6"/>
  <c r="G12" i="12"/>
  <c r="H11" i="12"/>
  <c r="AR123" i="6"/>
  <c r="AO124" i="6"/>
  <c r="H8" i="10"/>
  <c r="F10" i="12"/>
  <c r="E11" i="12"/>
  <c r="N26" i="12"/>
  <c r="M27" i="12"/>
  <c r="EJ9" i="6"/>
  <c r="EG10" i="6"/>
  <c r="BY108" i="6"/>
  <c r="CB107" i="6"/>
  <c r="DL8" i="6"/>
  <c r="DI9" i="6"/>
  <c r="HA9" i="1"/>
  <c r="HD8" i="1"/>
  <c r="IA8" i="1"/>
  <c r="HX8" i="1"/>
  <c r="EG9" i="1"/>
  <c r="EJ8" i="1"/>
  <c r="F8" i="10"/>
  <c r="AR16" i="6"/>
  <c r="AO17" i="6"/>
  <c r="H9" i="1"/>
  <c r="E10" i="1"/>
  <c r="CN8" i="6"/>
  <c r="CK9" i="6"/>
  <c r="HM8" i="6"/>
  <c r="HP8" i="6" s="1"/>
  <c r="HD9" i="6"/>
  <c r="HA10" i="6"/>
  <c r="P26" i="12"/>
  <c r="O27" i="12"/>
  <c r="J8" i="10"/>
  <c r="Q124" i="6"/>
  <c r="T123" i="6"/>
  <c r="CB11" i="6"/>
  <c r="BY14" i="6"/>
  <c r="CB12" i="6"/>
  <c r="J50" i="12"/>
  <c r="I51" i="12"/>
  <c r="BA124" i="6"/>
  <c r="BD123" i="6"/>
  <c r="HZ9" i="1"/>
  <c r="DX9" i="1"/>
  <c r="DU10" i="1"/>
  <c r="D9" i="10"/>
  <c r="GO108" i="6"/>
  <c r="GR107" i="6"/>
  <c r="F11" i="1"/>
  <c r="HN10" i="1"/>
  <c r="CZ9" i="1"/>
  <c r="CW10" i="1"/>
  <c r="K52" i="12"/>
  <c r="L51" i="12"/>
  <c r="FQ108" i="6"/>
  <c r="FT107" i="6"/>
  <c r="AF124" i="6"/>
  <c r="AC125" i="6"/>
  <c r="GO15" i="6"/>
  <c r="GR14" i="6"/>
  <c r="N51" i="12"/>
  <c r="M52" i="12"/>
  <c r="S13" i="12"/>
  <c r="T12" i="12"/>
  <c r="BD10" i="1"/>
  <c r="BA11" i="1"/>
  <c r="H50" i="12"/>
  <c r="G51" i="12"/>
  <c r="BM123" i="6"/>
  <c r="BP122" i="6"/>
  <c r="C28" i="12"/>
  <c r="D27" i="12"/>
  <c r="FH9" i="1"/>
  <c r="FE10" i="1"/>
  <c r="L11" i="12"/>
  <c r="K12" i="12"/>
  <c r="DL9" i="1"/>
  <c r="DI10" i="1"/>
  <c r="T27" i="12"/>
  <c r="S28" i="12"/>
  <c r="HY9" i="1"/>
  <c r="R12" i="12"/>
  <c r="Q13" i="12"/>
  <c r="FE109" i="6"/>
  <c r="FH108" i="6"/>
  <c r="CN107" i="6"/>
  <c r="CK108" i="6"/>
  <c r="BN79" i="6"/>
  <c r="D53" i="12"/>
  <c r="C54" i="12"/>
  <c r="E124" i="6"/>
  <c r="H123" i="6"/>
  <c r="G30" i="12"/>
  <c r="H29" i="12"/>
  <c r="DJ200" i="1"/>
  <c r="AD361" i="6" l="1"/>
  <c r="HN360" i="6"/>
  <c r="FH371" i="1"/>
  <c r="FH372" i="1"/>
  <c r="HY369" i="1"/>
  <c r="BP369" i="1"/>
  <c r="BM370" i="1"/>
  <c r="DX370" i="1"/>
  <c r="DU371" i="1"/>
  <c r="HZ370" i="1"/>
  <c r="FQ371" i="1"/>
  <c r="IA370" i="1"/>
  <c r="FT370" i="1"/>
  <c r="BD372" i="1"/>
  <c r="BD371" i="1"/>
  <c r="CZ371" i="1"/>
  <c r="CZ372" i="1"/>
  <c r="HM369" i="1"/>
  <c r="HP369" i="1" s="1"/>
  <c r="EJ372" i="1"/>
  <c r="EJ371" i="1"/>
  <c r="H370" i="1"/>
  <c r="E371" i="1"/>
  <c r="GR371" i="1"/>
  <c r="GR372" i="1"/>
  <c r="EV371" i="1"/>
  <c r="EV372" i="1"/>
  <c r="AF371" i="1"/>
  <c r="AF372" i="1"/>
  <c r="Q370" i="1"/>
  <c r="T369" i="1"/>
  <c r="CB371" i="1"/>
  <c r="CB372" i="1"/>
  <c r="GC371" i="1"/>
  <c r="GF370" i="1"/>
  <c r="CN371" i="1"/>
  <c r="CN372" i="1"/>
  <c r="AR371" i="1"/>
  <c r="AR372" i="1"/>
  <c r="T372" i="6"/>
  <c r="T371" i="6"/>
  <c r="HP371" i="6"/>
  <c r="HP372" i="6"/>
  <c r="HP8" i="1"/>
  <c r="ES15" i="6"/>
  <c r="EV14" i="6"/>
  <c r="CZ10" i="6"/>
  <c r="CW11" i="6"/>
  <c r="GR9" i="1"/>
  <c r="GO10" i="1"/>
  <c r="D10" i="10" s="1"/>
  <c r="HM9" i="1"/>
  <c r="HP9" i="1" s="1"/>
  <c r="Q28" i="12"/>
  <c r="R27" i="12"/>
  <c r="AC16" i="1"/>
  <c r="AF15" i="1"/>
  <c r="FQ10" i="6"/>
  <c r="FT9" i="6"/>
  <c r="E10" i="6"/>
  <c r="H9" i="6"/>
  <c r="AC11" i="6"/>
  <c r="AF10" i="6"/>
  <c r="CW110" i="6"/>
  <c r="CZ109" i="6"/>
  <c r="GC10" i="6"/>
  <c r="GF9" i="6"/>
  <c r="D11" i="12"/>
  <c r="C12" i="12"/>
  <c r="DX9" i="6"/>
  <c r="DU10" i="6"/>
  <c r="BM10" i="6"/>
  <c r="BP9" i="6"/>
  <c r="DU110" i="6"/>
  <c r="DX109" i="6"/>
  <c r="BY10" i="1"/>
  <c r="CB9" i="1"/>
  <c r="I28" i="12"/>
  <c r="J27" i="12"/>
  <c r="HA109" i="6"/>
  <c r="HD108" i="6"/>
  <c r="F27" i="12"/>
  <c r="E28" i="12"/>
  <c r="GC10" i="1"/>
  <c r="GF9" i="1"/>
  <c r="DI110" i="6"/>
  <c r="DL109" i="6"/>
  <c r="FH11" i="6"/>
  <c r="FH12" i="6"/>
  <c r="FE14" i="6"/>
  <c r="N14" i="12"/>
  <c r="M15" i="12"/>
  <c r="N15" i="12" s="1"/>
  <c r="Q10" i="6"/>
  <c r="T9" i="6"/>
  <c r="K28" i="12"/>
  <c r="L27" i="12"/>
  <c r="BM11" i="1"/>
  <c r="BP10" i="1"/>
  <c r="HA10" i="1"/>
  <c r="HD9" i="1"/>
  <c r="IA9" i="1"/>
  <c r="Q125" i="6"/>
  <c r="T124" i="6"/>
  <c r="CN9" i="6"/>
  <c r="CK10" i="6"/>
  <c r="HM9" i="6"/>
  <c r="HP9" i="6" s="1"/>
  <c r="DI10" i="6"/>
  <c r="DL9" i="6"/>
  <c r="E12" i="12"/>
  <c r="F11" i="12"/>
  <c r="G13" i="12"/>
  <c r="H12" i="12"/>
  <c r="Q11" i="1"/>
  <c r="T10" i="1"/>
  <c r="E53" i="12"/>
  <c r="F52" i="12"/>
  <c r="EG109" i="6"/>
  <c r="EJ108" i="6"/>
  <c r="AO10" i="1"/>
  <c r="AR9" i="1"/>
  <c r="CK11" i="1"/>
  <c r="CN10" i="1"/>
  <c r="I52" i="12"/>
  <c r="J51" i="12"/>
  <c r="E11" i="1"/>
  <c r="H10" i="1"/>
  <c r="EJ9" i="1"/>
  <c r="EG10" i="1"/>
  <c r="HZ10" i="1" s="1"/>
  <c r="O28" i="12"/>
  <c r="P27" i="12"/>
  <c r="J9" i="10"/>
  <c r="CB108" i="6"/>
  <c r="BY109" i="6"/>
  <c r="F11" i="6"/>
  <c r="HN10" i="6"/>
  <c r="ES11" i="1"/>
  <c r="EV10" i="1"/>
  <c r="FQ14" i="1"/>
  <c r="FT12" i="1"/>
  <c r="FT11" i="1"/>
  <c r="AR17" i="6"/>
  <c r="AO18" i="6"/>
  <c r="EG11" i="6"/>
  <c r="EJ10" i="6"/>
  <c r="GF110" i="6"/>
  <c r="GF111" i="6"/>
  <c r="GC113" i="6"/>
  <c r="CB14" i="6"/>
  <c r="BY15" i="6"/>
  <c r="HD10" i="6"/>
  <c r="HA11" i="6"/>
  <c r="AO125" i="6"/>
  <c r="AR124" i="6"/>
  <c r="BN128" i="6"/>
  <c r="HN127" i="6"/>
  <c r="H9" i="10"/>
  <c r="N27" i="12"/>
  <c r="M28" i="12"/>
  <c r="F9" i="10"/>
  <c r="BD20" i="6"/>
  <c r="BD21" i="6"/>
  <c r="BA23" i="6"/>
  <c r="ES110" i="6"/>
  <c r="EV109" i="6"/>
  <c r="HX9" i="1"/>
  <c r="D54" i="12"/>
  <c r="D55" i="12"/>
  <c r="CK109" i="6"/>
  <c r="CN108" i="6"/>
  <c r="S29" i="12"/>
  <c r="T28" i="12"/>
  <c r="BD11" i="1"/>
  <c r="BD12" i="1"/>
  <c r="BA14" i="1"/>
  <c r="AC126" i="6"/>
  <c r="AF125" i="6"/>
  <c r="H51" i="12"/>
  <c r="G52" i="12"/>
  <c r="FT108" i="6"/>
  <c r="FQ109" i="6"/>
  <c r="HN11" i="1"/>
  <c r="F14" i="1"/>
  <c r="FH109" i="6"/>
  <c r="FE110" i="6"/>
  <c r="M53" i="12"/>
  <c r="N52" i="12"/>
  <c r="K53" i="12"/>
  <c r="L52" i="12"/>
  <c r="CZ10" i="1"/>
  <c r="CW11" i="1"/>
  <c r="GO109" i="6"/>
  <c r="GR108" i="6"/>
  <c r="BA125" i="6"/>
  <c r="BD124" i="6"/>
  <c r="H30" i="12"/>
  <c r="G31" i="12"/>
  <c r="C9" i="10"/>
  <c r="DL10" i="1"/>
  <c r="DI11" i="1"/>
  <c r="BM124" i="6"/>
  <c r="BP123" i="6"/>
  <c r="T13" i="12"/>
  <c r="S14" i="12"/>
  <c r="FH10" i="1"/>
  <c r="FE11" i="1"/>
  <c r="GR15" i="6"/>
  <c r="GO16" i="6"/>
  <c r="Q14" i="12"/>
  <c r="R13" i="12"/>
  <c r="K13" i="12"/>
  <c r="L12" i="12"/>
  <c r="D28" i="12"/>
  <c r="C29" i="12"/>
  <c r="E125" i="6"/>
  <c r="H124" i="6"/>
  <c r="BN80" i="6"/>
  <c r="DX10" i="1"/>
  <c r="DU11" i="1"/>
  <c r="DJ203" i="1"/>
  <c r="F200" i="6"/>
  <c r="AD362" i="6" l="1"/>
  <c r="HN361" i="6"/>
  <c r="HM370" i="1"/>
  <c r="HP370" i="1" s="1"/>
  <c r="HX370" i="1"/>
  <c r="DX371" i="1"/>
  <c r="HZ372" i="1"/>
  <c r="DX372" i="1"/>
  <c r="HZ371" i="1"/>
  <c r="IA371" i="1"/>
  <c r="FT371" i="1"/>
  <c r="FT372" i="1"/>
  <c r="IA372" i="1"/>
  <c r="GF371" i="1"/>
  <c r="GF372" i="1"/>
  <c r="T370" i="1"/>
  <c r="Q371" i="1"/>
  <c r="HX371" i="1" s="1"/>
  <c r="H371" i="1"/>
  <c r="H372" i="1"/>
  <c r="BM371" i="1"/>
  <c r="HY370" i="1"/>
  <c r="BP370" i="1"/>
  <c r="EV15" i="6"/>
  <c r="ES16" i="6"/>
  <c r="CW14" i="6"/>
  <c r="CZ12" i="6"/>
  <c r="CZ11" i="6"/>
  <c r="GO11" i="1"/>
  <c r="D11" i="10" s="1"/>
  <c r="GR10" i="1"/>
  <c r="E11" i="6"/>
  <c r="H10" i="6"/>
  <c r="GF10" i="6"/>
  <c r="GC11" i="6"/>
  <c r="FQ11" i="6"/>
  <c r="FT10" i="6"/>
  <c r="CW113" i="6"/>
  <c r="CZ110" i="6"/>
  <c r="CZ111" i="6"/>
  <c r="AF16" i="1"/>
  <c r="AC17" i="1"/>
  <c r="AC14" i="6"/>
  <c r="AF11" i="6"/>
  <c r="AF12" i="6"/>
  <c r="Q29" i="12"/>
  <c r="R28" i="12"/>
  <c r="DU11" i="6"/>
  <c r="DX10" i="6"/>
  <c r="D12" i="12"/>
  <c r="C13" i="12"/>
  <c r="DL110" i="6"/>
  <c r="DI113" i="6"/>
  <c r="DL111" i="6"/>
  <c r="K29" i="12"/>
  <c r="L28" i="12"/>
  <c r="GF10" i="1"/>
  <c r="GC11" i="1"/>
  <c r="CB10" i="1"/>
  <c r="HY10" i="1"/>
  <c r="BY11" i="1"/>
  <c r="IG22" i="1" s="1"/>
  <c r="IG20" i="1" s="1"/>
  <c r="Q11" i="6"/>
  <c r="T10" i="6"/>
  <c r="F28" i="12"/>
  <c r="E29" i="12"/>
  <c r="FH14" i="6"/>
  <c r="FE15" i="6"/>
  <c r="DX111" i="6"/>
  <c r="DU113" i="6"/>
  <c r="DX110" i="6"/>
  <c r="BP12" i="1"/>
  <c r="BM14" i="1"/>
  <c r="BP11" i="1"/>
  <c r="J28" i="12"/>
  <c r="I29" i="12"/>
  <c r="HD109" i="6"/>
  <c r="HA110" i="6"/>
  <c r="BP10" i="6"/>
  <c r="BM11" i="6"/>
  <c r="BD23" i="6"/>
  <c r="BA24" i="6"/>
  <c r="GC114" i="6"/>
  <c r="GF113" i="6"/>
  <c r="CB109" i="6"/>
  <c r="BY110" i="6"/>
  <c r="Q126" i="6"/>
  <c r="T125" i="6"/>
  <c r="BN131" i="6"/>
  <c r="HN128" i="6"/>
  <c r="HL139" i="6" s="1"/>
  <c r="H13" i="12"/>
  <c r="G14" i="12"/>
  <c r="AO126" i="6"/>
  <c r="AR125" i="6"/>
  <c r="FT14" i="1"/>
  <c r="FQ15" i="1"/>
  <c r="H11" i="1"/>
  <c r="E14" i="1"/>
  <c r="H12" i="1"/>
  <c r="EJ109" i="6"/>
  <c r="EG110" i="6"/>
  <c r="F12" i="12"/>
  <c r="E13" i="12"/>
  <c r="AR10" i="1"/>
  <c r="H10" i="10"/>
  <c r="HX10" i="1"/>
  <c r="AO11" i="1"/>
  <c r="H11" i="10" s="1"/>
  <c r="HM10" i="1"/>
  <c r="HD11" i="6"/>
  <c r="HD12" i="6"/>
  <c r="HA14" i="6"/>
  <c r="N28" i="12"/>
  <c r="M29" i="12"/>
  <c r="ES14" i="1"/>
  <c r="EV12" i="1"/>
  <c r="EV11" i="1"/>
  <c r="J52" i="12"/>
  <c r="I53" i="12"/>
  <c r="F53" i="12"/>
  <c r="E54" i="12"/>
  <c r="DL10" i="6"/>
  <c r="DI11" i="6"/>
  <c r="HD10" i="1"/>
  <c r="HA11" i="1"/>
  <c r="L4" i="11" s="1"/>
  <c r="IA10" i="1"/>
  <c r="O29" i="12"/>
  <c r="P28" i="12"/>
  <c r="AR18" i="6"/>
  <c r="AO19" i="6"/>
  <c r="F14" i="6"/>
  <c r="HN11" i="6"/>
  <c r="HL22" i="6" s="1"/>
  <c r="J10" i="10"/>
  <c r="CK14" i="1"/>
  <c r="CN11" i="1"/>
  <c r="CN12" i="1"/>
  <c r="Q14" i="1"/>
  <c r="T11" i="1"/>
  <c r="T12" i="1"/>
  <c r="CK11" i="6"/>
  <c r="CN10" i="6"/>
  <c r="HM10" i="6"/>
  <c r="HP10" i="6" s="1"/>
  <c r="CB15" i="6"/>
  <c r="BY16" i="6"/>
  <c r="EJ12" i="6"/>
  <c r="EG14" i="6"/>
  <c r="EJ11" i="6"/>
  <c r="EV110" i="6"/>
  <c r="EV111" i="6"/>
  <c r="ES113" i="6"/>
  <c r="EJ10" i="1"/>
  <c r="EG11" i="1"/>
  <c r="HZ11" i="1" s="1"/>
  <c r="F10" i="10"/>
  <c r="DX11" i="1"/>
  <c r="DX12" i="1"/>
  <c r="DU14" i="1"/>
  <c r="F4" i="11"/>
  <c r="R14" i="12"/>
  <c r="Q15" i="12"/>
  <c r="R15" i="12" s="1"/>
  <c r="E126" i="6"/>
  <c r="H125" i="6"/>
  <c r="T14" i="12"/>
  <c r="S15" i="12"/>
  <c r="T15" i="12" s="1"/>
  <c r="H31" i="12"/>
  <c r="G32" i="12"/>
  <c r="GR16" i="6"/>
  <c r="GO17" i="6"/>
  <c r="DI14" i="1"/>
  <c r="DL11" i="1"/>
  <c r="DL12" i="1"/>
  <c r="G53" i="12"/>
  <c r="H52" i="12"/>
  <c r="L53" i="12"/>
  <c r="K54" i="12"/>
  <c r="L54" i="12" s="1"/>
  <c r="BA126" i="6"/>
  <c r="BD125" i="6"/>
  <c r="FT109" i="6"/>
  <c r="FQ110" i="6"/>
  <c r="AF126" i="6"/>
  <c r="AC127" i="6"/>
  <c r="D29" i="12"/>
  <c r="C30" i="12"/>
  <c r="FE113" i="6"/>
  <c r="FH110" i="6"/>
  <c r="FH111" i="6"/>
  <c r="HN14" i="1"/>
  <c r="HL22" i="1" s="1"/>
  <c r="F15" i="1"/>
  <c r="T29" i="12"/>
  <c r="S30" i="12"/>
  <c r="GR109" i="6"/>
  <c r="GO110" i="6"/>
  <c r="N53" i="12"/>
  <c r="M54" i="12"/>
  <c r="N54" i="12" s="1"/>
  <c r="BA15" i="1"/>
  <c r="BD14" i="1"/>
  <c r="CK110" i="6"/>
  <c r="CN109" i="6"/>
  <c r="BN81" i="6"/>
  <c r="FH11" i="1"/>
  <c r="FE14" i="1"/>
  <c r="FH12" i="1"/>
  <c r="BM125" i="6"/>
  <c r="BP124" i="6"/>
  <c r="CW14" i="1"/>
  <c r="CZ12" i="1"/>
  <c r="CZ11" i="1"/>
  <c r="L13" i="12"/>
  <c r="K14" i="12"/>
  <c r="DJ204" i="1"/>
  <c r="F203" i="6"/>
  <c r="AD365" i="6" l="1"/>
  <c r="HN362" i="6"/>
  <c r="HL373" i="6" s="1"/>
  <c r="HM371" i="1"/>
  <c r="HP371" i="1" s="1"/>
  <c r="T371" i="1"/>
  <c r="T372" i="1"/>
  <c r="BP371" i="1"/>
  <c r="HY371" i="1"/>
  <c r="HY372" i="1"/>
  <c r="BP372" i="1"/>
  <c r="HX372" i="1"/>
  <c r="HZ12" i="1"/>
  <c r="ES17" i="6"/>
  <c r="EV16" i="6"/>
  <c r="H4" i="11"/>
  <c r="CW15" i="6"/>
  <c r="CZ14" i="6"/>
  <c r="GR12" i="1"/>
  <c r="GR11" i="1"/>
  <c r="GO14" i="1"/>
  <c r="D14" i="10" s="1"/>
  <c r="J11" i="10"/>
  <c r="R29" i="12"/>
  <c r="Q30" i="12"/>
  <c r="CW114" i="6"/>
  <c r="CZ113" i="6"/>
  <c r="AF14" i="6"/>
  <c r="AC15" i="6"/>
  <c r="GC14" i="6"/>
  <c r="GF12" i="6"/>
  <c r="GF11" i="6"/>
  <c r="AC18" i="1"/>
  <c r="AF17" i="1"/>
  <c r="FT11" i="6"/>
  <c r="FT12" i="6"/>
  <c r="FQ14" i="6"/>
  <c r="E14" i="6"/>
  <c r="H12" i="6"/>
  <c r="H11" i="6"/>
  <c r="Q4" i="11"/>
  <c r="IH22" i="1"/>
  <c r="IH20" i="1" s="1"/>
  <c r="D13" i="12"/>
  <c r="C14" i="12"/>
  <c r="DX11" i="6"/>
  <c r="DX12" i="6"/>
  <c r="DU14" i="6"/>
  <c r="J29" i="12"/>
  <c r="I30" i="12"/>
  <c r="FH15" i="6"/>
  <c r="FE16" i="6"/>
  <c r="F29" i="12"/>
  <c r="E30" i="12"/>
  <c r="BM15" i="1"/>
  <c r="BP14" i="1"/>
  <c r="GC14" i="1"/>
  <c r="GF11" i="1"/>
  <c r="GF12" i="1"/>
  <c r="W4" i="11"/>
  <c r="BM14" i="6"/>
  <c r="BP11" i="6"/>
  <c r="BP12" i="6"/>
  <c r="K30" i="12"/>
  <c r="L29" i="12"/>
  <c r="S4" i="11"/>
  <c r="T11" i="6"/>
  <c r="Q14" i="6"/>
  <c r="T12" i="6"/>
  <c r="HD110" i="6"/>
  <c r="HA113" i="6"/>
  <c r="HD111" i="6"/>
  <c r="DU114" i="6"/>
  <c r="DX113" i="6"/>
  <c r="BY14" i="1"/>
  <c r="HY14" i="1" s="1"/>
  <c r="HY12" i="1"/>
  <c r="HY11" i="1"/>
  <c r="CB11" i="1"/>
  <c r="CB12" i="1"/>
  <c r="DL113" i="6"/>
  <c r="DI114" i="6"/>
  <c r="HM11" i="1"/>
  <c r="HP11" i="1" s="1"/>
  <c r="HP10" i="1"/>
  <c r="C10" i="10"/>
  <c r="T14" i="1"/>
  <c r="Q15" i="1"/>
  <c r="DI14" i="6"/>
  <c r="DL11" i="6"/>
  <c r="DL12" i="6"/>
  <c r="EV14" i="1"/>
  <c r="ES15" i="1"/>
  <c r="HX12" i="1"/>
  <c r="AR11" i="1"/>
  <c r="HX11" i="1"/>
  <c r="AR12" i="1"/>
  <c r="IF22" i="1"/>
  <c r="IF20" i="1" s="1"/>
  <c r="AO14" i="1"/>
  <c r="H14" i="10" s="1"/>
  <c r="CB110" i="6"/>
  <c r="BY113" i="6"/>
  <c r="CB111" i="6"/>
  <c r="EJ11" i="1"/>
  <c r="EG14" i="1"/>
  <c r="EJ12" i="1"/>
  <c r="F11" i="10"/>
  <c r="CB16" i="6"/>
  <c r="BY17" i="6"/>
  <c r="M30" i="12"/>
  <c r="N29" i="12"/>
  <c r="H14" i="1"/>
  <c r="E15" i="1"/>
  <c r="AO20" i="6"/>
  <c r="AR19" i="6"/>
  <c r="F55" i="12"/>
  <c r="F54" i="12"/>
  <c r="GF114" i="6"/>
  <c r="GC115" i="6"/>
  <c r="EG15" i="6"/>
  <c r="EJ14" i="6"/>
  <c r="ES114" i="6"/>
  <c r="EV113" i="6"/>
  <c r="CN14" i="1"/>
  <c r="CK15" i="1"/>
  <c r="HD14" i="6"/>
  <c r="HA15" i="6"/>
  <c r="FQ16" i="1"/>
  <c r="FT15" i="1"/>
  <c r="BD24" i="6"/>
  <c r="BA25" i="6"/>
  <c r="P29" i="12"/>
  <c r="O30" i="12"/>
  <c r="J53" i="12"/>
  <c r="I54" i="12"/>
  <c r="J54" i="12" s="1"/>
  <c r="E14" i="12"/>
  <c r="F13" i="12"/>
  <c r="BN132" i="6"/>
  <c r="HN131" i="6"/>
  <c r="H14" i="12"/>
  <c r="G15" i="12"/>
  <c r="H15" i="12" s="1"/>
  <c r="CN11" i="6"/>
  <c r="CK14" i="6"/>
  <c r="CN12" i="6"/>
  <c r="HM11" i="6"/>
  <c r="F15" i="6"/>
  <c r="HN14" i="6"/>
  <c r="HD11" i="1"/>
  <c r="HA14" i="1"/>
  <c r="HD12" i="1"/>
  <c r="IA11" i="1"/>
  <c r="IA12" i="1"/>
  <c r="II22" i="1"/>
  <c r="II20" i="1" s="1"/>
  <c r="J4" i="11"/>
  <c r="EG113" i="6"/>
  <c r="EJ111" i="6"/>
  <c r="EJ110" i="6"/>
  <c r="AO127" i="6"/>
  <c r="AR126" i="6"/>
  <c r="T126" i="6"/>
  <c r="Q127" i="6"/>
  <c r="K15" i="12"/>
  <c r="L15" i="12" s="1"/>
  <c r="L14" i="12"/>
  <c r="BP125" i="6"/>
  <c r="BM126" i="6"/>
  <c r="GR110" i="6"/>
  <c r="GO113" i="6"/>
  <c r="GR111" i="6"/>
  <c r="DX14" i="1"/>
  <c r="DU15" i="1"/>
  <c r="CN111" i="6"/>
  <c r="CN110" i="6"/>
  <c r="CK113" i="6"/>
  <c r="FT111" i="6"/>
  <c r="FT110" i="6"/>
  <c r="FQ113" i="6"/>
  <c r="DL14" i="1"/>
  <c r="DI15" i="1"/>
  <c r="E127" i="6"/>
  <c r="H126" i="6"/>
  <c r="FH14" i="1"/>
  <c r="FE15" i="1"/>
  <c r="BA16" i="1"/>
  <c r="BD15" i="1"/>
  <c r="FE114" i="6"/>
  <c r="FH113" i="6"/>
  <c r="H53" i="12"/>
  <c r="G54" i="12"/>
  <c r="H54" i="12" s="1"/>
  <c r="GO18" i="6"/>
  <c r="GR17" i="6"/>
  <c r="H32" i="12"/>
  <c r="G33" i="12"/>
  <c r="F16" i="1"/>
  <c r="HN15" i="1"/>
  <c r="C31" i="12"/>
  <c r="D30" i="12"/>
  <c r="C11" i="10"/>
  <c r="BN82" i="6"/>
  <c r="CW15" i="1"/>
  <c r="CZ14" i="1"/>
  <c r="AC128" i="6"/>
  <c r="AF127" i="6"/>
  <c r="T30" i="12"/>
  <c r="S31" i="12"/>
  <c r="BA127" i="6"/>
  <c r="BD126" i="6"/>
  <c r="DJ205" i="1"/>
  <c r="F204" i="6"/>
  <c r="AD366" i="6" l="1"/>
  <c r="HN365" i="6"/>
  <c r="HP372" i="1"/>
  <c r="ES18" i="6"/>
  <c r="EV17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P12" i="1"/>
  <c r="CW16" i="6"/>
  <c r="CZ15" i="6"/>
  <c r="GR14" i="1"/>
  <c r="GO15" i="1"/>
  <c r="D15" i="10" s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X14" i="1"/>
  <c r="E15" i="6"/>
  <c r="H14" i="6"/>
  <c r="GC15" i="6"/>
  <c r="GF14" i="6"/>
  <c r="FQ15" i="6"/>
  <c r="FT14" i="6"/>
  <c r="AF15" i="6"/>
  <c r="AC16" i="6"/>
  <c r="CZ114" i="6"/>
  <c r="CW115" i="6"/>
  <c r="AC19" i="1"/>
  <c r="AF18" i="1"/>
  <c r="Q31" i="12"/>
  <c r="R30" i="12"/>
  <c r="DX14" i="6"/>
  <c r="DU15" i="6"/>
  <c r="HM14" i="1"/>
  <c r="C14" i="10" s="1"/>
  <c r="D14" i="12"/>
  <c r="C15" i="12"/>
  <c r="D15" i="12" s="1"/>
  <c r="HA114" i="6"/>
  <c r="HD113" i="6"/>
  <c r="L30" i="12"/>
  <c r="K31" i="12"/>
  <c r="E31" i="12"/>
  <c r="F30" i="12"/>
  <c r="BM15" i="6"/>
  <c r="BP14" i="6"/>
  <c r="CB14" i="1"/>
  <c r="BY15" i="1"/>
  <c r="HY15" i="1" s="1"/>
  <c r="T14" i="6"/>
  <c r="Q15" i="6"/>
  <c r="FE17" i="6"/>
  <c r="FH16" i="6"/>
  <c r="BM16" i="1"/>
  <c r="BP15" i="1"/>
  <c r="DI115" i="6"/>
  <c r="DL114" i="6"/>
  <c r="DX114" i="6"/>
  <c r="DU115" i="6"/>
  <c r="I31" i="12"/>
  <c r="J30" i="12"/>
  <c r="GF14" i="1"/>
  <c r="GC15" i="1"/>
  <c r="EJ15" i="6"/>
  <c r="EG16" i="6"/>
  <c r="O31" i="12"/>
  <c r="P30" i="12"/>
  <c r="BY18" i="6"/>
  <c r="CB17" i="6"/>
  <c r="F16" i="6"/>
  <c r="HN15" i="6"/>
  <c r="CK16" i="1"/>
  <c r="CN15" i="1"/>
  <c r="AR14" i="1"/>
  <c r="AO15" i="1"/>
  <c r="HX15" i="1" s="1"/>
  <c r="AO128" i="6"/>
  <c r="AR127" i="6"/>
  <c r="E16" i="1"/>
  <c r="H15" i="1"/>
  <c r="HA15" i="1"/>
  <c r="HD14" i="1"/>
  <c r="IA14" i="1"/>
  <c r="HK22" i="6"/>
  <c r="HP11" i="6"/>
  <c r="HP12" i="6"/>
  <c r="BN133" i="6"/>
  <c r="HN132" i="6"/>
  <c r="BA26" i="6"/>
  <c r="BD25" i="6"/>
  <c r="DL14" i="6"/>
  <c r="DI15" i="6"/>
  <c r="EV114" i="6"/>
  <c r="ES115" i="6"/>
  <c r="AR21" i="6"/>
  <c r="AR20" i="6"/>
  <c r="AO23" i="6"/>
  <c r="U5" i="11"/>
  <c r="EJ14" i="1"/>
  <c r="EG15" i="1"/>
  <c r="F14" i="10"/>
  <c r="Q16" i="1"/>
  <c r="T15" i="1"/>
  <c r="EG114" i="6"/>
  <c r="EJ113" i="6"/>
  <c r="CN14" i="6"/>
  <c r="CK15" i="6"/>
  <c r="HM14" i="6"/>
  <c r="HP14" i="6" s="1"/>
  <c r="E15" i="12"/>
  <c r="F15" i="12" s="1"/>
  <c r="F14" i="12"/>
  <c r="N30" i="12"/>
  <c r="M31" i="12"/>
  <c r="FQ17" i="1"/>
  <c r="FT16" i="1"/>
  <c r="HZ14" i="1"/>
  <c r="T127" i="6"/>
  <c r="Q128" i="6"/>
  <c r="J14" i="10"/>
  <c r="HD15" i="6"/>
  <c r="HA16" i="6"/>
  <c r="GC116" i="6"/>
  <c r="GF115" i="6"/>
  <c r="BY114" i="6"/>
  <c r="CB113" i="6"/>
  <c r="EV15" i="1"/>
  <c r="ES16" i="1"/>
  <c r="BD127" i="6"/>
  <c r="BA128" i="6"/>
  <c r="H33" i="12"/>
  <c r="G34" i="12"/>
  <c r="CN113" i="6"/>
  <c r="CK114" i="6"/>
  <c r="GR113" i="6"/>
  <c r="GO114" i="6"/>
  <c r="D31" i="12"/>
  <c r="C32" i="12"/>
  <c r="FH114" i="6"/>
  <c r="FE115" i="6"/>
  <c r="FQ114" i="6"/>
  <c r="FT113" i="6"/>
  <c r="BP126" i="6"/>
  <c r="BM127" i="6"/>
  <c r="T31" i="12"/>
  <c r="S32" i="12"/>
  <c r="AF129" i="6"/>
  <c r="AF128" i="6"/>
  <c r="AC131" i="6"/>
  <c r="BN83" i="6"/>
  <c r="GO19" i="6"/>
  <c r="GR18" i="6"/>
  <c r="CZ15" i="1"/>
  <c r="CW16" i="1"/>
  <c r="HN16" i="1"/>
  <c r="F17" i="1"/>
  <c r="E128" i="6"/>
  <c r="H127" i="6"/>
  <c r="DI16" i="1"/>
  <c r="DL15" i="1"/>
  <c r="DX15" i="1"/>
  <c r="DU16" i="1"/>
  <c r="BD16" i="1"/>
  <c r="BA17" i="1"/>
  <c r="FH15" i="1"/>
  <c r="FE16" i="1"/>
  <c r="DJ206" i="1"/>
  <c r="F205" i="6"/>
  <c r="AD367" i="6" l="1"/>
  <c r="HN366" i="6"/>
  <c r="ES19" i="6"/>
  <c r="EV18" i="6"/>
  <c r="HK22" i="1"/>
  <c r="CZ16" i="6"/>
  <c r="CW17" i="6"/>
  <c r="GR15" i="1"/>
  <c r="GO16" i="1"/>
  <c r="D16" i="10" s="1"/>
  <c r="HP14" i="1"/>
  <c r="AF16" i="6"/>
  <c r="AC17" i="6"/>
  <c r="AC20" i="1"/>
  <c r="AF19" i="1"/>
  <c r="GC16" i="6"/>
  <c r="GF15" i="6"/>
  <c r="FT15" i="6"/>
  <c r="FQ16" i="6"/>
  <c r="CZ115" i="6"/>
  <c r="CW116" i="6"/>
  <c r="R31" i="12"/>
  <c r="Q32" i="12"/>
  <c r="E16" i="6"/>
  <c r="H15" i="6"/>
  <c r="DU16" i="6"/>
  <c r="DX15" i="6"/>
  <c r="F15" i="10"/>
  <c r="GC16" i="1"/>
  <c r="GF15" i="1"/>
  <c r="BP16" i="1"/>
  <c r="BM17" i="1"/>
  <c r="J31" i="12"/>
  <c r="I32" i="12"/>
  <c r="FE18" i="6"/>
  <c r="FH17" i="6"/>
  <c r="E32" i="12"/>
  <c r="F31" i="12"/>
  <c r="DX115" i="6"/>
  <c r="DU116" i="6"/>
  <c r="T15" i="6"/>
  <c r="Q16" i="6"/>
  <c r="K32" i="12"/>
  <c r="L31" i="12"/>
  <c r="HZ15" i="1"/>
  <c r="BY16" i="1"/>
  <c r="HY16" i="1" s="1"/>
  <c r="CB15" i="1"/>
  <c r="BP15" i="6"/>
  <c r="BM16" i="6"/>
  <c r="DL115" i="6"/>
  <c r="DI116" i="6"/>
  <c r="HD114" i="6"/>
  <c r="HA115" i="6"/>
  <c r="AR15" i="1"/>
  <c r="AO16" i="1"/>
  <c r="Q131" i="6"/>
  <c r="T128" i="6"/>
  <c r="T129" i="6"/>
  <c r="S17" i="11"/>
  <c r="EJ114" i="6"/>
  <c r="EG115" i="6"/>
  <c r="AO24" i="6"/>
  <c r="AR23" i="6"/>
  <c r="BD26" i="6"/>
  <c r="BA27" i="6"/>
  <c r="HA16" i="1"/>
  <c r="J16" i="10" s="1"/>
  <c r="HD15" i="1"/>
  <c r="IA15" i="1"/>
  <c r="BY19" i="6"/>
  <c r="CB18" i="6"/>
  <c r="BY115" i="6"/>
  <c r="CB114" i="6"/>
  <c r="CK17" i="1"/>
  <c r="CN16" i="1"/>
  <c r="EV16" i="1"/>
  <c r="ES17" i="1"/>
  <c r="HM15" i="1"/>
  <c r="HP15" i="1" s="1"/>
  <c r="O32" i="12"/>
  <c r="P31" i="12"/>
  <c r="GC117" i="6"/>
  <c r="GF116" i="6"/>
  <c r="Q17" i="1"/>
  <c r="T16" i="1"/>
  <c r="ES116" i="6"/>
  <c r="EV115" i="6"/>
  <c r="H16" i="1"/>
  <c r="E17" i="1"/>
  <c r="EG17" i="6"/>
  <c r="EJ16" i="6"/>
  <c r="N31" i="12"/>
  <c r="M32" i="12"/>
  <c r="H15" i="10"/>
  <c r="BN134" i="6"/>
  <c r="HN133" i="6"/>
  <c r="HA17" i="6"/>
  <c r="HD16" i="6"/>
  <c r="FT17" i="1"/>
  <c r="FQ18" i="1"/>
  <c r="CK16" i="6"/>
  <c r="CN15" i="6"/>
  <c r="HM15" i="6"/>
  <c r="HP15" i="6" s="1"/>
  <c r="EG16" i="1"/>
  <c r="EJ15" i="1"/>
  <c r="DI16" i="6"/>
  <c r="DL15" i="6"/>
  <c r="AO131" i="6"/>
  <c r="AR128" i="6"/>
  <c r="AR129" i="6"/>
  <c r="F17" i="6"/>
  <c r="HN16" i="6"/>
  <c r="J15" i="10"/>
  <c r="BA131" i="6"/>
  <c r="BD128" i="6"/>
  <c r="BD129" i="6"/>
  <c r="U17" i="11"/>
  <c r="DU17" i="1"/>
  <c r="DX16" i="1"/>
  <c r="HZ16" i="1"/>
  <c r="H129" i="6"/>
  <c r="Q17" i="11"/>
  <c r="H128" i="6"/>
  <c r="E131" i="6"/>
  <c r="BP127" i="6"/>
  <c r="BM128" i="6"/>
  <c r="FQ115" i="6"/>
  <c r="FT114" i="6"/>
  <c r="AF131" i="6"/>
  <c r="AC132" i="6"/>
  <c r="CK115" i="6"/>
  <c r="CN114" i="6"/>
  <c r="CZ16" i="1"/>
  <c r="CW17" i="1"/>
  <c r="GR19" i="6"/>
  <c r="GO20" i="6"/>
  <c r="FE116" i="6"/>
  <c r="FH115" i="6"/>
  <c r="C33" i="12"/>
  <c r="D32" i="12"/>
  <c r="BD17" i="1"/>
  <c r="BA18" i="1"/>
  <c r="DL16" i="1"/>
  <c r="DI17" i="1"/>
  <c r="S33" i="12"/>
  <c r="T32" i="12"/>
  <c r="FH16" i="1"/>
  <c r="FE17" i="1"/>
  <c r="GO115" i="6"/>
  <c r="GR114" i="6"/>
  <c r="F18" i="1"/>
  <c r="HN17" i="1"/>
  <c r="BN86" i="6"/>
  <c r="G35" i="12"/>
  <c r="H34" i="12"/>
  <c r="DJ207" i="1"/>
  <c r="F206" i="6"/>
  <c r="AD368" i="6" l="1"/>
  <c r="HN367" i="6"/>
  <c r="EV19" i="6"/>
  <c r="ES20" i="6"/>
  <c r="CW18" i="6"/>
  <c r="CZ17" i="6"/>
  <c r="GR16" i="1"/>
  <c r="GO17" i="1"/>
  <c r="D17" i="10" s="1"/>
  <c r="H16" i="6"/>
  <c r="E17" i="6"/>
  <c r="GF16" i="6"/>
  <c r="GC17" i="6"/>
  <c r="C15" i="10"/>
  <c r="Q33" i="12"/>
  <c r="R32" i="12"/>
  <c r="FQ17" i="6"/>
  <c r="FT16" i="6"/>
  <c r="AF20" i="1"/>
  <c r="AF21" i="1"/>
  <c r="AC23" i="1"/>
  <c r="CW117" i="6"/>
  <c r="CZ116" i="6"/>
  <c r="AF17" i="6"/>
  <c r="AC18" i="6"/>
  <c r="HM16" i="1"/>
  <c r="HP16" i="1" s="1"/>
  <c r="DU17" i="6"/>
  <c r="DX16" i="6"/>
  <c r="DL116" i="6"/>
  <c r="DI117" i="6"/>
  <c r="FH18" i="6"/>
  <c r="FE19" i="6"/>
  <c r="J32" i="12"/>
  <c r="I33" i="12"/>
  <c r="H16" i="10"/>
  <c r="BP16" i="6"/>
  <c r="BM17" i="6"/>
  <c r="Q17" i="6"/>
  <c r="T16" i="6"/>
  <c r="DX116" i="6"/>
  <c r="DU117" i="6"/>
  <c r="BM18" i="1"/>
  <c r="BP17" i="1"/>
  <c r="K33" i="12"/>
  <c r="L32" i="12"/>
  <c r="CB16" i="1"/>
  <c r="BY17" i="1"/>
  <c r="HD115" i="6"/>
  <c r="HA116" i="6"/>
  <c r="F32" i="12"/>
  <c r="E33" i="12"/>
  <c r="GC17" i="1"/>
  <c r="GF16" i="1"/>
  <c r="F18" i="6"/>
  <c r="HN17" i="6"/>
  <c r="Q18" i="1"/>
  <c r="T17" i="1"/>
  <c r="HA17" i="1"/>
  <c r="HD16" i="1"/>
  <c r="IA16" i="1"/>
  <c r="CK17" i="6"/>
  <c r="CN16" i="6"/>
  <c r="HM16" i="6"/>
  <c r="HP16" i="6" s="1"/>
  <c r="HA18" i="6"/>
  <c r="HD17" i="6"/>
  <c r="EJ17" i="6"/>
  <c r="EG18" i="6"/>
  <c r="CK18" i="1"/>
  <c r="CN17" i="1"/>
  <c r="BD27" i="6"/>
  <c r="BA28" i="6"/>
  <c r="AO132" i="6"/>
  <c r="AR131" i="6"/>
  <c r="FT18" i="1"/>
  <c r="FQ19" i="1"/>
  <c r="E18" i="1"/>
  <c r="H17" i="1"/>
  <c r="GF117" i="6"/>
  <c r="GC118" i="6"/>
  <c r="CB115" i="6"/>
  <c r="BY116" i="6"/>
  <c r="DL16" i="6"/>
  <c r="DI17" i="6"/>
  <c r="BN135" i="6"/>
  <c r="HN134" i="6"/>
  <c r="O33" i="12"/>
  <c r="P32" i="12"/>
  <c r="AR24" i="6"/>
  <c r="AO25" i="6"/>
  <c r="Q132" i="6"/>
  <c r="T131" i="6"/>
  <c r="EV116" i="6"/>
  <c r="ES117" i="6"/>
  <c r="BY20" i="6"/>
  <c r="CB19" i="6"/>
  <c r="EG116" i="6"/>
  <c r="EJ115" i="6"/>
  <c r="EG17" i="1"/>
  <c r="HZ17" i="1" s="1"/>
  <c r="EJ16" i="1"/>
  <c r="N32" i="12"/>
  <c r="M33" i="12"/>
  <c r="F16" i="10"/>
  <c r="ES18" i="1"/>
  <c r="EV17" i="1"/>
  <c r="HX16" i="1"/>
  <c r="AR16" i="1"/>
  <c r="AO17" i="1"/>
  <c r="H17" i="10" s="1"/>
  <c r="HN18" i="1"/>
  <c r="F19" i="1"/>
  <c r="FE117" i="6"/>
  <c r="FH116" i="6"/>
  <c r="FH17" i="1"/>
  <c r="FE18" i="1"/>
  <c r="CN115" i="6"/>
  <c r="CK116" i="6"/>
  <c r="D33" i="12"/>
  <c r="C34" i="12"/>
  <c r="CZ17" i="1"/>
  <c r="CW18" i="1"/>
  <c r="FQ116" i="6"/>
  <c r="FT115" i="6"/>
  <c r="BM131" i="6"/>
  <c r="BP129" i="6"/>
  <c r="BP128" i="6"/>
  <c r="W17" i="11"/>
  <c r="DX17" i="1"/>
  <c r="DU18" i="1"/>
  <c r="BN87" i="6"/>
  <c r="BD18" i="1"/>
  <c r="BA19" i="1"/>
  <c r="AF132" i="6"/>
  <c r="AC133" i="6"/>
  <c r="H35" i="12"/>
  <c r="G36" i="12"/>
  <c r="HY17" i="1"/>
  <c r="S34" i="12"/>
  <c r="T33" i="12"/>
  <c r="BA132" i="6"/>
  <c r="BD131" i="6"/>
  <c r="GR115" i="6"/>
  <c r="GO116" i="6"/>
  <c r="DL17" i="1"/>
  <c r="DI18" i="1"/>
  <c r="GO23" i="6"/>
  <c r="GR21" i="6"/>
  <c r="GR20" i="6"/>
  <c r="H131" i="6"/>
  <c r="E132" i="6"/>
  <c r="DJ208" i="1"/>
  <c r="F207" i="6"/>
  <c r="AD369" i="6" l="1"/>
  <c r="HN368" i="6"/>
  <c r="EV20" i="6"/>
  <c r="ES23" i="6"/>
  <c r="EV21" i="6"/>
  <c r="CZ18" i="6"/>
  <c r="CW19" i="6"/>
  <c r="GR17" i="1"/>
  <c r="GO18" i="1"/>
  <c r="D18" i="10" s="1"/>
  <c r="C16" i="10"/>
  <c r="AF18" i="6"/>
  <c r="AC19" i="6"/>
  <c r="R33" i="12"/>
  <c r="Q34" i="12"/>
  <c r="CZ117" i="6"/>
  <c r="CW118" i="6"/>
  <c r="FQ18" i="6"/>
  <c r="FT17" i="6"/>
  <c r="AC24" i="1"/>
  <c r="AF23" i="1"/>
  <c r="GF17" i="6"/>
  <c r="GC18" i="6"/>
  <c r="H17" i="6"/>
  <c r="E18" i="6"/>
  <c r="DX17" i="6"/>
  <c r="DU18" i="6"/>
  <c r="BM19" i="1"/>
  <c r="BP18" i="1"/>
  <c r="J33" i="12"/>
  <c r="I34" i="12"/>
  <c r="K34" i="12"/>
  <c r="L33" i="12"/>
  <c r="HD116" i="6"/>
  <c r="HA117" i="6"/>
  <c r="DU118" i="6"/>
  <c r="DX117" i="6"/>
  <c r="FE20" i="6"/>
  <c r="FH19" i="6"/>
  <c r="CB17" i="1"/>
  <c r="BY18" i="1"/>
  <c r="GC18" i="1"/>
  <c r="GF17" i="1"/>
  <c r="E34" i="12"/>
  <c r="F33" i="12"/>
  <c r="T17" i="6"/>
  <c r="Q18" i="6"/>
  <c r="DL117" i="6"/>
  <c r="DI118" i="6"/>
  <c r="BP17" i="6"/>
  <c r="BM18" i="6"/>
  <c r="N33" i="12"/>
  <c r="M34" i="12"/>
  <c r="CK19" i="1"/>
  <c r="CN18" i="1"/>
  <c r="HX17" i="1"/>
  <c r="AO18" i="1"/>
  <c r="AR17" i="1"/>
  <c r="HM17" i="1"/>
  <c r="CB20" i="6"/>
  <c r="BY23" i="6"/>
  <c r="CB21" i="6"/>
  <c r="EJ116" i="6"/>
  <c r="EG117" i="6"/>
  <c r="E19" i="1"/>
  <c r="H18" i="1"/>
  <c r="ES118" i="6"/>
  <c r="EV117" i="6"/>
  <c r="P33" i="12"/>
  <c r="O34" i="12"/>
  <c r="BY117" i="6"/>
  <c r="CB116" i="6"/>
  <c r="HA18" i="1"/>
  <c r="J18" i="10" s="1"/>
  <c r="HD17" i="1"/>
  <c r="IA17" i="1"/>
  <c r="EJ17" i="1"/>
  <c r="EG18" i="1"/>
  <c r="HZ18" i="1" s="1"/>
  <c r="F17" i="10"/>
  <c r="J17" i="10"/>
  <c r="BN136" i="6"/>
  <c r="HN135" i="6"/>
  <c r="GF118" i="6"/>
  <c r="GC119" i="6"/>
  <c r="BA29" i="6"/>
  <c r="BD28" i="6"/>
  <c r="AO133" i="6"/>
  <c r="AR132" i="6"/>
  <c r="EV18" i="1"/>
  <c r="ES19" i="1"/>
  <c r="T18" i="1"/>
  <c r="Q19" i="1"/>
  <c r="HD18" i="6"/>
  <c r="HA19" i="6"/>
  <c r="T132" i="6"/>
  <c r="Q133" i="6"/>
  <c r="CN17" i="6"/>
  <c r="CK18" i="6"/>
  <c r="HM17" i="6"/>
  <c r="HP17" i="6" s="1"/>
  <c r="AO26" i="6"/>
  <c r="AR25" i="6"/>
  <c r="F19" i="6"/>
  <c r="HN18" i="6"/>
  <c r="DL17" i="6"/>
  <c r="DI18" i="6"/>
  <c r="FT19" i="1"/>
  <c r="FQ20" i="1"/>
  <c r="EG19" i="6"/>
  <c r="EJ18" i="6"/>
  <c r="BN88" i="6"/>
  <c r="FH18" i="1"/>
  <c r="FE19" i="1"/>
  <c r="C35" i="12"/>
  <c r="D34" i="12"/>
  <c r="E133" i="6"/>
  <c r="H132" i="6"/>
  <c r="DL18" i="1"/>
  <c r="DI19" i="1"/>
  <c r="H36" i="12"/>
  <c r="H37" i="12"/>
  <c r="FT116" i="6"/>
  <c r="FQ117" i="6"/>
  <c r="GR116" i="6"/>
  <c r="GO117" i="6"/>
  <c r="BD19" i="1"/>
  <c r="BA20" i="1"/>
  <c r="BM132" i="6"/>
  <c r="BP131" i="6"/>
  <c r="FH117" i="6"/>
  <c r="FE118" i="6"/>
  <c r="GO24" i="6"/>
  <c r="GR23" i="6"/>
  <c r="S35" i="12"/>
  <c r="T34" i="12"/>
  <c r="DX18" i="1"/>
  <c r="DU19" i="1"/>
  <c r="HN19" i="1"/>
  <c r="F20" i="1"/>
  <c r="CZ18" i="1"/>
  <c r="CW19" i="1"/>
  <c r="BA133" i="6"/>
  <c r="BD132" i="6"/>
  <c r="AF133" i="6"/>
  <c r="AC134" i="6"/>
  <c r="CK117" i="6"/>
  <c r="CN116" i="6"/>
  <c r="HM116" i="6"/>
  <c r="HP116" i="6" s="1"/>
  <c r="DJ209" i="1"/>
  <c r="F208" i="6"/>
  <c r="AD370" i="6" l="1"/>
  <c r="HN369" i="6"/>
  <c r="ES24" i="6"/>
  <c r="EV23" i="6"/>
  <c r="CZ19" i="6"/>
  <c r="CW20" i="6"/>
  <c r="GR18" i="1"/>
  <c r="GO19" i="1"/>
  <c r="D19" i="10" s="1"/>
  <c r="FQ19" i="6"/>
  <c r="FT18" i="6"/>
  <c r="E19" i="6"/>
  <c r="H18" i="6"/>
  <c r="CW119" i="6"/>
  <c r="CZ118" i="6"/>
  <c r="GF18" i="6"/>
  <c r="GC19" i="6"/>
  <c r="Q35" i="12"/>
  <c r="R34" i="12"/>
  <c r="AF19" i="6"/>
  <c r="AC20" i="6"/>
  <c r="AC25" i="1"/>
  <c r="AF24" i="1"/>
  <c r="HM18" i="1"/>
  <c r="C18" i="10" s="1"/>
  <c r="DX18" i="6"/>
  <c r="DU19" i="6"/>
  <c r="BM19" i="6"/>
  <c r="BP18" i="6"/>
  <c r="DL118" i="6"/>
  <c r="DI119" i="6"/>
  <c r="BY19" i="1"/>
  <c r="HY19" i="1" s="1"/>
  <c r="CB18" i="1"/>
  <c r="HY18" i="1"/>
  <c r="L34" i="12"/>
  <c r="K35" i="12"/>
  <c r="HD117" i="6"/>
  <c r="HA118" i="6"/>
  <c r="Q19" i="6"/>
  <c r="T18" i="6"/>
  <c r="J34" i="12"/>
  <c r="I35" i="12"/>
  <c r="FE23" i="6"/>
  <c r="FH20" i="6"/>
  <c r="FH21" i="6"/>
  <c r="GF18" i="1"/>
  <c r="GC19" i="1"/>
  <c r="E35" i="12"/>
  <c r="F34" i="12"/>
  <c r="DU119" i="6"/>
  <c r="DX118" i="6"/>
  <c r="BP19" i="1"/>
  <c r="BM20" i="1"/>
  <c r="BY118" i="6"/>
  <c r="CB117" i="6"/>
  <c r="M35" i="12"/>
  <c r="N34" i="12"/>
  <c r="P34" i="12"/>
  <c r="O35" i="12"/>
  <c r="F20" i="6"/>
  <c r="HN19" i="6"/>
  <c r="HD19" i="6"/>
  <c r="HA20" i="6"/>
  <c r="EJ18" i="1"/>
  <c r="EG19" i="1"/>
  <c r="F18" i="10"/>
  <c r="E20" i="1"/>
  <c r="H19" i="1"/>
  <c r="HX18" i="1"/>
  <c r="AR18" i="1"/>
  <c r="AO19" i="1"/>
  <c r="H19" i="10" s="1"/>
  <c r="H18" i="10"/>
  <c r="AR133" i="6"/>
  <c r="AO134" i="6"/>
  <c r="BA32" i="6"/>
  <c r="BD29" i="6"/>
  <c r="BD30" i="6"/>
  <c r="EG118" i="6"/>
  <c r="EJ117" i="6"/>
  <c r="EJ19" i="6"/>
  <c r="EG20" i="6"/>
  <c r="Q20" i="1"/>
  <c r="T19" i="1"/>
  <c r="ES119" i="6"/>
  <c r="EV118" i="6"/>
  <c r="FQ23" i="1"/>
  <c r="FT20" i="1"/>
  <c r="FT21" i="1"/>
  <c r="CN18" i="6"/>
  <c r="CK19" i="6"/>
  <c r="HM18" i="6"/>
  <c r="HP18" i="6" s="1"/>
  <c r="ES20" i="1"/>
  <c r="EV19" i="1"/>
  <c r="HD18" i="1"/>
  <c r="HA19" i="1"/>
  <c r="J19" i="10" s="1"/>
  <c r="IA18" i="1"/>
  <c r="CB23" i="6"/>
  <c r="BY24" i="6"/>
  <c r="AO27" i="6"/>
  <c r="AR26" i="6"/>
  <c r="GF119" i="6"/>
  <c r="GC122" i="6"/>
  <c r="GF120" i="6"/>
  <c r="CN19" i="1"/>
  <c r="CK20" i="1"/>
  <c r="DL18" i="6"/>
  <c r="DI19" i="6"/>
  <c r="BN137" i="6"/>
  <c r="HN136" i="6"/>
  <c r="Q134" i="6"/>
  <c r="T133" i="6"/>
  <c r="HP17" i="1"/>
  <c r="C17" i="10"/>
  <c r="CN117" i="6"/>
  <c r="CK118" i="6"/>
  <c r="HM117" i="6"/>
  <c r="HP117" i="6" s="1"/>
  <c r="E134" i="6"/>
  <c r="H133" i="6"/>
  <c r="FH19" i="1"/>
  <c r="FE20" i="1"/>
  <c r="BD133" i="6"/>
  <c r="BA134" i="6"/>
  <c r="DX19" i="1"/>
  <c r="DU20" i="1"/>
  <c r="S36" i="12"/>
  <c r="T35" i="12"/>
  <c r="GO25" i="6"/>
  <c r="GR24" i="6"/>
  <c r="BM133" i="6"/>
  <c r="BP132" i="6"/>
  <c r="FQ118" i="6"/>
  <c r="FT117" i="6"/>
  <c r="FH118" i="6"/>
  <c r="FE119" i="6"/>
  <c r="BN89" i="6"/>
  <c r="F23" i="1"/>
  <c r="HN20" i="1"/>
  <c r="DL19" i="1"/>
  <c r="DI20" i="1"/>
  <c r="D35" i="12"/>
  <c r="C36" i="12"/>
  <c r="BD20" i="1"/>
  <c r="BA23" i="1"/>
  <c r="BD21" i="1"/>
  <c r="AF134" i="6"/>
  <c r="AC135" i="6"/>
  <c r="CZ19" i="1"/>
  <c r="CW20" i="1"/>
  <c r="GO118" i="6"/>
  <c r="GR117" i="6"/>
  <c r="DJ212" i="1"/>
  <c r="F209" i="6"/>
  <c r="AD371" i="6" l="1"/>
  <c r="HN371" i="6" s="1"/>
  <c r="HN370" i="6"/>
  <c r="ES25" i="6"/>
  <c r="EV24" i="6"/>
  <c r="F19" i="10"/>
  <c r="CZ20" i="6"/>
  <c r="CW23" i="6"/>
  <c r="CZ21" i="6"/>
  <c r="GO20" i="1"/>
  <c r="F5" i="11" s="1"/>
  <c r="GR19" i="1"/>
  <c r="GC20" i="6"/>
  <c r="GF19" i="6"/>
  <c r="HP18" i="1"/>
  <c r="AC26" i="1"/>
  <c r="AF25" i="1"/>
  <c r="CW122" i="6"/>
  <c r="CZ119" i="6"/>
  <c r="CZ120" i="6"/>
  <c r="AF20" i="6"/>
  <c r="AF21" i="6"/>
  <c r="AC23" i="6"/>
  <c r="H19" i="6"/>
  <c r="E20" i="6"/>
  <c r="Q36" i="12"/>
  <c r="R35" i="12"/>
  <c r="FQ20" i="6"/>
  <c r="FT19" i="6"/>
  <c r="DU20" i="6"/>
  <c r="DX19" i="6"/>
  <c r="F35" i="12"/>
  <c r="E36" i="12"/>
  <c r="HZ19" i="1"/>
  <c r="GF19" i="1"/>
  <c r="GC20" i="1"/>
  <c r="T19" i="6"/>
  <c r="Q20" i="6"/>
  <c r="BY20" i="1"/>
  <c r="IG31" i="1" s="1"/>
  <c r="IG29" i="1" s="1"/>
  <c r="CB19" i="1"/>
  <c r="HD118" i="6"/>
  <c r="HA119" i="6"/>
  <c r="DI122" i="6"/>
  <c r="DL120" i="6"/>
  <c r="DL119" i="6"/>
  <c r="I36" i="12"/>
  <c r="J36" i="12" s="1"/>
  <c r="J35" i="12"/>
  <c r="BP20" i="1"/>
  <c r="BM23" i="1"/>
  <c r="BP21" i="1"/>
  <c r="DU122" i="6"/>
  <c r="DX119" i="6"/>
  <c r="DX120" i="6"/>
  <c r="HM19" i="1"/>
  <c r="L35" i="12"/>
  <c r="K36" i="12"/>
  <c r="FE24" i="6"/>
  <c r="FH23" i="6"/>
  <c r="BP19" i="6"/>
  <c r="BM20" i="6"/>
  <c r="BY25" i="6"/>
  <c r="CB24" i="6"/>
  <c r="EG119" i="6"/>
  <c r="EJ118" i="6"/>
  <c r="CN20" i="1"/>
  <c r="CK23" i="1"/>
  <c r="CN21" i="1"/>
  <c r="EV119" i="6"/>
  <c r="ES122" i="6"/>
  <c r="EV120" i="6"/>
  <c r="F23" i="6"/>
  <c r="HN20" i="6"/>
  <c r="HL31" i="6" s="1"/>
  <c r="HD19" i="1"/>
  <c r="HA20" i="1"/>
  <c r="IA19" i="1"/>
  <c r="BA33" i="6"/>
  <c r="BD32" i="6"/>
  <c r="E23" i="1"/>
  <c r="H20" i="1"/>
  <c r="H21" i="1"/>
  <c r="P35" i="12"/>
  <c r="O36" i="12"/>
  <c r="GF122" i="6"/>
  <c r="GC123" i="6"/>
  <c r="AR134" i="6"/>
  <c r="AO135" i="6"/>
  <c r="DI20" i="6"/>
  <c r="DL19" i="6"/>
  <c r="FT23" i="1"/>
  <c r="FQ24" i="1"/>
  <c r="EG23" i="6"/>
  <c r="EJ20" i="6"/>
  <c r="EJ21" i="6"/>
  <c r="EJ19" i="1"/>
  <c r="EG20" i="1"/>
  <c r="HZ20" i="1" s="1"/>
  <c r="BN140" i="6"/>
  <c r="HN137" i="6"/>
  <c r="HL148" i="6" s="1"/>
  <c r="Q23" i="1"/>
  <c r="T21" i="1"/>
  <c r="T20" i="1"/>
  <c r="T134" i="6"/>
  <c r="Q135" i="6"/>
  <c r="ES23" i="1"/>
  <c r="EV21" i="1"/>
  <c r="EV20" i="1"/>
  <c r="M36" i="12"/>
  <c r="N35" i="12"/>
  <c r="AO28" i="6"/>
  <c r="AR27" i="6"/>
  <c r="HX19" i="1"/>
  <c r="AO20" i="1"/>
  <c r="J5" i="11" s="1"/>
  <c r="AR19" i="1"/>
  <c r="HA23" i="6"/>
  <c r="HD20" i="6"/>
  <c r="HD21" i="6"/>
  <c r="CK20" i="6"/>
  <c r="CN19" i="6"/>
  <c r="HM19" i="6"/>
  <c r="HP19" i="6" s="1"/>
  <c r="CB118" i="6"/>
  <c r="BY119" i="6"/>
  <c r="BN90" i="6"/>
  <c r="FQ119" i="6"/>
  <c r="FT118" i="6"/>
  <c r="DX20" i="1"/>
  <c r="DU23" i="1"/>
  <c r="DX21" i="1"/>
  <c r="CW23" i="1"/>
  <c r="CZ21" i="1"/>
  <c r="CZ20" i="1"/>
  <c r="AF135" i="6"/>
  <c r="AC136" i="6"/>
  <c r="BD23" i="1"/>
  <c r="BA24" i="1"/>
  <c r="D37" i="12"/>
  <c r="D36" i="12"/>
  <c r="BP133" i="6"/>
  <c r="BM134" i="6"/>
  <c r="H134" i="6"/>
  <c r="E135" i="6"/>
  <c r="F24" i="1"/>
  <c r="HN23" i="1"/>
  <c r="HL31" i="1" s="1"/>
  <c r="DL21" i="1"/>
  <c r="DL20" i="1"/>
  <c r="DI23" i="1"/>
  <c r="GO26" i="6"/>
  <c r="GR25" i="6"/>
  <c r="GO119" i="6"/>
  <c r="GR118" i="6"/>
  <c r="FH119" i="6"/>
  <c r="FE122" i="6"/>
  <c r="FH120" i="6"/>
  <c r="BA135" i="6"/>
  <c r="BD134" i="6"/>
  <c r="T37" i="12"/>
  <c r="T36" i="12"/>
  <c r="FH20" i="1"/>
  <c r="FE23" i="1"/>
  <c r="FH21" i="1"/>
  <c r="CK119" i="6"/>
  <c r="CN118" i="6"/>
  <c r="HM118" i="6"/>
  <c r="HP118" i="6" s="1"/>
  <c r="DJ213" i="1"/>
  <c r="F212" i="6"/>
  <c r="D20" i="10" l="1"/>
  <c r="EV25" i="6"/>
  <c r="ES26" i="6"/>
  <c r="HZ21" i="1"/>
  <c r="HY20" i="1"/>
  <c r="HY21" i="1"/>
  <c r="IH31" i="1"/>
  <c r="IH29" i="1" s="1"/>
  <c r="CZ23" i="6"/>
  <c r="CW24" i="6"/>
  <c r="GR21" i="1"/>
  <c r="GR20" i="1"/>
  <c r="GO23" i="1"/>
  <c r="D23" i="10" s="1"/>
  <c r="H5" i="11"/>
  <c r="F20" i="10"/>
  <c r="R36" i="12"/>
  <c r="R37" i="12"/>
  <c r="CZ122" i="6"/>
  <c r="CW123" i="6"/>
  <c r="H20" i="6"/>
  <c r="E23" i="6"/>
  <c r="H21" i="6"/>
  <c r="Q5" i="11"/>
  <c r="AC27" i="1"/>
  <c r="AF26" i="1"/>
  <c r="AF23" i="6"/>
  <c r="AC24" i="6"/>
  <c r="HM20" i="1"/>
  <c r="HP21" i="1" s="1"/>
  <c r="FT20" i="6"/>
  <c r="FT21" i="6"/>
  <c r="FQ23" i="6"/>
  <c r="GF21" i="6"/>
  <c r="GF20" i="6"/>
  <c r="GC23" i="6"/>
  <c r="DX20" i="6"/>
  <c r="DU23" i="6"/>
  <c r="DX21" i="6"/>
  <c r="BY23" i="1"/>
  <c r="HY23" i="1" s="1"/>
  <c r="CB21" i="1"/>
  <c r="CB20" i="1"/>
  <c r="BP21" i="6"/>
  <c r="BP20" i="6"/>
  <c r="W5" i="11"/>
  <c r="BM23" i="6"/>
  <c r="GC23" i="1"/>
  <c r="GF21" i="1"/>
  <c r="GF20" i="1"/>
  <c r="DX122" i="6"/>
  <c r="DU123" i="6"/>
  <c r="DI123" i="6"/>
  <c r="DL122" i="6"/>
  <c r="HP19" i="1"/>
  <c r="C19" i="10"/>
  <c r="HD120" i="6"/>
  <c r="HD119" i="6"/>
  <c r="HA122" i="6"/>
  <c r="FH24" i="6"/>
  <c r="FE25" i="6"/>
  <c r="BM24" i="1"/>
  <c r="BP23" i="1"/>
  <c r="F37" i="12"/>
  <c r="F36" i="12"/>
  <c r="S5" i="11"/>
  <c r="T21" i="6"/>
  <c r="T20" i="6"/>
  <c r="Q23" i="6"/>
  <c r="L36" i="12"/>
  <c r="L37" i="12"/>
  <c r="CN20" i="6"/>
  <c r="CN21" i="6"/>
  <c r="CK23" i="6"/>
  <c r="HM20" i="6"/>
  <c r="AO29" i="6"/>
  <c r="AR28" i="6"/>
  <c r="AO136" i="6"/>
  <c r="AR135" i="6"/>
  <c r="E24" i="1"/>
  <c r="H23" i="1"/>
  <c r="F24" i="6"/>
  <c r="HN23" i="6"/>
  <c r="N36" i="12"/>
  <c r="N37" i="12"/>
  <c r="GC124" i="6"/>
  <c r="GF123" i="6"/>
  <c r="BD33" i="6"/>
  <c r="BA34" i="6"/>
  <c r="EV122" i="6"/>
  <c r="ES123" i="6"/>
  <c r="EJ119" i="6"/>
  <c r="EG122" i="6"/>
  <c r="EJ120" i="6"/>
  <c r="HA24" i="6"/>
  <c r="HD23" i="6"/>
  <c r="Q24" i="1"/>
  <c r="T23" i="1"/>
  <c r="EJ23" i="6"/>
  <c r="EG24" i="6"/>
  <c r="CB119" i="6"/>
  <c r="BY122" i="6"/>
  <c r="CB120" i="6"/>
  <c r="FT24" i="1"/>
  <c r="FQ25" i="1"/>
  <c r="P37" i="12"/>
  <c r="P36" i="12"/>
  <c r="HD21" i="1"/>
  <c r="HD20" i="1"/>
  <c r="HA23" i="1"/>
  <c r="J23" i="10" s="1"/>
  <c r="IA20" i="1"/>
  <c r="II31" i="1"/>
  <c r="II29" i="1" s="1"/>
  <c r="J20" i="10"/>
  <c r="IA21" i="1"/>
  <c r="BY26" i="6"/>
  <c r="CB25" i="6"/>
  <c r="HX20" i="1"/>
  <c r="IF31" i="1"/>
  <c r="IF29" i="1" s="1"/>
  <c r="AR21" i="1"/>
  <c r="HX21" i="1"/>
  <c r="AO23" i="1"/>
  <c r="AR20" i="1"/>
  <c r="ES24" i="1"/>
  <c r="EV23" i="1"/>
  <c r="CN23" i="1"/>
  <c r="CK24" i="1"/>
  <c r="Q136" i="6"/>
  <c r="T135" i="6"/>
  <c r="BN141" i="6"/>
  <c r="HN140" i="6"/>
  <c r="H20" i="10"/>
  <c r="EJ21" i="1"/>
  <c r="EG23" i="1"/>
  <c r="HZ23" i="1" s="1"/>
  <c r="EJ20" i="1"/>
  <c r="DL21" i="6"/>
  <c r="DL20" i="6"/>
  <c r="DI23" i="6"/>
  <c r="L5" i="11"/>
  <c r="DL23" i="1"/>
  <c r="DI24" i="1"/>
  <c r="F25" i="1"/>
  <c r="HN24" i="1"/>
  <c r="E136" i="6"/>
  <c r="H135" i="6"/>
  <c r="CZ23" i="1"/>
  <c r="CW24" i="1"/>
  <c r="FH23" i="1"/>
  <c r="FE24" i="1"/>
  <c r="DU24" i="1"/>
  <c r="DX23" i="1"/>
  <c r="GR26" i="6"/>
  <c r="GO27" i="6"/>
  <c r="AF136" i="6"/>
  <c r="AC137" i="6"/>
  <c r="BA136" i="6"/>
  <c r="BD135" i="6"/>
  <c r="BN91" i="6"/>
  <c r="CN119" i="6"/>
  <c r="CK122" i="6"/>
  <c r="CN120" i="6"/>
  <c r="HM119" i="6"/>
  <c r="FH122" i="6"/>
  <c r="FE123" i="6"/>
  <c r="BP134" i="6"/>
  <c r="BM135" i="6"/>
  <c r="FQ122" i="6"/>
  <c r="FT120" i="6"/>
  <c r="FT119" i="6"/>
  <c r="GR119" i="6"/>
  <c r="GO122" i="6"/>
  <c r="GR120" i="6"/>
  <c r="BA25" i="1"/>
  <c r="BD24" i="1"/>
  <c r="DJ214" i="1"/>
  <c r="F213" i="6"/>
  <c r="EV26" i="6" l="1"/>
  <c r="ES27" i="6"/>
  <c r="CZ24" i="6"/>
  <c r="CW25" i="6"/>
  <c r="C20" i="10"/>
  <c r="HP20" i="1"/>
  <c r="GR23" i="1"/>
  <c r="GO24" i="1"/>
  <c r="D24" i="10" s="1"/>
  <c r="HM23" i="1"/>
  <c r="HK31" i="1" s="1"/>
  <c r="H23" i="6"/>
  <c r="E24" i="6"/>
  <c r="AF24" i="6"/>
  <c r="AC25" i="6"/>
  <c r="GF23" i="6"/>
  <c r="GC24" i="6"/>
  <c r="CZ123" i="6"/>
  <c r="CW124" i="6"/>
  <c r="AF27" i="1"/>
  <c r="AC28" i="1"/>
  <c r="FQ24" i="6"/>
  <c r="FT23" i="6"/>
  <c r="DX23" i="6"/>
  <c r="DU24" i="6"/>
  <c r="GF23" i="1"/>
  <c r="GC24" i="1"/>
  <c r="BP24" i="1"/>
  <c r="BM25" i="1"/>
  <c r="T23" i="6"/>
  <c r="Q24" i="6"/>
  <c r="FE26" i="6"/>
  <c r="FH25" i="6"/>
  <c r="DI124" i="6"/>
  <c r="DL123" i="6"/>
  <c r="DX123" i="6"/>
  <c r="DU124" i="6"/>
  <c r="HD122" i="6"/>
  <c r="HA123" i="6"/>
  <c r="BM24" i="6"/>
  <c r="BP23" i="6"/>
  <c r="BY24" i="1"/>
  <c r="HY24" i="1" s="1"/>
  <c r="CB23" i="1"/>
  <c r="EV24" i="1"/>
  <c r="ES25" i="1"/>
  <c r="EJ24" i="6"/>
  <c r="EG25" i="6"/>
  <c r="CB26" i="6"/>
  <c r="BY27" i="6"/>
  <c r="EV123" i="6"/>
  <c r="ES124" i="6"/>
  <c r="BN142" i="6"/>
  <c r="HN141" i="6"/>
  <c r="Q137" i="6"/>
  <c r="T136" i="6"/>
  <c r="AO24" i="1"/>
  <c r="HX24" i="1" s="1"/>
  <c r="H23" i="10"/>
  <c r="AR23" i="1"/>
  <c r="HX23" i="1"/>
  <c r="AO137" i="6"/>
  <c r="AR136" i="6"/>
  <c r="BA35" i="6"/>
  <c r="BD34" i="6"/>
  <c r="EG24" i="1"/>
  <c r="HZ24" i="1" s="1"/>
  <c r="EJ23" i="1"/>
  <c r="F23" i="10"/>
  <c r="AO32" i="6"/>
  <c r="AR29" i="6"/>
  <c r="AR30" i="6"/>
  <c r="U6" i="11"/>
  <c r="T24" i="1"/>
  <c r="Q25" i="1"/>
  <c r="CK25" i="1"/>
  <c r="CN24" i="1"/>
  <c r="HD24" i="6"/>
  <c r="HA25" i="6"/>
  <c r="HP20" i="6"/>
  <c r="HP21" i="6"/>
  <c r="HK31" i="6"/>
  <c r="FQ26" i="1"/>
  <c r="FT25" i="1"/>
  <c r="HD23" i="1"/>
  <c r="HA24" i="1"/>
  <c r="IA23" i="1"/>
  <c r="CB122" i="6"/>
  <c r="BY123" i="6"/>
  <c r="GC125" i="6"/>
  <c r="GF124" i="6"/>
  <c r="F25" i="6"/>
  <c r="HN24" i="6"/>
  <c r="CN23" i="6"/>
  <c r="CK24" i="6"/>
  <c r="HM23" i="6"/>
  <c r="HP23" i="6" s="1"/>
  <c r="EJ122" i="6"/>
  <c r="EG123" i="6"/>
  <c r="DI24" i="6"/>
  <c r="DL23" i="6"/>
  <c r="H24" i="1"/>
  <c r="E25" i="1"/>
  <c r="GR122" i="6"/>
  <c r="GO123" i="6"/>
  <c r="HK130" i="6"/>
  <c r="HP119" i="6"/>
  <c r="HP120" i="6"/>
  <c r="BD136" i="6"/>
  <c r="BA137" i="6"/>
  <c r="HP23" i="1"/>
  <c r="H136" i="6"/>
  <c r="E137" i="6"/>
  <c r="CZ24" i="1"/>
  <c r="CW25" i="1"/>
  <c r="GO28" i="6"/>
  <c r="GR27" i="6"/>
  <c r="CN122" i="6"/>
  <c r="CK123" i="6"/>
  <c r="HM122" i="6"/>
  <c r="HP122" i="6" s="1"/>
  <c r="FE25" i="1"/>
  <c r="FH24" i="1"/>
  <c r="F26" i="1"/>
  <c r="HN25" i="1"/>
  <c r="BM136" i="6"/>
  <c r="BP135" i="6"/>
  <c r="BN92" i="6"/>
  <c r="AC140" i="6"/>
  <c r="AF137" i="6"/>
  <c r="AF138" i="6"/>
  <c r="DX24" i="1"/>
  <c r="DU25" i="1"/>
  <c r="FQ123" i="6"/>
  <c r="FT122" i="6"/>
  <c r="BA26" i="1"/>
  <c r="BD25" i="1"/>
  <c r="FE124" i="6"/>
  <c r="FH123" i="6"/>
  <c r="DL24" i="1"/>
  <c r="DI25" i="1"/>
  <c r="DJ215" i="1"/>
  <c r="F214" i="6"/>
  <c r="EV27" i="6" l="1"/>
  <c r="ES28" i="6"/>
  <c r="CW26" i="6"/>
  <c r="CZ25" i="6"/>
  <c r="GR24" i="1"/>
  <c r="GO25" i="1"/>
  <c r="D25" i="10" s="1"/>
  <c r="C23" i="10"/>
  <c r="CZ124" i="6"/>
  <c r="CW125" i="6"/>
  <c r="GC25" i="6"/>
  <c r="GF24" i="6"/>
  <c r="AC26" i="6"/>
  <c r="AF25" i="6"/>
  <c r="FQ25" i="6"/>
  <c r="FT24" i="6"/>
  <c r="AC29" i="1"/>
  <c r="AF28" i="1"/>
  <c r="H24" i="6"/>
  <c r="E25" i="6"/>
  <c r="DX24" i="6"/>
  <c r="DU25" i="6"/>
  <c r="HM24" i="1"/>
  <c r="HD123" i="6"/>
  <c r="HA124" i="6"/>
  <c r="Q25" i="6"/>
  <c r="T24" i="6"/>
  <c r="BP24" i="6"/>
  <c r="BM25" i="6"/>
  <c r="DX124" i="6"/>
  <c r="DU125" i="6"/>
  <c r="BM26" i="1"/>
  <c r="BP25" i="1"/>
  <c r="FE27" i="6"/>
  <c r="FH26" i="6"/>
  <c r="GC25" i="1"/>
  <c r="GF24" i="1"/>
  <c r="CB24" i="1"/>
  <c r="BY25" i="1"/>
  <c r="HY25" i="1" s="1"/>
  <c r="DI125" i="6"/>
  <c r="DL124" i="6"/>
  <c r="CN24" i="6"/>
  <c r="CK25" i="6"/>
  <c r="HM24" i="6"/>
  <c r="HP24" i="6" s="1"/>
  <c r="HA26" i="6"/>
  <c r="HD25" i="6"/>
  <c r="BA36" i="6"/>
  <c r="BD35" i="6"/>
  <c r="AR24" i="1"/>
  <c r="H24" i="10"/>
  <c r="AO25" i="1"/>
  <c r="HX25" i="1" s="1"/>
  <c r="E26" i="1"/>
  <c r="H25" i="1"/>
  <c r="HD24" i="1"/>
  <c r="HA25" i="1"/>
  <c r="IA24" i="1"/>
  <c r="J24" i="10"/>
  <c r="EG26" i="6"/>
  <c r="EJ25" i="6"/>
  <c r="AR137" i="6"/>
  <c r="AO140" i="6"/>
  <c r="AR138" i="6"/>
  <c r="T137" i="6"/>
  <c r="T138" i="6"/>
  <c r="S18" i="11"/>
  <c r="Q140" i="6"/>
  <c r="F26" i="6"/>
  <c r="HN25" i="6"/>
  <c r="CN25" i="1"/>
  <c r="CK26" i="1"/>
  <c r="AO33" i="6"/>
  <c r="AR32" i="6"/>
  <c r="ES26" i="1"/>
  <c r="EV25" i="1"/>
  <c r="DI25" i="6"/>
  <c r="DL24" i="6"/>
  <c r="FT26" i="1"/>
  <c r="FQ27" i="1"/>
  <c r="Q26" i="1"/>
  <c r="T25" i="1"/>
  <c r="BN143" i="6"/>
  <c r="HN142" i="6"/>
  <c r="CB27" i="6"/>
  <c r="BY28" i="6"/>
  <c r="EJ123" i="6"/>
  <c r="EG124" i="6"/>
  <c r="GF125" i="6"/>
  <c r="GC126" i="6"/>
  <c r="ES125" i="6"/>
  <c r="EV124" i="6"/>
  <c r="CB123" i="6"/>
  <c r="BY124" i="6"/>
  <c r="EJ24" i="1"/>
  <c r="EG25" i="1"/>
  <c r="F24" i="10"/>
  <c r="DU26" i="1"/>
  <c r="DX25" i="1"/>
  <c r="GO124" i="6"/>
  <c r="GR123" i="6"/>
  <c r="BA27" i="1"/>
  <c r="BD26" i="1"/>
  <c r="BD137" i="6"/>
  <c r="BA140" i="6"/>
  <c r="BD138" i="6"/>
  <c r="U18" i="11"/>
  <c r="BN95" i="6"/>
  <c r="DI26" i="1"/>
  <c r="DL25" i="1"/>
  <c r="AC141" i="6"/>
  <c r="AF140" i="6"/>
  <c r="HN26" i="1"/>
  <c r="F27" i="1"/>
  <c r="GO29" i="6"/>
  <c r="GR28" i="6"/>
  <c r="E140" i="6"/>
  <c r="Q18" i="11"/>
  <c r="H137" i="6"/>
  <c r="H138" i="6"/>
  <c r="CN123" i="6"/>
  <c r="CK124" i="6"/>
  <c r="HM123" i="6"/>
  <c r="HP123" i="6" s="1"/>
  <c r="FE125" i="6"/>
  <c r="FH124" i="6"/>
  <c r="BP136" i="6"/>
  <c r="BM137" i="6"/>
  <c r="C24" i="10"/>
  <c r="HP24" i="1"/>
  <c r="FT123" i="6"/>
  <c r="FQ124" i="6"/>
  <c r="FH25" i="1"/>
  <c r="FE26" i="1"/>
  <c r="CW26" i="1"/>
  <c r="CZ25" i="1"/>
  <c r="DJ216" i="1"/>
  <c r="F215" i="6"/>
  <c r="ES29" i="6" l="1"/>
  <c r="EV28" i="6"/>
  <c r="CW27" i="6"/>
  <c r="CZ26" i="6"/>
  <c r="GR25" i="1"/>
  <c r="GO26" i="1"/>
  <c r="HM25" i="1"/>
  <c r="C25" i="10" s="1"/>
  <c r="H25" i="10"/>
  <c r="FQ26" i="6"/>
  <c r="FT25" i="6"/>
  <c r="AF26" i="6"/>
  <c r="AC27" i="6"/>
  <c r="E26" i="6"/>
  <c r="H25" i="6"/>
  <c r="GF25" i="6"/>
  <c r="GC26" i="6"/>
  <c r="HZ25" i="1"/>
  <c r="CW126" i="6"/>
  <c r="CZ125" i="6"/>
  <c r="AF30" i="1"/>
  <c r="AF29" i="1"/>
  <c r="AC32" i="1"/>
  <c r="DX25" i="6"/>
  <c r="DU26" i="6"/>
  <c r="DX125" i="6"/>
  <c r="DU126" i="6"/>
  <c r="GF25" i="1"/>
  <c r="GC26" i="1"/>
  <c r="FE28" i="6"/>
  <c r="FH27" i="6"/>
  <c r="BM26" i="6"/>
  <c r="BP25" i="6"/>
  <c r="T25" i="6"/>
  <c r="Q26" i="6"/>
  <c r="DL125" i="6"/>
  <c r="DI126" i="6"/>
  <c r="HD124" i="6"/>
  <c r="HA125" i="6"/>
  <c r="BY26" i="1"/>
  <c r="CB25" i="1"/>
  <c r="BP26" i="1"/>
  <c r="BM27" i="1"/>
  <c r="BY125" i="6"/>
  <c r="CB124" i="6"/>
  <c r="CB28" i="6"/>
  <c r="BY29" i="6"/>
  <c r="FT27" i="1"/>
  <c r="FQ28" i="1"/>
  <c r="CK27" i="1"/>
  <c r="CN26" i="1"/>
  <c r="AO141" i="6"/>
  <c r="AR140" i="6"/>
  <c r="HA26" i="1"/>
  <c r="HD25" i="1"/>
  <c r="J25" i="10"/>
  <c r="IA25" i="1"/>
  <c r="BD36" i="6"/>
  <c r="BA37" i="6"/>
  <c r="EV125" i="6"/>
  <c r="ES126" i="6"/>
  <c r="BN144" i="6"/>
  <c r="HN143" i="6"/>
  <c r="DI26" i="6"/>
  <c r="DL25" i="6"/>
  <c r="F27" i="6"/>
  <c r="HN26" i="6"/>
  <c r="GC127" i="6"/>
  <c r="GF126" i="6"/>
  <c r="T140" i="6"/>
  <c r="Q141" i="6"/>
  <c r="E27" i="1"/>
  <c r="H26" i="1"/>
  <c r="HA27" i="6"/>
  <c r="HD26" i="6"/>
  <c r="ES27" i="1"/>
  <c r="EV26" i="1"/>
  <c r="EJ25" i="1"/>
  <c r="EG26" i="1"/>
  <c r="HZ26" i="1" s="1"/>
  <c r="F25" i="10"/>
  <c r="EG125" i="6"/>
  <c r="EJ124" i="6"/>
  <c r="EG27" i="6"/>
  <c r="EJ26" i="6"/>
  <c r="AR25" i="1"/>
  <c r="AO26" i="1"/>
  <c r="CN25" i="6"/>
  <c r="CK26" i="6"/>
  <c r="HM25" i="6"/>
  <c r="HP25" i="6" s="1"/>
  <c r="T26" i="1"/>
  <c r="Q27" i="1"/>
  <c r="AR33" i="6"/>
  <c r="AO34" i="6"/>
  <c r="FE27" i="1"/>
  <c r="FH26" i="1"/>
  <c r="GR29" i="6"/>
  <c r="GR30" i="6"/>
  <c r="GO32" i="6"/>
  <c r="GR124" i="6"/>
  <c r="GO125" i="6"/>
  <c r="BD140" i="6"/>
  <c r="BA141" i="6"/>
  <c r="F28" i="1"/>
  <c r="HN27" i="1"/>
  <c r="DI27" i="1"/>
  <c r="DL26" i="1"/>
  <c r="BA28" i="1"/>
  <c r="BD27" i="1"/>
  <c r="FT124" i="6"/>
  <c r="FQ125" i="6"/>
  <c r="BM140" i="6"/>
  <c r="BP138" i="6"/>
  <c r="BP137" i="6"/>
  <c r="W18" i="11"/>
  <c r="H140" i="6"/>
  <c r="E141" i="6"/>
  <c r="BN96" i="6"/>
  <c r="DX26" i="1"/>
  <c r="DU27" i="1"/>
  <c r="D26" i="10"/>
  <c r="FH125" i="6"/>
  <c r="FE126" i="6"/>
  <c r="CZ26" i="1"/>
  <c r="CW27" i="1"/>
  <c r="CN124" i="6"/>
  <c r="CK125" i="6"/>
  <c r="HM124" i="6"/>
  <c r="HP124" i="6" s="1"/>
  <c r="AF141" i="6"/>
  <c r="AC142" i="6"/>
  <c r="DJ217" i="1"/>
  <c r="F216" i="6"/>
  <c r="HP25" i="1" l="1"/>
  <c r="EV30" i="6"/>
  <c r="EV29" i="6"/>
  <c r="ES32" i="6"/>
  <c r="CZ27" i="6"/>
  <c r="CW28" i="6"/>
  <c r="GR26" i="1"/>
  <c r="GO27" i="1"/>
  <c r="D27" i="10" s="1"/>
  <c r="GC27" i="6"/>
  <c r="GF26" i="6"/>
  <c r="AC33" i="1"/>
  <c r="AF32" i="1"/>
  <c r="H26" i="6"/>
  <c r="E27" i="6"/>
  <c r="AC28" i="6"/>
  <c r="AF27" i="6"/>
  <c r="CZ126" i="6"/>
  <c r="CW127" i="6"/>
  <c r="FQ27" i="6"/>
  <c r="FT26" i="6"/>
  <c r="DX26" i="6"/>
  <c r="DU27" i="6"/>
  <c r="BY27" i="1"/>
  <c r="HY27" i="1" s="1"/>
  <c r="CB26" i="1"/>
  <c r="BM27" i="6"/>
  <c r="BP26" i="6"/>
  <c r="HD125" i="6"/>
  <c r="HA126" i="6"/>
  <c r="FE29" i="6"/>
  <c r="FH28" i="6"/>
  <c r="DL126" i="6"/>
  <c r="DI127" i="6"/>
  <c r="GC27" i="1"/>
  <c r="GF26" i="1"/>
  <c r="BP27" i="1"/>
  <c r="BM28" i="1"/>
  <c r="T26" i="6"/>
  <c r="Q27" i="6"/>
  <c r="DU127" i="6"/>
  <c r="DX126" i="6"/>
  <c r="HY26" i="1"/>
  <c r="F28" i="6"/>
  <c r="HN27" i="6"/>
  <c r="EG28" i="6"/>
  <c r="EJ27" i="6"/>
  <c r="CN27" i="1"/>
  <c r="CK28" i="1"/>
  <c r="Q28" i="1"/>
  <c r="T27" i="1"/>
  <c r="HA28" i="6"/>
  <c r="HD27" i="6"/>
  <c r="DI27" i="6"/>
  <c r="DL26" i="6"/>
  <c r="FT28" i="1"/>
  <c r="FQ29" i="1"/>
  <c r="EV27" i="1"/>
  <c r="ES28" i="1"/>
  <c r="Q142" i="6"/>
  <c r="T141" i="6"/>
  <c r="EG126" i="6"/>
  <c r="EJ125" i="6"/>
  <c r="CK27" i="6"/>
  <c r="CN26" i="6"/>
  <c r="HM26" i="6"/>
  <c r="HP26" i="6" s="1"/>
  <c r="E28" i="1"/>
  <c r="H27" i="1"/>
  <c r="BN145" i="6"/>
  <c r="HN144" i="6"/>
  <c r="HD26" i="1"/>
  <c r="HA27" i="1"/>
  <c r="J27" i="10" s="1"/>
  <c r="IA26" i="1"/>
  <c r="CB30" i="6"/>
  <c r="CB29" i="6"/>
  <c r="BY32" i="6"/>
  <c r="EJ26" i="1"/>
  <c r="EG27" i="1"/>
  <c r="HZ27" i="1" s="1"/>
  <c r="F26" i="10"/>
  <c r="GC128" i="6"/>
  <c r="GF127" i="6"/>
  <c r="EV126" i="6"/>
  <c r="ES127" i="6"/>
  <c r="AR34" i="6"/>
  <c r="AO35" i="6"/>
  <c r="HX26" i="1"/>
  <c r="AR26" i="1"/>
  <c r="AO27" i="1"/>
  <c r="H27" i="10" s="1"/>
  <c r="H26" i="10"/>
  <c r="HM26" i="1"/>
  <c r="AR141" i="6"/>
  <c r="AO142" i="6"/>
  <c r="BD37" i="6"/>
  <c r="BA38" i="6"/>
  <c r="J26" i="10"/>
  <c r="BY126" i="6"/>
  <c r="CB125" i="6"/>
  <c r="FQ126" i="6"/>
  <c r="FT125" i="6"/>
  <c r="AF142" i="6"/>
  <c r="AC143" i="6"/>
  <c r="CN125" i="6"/>
  <c r="CK126" i="6"/>
  <c r="HM125" i="6"/>
  <c r="HP125" i="6" s="1"/>
  <c r="BP140" i="6"/>
  <c r="BM141" i="6"/>
  <c r="DI28" i="1"/>
  <c r="DL27" i="1"/>
  <c r="F29" i="1"/>
  <c r="HN28" i="1"/>
  <c r="DX27" i="1"/>
  <c r="DU28" i="1"/>
  <c r="H141" i="6"/>
  <c r="E142" i="6"/>
  <c r="BA29" i="1"/>
  <c r="BD28" i="1"/>
  <c r="GR32" i="6"/>
  <c r="GO33" i="6"/>
  <c r="FE28" i="1"/>
  <c r="FH27" i="1"/>
  <c r="FH126" i="6"/>
  <c r="FE127" i="6"/>
  <c r="CZ27" i="1"/>
  <c r="CW28" i="1"/>
  <c r="GO126" i="6"/>
  <c r="GR125" i="6"/>
  <c r="BN97" i="6"/>
  <c r="BD141" i="6"/>
  <c r="BA142" i="6"/>
  <c r="DJ218" i="1"/>
  <c r="F217" i="6"/>
  <c r="EV32" i="6" l="1"/>
  <c r="ES33" i="6"/>
  <c r="CW29" i="6"/>
  <c r="CZ28" i="6"/>
  <c r="GR27" i="1"/>
  <c r="GO28" i="1"/>
  <c r="D28" i="10" s="1"/>
  <c r="HM27" i="1"/>
  <c r="HP27" i="1" s="1"/>
  <c r="AF28" i="6"/>
  <c r="AC29" i="6"/>
  <c r="H27" i="6"/>
  <c r="E28" i="6"/>
  <c r="F27" i="10"/>
  <c r="FT27" i="6"/>
  <c r="FQ28" i="6"/>
  <c r="AF33" i="1"/>
  <c r="AC34" i="1"/>
  <c r="CW128" i="6"/>
  <c r="CZ127" i="6"/>
  <c r="GC28" i="6"/>
  <c r="GF27" i="6"/>
  <c r="DU28" i="6"/>
  <c r="DX27" i="6"/>
  <c r="FH30" i="6"/>
  <c r="FH29" i="6"/>
  <c r="FE32" i="6"/>
  <c r="T27" i="6"/>
  <c r="Q28" i="6"/>
  <c r="BM29" i="1"/>
  <c r="BP28" i="1"/>
  <c r="HD126" i="6"/>
  <c r="HA127" i="6"/>
  <c r="GC28" i="1"/>
  <c r="GF27" i="1"/>
  <c r="BP27" i="6"/>
  <c r="BM28" i="6"/>
  <c r="DI128" i="6"/>
  <c r="DL127" i="6"/>
  <c r="DX127" i="6"/>
  <c r="DU128" i="6"/>
  <c r="CB27" i="1"/>
  <c r="BY28" i="1"/>
  <c r="ES29" i="1"/>
  <c r="EV28" i="1"/>
  <c r="FT30" i="1"/>
  <c r="FQ32" i="1"/>
  <c r="FT29" i="1"/>
  <c r="Q29" i="1"/>
  <c r="T28" i="1"/>
  <c r="F29" i="6"/>
  <c r="HN28" i="6"/>
  <c r="EG28" i="1"/>
  <c r="HZ28" i="1" s="1"/>
  <c r="EJ27" i="1"/>
  <c r="CN28" i="1"/>
  <c r="CK29" i="1"/>
  <c r="BA41" i="6"/>
  <c r="BD39" i="6"/>
  <c r="BD38" i="6"/>
  <c r="AR35" i="6"/>
  <c r="AO36" i="6"/>
  <c r="BN146" i="6"/>
  <c r="HN145" i="6"/>
  <c r="AR142" i="6"/>
  <c r="AO143" i="6"/>
  <c r="BY33" i="6"/>
  <c r="CB32" i="6"/>
  <c r="EJ126" i="6"/>
  <c r="EG127" i="6"/>
  <c r="DI28" i="6"/>
  <c r="DL27" i="6"/>
  <c r="CB126" i="6"/>
  <c r="BY127" i="6"/>
  <c r="ES128" i="6"/>
  <c r="EV127" i="6"/>
  <c r="H28" i="1"/>
  <c r="E29" i="1"/>
  <c r="EJ28" i="6"/>
  <c r="EG29" i="6"/>
  <c r="HP26" i="1"/>
  <c r="C26" i="10"/>
  <c r="Q143" i="6"/>
  <c r="T142" i="6"/>
  <c r="HD28" i="6"/>
  <c r="HA29" i="6"/>
  <c r="HX27" i="1"/>
  <c r="AO28" i="1"/>
  <c r="AR27" i="1"/>
  <c r="GC131" i="6"/>
  <c r="GF129" i="6"/>
  <c r="GF128" i="6"/>
  <c r="HD27" i="1"/>
  <c r="HA28" i="1"/>
  <c r="J28" i="10" s="1"/>
  <c r="IA27" i="1"/>
  <c r="CK28" i="6"/>
  <c r="CN27" i="6"/>
  <c r="HM27" i="6"/>
  <c r="HP27" i="6" s="1"/>
  <c r="GO127" i="6"/>
  <c r="GR126" i="6"/>
  <c r="FH127" i="6"/>
  <c r="FE128" i="6"/>
  <c r="E143" i="6"/>
  <c r="H142" i="6"/>
  <c r="BA143" i="6"/>
  <c r="BD142" i="6"/>
  <c r="HN29" i="1"/>
  <c r="F32" i="1"/>
  <c r="CW29" i="1"/>
  <c r="CZ28" i="1"/>
  <c r="FE29" i="1"/>
  <c r="FH28" i="1"/>
  <c r="BP141" i="6"/>
  <c r="BM142" i="6"/>
  <c r="BN98" i="6"/>
  <c r="DL28" i="1"/>
  <c r="DI29" i="1"/>
  <c r="CN126" i="6"/>
  <c r="CK127" i="6"/>
  <c r="HM126" i="6"/>
  <c r="HP126" i="6" s="1"/>
  <c r="FQ127" i="6"/>
  <c r="FT126" i="6"/>
  <c r="GO34" i="6"/>
  <c r="GR33" i="6"/>
  <c r="DX28" i="1"/>
  <c r="DU29" i="1"/>
  <c r="BD30" i="1"/>
  <c r="BA32" i="1"/>
  <c r="BD29" i="1"/>
  <c r="AF143" i="6"/>
  <c r="AC144" i="6"/>
  <c r="DJ221" i="1"/>
  <c r="F218" i="6"/>
  <c r="C27" i="10" l="1"/>
  <c r="ES34" i="6"/>
  <c r="EV33" i="6"/>
  <c r="CZ30" i="6"/>
  <c r="CW32" i="6"/>
  <c r="CZ29" i="6"/>
  <c r="GR28" i="1"/>
  <c r="GO29" i="1"/>
  <c r="D29" i="10" s="1"/>
  <c r="FQ29" i="6"/>
  <c r="FT28" i="6"/>
  <c r="GF28" i="6"/>
  <c r="GC29" i="6"/>
  <c r="H28" i="6"/>
  <c r="E29" i="6"/>
  <c r="CW131" i="6"/>
  <c r="CZ129" i="6"/>
  <c r="CZ128" i="6"/>
  <c r="AF30" i="6"/>
  <c r="AF29" i="6"/>
  <c r="AC32" i="6"/>
  <c r="AC35" i="1"/>
  <c r="AF34" i="1"/>
  <c r="DX28" i="6"/>
  <c r="DU29" i="6"/>
  <c r="DI131" i="6"/>
  <c r="DL129" i="6"/>
  <c r="DL128" i="6"/>
  <c r="BM32" i="1"/>
  <c r="BP30" i="1"/>
  <c r="BP29" i="1"/>
  <c r="BM29" i="6"/>
  <c r="BP28" i="6"/>
  <c r="Q29" i="6"/>
  <c r="T28" i="6"/>
  <c r="CB28" i="1"/>
  <c r="HY28" i="1"/>
  <c r="BY29" i="1"/>
  <c r="IG40" i="1" s="1"/>
  <c r="IG38" i="1" s="1"/>
  <c r="FH32" i="6"/>
  <c r="FE33" i="6"/>
  <c r="GF28" i="1"/>
  <c r="GC29" i="1"/>
  <c r="DX128" i="6"/>
  <c r="DU131" i="6"/>
  <c r="DX129" i="6"/>
  <c r="HD127" i="6"/>
  <c r="HA128" i="6"/>
  <c r="E32" i="1"/>
  <c r="H29" i="1"/>
  <c r="H30" i="1"/>
  <c r="FT32" i="1"/>
  <c r="FQ33" i="1"/>
  <c r="GC132" i="6"/>
  <c r="GF131" i="6"/>
  <c r="T143" i="6"/>
  <c r="Q144" i="6"/>
  <c r="EG29" i="1"/>
  <c r="IH40" i="1" s="1"/>
  <c r="IH38" i="1" s="1"/>
  <c r="EJ28" i="1"/>
  <c r="EV129" i="6"/>
  <c r="EV128" i="6"/>
  <c r="ES131" i="6"/>
  <c r="BY34" i="6"/>
  <c r="CB33" i="6"/>
  <c r="CK29" i="6"/>
  <c r="CN28" i="6"/>
  <c r="HM28" i="6"/>
  <c r="HP28" i="6" s="1"/>
  <c r="AO29" i="1"/>
  <c r="J6" i="11" s="1"/>
  <c r="AR28" i="1"/>
  <c r="H28" i="10"/>
  <c r="CB127" i="6"/>
  <c r="BY128" i="6"/>
  <c r="AR143" i="6"/>
  <c r="AO144" i="6"/>
  <c r="BD41" i="6"/>
  <c r="BA42" i="6"/>
  <c r="F32" i="6"/>
  <c r="HN29" i="6"/>
  <c r="HL40" i="6" s="1"/>
  <c r="EJ30" i="6"/>
  <c r="EJ29" i="6"/>
  <c r="EG32" i="6"/>
  <c r="CK32" i="1"/>
  <c r="CN29" i="1"/>
  <c r="CN30" i="1"/>
  <c r="EJ127" i="6"/>
  <c r="EG128" i="6"/>
  <c r="HA29" i="1"/>
  <c r="HD28" i="1"/>
  <c r="IA28" i="1"/>
  <c r="T30" i="1"/>
  <c r="Q32" i="1"/>
  <c r="T29" i="1"/>
  <c r="EV29" i="1"/>
  <c r="ES32" i="1"/>
  <c r="EV30" i="1"/>
  <c r="AR36" i="6"/>
  <c r="AO37" i="6"/>
  <c r="HY29" i="1"/>
  <c r="HA32" i="6"/>
  <c r="HD29" i="6"/>
  <c r="HD30" i="6"/>
  <c r="HX28" i="1"/>
  <c r="DL28" i="6"/>
  <c r="DI29" i="6"/>
  <c r="BN149" i="6"/>
  <c r="HN146" i="6"/>
  <c r="HL157" i="6" s="1"/>
  <c r="F28" i="10"/>
  <c r="HM28" i="1"/>
  <c r="GR34" i="6"/>
  <c r="GO35" i="6"/>
  <c r="FE32" i="1"/>
  <c r="FH30" i="1"/>
  <c r="FH29" i="1"/>
  <c r="BD143" i="6"/>
  <c r="BA144" i="6"/>
  <c r="DU32" i="1"/>
  <c r="DX29" i="1"/>
  <c r="DX30" i="1"/>
  <c r="CW32" i="1"/>
  <c r="CZ29" i="1"/>
  <c r="CZ30" i="1"/>
  <c r="CK128" i="6"/>
  <c r="CN127" i="6"/>
  <c r="HM127" i="6"/>
  <c r="HP127" i="6" s="1"/>
  <c r="F33" i="1"/>
  <c r="HN32" i="1"/>
  <c r="HL40" i="1" s="1"/>
  <c r="FH129" i="6"/>
  <c r="FH128" i="6"/>
  <c r="FE131" i="6"/>
  <c r="FT127" i="6"/>
  <c r="FQ128" i="6"/>
  <c r="DI32" i="1"/>
  <c r="DL29" i="1"/>
  <c r="DL30" i="1"/>
  <c r="BA33" i="1"/>
  <c r="BD32" i="1"/>
  <c r="BN99" i="6"/>
  <c r="GR127" i="6"/>
  <c r="GO128" i="6"/>
  <c r="AF144" i="6"/>
  <c r="AC145" i="6"/>
  <c r="BM143" i="6"/>
  <c r="BP142" i="6"/>
  <c r="H143" i="6"/>
  <c r="E144" i="6"/>
  <c r="DJ222" i="1"/>
  <c r="F221" i="6"/>
  <c r="F6" i="11" l="1"/>
  <c r="EV34" i="6"/>
  <c r="ES35" i="6"/>
  <c r="CW33" i="6"/>
  <c r="CZ32" i="6"/>
  <c r="H29" i="10"/>
  <c r="GR30" i="1"/>
  <c r="GO32" i="1"/>
  <c r="D32" i="10" s="1"/>
  <c r="GR29" i="1"/>
  <c r="CW132" i="6"/>
  <c r="CZ131" i="6"/>
  <c r="H30" i="6"/>
  <c r="E32" i="6"/>
  <c r="H29" i="6"/>
  <c r="Q6" i="11"/>
  <c r="HY30" i="1"/>
  <c r="AC33" i="6"/>
  <c r="AF32" i="6"/>
  <c r="GF30" i="6"/>
  <c r="GF29" i="6"/>
  <c r="GC32" i="6"/>
  <c r="AF35" i="1"/>
  <c r="AC36" i="1"/>
  <c r="FT30" i="6"/>
  <c r="FT29" i="6"/>
  <c r="FQ32" i="6"/>
  <c r="DX29" i="6"/>
  <c r="DU32" i="6"/>
  <c r="DX30" i="6"/>
  <c r="HZ30" i="1"/>
  <c r="HM29" i="1"/>
  <c r="C29" i="10" s="1"/>
  <c r="FE34" i="6"/>
  <c r="FH33" i="6"/>
  <c r="BP30" i="6"/>
  <c r="BP29" i="6"/>
  <c r="W6" i="11"/>
  <c r="BM32" i="6"/>
  <c r="H6" i="11"/>
  <c r="HA131" i="6"/>
  <c r="HD128" i="6"/>
  <c r="HD129" i="6"/>
  <c r="HZ29" i="1"/>
  <c r="F29" i="10"/>
  <c r="CB29" i="1"/>
  <c r="BY32" i="1"/>
  <c r="CB30" i="1"/>
  <c r="BP32" i="1"/>
  <c r="BM33" i="1"/>
  <c r="DX131" i="6"/>
  <c r="DU132" i="6"/>
  <c r="HX29" i="1"/>
  <c r="HX30" i="1"/>
  <c r="GF29" i="1"/>
  <c r="GF30" i="1"/>
  <c r="GC32" i="1"/>
  <c r="S6" i="11"/>
  <c r="T30" i="6"/>
  <c r="T29" i="6"/>
  <c r="Q32" i="6"/>
  <c r="DL131" i="6"/>
  <c r="DI132" i="6"/>
  <c r="HD30" i="1"/>
  <c r="HA32" i="1"/>
  <c r="HD29" i="1"/>
  <c r="L6" i="11"/>
  <c r="IA29" i="1"/>
  <c r="J29" i="10"/>
  <c r="IA30" i="1"/>
  <c r="II40" i="1"/>
  <c r="II38" i="1" s="1"/>
  <c r="CB128" i="6"/>
  <c r="BY131" i="6"/>
  <c r="CB129" i="6"/>
  <c r="GF132" i="6"/>
  <c r="GC133" i="6"/>
  <c r="HA33" i="6"/>
  <c r="HD32" i="6"/>
  <c r="EJ128" i="6"/>
  <c r="EG131" i="6"/>
  <c r="EJ129" i="6"/>
  <c r="FQ34" i="1"/>
  <c r="FT33" i="1"/>
  <c r="Q33" i="1"/>
  <c r="T32" i="1"/>
  <c r="BN150" i="6"/>
  <c r="HN149" i="6"/>
  <c r="F33" i="6"/>
  <c r="HN32" i="6"/>
  <c r="DI32" i="6"/>
  <c r="DL30" i="6"/>
  <c r="DL29" i="6"/>
  <c r="AR37" i="6"/>
  <c r="AO38" i="6"/>
  <c r="BA43" i="6"/>
  <c r="BD42" i="6"/>
  <c r="AO32" i="1"/>
  <c r="AR29" i="1"/>
  <c r="AR30" i="1"/>
  <c r="EJ29" i="1"/>
  <c r="EG32" i="1"/>
  <c r="HZ32" i="1" s="1"/>
  <c r="EJ30" i="1"/>
  <c r="CK33" i="1"/>
  <c r="CN32" i="1"/>
  <c r="BY35" i="6"/>
  <c r="CB34" i="6"/>
  <c r="T144" i="6"/>
  <c r="Q145" i="6"/>
  <c r="HP28" i="1"/>
  <c r="C28" i="10"/>
  <c r="EJ32" i="6"/>
  <c r="EG33" i="6"/>
  <c r="AO145" i="6"/>
  <c r="AR144" i="6"/>
  <c r="ES132" i="6"/>
  <c r="EV131" i="6"/>
  <c r="H32" i="1"/>
  <c r="E33" i="1"/>
  <c r="EV32" i="1"/>
  <c r="ES33" i="1"/>
  <c r="CN29" i="6"/>
  <c r="CK32" i="6"/>
  <c r="CN30" i="6"/>
  <c r="HM29" i="6"/>
  <c r="IF40" i="1"/>
  <c r="IF38" i="1" s="1"/>
  <c r="FT128" i="6"/>
  <c r="FQ131" i="6"/>
  <c r="FT129" i="6"/>
  <c r="BD144" i="6"/>
  <c r="BA145" i="6"/>
  <c r="CK131" i="6"/>
  <c r="CN129" i="6"/>
  <c r="CN128" i="6"/>
  <c r="HM128" i="6"/>
  <c r="H144" i="6"/>
  <c r="E145" i="6"/>
  <c r="GR129" i="6"/>
  <c r="GO131" i="6"/>
  <c r="GR128" i="6"/>
  <c r="BD33" i="1"/>
  <c r="BA34" i="1"/>
  <c r="HN33" i="1"/>
  <c r="F34" i="1"/>
  <c r="HP29" i="1"/>
  <c r="FE33" i="1"/>
  <c r="FH32" i="1"/>
  <c r="GO36" i="6"/>
  <c r="GR35" i="6"/>
  <c r="FH131" i="6"/>
  <c r="FE132" i="6"/>
  <c r="BP143" i="6"/>
  <c r="BM144" i="6"/>
  <c r="DX32" i="1"/>
  <c r="DU33" i="1"/>
  <c r="AF145" i="6"/>
  <c r="AC146" i="6"/>
  <c r="BN100" i="6"/>
  <c r="DI33" i="1"/>
  <c r="DL32" i="1"/>
  <c r="CZ32" i="1"/>
  <c r="CW33" i="1"/>
  <c r="DJ223" i="1"/>
  <c r="F222" i="6"/>
  <c r="HP30" i="1" l="1"/>
  <c r="ES36" i="6"/>
  <c r="EV35" i="6"/>
  <c r="CZ33" i="6"/>
  <c r="CW34" i="6"/>
  <c r="GR32" i="1"/>
  <c r="GO33" i="1"/>
  <c r="AF33" i="6"/>
  <c r="AC34" i="6"/>
  <c r="AF36" i="1"/>
  <c r="AC37" i="1"/>
  <c r="GC33" i="6"/>
  <c r="GF32" i="6"/>
  <c r="H32" i="6"/>
  <c r="E33" i="6"/>
  <c r="FQ33" i="6"/>
  <c r="FT32" i="6"/>
  <c r="CZ132" i="6"/>
  <c r="CW133" i="6"/>
  <c r="DU33" i="6"/>
  <c r="DX32" i="6"/>
  <c r="DI133" i="6"/>
  <c r="DL132" i="6"/>
  <c r="Q33" i="6"/>
  <c r="T32" i="6"/>
  <c r="BP32" i="6"/>
  <c r="BM33" i="6"/>
  <c r="DU133" i="6"/>
  <c r="DX132" i="6"/>
  <c r="CB32" i="1"/>
  <c r="BY33" i="1"/>
  <c r="HY33" i="1" s="1"/>
  <c r="HY32" i="1"/>
  <c r="BM34" i="1"/>
  <c r="BP33" i="1"/>
  <c r="FE35" i="6"/>
  <c r="FH34" i="6"/>
  <c r="GC33" i="1"/>
  <c r="GF32" i="1"/>
  <c r="HA132" i="6"/>
  <c r="HD131" i="6"/>
  <c r="HP30" i="6"/>
  <c r="HK40" i="6"/>
  <c r="HP29" i="6"/>
  <c r="EG33" i="1"/>
  <c r="EJ32" i="1"/>
  <c r="CB131" i="6"/>
  <c r="BY132" i="6"/>
  <c r="HA33" i="1"/>
  <c r="HD32" i="1"/>
  <c r="IA32" i="1"/>
  <c r="Q146" i="6"/>
  <c r="T145" i="6"/>
  <c r="BN151" i="6"/>
  <c r="HN150" i="6"/>
  <c r="EG132" i="6"/>
  <c r="EJ131" i="6"/>
  <c r="CN32" i="6"/>
  <c r="CK33" i="6"/>
  <c r="HM32" i="6"/>
  <c r="HP32" i="6" s="1"/>
  <c r="EV132" i="6"/>
  <c r="ES133" i="6"/>
  <c r="DI33" i="6"/>
  <c r="DL32" i="6"/>
  <c r="ES34" i="1"/>
  <c r="EV33" i="1"/>
  <c r="AR145" i="6"/>
  <c r="AO146" i="6"/>
  <c r="CB35" i="6"/>
  <c r="BY36" i="6"/>
  <c r="AO33" i="1"/>
  <c r="HX33" i="1" s="1"/>
  <c r="H32" i="10"/>
  <c r="AR32" i="1"/>
  <c r="T33" i="1"/>
  <c r="Q34" i="1"/>
  <c r="HA34" i="6"/>
  <c r="HD33" i="6"/>
  <c r="EJ33" i="6"/>
  <c r="EG34" i="6"/>
  <c r="GF133" i="6"/>
  <c r="GC134" i="6"/>
  <c r="J32" i="10"/>
  <c r="CK34" i="1"/>
  <c r="CN33" i="1"/>
  <c r="BD43" i="6"/>
  <c r="BA44" i="6"/>
  <c r="FT34" i="1"/>
  <c r="FQ35" i="1"/>
  <c r="HM32" i="1"/>
  <c r="E34" i="1"/>
  <c r="H33" i="1"/>
  <c r="AR39" i="6"/>
  <c r="AO41" i="6"/>
  <c r="AR38" i="6"/>
  <c r="U7" i="11"/>
  <c r="F34" i="6"/>
  <c r="HN33" i="6"/>
  <c r="F32" i="10"/>
  <c r="HX32" i="1"/>
  <c r="BD145" i="6"/>
  <c r="BA146" i="6"/>
  <c r="HN34" i="1"/>
  <c r="F35" i="1"/>
  <c r="H145" i="6"/>
  <c r="E146" i="6"/>
  <c r="DU34" i="1"/>
  <c r="DX33" i="1"/>
  <c r="D33" i="10"/>
  <c r="FQ132" i="6"/>
  <c r="FT131" i="6"/>
  <c r="BM145" i="6"/>
  <c r="BP144" i="6"/>
  <c r="CK132" i="6"/>
  <c r="CN131" i="6"/>
  <c r="HM131" i="6"/>
  <c r="HP131" i="6" s="1"/>
  <c r="FE133" i="6"/>
  <c r="FH132" i="6"/>
  <c r="FE34" i="1"/>
  <c r="FH33" i="1"/>
  <c r="GR131" i="6"/>
  <c r="GO132" i="6"/>
  <c r="BD34" i="1"/>
  <c r="BA35" i="1"/>
  <c r="CW34" i="1"/>
  <c r="CZ33" i="1"/>
  <c r="BN101" i="6"/>
  <c r="HP129" i="6"/>
  <c r="HP128" i="6"/>
  <c r="HK139" i="6"/>
  <c r="AF146" i="6"/>
  <c r="AC149" i="6"/>
  <c r="AF147" i="6"/>
  <c r="DL33" i="1"/>
  <c r="DI34" i="1"/>
  <c r="GO37" i="6"/>
  <c r="GR36" i="6"/>
  <c r="DJ224" i="1"/>
  <c r="F223" i="6"/>
  <c r="EV36" i="6" l="1"/>
  <c r="ES37" i="6"/>
  <c r="CZ34" i="6"/>
  <c r="CW35" i="6"/>
  <c r="GO34" i="1"/>
  <c r="GR33" i="1"/>
  <c r="H33" i="6"/>
  <c r="E34" i="6"/>
  <c r="HM33" i="1"/>
  <c r="HP33" i="1" s="1"/>
  <c r="F33" i="10"/>
  <c r="GF33" i="6"/>
  <c r="GC34" i="6"/>
  <c r="CZ133" i="6"/>
  <c r="CW134" i="6"/>
  <c r="AC38" i="1"/>
  <c r="AF37" i="1"/>
  <c r="H33" i="10"/>
  <c r="AC35" i="6"/>
  <c r="AF34" i="6"/>
  <c r="FQ34" i="6"/>
  <c r="FT33" i="6"/>
  <c r="DX33" i="6"/>
  <c r="DU34" i="6"/>
  <c r="GC34" i="1"/>
  <c r="GF33" i="1"/>
  <c r="DX133" i="6"/>
  <c r="DU134" i="6"/>
  <c r="HZ33" i="1"/>
  <c r="FH35" i="6"/>
  <c r="FE36" i="6"/>
  <c r="BP33" i="6"/>
  <c r="BM34" i="6"/>
  <c r="BM35" i="1"/>
  <c r="BP34" i="1"/>
  <c r="T33" i="6"/>
  <c r="Q34" i="6"/>
  <c r="HD132" i="6"/>
  <c r="HA133" i="6"/>
  <c r="BY34" i="1"/>
  <c r="CB33" i="1"/>
  <c r="DL133" i="6"/>
  <c r="DI134" i="6"/>
  <c r="AR33" i="1"/>
  <c r="AO34" i="1"/>
  <c r="HX34" i="1" s="1"/>
  <c r="DL33" i="6"/>
  <c r="DI34" i="6"/>
  <c r="F35" i="6"/>
  <c r="HN34" i="6"/>
  <c r="C32" i="10"/>
  <c r="HP32" i="1"/>
  <c r="HK40" i="1"/>
  <c r="BY37" i="6"/>
  <c r="CB36" i="6"/>
  <c r="EV133" i="6"/>
  <c r="ES134" i="6"/>
  <c r="BN152" i="6"/>
  <c r="HN151" i="6"/>
  <c r="FQ36" i="1"/>
  <c r="FT35" i="1"/>
  <c r="HA35" i="6"/>
  <c r="HD34" i="6"/>
  <c r="EJ33" i="1"/>
  <c r="EG34" i="1"/>
  <c r="HZ34" i="1" s="1"/>
  <c r="GC135" i="6"/>
  <c r="GF134" i="6"/>
  <c r="T34" i="1"/>
  <c r="Q35" i="1"/>
  <c r="AR147" i="6"/>
  <c r="AR146" i="6"/>
  <c r="AO149" i="6"/>
  <c r="Q149" i="6"/>
  <c r="T146" i="6"/>
  <c r="S19" i="11"/>
  <c r="T147" i="6"/>
  <c r="AR41" i="6"/>
  <c r="AO42" i="6"/>
  <c r="BA45" i="6"/>
  <c r="BD44" i="6"/>
  <c r="CK34" i="6"/>
  <c r="CN33" i="6"/>
  <c r="HM33" i="6"/>
  <c r="HP33" i="6" s="1"/>
  <c r="EV34" i="1"/>
  <c r="ES35" i="1"/>
  <c r="HA34" i="1"/>
  <c r="J34" i="10" s="1"/>
  <c r="HD33" i="1"/>
  <c r="IA33" i="1"/>
  <c r="H34" i="1"/>
  <c r="E35" i="1"/>
  <c r="CN34" i="1"/>
  <c r="CK35" i="1"/>
  <c r="EJ34" i="6"/>
  <c r="EG35" i="6"/>
  <c r="EG133" i="6"/>
  <c r="EJ132" i="6"/>
  <c r="BY133" i="6"/>
  <c r="CB132" i="6"/>
  <c r="J33" i="10"/>
  <c r="HN35" i="1"/>
  <c r="F36" i="1"/>
  <c r="FE35" i="1"/>
  <c r="FH34" i="1"/>
  <c r="GO38" i="6"/>
  <c r="GR37" i="6"/>
  <c r="CZ34" i="1"/>
  <c r="CW35" i="1"/>
  <c r="BP145" i="6"/>
  <c r="BM146" i="6"/>
  <c r="DU35" i="1"/>
  <c r="DX34" i="1"/>
  <c r="D34" i="10"/>
  <c r="DI35" i="1"/>
  <c r="DL34" i="1"/>
  <c r="H34" i="10"/>
  <c r="BA149" i="6"/>
  <c r="BD147" i="6"/>
  <c r="BD146" i="6"/>
  <c r="U19" i="11"/>
  <c r="FT132" i="6"/>
  <c r="FQ133" i="6"/>
  <c r="E149" i="6"/>
  <c r="Q19" i="11"/>
  <c r="H147" i="6"/>
  <c r="H146" i="6"/>
  <c r="FE134" i="6"/>
  <c r="FH133" i="6"/>
  <c r="GR132" i="6"/>
  <c r="GO133" i="6"/>
  <c r="AF149" i="6"/>
  <c r="AC150" i="6"/>
  <c r="BA36" i="1"/>
  <c r="BD35" i="1"/>
  <c r="BN104" i="6"/>
  <c r="CN132" i="6"/>
  <c r="CK133" i="6"/>
  <c r="HM132" i="6"/>
  <c r="HP132" i="6" s="1"/>
  <c r="DJ225" i="1"/>
  <c r="F224" i="6"/>
  <c r="ES38" i="6" l="1"/>
  <c r="EV37" i="6"/>
  <c r="C33" i="10"/>
  <c r="CZ35" i="6"/>
  <c r="CW36" i="6"/>
  <c r="GO35" i="1"/>
  <c r="D35" i="10" s="1"/>
  <c r="GR34" i="1"/>
  <c r="FT34" i="6"/>
  <c r="FQ35" i="6"/>
  <c r="GC35" i="6"/>
  <c r="GF34" i="6"/>
  <c r="AF35" i="6"/>
  <c r="AC36" i="6"/>
  <c r="CZ134" i="6"/>
  <c r="CW135" i="6"/>
  <c r="H34" i="6"/>
  <c r="E35" i="6"/>
  <c r="AF38" i="1"/>
  <c r="AF39" i="1"/>
  <c r="AC41" i="1"/>
  <c r="HM34" i="1"/>
  <c r="HP34" i="1" s="1"/>
  <c r="DX34" i="6"/>
  <c r="DU35" i="6"/>
  <c r="HD133" i="6"/>
  <c r="HA134" i="6"/>
  <c r="FH36" i="6"/>
  <c r="FE37" i="6"/>
  <c r="Q35" i="6"/>
  <c r="T34" i="6"/>
  <c r="DX134" i="6"/>
  <c r="DU135" i="6"/>
  <c r="DL134" i="6"/>
  <c r="DI135" i="6"/>
  <c r="BY35" i="1"/>
  <c r="HY35" i="1" s="1"/>
  <c r="CB34" i="1"/>
  <c r="HY34" i="1"/>
  <c r="BM36" i="1"/>
  <c r="BP35" i="1"/>
  <c r="BP34" i="6"/>
  <c r="BM35" i="6"/>
  <c r="GC35" i="1"/>
  <c r="GF34" i="1"/>
  <c r="EJ35" i="6"/>
  <c r="EG36" i="6"/>
  <c r="CK35" i="6"/>
  <c r="CN34" i="6"/>
  <c r="HM34" i="6"/>
  <c r="HP34" i="6" s="1"/>
  <c r="T149" i="6"/>
  <c r="Q150" i="6"/>
  <c r="EJ34" i="1"/>
  <c r="EG35" i="1"/>
  <c r="F34" i="10"/>
  <c r="ES135" i="6"/>
  <c r="EV134" i="6"/>
  <c r="HD34" i="1"/>
  <c r="HA35" i="1"/>
  <c r="IA34" i="1"/>
  <c r="AR149" i="6"/>
  <c r="AO150" i="6"/>
  <c r="CN35" i="1"/>
  <c r="CK36" i="1"/>
  <c r="ES36" i="1"/>
  <c r="EV35" i="1"/>
  <c r="BD45" i="6"/>
  <c r="BA46" i="6"/>
  <c r="F36" i="6"/>
  <c r="HN35" i="6"/>
  <c r="EG134" i="6"/>
  <c r="EJ133" i="6"/>
  <c r="AR42" i="6"/>
  <c r="AO43" i="6"/>
  <c r="HA36" i="6"/>
  <c r="HD35" i="6"/>
  <c r="BY38" i="6"/>
  <c r="CB37" i="6"/>
  <c r="DL34" i="6"/>
  <c r="DI35" i="6"/>
  <c r="T35" i="1"/>
  <c r="Q36" i="1"/>
  <c r="BN153" i="6"/>
  <c r="HN152" i="6"/>
  <c r="BY134" i="6"/>
  <c r="CB133" i="6"/>
  <c r="H35" i="1"/>
  <c r="E36" i="1"/>
  <c r="FQ37" i="1"/>
  <c r="FT36" i="1"/>
  <c r="AR34" i="1"/>
  <c r="AO35" i="1"/>
  <c r="GC136" i="6"/>
  <c r="GF135" i="6"/>
  <c r="GR38" i="6"/>
  <c r="GO41" i="6"/>
  <c r="GR39" i="6"/>
  <c r="FH35" i="1"/>
  <c r="FE36" i="1"/>
  <c r="BD36" i="1"/>
  <c r="BA37" i="1"/>
  <c r="CK134" i="6"/>
  <c r="CN133" i="6"/>
  <c r="HM133" i="6"/>
  <c r="HP133" i="6" s="1"/>
  <c r="CW36" i="1"/>
  <c r="CZ35" i="1"/>
  <c r="F37" i="1"/>
  <c r="HN36" i="1"/>
  <c r="H149" i="6"/>
  <c r="E150" i="6"/>
  <c r="AC151" i="6"/>
  <c r="AF150" i="6"/>
  <c r="FE135" i="6"/>
  <c r="FH134" i="6"/>
  <c r="FQ134" i="6"/>
  <c r="FT133" i="6"/>
  <c r="DL35" i="1"/>
  <c r="DI36" i="1"/>
  <c r="DU36" i="1"/>
  <c r="HZ35" i="1"/>
  <c r="DX35" i="1"/>
  <c r="BN105" i="6"/>
  <c r="GR133" i="6"/>
  <c r="GO134" i="6"/>
  <c r="BA150" i="6"/>
  <c r="BD149" i="6"/>
  <c r="BM149" i="6"/>
  <c r="BP146" i="6"/>
  <c r="BP147" i="6"/>
  <c r="W19" i="11"/>
  <c r="DJ226" i="1"/>
  <c r="F225" i="6"/>
  <c r="EV38" i="6" l="1"/>
  <c r="ES41" i="6"/>
  <c r="EV39" i="6"/>
  <c r="HM35" i="1"/>
  <c r="CW37" i="6"/>
  <c r="CZ36" i="6"/>
  <c r="GO36" i="1"/>
  <c r="D36" i="10" s="1"/>
  <c r="GR35" i="1"/>
  <c r="C34" i="10"/>
  <c r="F35" i="10"/>
  <c r="AF36" i="6"/>
  <c r="AC37" i="6"/>
  <c r="CW136" i="6"/>
  <c r="CZ135" i="6"/>
  <c r="AF41" i="1"/>
  <c r="AC42" i="1"/>
  <c r="GF35" i="6"/>
  <c r="GC36" i="6"/>
  <c r="H35" i="6"/>
  <c r="E36" i="6"/>
  <c r="FT35" i="6"/>
  <c r="FQ36" i="6"/>
  <c r="DU36" i="6"/>
  <c r="DX35" i="6"/>
  <c r="DU136" i="6"/>
  <c r="DX135" i="6"/>
  <c r="BM37" i="1"/>
  <c r="BP36" i="1"/>
  <c r="Q36" i="6"/>
  <c r="T35" i="6"/>
  <c r="FE38" i="6"/>
  <c r="FH37" i="6"/>
  <c r="BY36" i="1"/>
  <c r="HY36" i="1" s="1"/>
  <c r="CB35" i="1"/>
  <c r="GC36" i="1"/>
  <c r="GF35" i="1"/>
  <c r="DL135" i="6"/>
  <c r="DI136" i="6"/>
  <c r="HD134" i="6"/>
  <c r="HA135" i="6"/>
  <c r="BM36" i="6"/>
  <c r="BP35" i="6"/>
  <c r="GF136" i="6"/>
  <c r="GC137" i="6"/>
  <c r="BY135" i="6"/>
  <c r="CB134" i="6"/>
  <c r="HD36" i="6"/>
  <c r="HA37" i="6"/>
  <c r="BD46" i="6"/>
  <c r="BA47" i="6"/>
  <c r="HX35" i="1"/>
  <c r="AR35" i="1"/>
  <c r="AO36" i="1"/>
  <c r="H35" i="10"/>
  <c r="AO44" i="6"/>
  <c r="AR43" i="6"/>
  <c r="HD35" i="1"/>
  <c r="HA36" i="1"/>
  <c r="J36" i="10" s="1"/>
  <c r="IA35" i="1"/>
  <c r="J35" i="10"/>
  <c r="Q151" i="6"/>
  <c r="T150" i="6"/>
  <c r="BN154" i="6"/>
  <c r="HN153" i="6"/>
  <c r="DL35" i="6"/>
  <c r="DI36" i="6"/>
  <c r="EV36" i="1"/>
  <c r="ES37" i="1"/>
  <c r="FQ38" i="1"/>
  <c r="FT37" i="1"/>
  <c r="CK37" i="1"/>
  <c r="CN36" i="1"/>
  <c r="H36" i="1"/>
  <c r="E37" i="1"/>
  <c r="Q37" i="1"/>
  <c r="T36" i="1"/>
  <c r="EG135" i="6"/>
  <c r="EJ134" i="6"/>
  <c r="ES136" i="6"/>
  <c r="EV135" i="6"/>
  <c r="CN35" i="6"/>
  <c r="CK36" i="6"/>
  <c r="HM35" i="6"/>
  <c r="HP35" i="6" s="1"/>
  <c r="BY41" i="6"/>
  <c r="CB39" i="6"/>
  <c r="CB38" i="6"/>
  <c r="AR150" i="6"/>
  <c r="AO151" i="6"/>
  <c r="EJ36" i="6"/>
  <c r="EG37" i="6"/>
  <c r="F37" i="6"/>
  <c r="HN36" i="6"/>
  <c r="EG36" i="1"/>
  <c r="EJ35" i="1"/>
  <c r="BD150" i="6"/>
  <c r="BA151" i="6"/>
  <c r="BM150" i="6"/>
  <c r="BP149" i="6"/>
  <c r="AF151" i="6"/>
  <c r="AC152" i="6"/>
  <c r="H150" i="6"/>
  <c r="E151" i="6"/>
  <c r="FE37" i="1"/>
  <c r="FH36" i="1"/>
  <c r="C35" i="10"/>
  <c r="HP35" i="1"/>
  <c r="FT134" i="6"/>
  <c r="FQ135" i="6"/>
  <c r="CZ36" i="1"/>
  <c r="CW37" i="1"/>
  <c r="BD37" i="1"/>
  <c r="BA38" i="1"/>
  <c r="GR134" i="6"/>
  <c r="GO135" i="6"/>
  <c r="DL36" i="1"/>
  <c r="DI37" i="1"/>
  <c r="CN134" i="6"/>
  <c r="CK135" i="6"/>
  <c r="HM134" i="6"/>
  <c r="HP134" i="6" s="1"/>
  <c r="BN106" i="6"/>
  <c r="DX36" i="1"/>
  <c r="DU37" i="1"/>
  <c r="FH135" i="6"/>
  <c r="FE136" i="6"/>
  <c r="GO42" i="6"/>
  <c r="GR41" i="6"/>
  <c r="HN37" i="1"/>
  <c r="F38" i="1"/>
  <c r="DJ227" i="1"/>
  <c r="F226" i="6"/>
  <c r="ES42" i="6" l="1"/>
  <c r="EV41" i="6"/>
  <c r="HM36" i="1"/>
  <c r="CW38" i="6"/>
  <c r="CZ37" i="6"/>
  <c r="HZ36" i="1"/>
  <c r="GR36" i="1"/>
  <c r="GO37" i="1"/>
  <c r="D37" i="10" s="1"/>
  <c r="AF42" i="1"/>
  <c r="AC43" i="1"/>
  <c r="GF36" i="6"/>
  <c r="GC37" i="6"/>
  <c r="FT36" i="6"/>
  <c r="FQ37" i="6"/>
  <c r="CW137" i="6"/>
  <c r="CZ136" i="6"/>
  <c r="H36" i="6"/>
  <c r="E37" i="6"/>
  <c r="AF37" i="6"/>
  <c r="AC38" i="6"/>
  <c r="DX36" i="6"/>
  <c r="DU37" i="6"/>
  <c r="DL136" i="6"/>
  <c r="DI137" i="6"/>
  <c r="FH39" i="6"/>
  <c r="FH38" i="6"/>
  <c r="FE41" i="6"/>
  <c r="T36" i="6"/>
  <c r="Q37" i="6"/>
  <c r="GF36" i="1"/>
  <c r="GC37" i="1"/>
  <c r="BM38" i="1"/>
  <c r="BP37" i="1"/>
  <c r="BM37" i="6"/>
  <c r="BP36" i="6"/>
  <c r="HD135" i="6"/>
  <c r="HA136" i="6"/>
  <c r="CB36" i="1"/>
  <c r="BY37" i="1"/>
  <c r="DX136" i="6"/>
  <c r="DU137" i="6"/>
  <c r="EJ36" i="1"/>
  <c r="EG37" i="1"/>
  <c r="HZ37" i="1" s="1"/>
  <c r="F36" i="10"/>
  <c r="EJ135" i="6"/>
  <c r="EG136" i="6"/>
  <c r="BD47" i="6"/>
  <c r="BA50" i="6"/>
  <c r="BD48" i="6"/>
  <c r="FT38" i="1"/>
  <c r="FQ41" i="1"/>
  <c r="FT39" i="1"/>
  <c r="F38" i="6"/>
  <c r="HN37" i="6"/>
  <c r="T37" i="1"/>
  <c r="Q38" i="1"/>
  <c r="EV37" i="1"/>
  <c r="ES38" i="1"/>
  <c r="HD37" i="6"/>
  <c r="HA38" i="6"/>
  <c r="CB41" i="6"/>
  <c r="BY42" i="6"/>
  <c r="AR44" i="6"/>
  <c r="AO45" i="6"/>
  <c r="EJ37" i="6"/>
  <c r="EG38" i="6"/>
  <c r="CN36" i="6"/>
  <c r="CK37" i="6"/>
  <c r="HM36" i="6"/>
  <c r="HP36" i="6" s="1"/>
  <c r="E38" i="1"/>
  <c r="H37" i="1"/>
  <c r="T151" i="6"/>
  <c r="Q152" i="6"/>
  <c r="DL36" i="6"/>
  <c r="DI37" i="6"/>
  <c r="AR151" i="6"/>
  <c r="AO152" i="6"/>
  <c r="H36" i="10"/>
  <c r="AO37" i="1"/>
  <c r="HX36" i="1"/>
  <c r="AR36" i="1"/>
  <c r="CB135" i="6"/>
  <c r="BY136" i="6"/>
  <c r="BN155" i="6"/>
  <c r="HN154" i="6"/>
  <c r="EV136" i="6"/>
  <c r="ES137" i="6"/>
  <c r="HA37" i="1"/>
  <c r="J37" i="10" s="1"/>
  <c r="HD36" i="1"/>
  <c r="IA36" i="1"/>
  <c r="GF137" i="6"/>
  <c r="GF138" i="6"/>
  <c r="GC140" i="6"/>
  <c r="CK38" i="1"/>
  <c r="CN37" i="1"/>
  <c r="DI38" i="1"/>
  <c r="DL37" i="1"/>
  <c r="BD38" i="1"/>
  <c r="BA41" i="1"/>
  <c r="BD39" i="1"/>
  <c r="FT135" i="6"/>
  <c r="FQ136" i="6"/>
  <c r="DX37" i="1"/>
  <c r="DU38" i="1"/>
  <c r="AF152" i="6"/>
  <c r="AC153" i="6"/>
  <c r="F41" i="1"/>
  <c r="HN38" i="1"/>
  <c r="CN135" i="6"/>
  <c r="CK136" i="6"/>
  <c r="HM135" i="6"/>
  <c r="HP135" i="6" s="1"/>
  <c r="H151" i="6"/>
  <c r="E152" i="6"/>
  <c r="GO43" i="6"/>
  <c r="GR42" i="6"/>
  <c r="GR135" i="6"/>
  <c r="GO136" i="6"/>
  <c r="FE38" i="1"/>
  <c r="FH37" i="1"/>
  <c r="BP150" i="6"/>
  <c r="BM151" i="6"/>
  <c r="FH136" i="6"/>
  <c r="FE137" i="6"/>
  <c r="BN107" i="6"/>
  <c r="C36" i="10"/>
  <c r="HP36" i="1"/>
  <c r="CZ37" i="1"/>
  <c r="CW38" i="1"/>
  <c r="BD151" i="6"/>
  <c r="BA152" i="6"/>
  <c r="DJ230" i="1"/>
  <c r="F227" i="6"/>
  <c r="ES43" i="6" l="1"/>
  <c r="EV42" i="6"/>
  <c r="CZ39" i="6"/>
  <c r="CZ38" i="6"/>
  <c r="CW41" i="6"/>
  <c r="GR37" i="1"/>
  <c r="GO38" i="1"/>
  <c r="D38" i="10" s="1"/>
  <c r="CW140" i="6"/>
  <c r="CZ138" i="6"/>
  <c r="CZ137" i="6"/>
  <c r="FT37" i="6"/>
  <c r="FQ38" i="6"/>
  <c r="AF39" i="6"/>
  <c r="AC41" i="6"/>
  <c r="AF38" i="6"/>
  <c r="GF37" i="6"/>
  <c r="GC38" i="6"/>
  <c r="F37" i="10"/>
  <c r="E38" i="6"/>
  <c r="H37" i="6"/>
  <c r="AC44" i="1"/>
  <c r="AF43" i="1"/>
  <c r="DU38" i="6"/>
  <c r="DX37" i="6"/>
  <c r="HA137" i="6"/>
  <c r="HD136" i="6"/>
  <c r="Q38" i="6"/>
  <c r="T37" i="6"/>
  <c r="FE42" i="6"/>
  <c r="FH41" i="6"/>
  <c r="BP37" i="6"/>
  <c r="BM38" i="6"/>
  <c r="DX137" i="6"/>
  <c r="DU140" i="6"/>
  <c r="DX138" i="6"/>
  <c r="BP39" i="1"/>
  <c r="BM41" i="1"/>
  <c r="BP38" i="1"/>
  <c r="DL137" i="6"/>
  <c r="DI140" i="6"/>
  <c r="DL138" i="6"/>
  <c r="CB37" i="1"/>
  <c r="BY38" i="1"/>
  <c r="HY38" i="1" s="1"/>
  <c r="GC38" i="1"/>
  <c r="GF37" i="1"/>
  <c r="HY37" i="1"/>
  <c r="AO153" i="6"/>
  <c r="AR152" i="6"/>
  <c r="BA51" i="6"/>
  <c r="BD50" i="6"/>
  <c r="CB136" i="6"/>
  <c r="BY137" i="6"/>
  <c r="DI38" i="6"/>
  <c r="DL37" i="6"/>
  <c r="EJ136" i="6"/>
  <c r="EG137" i="6"/>
  <c r="BN158" i="6"/>
  <c r="HN155" i="6"/>
  <c r="HL166" i="6" s="1"/>
  <c r="HA38" i="1"/>
  <c r="HD37" i="1"/>
  <c r="IA37" i="1"/>
  <c r="EG41" i="6"/>
  <c r="EJ39" i="6"/>
  <c r="EJ38" i="6"/>
  <c r="F41" i="6"/>
  <c r="HN38" i="6"/>
  <c r="HL49" i="6" s="1"/>
  <c r="L7" i="11"/>
  <c r="T152" i="6"/>
  <c r="Q153" i="6"/>
  <c r="HA41" i="6"/>
  <c r="HD39" i="6"/>
  <c r="HD38" i="6"/>
  <c r="CK41" i="1"/>
  <c r="CN38" i="1"/>
  <c r="CN39" i="1"/>
  <c r="AR45" i="6"/>
  <c r="AO46" i="6"/>
  <c r="ES41" i="1"/>
  <c r="EV38" i="1"/>
  <c r="EV39" i="1"/>
  <c r="FQ42" i="1"/>
  <c r="FT41" i="1"/>
  <c r="EJ37" i="1"/>
  <c r="EG38" i="1"/>
  <c r="CN37" i="6"/>
  <c r="CK38" i="6"/>
  <c r="HM37" i="6"/>
  <c r="HP37" i="6" s="1"/>
  <c r="GF140" i="6"/>
  <c r="GC141" i="6"/>
  <c r="EV137" i="6"/>
  <c r="ES140" i="6"/>
  <c r="EV138" i="6"/>
  <c r="HM37" i="1"/>
  <c r="HX37" i="1"/>
  <c r="AO38" i="1"/>
  <c r="IF49" i="1" s="1"/>
  <c r="IF47" i="1" s="1"/>
  <c r="H37" i="10"/>
  <c r="AR37" i="1"/>
  <c r="E41" i="1"/>
  <c r="H38" i="1"/>
  <c r="H39" i="1"/>
  <c r="CB42" i="6"/>
  <c r="BY43" i="6"/>
  <c r="T38" i="1"/>
  <c r="T39" i="1"/>
  <c r="Q41" i="1"/>
  <c r="BD152" i="6"/>
  <c r="BA153" i="6"/>
  <c r="F42" i="1"/>
  <c r="HN41" i="1"/>
  <c r="HL49" i="1" s="1"/>
  <c r="DU41" i="1"/>
  <c r="DX39" i="1"/>
  <c r="DX38" i="1"/>
  <c r="DI41" i="1"/>
  <c r="DL39" i="1"/>
  <c r="DL38" i="1"/>
  <c r="FT136" i="6"/>
  <c r="FQ137" i="6"/>
  <c r="E153" i="6"/>
  <c r="H152" i="6"/>
  <c r="CZ39" i="1"/>
  <c r="CZ38" i="1"/>
  <c r="CW41" i="1"/>
  <c r="BN108" i="6"/>
  <c r="FE41" i="1"/>
  <c r="FH38" i="1"/>
  <c r="FH39" i="1"/>
  <c r="BA42" i="1"/>
  <c r="BD41" i="1"/>
  <c r="GR43" i="6"/>
  <c r="GO44" i="6"/>
  <c r="FH137" i="6"/>
  <c r="FE140" i="6"/>
  <c r="FH138" i="6"/>
  <c r="GO137" i="6"/>
  <c r="GR136" i="6"/>
  <c r="CK137" i="6"/>
  <c r="CN136" i="6"/>
  <c r="HM136" i="6"/>
  <c r="HP136" i="6" s="1"/>
  <c r="BP151" i="6"/>
  <c r="BM152" i="6"/>
  <c r="AF153" i="6"/>
  <c r="AC154" i="6"/>
  <c r="DJ231" i="1"/>
  <c r="F230" i="6"/>
  <c r="F7" i="11" l="1"/>
  <c r="ES44" i="6"/>
  <c r="EV43" i="6"/>
  <c r="HY39" i="1"/>
  <c r="CZ41" i="6"/>
  <c r="CW42" i="6"/>
  <c r="GR38" i="1"/>
  <c r="GO41" i="1"/>
  <c r="D41" i="10" s="1"/>
  <c r="GR39" i="1"/>
  <c r="HM38" i="1"/>
  <c r="C38" i="10" s="1"/>
  <c r="AF41" i="6"/>
  <c r="AC42" i="6"/>
  <c r="IG49" i="1"/>
  <c r="IG47" i="1" s="1"/>
  <c r="AC45" i="1"/>
  <c r="AF44" i="1"/>
  <c r="HZ38" i="1"/>
  <c r="FT39" i="6"/>
  <c r="FQ41" i="6"/>
  <c r="FT38" i="6"/>
  <c r="IH49" i="1"/>
  <c r="IH47" i="1" s="1"/>
  <c r="H39" i="6"/>
  <c r="E41" i="6"/>
  <c r="H38" i="6"/>
  <c r="Q7" i="11"/>
  <c r="GC41" i="6"/>
  <c r="GF39" i="6"/>
  <c r="GF38" i="6"/>
  <c r="CW141" i="6"/>
  <c r="CZ140" i="6"/>
  <c r="H38" i="10"/>
  <c r="DX38" i="6"/>
  <c r="DU41" i="6"/>
  <c r="DX39" i="6"/>
  <c r="BM42" i="1"/>
  <c r="BP41" i="1"/>
  <c r="FE43" i="6"/>
  <c r="FH42" i="6"/>
  <c r="GF38" i="1"/>
  <c r="GF39" i="1"/>
  <c r="GC41" i="1"/>
  <c r="CB39" i="1"/>
  <c r="CB38" i="1"/>
  <c r="BY41" i="1"/>
  <c r="HY41" i="1" s="1"/>
  <c r="DX140" i="6"/>
  <c r="DU141" i="6"/>
  <c r="Q41" i="6"/>
  <c r="T39" i="6"/>
  <c r="S7" i="11"/>
  <c r="T38" i="6"/>
  <c r="DI141" i="6"/>
  <c r="DL140" i="6"/>
  <c r="BM41" i="6"/>
  <c r="BP39" i="6"/>
  <c r="W7" i="11"/>
  <c r="BP38" i="6"/>
  <c r="HD137" i="6"/>
  <c r="HD138" i="6"/>
  <c r="HA140" i="6"/>
  <c r="C37" i="10"/>
  <c r="HP37" i="1"/>
  <c r="CN38" i="6"/>
  <c r="CK41" i="6"/>
  <c r="CN39" i="6"/>
  <c r="HM38" i="6"/>
  <c r="EV41" i="1"/>
  <c r="ES42" i="1"/>
  <c r="CB138" i="6"/>
  <c r="CB137" i="6"/>
  <c r="BY140" i="6"/>
  <c r="AO47" i="6"/>
  <c r="AR46" i="6"/>
  <c r="HD39" i="1"/>
  <c r="HA41" i="1"/>
  <c r="J41" i="10" s="1"/>
  <c r="HD38" i="1"/>
  <c r="IA39" i="1"/>
  <c r="IA38" i="1"/>
  <c r="II49" i="1"/>
  <c r="II47" i="1" s="1"/>
  <c r="Q42" i="1"/>
  <c r="T41" i="1"/>
  <c r="H41" i="1"/>
  <c r="E42" i="1"/>
  <c r="EV140" i="6"/>
  <c r="ES141" i="6"/>
  <c r="EJ39" i="1"/>
  <c r="EG41" i="1"/>
  <c r="HZ41" i="1" s="1"/>
  <c r="EJ38" i="1"/>
  <c r="F38" i="10"/>
  <c r="F42" i="6"/>
  <c r="HN41" i="6"/>
  <c r="BN159" i="6"/>
  <c r="HN158" i="6"/>
  <c r="BD51" i="6"/>
  <c r="BA52" i="6"/>
  <c r="GF141" i="6"/>
  <c r="GC142" i="6"/>
  <c r="HA42" i="6"/>
  <c r="HD41" i="6"/>
  <c r="EJ137" i="6"/>
  <c r="EG140" i="6"/>
  <c r="EJ138" i="6"/>
  <c r="H7" i="11"/>
  <c r="FT42" i="1"/>
  <c r="FQ43" i="1"/>
  <c r="AO154" i="6"/>
  <c r="AR153" i="6"/>
  <c r="HZ39" i="1"/>
  <c r="CB43" i="6"/>
  <c r="BY44" i="6"/>
  <c r="AR39" i="1"/>
  <c r="J7" i="11"/>
  <c r="AR38" i="1"/>
  <c r="AO41" i="1"/>
  <c r="H41" i="10" s="1"/>
  <c r="HX39" i="1"/>
  <c r="HX38" i="1"/>
  <c r="EG42" i="6"/>
  <c r="EJ41" i="6"/>
  <c r="CK42" i="1"/>
  <c r="CN41" i="1"/>
  <c r="T153" i="6"/>
  <c r="Q154" i="6"/>
  <c r="DL38" i="6"/>
  <c r="DL39" i="6"/>
  <c r="DI41" i="6"/>
  <c r="J38" i="10"/>
  <c r="AF154" i="6"/>
  <c r="AC155" i="6"/>
  <c r="DX41" i="1"/>
  <c r="DU42" i="1"/>
  <c r="FH41" i="1"/>
  <c r="FE42" i="1"/>
  <c r="FE141" i="6"/>
  <c r="FH140" i="6"/>
  <c r="BN109" i="6"/>
  <c r="FT138" i="6"/>
  <c r="FQ140" i="6"/>
  <c r="FT137" i="6"/>
  <c r="BA154" i="6"/>
  <c r="BD153" i="6"/>
  <c r="BM153" i="6"/>
  <c r="BP152" i="6"/>
  <c r="GO45" i="6"/>
  <c r="GR44" i="6"/>
  <c r="BA43" i="1"/>
  <c r="BD42" i="1"/>
  <c r="HP38" i="1"/>
  <c r="H153" i="6"/>
  <c r="E154" i="6"/>
  <c r="DI42" i="1"/>
  <c r="DL41" i="1"/>
  <c r="GR137" i="6"/>
  <c r="GO140" i="6"/>
  <c r="GR138" i="6"/>
  <c r="CN137" i="6"/>
  <c r="CK140" i="6"/>
  <c r="CN138" i="6"/>
  <c r="HM137" i="6"/>
  <c r="CW42" i="1"/>
  <c r="CZ41" i="1"/>
  <c r="F43" i="1"/>
  <c r="HN42" i="1"/>
  <c r="DJ232" i="1"/>
  <c r="F231" i="6"/>
  <c r="ES45" i="6" l="1"/>
  <c r="EV44" i="6"/>
  <c r="HP39" i="1"/>
  <c r="CZ42" i="6"/>
  <c r="CW43" i="6"/>
  <c r="F41" i="10"/>
  <c r="GO42" i="1"/>
  <c r="D42" i="10" s="1"/>
  <c r="GR41" i="1"/>
  <c r="HM41" i="1"/>
  <c r="HK49" i="1" s="1"/>
  <c r="FT41" i="6"/>
  <c r="FQ42" i="6"/>
  <c r="E42" i="6"/>
  <c r="H41" i="6"/>
  <c r="AF45" i="1"/>
  <c r="AC46" i="1"/>
  <c r="CZ141" i="6"/>
  <c r="CW142" i="6"/>
  <c r="AF42" i="6"/>
  <c r="AC43" i="6"/>
  <c r="GF41" i="6"/>
  <c r="GC42" i="6"/>
  <c r="DX41" i="6"/>
  <c r="DU42" i="6"/>
  <c r="GF41" i="1"/>
  <c r="GC42" i="1"/>
  <c r="Q42" i="6"/>
  <c r="T41" i="6"/>
  <c r="DU142" i="6"/>
  <c r="DX141" i="6"/>
  <c r="BM42" i="6"/>
  <c r="BP41" i="6"/>
  <c r="FH43" i="6"/>
  <c r="FE44" i="6"/>
  <c r="CB41" i="1"/>
  <c r="BY42" i="1"/>
  <c r="HY42" i="1" s="1"/>
  <c r="HA141" i="6"/>
  <c r="HD140" i="6"/>
  <c r="DI142" i="6"/>
  <c r="DL141" i="6"/>
  <c r="BP42" i="1"/>
  <c r="BM43" i="1"/>
  <c r="F43" i="6"/>
  <c r="HN42" i="6"/>
  <c r="HX41" i="1"/>
  <c r="EV42" i="1"/>
  <c r="ES43" i="1"/>
  <c r="Q155" i="6"/>
  <c r="T154" i="6"/>
  <c r="EG141" i="6"/>
  <c r="EJ140" i="6"/>
  <c r="GF142" i="6"/>
  <c r="GC143" i="6"/>
  <c r="E43" i="1"/>
  <c r="H42" i="1"/>
  <c r="HD41" i="1"/>
  <c r="HA42" i="1"/>
  <c r="J42" i="10" s="1"/>
  <c r="IA41" i="1"/>
  <c r="AO42" i="1"/>
  <c r="HX42" i="1" s="1"/>
  <c r="AR41" i="1"/>
  <c r="AO155" i="6"/>
  <c r="AR154" i="6"/>
  <c r="HP39" i="6"/>
  <c r="HK49" i="6"/>
  <c r="HP38" i="6"/>
  <c r="BA53" i="6"/>
  <c r="BD52" i="6"/>
  <c r="CK43" i="1"/>
  <c r="CN42" i="1"/>
  <c r="HA43" i="6"/>
  <c r="HD42" i="6"/>
  <c r="EG42" i="1"/>
  <c r="EJ41" i="1"/>
  <c r="Q43" i="1"/>
  <c r="T42" i="1"/>
  <c r="AR47" i="6"/>
  <c r="AO50" i="6"/>
  <c r="AR48" i="6"/>
  <c r="U8" i="11"/>
  <c r="CK42" i="6"/>
  <c r="CN41" i="6"/>
  <c r="HM41" i="6"/>
  <c r="HP41" i="6" s="1"/>
  <c r="FQ44" i="1"/>
  <c r="FT43" i="1"/>
  <c r="CB140" i="6"/>
  <c r="BY141" i="6"/>
  <c r="DI42" i="6"/>
  <c r="DL41" i="6"/>
  <c r="EJ42" i="6"/>
  <c r="EG43" i="6"/>
  <c r="BY45" i="6"/>
  <c r="CB44" i="6"/>
  <c r="BN160" i="6"/>
  <c r="HN159" i="6"/>
  <c r="ES142" i="6"/>
  <c r="EV141" i="6"/>
  <c r="BA155" i="6"/>
  <c r="BD154" i="6"/>
  <c r="FH42" i="1"/>
  <c r="FE43" i="1"/>
  <c r="HP138" i="6"/>
  <c r="HK148" i="6"/>
  <c r="HP137" i="6"/>
  <c r="BD43" i="1"/>
  <c r="BA44" i="1"/>
  <c r="BN110" i="6"/>
  <c r="GR45" i="6"/>
  <c r="GO46" i="6"/>
  <c r="FT140" i="6"/>
  <c r="FQ141" i="6"/>
  <c r="AF155" i="6"/>
  <c r="AC158" i="6"/>
  <c r="AF156" i="6"/>
  <c r="CK141" i="6"/>
  <c r="CN140" i="6"/>
  <c r="HM140" i="6"/>
  <c r="HP140" i="6" s="1"/>
  <c r="FH141" i="6"/>
  <c r="FE142" i="6"/>
  <c r="GR140" i="6"/>
  <c r="GO141" i="6"/>
  <c r="CZ42" i="1"/>
  <c r="CW43" i="1"/>
  <c r="H154" i="6"/>
  <c r="E155" i="6"/>
  <c r="F44" i="1"/>
  <c r="HN43" i="1"/>
  <c r="DL42" i="1"/>
  <c r="DI43" i="1"/>
  <c r="BP153" i="6"/>
  <c r="BM154" i="6"/>
  <c r="HP41" i="1"/>
  <c r="DX42" i="1"/>
  <c r="DU43" i="1"/>
  <c r="DJ233" i="1"/>
  <c r="F232" i="6"/>
  <c r="ES46" i="6" l="1"/>
  <c r="EV45" i="6"/>
  <c r="F42" i="10"/>
  <c r="C41" i="10"/>
  <c r="HZ42" i="1"/>
  <c r="CW44" i="6"/>
  <c r="CZ43" i="6"/>
  <c r="GR42" i="1"/>
  <c r="GO43" i="1"/>
  <c r="D43" i="10" s="1"/>
  <c r="AF46" i="1"/>
  <c r="AC47" i="1"/>
  <c r="GF42" i="6"/>
  <c r="GC43" i="6"/>
  <c r="E43" i="6"/>
  <c r="H42" i="6"/>
  <c r="AC44" i="6"/>
  <c r="AF43" i="6"/>
  <c r="FT42" i="6"/>
  <c r="FQ43" i="6"/>
  <c r="CZ142" i="6"/>
  <c r="CW143" i="6"/>
  <c r="DX42" i="6"/>
  <c r="DU43" i="6"/>
  <c r="DL142" i="6"/>
  <c r="DI143" i="6"/>
  <c r="BP42" i="6"/>
  <c r="BM43" i="6"/>
  <c r="HD141" i="6"/>
  <c r="HA142" i="6"/>
  <c r="DX142" i="6"/>
  <c r="DU143" i="6"/>
  <c r="CB42" i="1"/>
  <c r="BY43" i="1"/>
  <c r="HY43" i="1" s="1"/>
  <c r="T42" i="6"/>
  <c r="Q43" i="6"/>
  <c r="BM44" i="1"/>
  <c r="BP43" i="1"/>
  <c r="FE45" i="6"/>
  <c r="FH44" i="6"/>
  <c r="GC43" i="1"/>
  <c r="GF42" i="1"/>
  <c r="CB45" i="6"/>
  <c r="BY46" i="6"/>
  <c r="FT44" i="1"/>
  <c r="FQ45" i="1"/>
  <c r="T155" i="6"/>
  <c r="S20" i="11"/>
  <c r="Q158" i="6"/>
  <c r="T156" i="6"/>
  <c r="ES44" i="1"/>
  <c r="EV43" i="1"/>
  <c r="CN43" i="1"/>
  <c r="CK44" i="1"/>
  <c r="AR156" i="6"/>
  <c r="AR155" i="6"/>
  <c r="AO158" i="6"/>
  <c r="H43" i="1"/>
  <c r="E44" i="1"/>
  <c r="T43" i="1"/>
  <c r="Q44" i="1"/>
  <c r="CN42" i="6"/>
  <c r="CK43" i="6"/>
  <c r="HM42" i="6"/>
  <c r="HP42" i="6" s="1"/>
  <c r="GF143" i="6"/>
  <c r="GC144" i="6"/>
  <c r="ES143" i="6"/>
  <c r="EV142" i="6"/>
  <c r="DI43" i="6"/>
  <c r="DL42" i="6"/>
  <c r="EG43" i="1"/>
  <c r="EJ42" i="1"/>
  <c r="BA54" i="6"/>
  <c r="BD53" i="6"/>
  <c r="AR42" i="1"/>
  <c r="H42" i="10"/>
  <c r="AO43" i="1"/>
  <c r="BY142" i="6"/>
  <c r="CB141" i="6"/>
  <c r="HM42" i="1"/>
  <c r="F44" i="6"/>
  <c r="HN43" i="6"/>
  <c r="BN161" i="6"/>
  <c r="HN160" i="6"/>
  <c r="AO51" i="6"/>
  <c r="AR50" i="6"/>
  <c r="HA44" i="6"/>
  <c r="HD43" i="6"/>
  <c r="HD42" i="1"/>
  <c r="HA43" i="1"/>
  <c r="J43" i="10" s="1"/>
  <c r="IA42" i="1"/>
  <c r="EJ141" i="6"/>
  <c r="EG142" i="6"/>
  <c r="EG44" i="6"/>
  <c r="EJ43" i="6"/>
  <c r="BP154" i="6"/>
  <c r="BM155" i="6"/>
  <c r="Q20" i="11"/>
  <c r="H155" i="6"/>
  <c r="H156" i="6"/>
  <c r="E158" i="6"/>
  <c r="CW44" i="1"/>
  <c r="CZ43" i="1"/>
  <c r="BN113" i="6"/>
  <c r="HN44" i="1"/>
  <c r="F45" i="1"/>
  <c r="FE44" i="1"/>
  <c r="FH43" i="1"/>
  <c r="DL43" i="1"/>
  <c r="DI44" i="1"/>
  <c r="GO47" i="6"/>
  <c r="GR46" i="6"/>
  <c r="BD44" i="1"/>
  <c r="BA45" i="1"/>
  <c r="BD155" i="6"/>
  <c r="BD156" i="6"/>
  <c r="BA158" i="6"/>
  <c r="U20" i="11"/>
  <c r="DX43" i="1"/>
  <c r="DU44" i="1"/>
  <c r="AF158" i="6"/>
  <c r="AC159" i="6"/>
  <c r="FQ142" i="6"/>
  <c r="FT141" i="6"/>
  <c r="CK142" i="6"/>
  <c r="CN141" i="6"/>
  <c r="HM141" i="6"/>
  <c r="HP141" i="6" s="1"/>
  <c r="GO142" i="6"/>
  <c r="GR141" i="6"/>
  <c r="FE143" i="6"/>
  <c r="FH142" i="6"/>
  <c r="DJ234" i="1"/>
  <c r="F233" i="6"/>
  <c r="ES47" i="6" l="1"/>
  <c r="EV46" i="6"/>
  <c r="CZ44" i="6"/>
  <c r="CW45" i="6"/>
  <c r="GR43" i="1"/>
  <c r="GO44" i="1"/>
  <c r="D44" i="10" s="1"/>
  <c r="AF44" i="6"/>
  <c r="AC45" i="6"/>
  <c r="F43" i="10"/>
  <c r="E44" i="6"/>
  <c r="H43" i="6"/>
  <c r="CW144" i="6"/>
  <c r="CZ143" i="6"/>
  <c r="GF43" i="6"/>
  <c r="GC44" i="6"/>
  <c r="FT43" i="6"/>
  <c r="FQ44" i="6"/>
  <c r="AF48" i="1"/>
  <c r="AF47" i="1"/>
  <c r="AC50" i="1"/>
  <c r="DU44" i="6"/>
  <c r="DX43" i="6"/>
  <c r="DU144" i="6"/>
  <c r="DX143" i="6"/>
  <c r="FH45" i="6"/>
  <c r="FE46" i="6"/>
  <c r="HA143" i="6"/>
  <c r="HD142" i="6"/>
  <c r="BM45" i="1"/>
  <c r="BP44" i="1"/>
  <c r="Q44" i="6"/>
  <c r="T43" i="6"/>
  <c r="BM44" i="6"/>
  <c r="BP43" i="6"/>
  <c r="CB43" i="1"/>
  <c r="BY44" i="1"/>
  <c r="HY44" i="1" s="1"/>
  <c r="DI144" i="6"/>
  <c r="DL143" i="6"/>
  <c r="GC44" i="1"/>
  <c r="GF43" i="1"/>
  <c r="CN43" i="6"/>
  <c r="CK44" i="6"/>
  <c r="HM43" i="6"/>
  <c r="HP43" i="6" s="1"/>
  <c r="EJ44" i="6"/>
  <c r="EG45" i="6"/>
  <c r="C42" i="10"/>
  <c r="HP42" i="1"/>
  <c r="AR158" i="6"/>
  <c r="AO159" i="6"/>
  <c r="Q159" i="6"/>
  <c r="T158" i="6"/>
  <c r="BY143" i="6"/>
  <c r="CB142" i="6"/>
  <c r="HD44" i="6"/>
  <c r="HA45" i="6"/>
  <c r="EJ142" i="6"/>
  <c r="EG143" i="6"/>
  <c r="AR51" i="6"/>
  <c r="AO52" i="6"/>
  <c r="H43" i="10"/>
  <c r="AO44" i="1"/>
  <c r="AR43" i="1"/>
  <c r="DI44" i="6"/>
  <c r="DL43" i="6"/>
  <c r="T44" i="1"/>
  <c r="Q45" i="1"/>
  <c r="CN44" i="1"/>
  <c r="CK45" i="1"/>
  <c r="FT45" i="1"/>
  <c r="FQ46" i="1"/>
  <c r="EJ43" i="1"/>
  <c r="EG44" i="1"/>
  <c r="HZ44" i="1" s="1"/>
  <c r="HM43" i="1"/>
  <c r="C43" i="10" s="1"/>
  <c r="BN162" i="6"/>
  <c r="HN161" i="6"/>
  <c r="EV143" i="6"/>
  <c r="ES144" i="6"/>
  <c r="CB46" i="6"/>
  <c r="BY47" i="6"/>
  <c r="HA44" i="1"/>
  <c r="HD43" i="1"/>
  <c r="IA43" i="1"/>
  <c r="GF144" i="6"/>
  <c r="GC145" i="6"/>
  <c r="H44" i="1"/>
  <c r="E45" i="1"/>
  <c r="ES45" i="1"/>
  <c r="EV44" i="1"/>
  <c r="HZ43" i="1"/>
  <c r="F45" i="6"/>
  <c r="HN44" i="6"/>
  <c r="BD54" i="6"/>
  <c r="BA55" i="6"/>
  <c r="HX43" i="1"/>
  <c r="FE144" i="6"/>
  <c r="FH143" i="6"/>
  <c r="AC160" i="6"/>
  <c r="AF159" i="6"/>
  <c r="BN114" i="6"/>
  <c r="DI45" i="1"/>
  <c r="DL44" i="1"/>
  <c r="GR142" i="6"/>
  <c r="GO143" i="6"/>
  <c r="CN142" i="6"/>
  <c r="CK143" i="6"/>
  <c r="HM142" i="6"/>
  <c r="HP142" i="6" s="1"/>
  <c r="H158" i="6"/>
  <c r="E159" i="6"/>
  <c r="DU45" i="1"/>
  <c r="DX44" i="1"/>
  <c r="GO50" i="6"/>
  <c r="GR48" i="6"/>
  <c r="GR47" i="6"/>
  <c r="CW45" i="1"/>
  <c r="CZ44" i="1"/>
  <c r="H44" i="10"/>
  <c r="FE45" i="1"/>
  <c r="FH44" i="1"/>
  <c r="HN45" i="1"/>
  <c r="F46" i="1"/>
  <c r="BP155" i="6"/>
  <c r="BM158" i="6"/>
  <c r="BP156" i="6"/>
  <c r="W20" i="11"/>
  <c r="FT142" i="6"/>
  <c r="FQ143" i="6"/>
  <c r="BD158" i="6"/>
  <c r="BA159" i="6"/>
  <c r="BA46" i="1"/>
  <c r="BD45" i="1"/>
  <c r="DJ235" i="1"/>
  <c r="F234" i="6"/>
  <c r="ES50" i="6" l="1"/>
  <c r="EV47" i="6"/>
  <c r="EV48" i="6"/>
  <c r="CZ45" i="6"/>
  <c r="CW46" i="6"/>
  <c r="HP43" i="1"/>
  <c r="GO45" i="1"/>
  <c r="D45" i="10" s="1"/>
  <c r="GR44" i="1"/>
  <c r="AC51" i="1"/>
  <c r="AF50" i="1"/>
  <c r="CZ144" i="6"/>
  <c r="CW145" i="6"/>
  <c r="H44" i="6"/>
  <c r="E45" i="6"/>
  <c r="FQ45" i="6"/>
  <c r="FT44" i="6"/>
  <c r="HM44" i="1"/>
  <c r="C44" i="10" s="1"/>
  <c r="AC46" i="6"/>
  <c r="AF45" i="6"/>
  <c r="GF44" i="6"/>
  <c r="GC45" i="6"/>
  <c r="DX44" i="6"/>
  <c r="DU45" i="6"/>
  <c r="J44" i="10"/>
  <c r="BY45" i="1"/>
  <c r="CB44" i="1"/>
  <c r="BM46" i="1"/>
  <c r="BP45" i="1"/>
  <c r="HD143" i="6"/>
  <c r="HA144" i="6"/>
  <c r="FH46" i="6"/>
  <c r="FE47" i="6"/>
  <c r="DL144" i="6"/>
  <c r="DI145" i="6"/>
  <c r="BM45" i="6"/>
  <c r="BP44" i="6"/>
  <c r="GC45" i="1"/>
  <c r="GF44" i="1"/>
  <c r="T44" i="6"/>
  <c r="Q45" i="6"/>
  <c r="DU145" i="6"/>
  <c r="DX144" i="6"/>
  <c r="F46" i="6"/>
  <c r="HN45" i="6"/>
  <c r="BN163" i="6"/>
  <c r="HN162" i="6"/>
  <c r="HX44" i="1"/>
  <c r="AO45" i="1"/>
  <c r="H45" i="10" s="1"/>
  <c r="AR44" i="1"/>
  <c r="HA45" i="1"/>
  <c r="J45" i="10" s="1"/>
  <c r="HD44" i="1"/>
  <c r="IA44" i="1"/>
  <c r="AO53" i="6"/>
  <c r="AR52" i="6"/>
  <c r="EG46" i="6"/>
  <c r="EJ45" i="6"/>
  <c r="ES46" i="1"/>
  <c r="EV45" i="1"/>
  <c r="CB48" i="6"/>
  <c r="CB47" i="6"/>
  <c r="BY50" i="6"/>
  <c r="Q46" i="1"/>
  <c r="T45" i="1"/>
  <c r="CN45" i="1"/>
  <c r="CK46" i="1"/>
  <c r="H45" i="1"/>
  <c r="E46" i="1"/>
  <c r="EJ143" i="6"/>
  <c r="EG144" i="6"/>
  <c r="BA56" i="6"/>
  <c r="BD55" i="6"/>
  <c r="ES145" i="6"/>
  <c r="EV144" i="6"/>
  <c r="EJ44" i="1"/>
  <c r="EG45" i="1"/>
  <c r="F44" i="10"/>
  <c r="T159" i="6"/>
  <c r="Q160" i="6"/>
  <c r="CK45" i="6"/>
  <c r="CN44" i="6"/>
  <c r="HM44" i="6"/>
  <c r="HP44" i="6" s="1"/>
  <c r="BY144" i="6"/>
  <c r="CB143" i="6"/>
  <c r="GF145" i="6"/>
  <c r="GC146" i="6"/>
  <c r="DL44" i="6"/>
  <c r="DI45" i="6"/>
  <c r="HD45" i="6"/>
  <c r="HA46" i="6"/>
  <c r="AR159" i="6"/>
  <c r="AO160" i="6"/>
  <c r="FQ47" i="1"/>
  <c r="FT46" i="1"/>
  <c r="FH45" i="1"/>
  <c r="FE46" i="1"/>
  <c r="GO51" i="6"/>
  <c r="GR50" i="6"/>
  <c r="CN143" i="6"/>
  <c r="CK144" i="6"/>
  <c r="HM143" i="6"/>
  <c r="HP143" i="6" s="1"/>
  <c r="FQ144" i="6"/>
  <c r="FT143" i="6"/>
  <c r="BD46" i="1"/>
  <c r="BA47" i="1"/>
  <c r="HP44" i="1"/>
  <c r="E160" i="6"/>
  <c r="H159" i="6"/>
  <c r="BN115" i="6"/>
  <c r="GO144" i="6"/>
  <c r="GR143" i="6"/>
  <c r="AF160" i="6"/>
  <c r="AC161" i="6"/>
  <c r="FH144" i="6"/>
  <c r="FE145" i="6"/>
  <c r="BM159" i="6"/>
  <c r="BP158" i="6"/>
  <c r="CW46" i="1"/>
  <c r="CZ45" i="1"/>
  <c r="DX45" i="1"/>
  <c r="DU46" i="1"/>
  <c r="DL45" i="1"/>
  <c r="DI46" i="1"/>
  <c r="HN46" i="1"/>
  <c r="F47" i="1"/>
  <c r="HY45" i="1"/>
  <c r="BD159" i="6"/>
  <c r="BA160" i="6"/>
  <c r="DJ236" i="1"/>
  <c r="F235" i="6"/>
  <c r="ES51" i="6" l="1"/>
  <c r="EV50" i="6"/>
  <c r="CZ46" i="6"/>
  <c r="CW47" i="6"/>
  <c r="GR45" i="1"/>
  <c r="GO46" i="1"/>
  <c r="D46" i="10" s="1"/>
  <c r="FQ46" i="6"/>
  <c r="FT45" i="6"/>
  <c r="E46" i="6"/>
  <c r="H45" i="6"/>
  <c r="GF45" i="6"/>
  <c r="GC46" i="6"/>
  <c r="HM45" i="1"/>
  <c r="HX45" i="1"/>
  <c r="CZ145" i="6"/>
  <c r="CW146" i="6"/>
  <c r="AF46" i="6"/>
  <c r="AC47" i="6"/>
  <c r="AC52" i="1"/>
  <c r="AF51" i="1"/>
  <c r="HZ45" i="1"/>
  <c r="DX45" i="6"/>
  <c r="DU46" i="6"/>
  <c r="HD144" i="6"/>
  <c r="HA145" i="6"/>
  <c r="GC46" i="1"/>
  <c r="GF45" i="1"/>
  <c r="BM46" i="6"/>
  <c r="BP45" i="6"/>
  <c r="BP46" i="1"/>
  <c r="BM47" i="1"/>
  <c r="DL145" i="6"/>
  <c r="DI146" i="6"/>
  <c r="DX145" i="6"/>
  <c r="DU146" i="6"/>
  <c r="CB45" i="1"/>
  <c r="BY46" i="1"/>
  <c r="Q46" i="6"/>
  <c r="T45" i="6"/>
  <c r="FE50" i="6"/>
  <c r="FH48" i="6"/>
  <c r="FH47" i="6"/>
  <c r="FT47" i="1"/>
  <c r="FT48" i="1"/>
  <c r="FQ50" i="1"/>
  <c r="Q47" i="1"/>
  <c r="T46" i="1"/>
  <c r="HD45" i="1"/>
  <c r="HA46" i="1"/>
  <c r="J46" i="10" s="1"/>
  <c r="IA45" i="1"/>
  <c r="AO161" i="6"/>
  <c r="AR160" i="6"/>
  <c r="EG46" i="1"/>
  <c r="HZ46" i="1" s="1"/>
  <c r="EJ45" i="1"/>
  <c r="EG47" i="6"/>
  <c r="EJ46" i="6"/>
  <c r="CB144" i="6"/>
  <c r="BY145" i="6"/>
  <c r="H46" i="1"/>
  <c r="E47" i="1"/>
  <c r="AO46" i="1"/>
  <c r="AR45" i="1"/>
  <c r="HD46" i="6"/>
  <c r="HA47" i="6"/>
  <c r="BY51" i="6"/>
  <c r="CB50" i="6"/>
  <c r="ES146" i="6"/>
  <c r="EV145" i="6"/>
  <c r="CN46" i="1"/>
  <c r="CK47" i="1"/>
  <c r="DI46" i="6"/>
  <c r="DL45" i="6"/>
  <c r="CN45" i="6"/>
  <c r="CK46" i="6"/>
  <c r="HM45" i="6"/>
  <c r="HP45" i="6" s="1"/>
  <c r="AO54" i="6"/>
  <c r="AR53" i="6"/>
  <c r="BN164" i="6"/>
  <c r="HN163" i="6"/>
  <c r="T160" i="6"/>
  <c r="Q161" i="6"/>
  <c r="BA59" i="6"/>
  <c r="BD57" i="6"/>
  <c r="BD56" i="6"/>
  <c r="F45" i="10"/>
  <c r="GC149" i="6"/>
  <c r="GF146" i="6"/>
  <c r="GF147" i="6"/>
  <c r="EJ144" i="6"/>
  <c r="EG145" i="6"/>
  <c r="EV46" i="1"/>
  <c r="ES47" i="1"/>
  <c r="F47" i="6"/>
  <c r="HN46" i="6"/>
  <c r="HN47" i="1"/>
  <c r="F50" i="1"/>
  <c r="GR144" i="6"/>
  <c r="GO145" i="6"/>
  <c r="BD47" i="1"/>
  <c r="BA50" i="1"/>
  <c r="BD48" i="1"/>
  <c r="C45" i="10"/>
  <c r="HP45" i="1"/>
  <c r="FE146" i="6"/>
  <c r="FH145" i="6"/>
  <c r="BD160" i="6"/>
  <c r="BA161" i="6"/>
  <c r="DU47" i="1"/>
  <c r="DX46" i="1"/>
  <c r="AC162" i="6"/>
  <c r="AF161" i="6"/>
  <c r="H160" i="6"/>
  <c r="E161" i="6"/>
  <c r="FQ145" i="6"/>
  <c r="FT144" i="6"/>
  <c r="CN144" i="6"/>
  <c r="CK145" i="6"/>
  <c r="HM144" i="6"/>
  <c r="HP144" i="6" s="1"/>
  <c r="GR51" i="6"/>
  <c r="GO52" i="6"/>
  <c r="FE47" i="1"/>
  <c r="FH46" i="1"/>
  <c r="CZ46" i="1"/>
  <c r="CW47" i="1"/>
  <c r="DI47" i="1"/>
  <c r="DL46" i="1"/>
  <c r="BP159" i="6"/>
  <c r="BM160" i="6"/>
  <c r="DJ239" i="1"/>
  <c r="F236" i="6"/>
  <c r="ES52" i="6" l="1"/>
  <c r="EV51" i="6"/>
  <c r="CZ47" i="6"/>
  <c r="CW50" i="6"/>
  <c r="CZ48" i="6"/>
  <c r="GR46" i="1"/>
  <c r="GO47" i="1"/>
  <c r="F8" i="11" s="1"/>
  <c r="GF46" i="6"/>
  <c r="GC47" i="6"/>
  <c r="AC53" i="1"/>
  <c r="AF52" i="1"/>
  <c r="AF48" i="6"/>
  <c r="AF47" i="6"/>
  <c r="AC50" i="6"/>
  <c r="H46" i="6"/>
  <c r="E47" i="6"/>
  <c r="CZ146" i="6"/>
  <c r="CW149" i="6"/>
  <c r="CZ147" i="6"/>
  <c r="FQ47" i="6"/>
  <c r="FT46" i="6"/>
  <c r="DX46" i="6"/>
  <c r="DU47" i="6"/>
  <c r="BM50" i="1"/>
  <c r="BP48" i="1"/>
  <c r="BP47" i="1"/>
  <c r="Q47" i="6"/>
  <c r="T46" i="6"/>
  <c r="BY47" i="1"/>
  <c r="CB46" i="1"/>
  <c r="HY46" i="1"/>
  <c r="BP46" i="6"/>
  <c r="BM47" i="6"/>
  <c r="DX147" i="6"/>
  <c r="DX146" i="6"/>
  <c r="DU149" i="6"/>
  <c r="GC47" i="1"/>
  <c r="GF46" i="1"/>
  <c r="DL146" i="6"/>
  <c r="DI149" i="6"/>
  <c r="DL147" i="6"/>
  <c r="HA146" i="6"/>
  <c r="HD145" i="6"/>
  <c r="FH50" i="6"/>
  <c r="FE51" i="6"/>
  <c r="EV147" i="6"/>
  <c r="ES149" i="6"/>
  <c r="EV146" i="6"/>
  <c r="H47" i="1"/>
  <c r="H48" i="1"/>
  <c r="E50" i="1"/>
  <c r="HX46" i="1"/>
  <c r="AR46" i="1"/>
  <c r="AO47" i="1"/>
  <c r="IF58" i="1" s="1"/>
  <c r="IF56" i="1" s="1"/>
  <c r="T48" i="1"/>
  <c r="Q50" i="1"/>
  <c r="T47" i="1"/>
  <c r="CN46" i="6"/>
  <c r="CK47" i="6"/>
  <c r="HM46" i="6"/>
  <c r="HP46" i="6" s="1"/>
  <c r="GF149" i="6"/>
  <c r="GC150" i="6"/>
  <c r="DI47" i="6"/>
  <c r="DL46" i="6"/>
  <c r="CB145" i="6"/>
  <c r="BY146" i="6"/>
  <c r="EJ46" i="1"/>
  <c r="EG47" i="1"/>
  <c r="IH58" i="1" s="1"/>
  <c r="IH56" i="1" s="1"/>
  <c r="F46" i="10"/>
  <c r="T161" i="6"/>
  <c r="Q162" i="6"/>
  <c r="HM46" i="1"/>
  <c r="HP46" i="1" s="1"/>
  <c r="F50" i="6"/>
  <c r="HN47" i="6"/>
  <c r="HL58" i="6" s="1"/>
  <c r="BN167" i="6"/>
  <c r="HN164" i="6"/>
  <c r="HL175" i="6" s="1"/>
  <c r="H46" i="10"/>
  <c r="CB51" i="6"/>
  <c r="BY52" i="6"/>
  <c r="FT50" i="1"/>
  <c r="FQ51" i="1"/>
  <c r="EV48" i="1"/>
  <c r="ES50" i="1"/>
  <c r="EV47" i="1"/>
  <c r="CK50" i="1"/>
  <c r="CN47" i="1"/>
  <c r="CN48" i="1"/>
  <c r="HD48" i="6"/>
  <c r="HD47" i="6"/>
  <c r="HA50" i="6"/>
  <c r="AO162" i="6"/>
  <c r="AR161" i="6"/>
  <c r="AO55" i="6"/>
  <c r="AR54" i="6"/>
  <c r="EG146" i="6"/>
  <c r="EJ145" i="6"/>
  <c r="BA60" i="6"/>
  <c r="BD59" i="6"/>
  <c r="EJ47" i="6"/>
  <c r="EJ48" i="6"/>
  <c r="EG50" i="6"/>
  <c r="HD46" i="1"/>
  <c r="HA47" i="1"/>
  <c r="J47" i="10" s="1"/>
  <c r="IA46" i="1"/>
  <c r="CK146" i="6"/>
  <c r="CN145" i="6"/>
  <c r="HM145" i="6"/>
  <c r="HP145" i="6" s="1"/>
  <c r="CZ48" i="1"/>
  <c r="CW50" i="1"/>
  <c r="CZ47" i="1"/>
  <c r="DU50" i="1"/>
  <c r="DX48" i="1"/>
  <c r="DX47" i="1"/>
  <c r="DL47" i="1"/>
  <c r="DI50" i="1"/>
  <c r="DL48" i="1"/>
  <c r="GO146" i="6"/>
  <c r="GR145" i="6"/>
  <c r="AF162" i="6"/>
  <c r="AC163" i="6"/>
  <c r="BA51" i="1"/>
  <c r="BD50" i="1"/>
  <c r="FQ146" i="6"/>
  <c r="FT145" i="6"/>
  <c r="BD161" i="6"/>
  <c r="BA162" i="6"/>
  <c r="FE149" i="6"/>
  <c r="FH146" i="6"/>
  <c r="FH147" i="6"/>
  <c r="HY48" i="1"/>
  <c r="BP160" i="6"/>
  <c r="BM161" i="6"/>
  <c r="FE50" i="1"/>
  <c r="FH48" i="1"/>
  <c r="FH47" i="1"/>
  <c r="IG58" i="1"/>
  <c r="IG56" i="1" s="1"/>
  <c r="F51" i="1"/>
  <c r="HN50" i="1"/>
  <c r="HL58" i="1" s="1"/>
  <c r="GR52" i="6"/>
  <c r="GO53" i="6"/>
  <c r="E162" i="6"/>
  <c r="H161" i="6"/>
  <c r="HY47" i="1"/>
  <c r="DJ240" i="1"/>
  <c r="F239" i="6"/>
  <c r="D47" i="10" l="1"/>
  <c r="EV52" i="6"/>
  <c r="ES53" i="6"/>
  <c r="CW51" i="6"/>
  <c r="CZ50" i="6"/>
  <c r="GO50" i="1"/>
  <c r="D50" i="10" s="1"/>
  <c r="GR48" i="1"/>
  <c r="GR47" i="1"/>
  <c r="AF50" i="6"/>
  <c r="AC51" i="6"/>
  <c r="FT47" i="6"/>
  <c r="FQ50" i="6"/>
  <c r="FT48" i="6"/>
  <c r="CW150" i="6"/>
  <c r="CZ149" i="6"/>
  <c r="AC54" i="1"/>
  <c r="AF53" i="1"/>
  <c r="GC50" i="6"/>
  <c r="GF48" i="6"/>
  <c r="GF47" i="6"/>
  <c r="H48" i="6"/>
  <c r="E50" i="6"/>
  <c r="H47" i="6"/>
  <c r="Q8" i="11"/>
  <c r="HZ48" i="1"/>
  <c r="DU50" i="6"/>
  <c r="DX48" i="6"/>
  <c r="DX47" i="6"/>
  <c r="FE52" i="6"/>
  <c r="FH51" i="6"/>
  <c r="GF48" i="1"/>
  <c r="GF47" i="1"/>
  <c r="GC50" i="1"/>
  <c r="CB48" i="1"/>
  <c r="CB47" i="1"/>
  <c r="BY50" i="1"/>
  <c r="DX149" i="6"/>
  <c r="DU150" i="6"/>
  <c r="HZ47" i="1"/>
  <c r="T48" i="6"/>
  <c r="T47" i="6"/>
  <c r="Q50" i="6"/>
  <c r="S8" i="11"/>
  <c r="HA149" i="6"/>
  <c r="HD146" i="6"/>
  <c r="HD147" i="6"/>
  <c r="BP47" i="6"/>
  <c r="BM50" i="6"/>
  <c r="BP48" i="6"/>
  <c r="W8" i="11"/>
  <c r="DL149" i="6"/>
  <c r="DI150" i="6"/>
  <c r="BP50" i="1"/>
  <c r="BM51" i="1"/>
  <c r="AO163" i="6"/>
  <c r="AR162" i="6"/>
  <c r="EV50" i="1"/>
  <c r="ES51" i="1"/>
  <c r="Q163" i="6"/>
  <c r="T162" i="6"/>
  <c r="DL47" i="6"/>
  <c r="DL48" i="6"/>
  <c r="DI50" i="6"/>
  <c r="HA51" i="6"/>
  <c r="HD50" i="6"/>
  <c r="GC151" i="6"/>
  <c r="GF150" i="6"/>
  <c r="AR47" i="1"/>
  <c r="J8" i="11"/>
  <c r="HM47" i="1"/>
  <c r="AO50" i="1"/>
  <c r="H47" i="10"/>
  <c r="AR48" i="1"/>
  <c r="BA61" i="6"/>
  <c r="BD60" i="6"/>
  <c r="HY50" i="1"/>
  <c r="BN168" i="6"/>
  <c r="HN167" i="6"/>
  <c r="EJ47" i="1"/>
  <c r="EJ48" i="1"/>
  <c r="EG50" i="1"/>
  <c r="HZ50" i="1" s="1"/>
  <c r="F47" i="10"/>
  <c r="H8" i="11"/>
  <c r="BY53" i="6"/>
  <c r="CB52" i="6"/>
  <c r="HD47" i="1"/>
  <c r="HA50" i="1"/>
  <c r="J50" i="10" s="1"/>
  <c r="HD48" i="1"/>
  <c r="II58" i="1"/>
  <c r="II56" i="1" s="1"/>
  <c r="IA47" i="1"/>
  <c r="IA48" i="1"/>
  <c r="EG149" i="6"/>
  <c r="EJ146" i="6"/>
  <c r="EJ147" i="6"/>
  <c r="CK50" i="6"/>
  <c r="CN47" i="6"/>
  <c r="CN48" i="6"/>
  <c r="HM47" i="6"/>
  <c r="HX48" i="1"/>
  <c r="C46" i="10"/>
  <c r="FT51" i="1"/>
  <c r="FQ52" i="1"/>
  <c r="F51" i="6"/>
  <c r="HN50" i="6"/>
  <c r="CB146" i="6"/>
  <c r="BY149" i="6"/>
  <c r="CB147" i="6"/>
  <c r="H50" i="1"/>
  <c r="E51" i="1"/>
  <c r="ES150" i="6"/>
  <c r="EV149" i="6"/>
  <c r="T50" i="1"/>
  <c r="Q51" i="1"/>
  <c r="EJ50" i="6"/>
  <c r="EG51" i="6"/>
  <c r="AO56" i="6"/>
  <c r="AR55" i="6"/>
  <c r="CK51" i="1"/>
  <c r="CN50" i="1"/>
  <c r="L8" i="11"/>
  <c r="HX47" i="1"/>
  <c r="DX50" i="1"/>
  <c r="DU51" i="1"/>
  <c r="FE51" i="1"/>
  <c r="FH50" i="1"/>
  <c r="AF163" i="6"/>
  <c r="AC164" i="6"/>
  <c r="E163" i="6"/>
  <c r="H162" i="6"/>
  <c r="BP161" i="6"/>
  <c r="BM162" i="6"/>
  <c r="GR53" i="6"/>
  <c r="GO54" i="6"/>
  <c r="FH149" i="6"/>
  <c r="FE150" i="6"/>
  <c r="FT146" i="6"/>
  <c r="FQ149" i="6"/>
  <c r="FT147" i="6"/>
  <c r="BD51" i="1"/>
  <c r="BA52" i="1"/>
  <c r="HN51" i="1"/>
  <c r="F52" i="1"/>
  <c r="BD162" i="6"/>
  <c r="BA163" i="6"/>
  <c r="DI51" i="1"/>
  <c r="DL50" i="1"/>
  <c r="CW51" i="1"/>
  <c r="CZ50" i="1"/>
  <c r="CK149" i="6"/>
  <c r="CN146" i="6"/>
  <c r="CN147" i="6"/>
  <c r="HM146" i="6"/>
  <c r="GR146" i="6"/>
  <c r="GO149" i="6"/>
  <c r="GR147" i="6"/>
  <c r="DJ241" i="1"/>
  <c r="F240" i="6"/>
  <c r="ES54" i="6" l="1"/>
  <c r="EV53" i="6"/>
  <c r="CZ51" i="6"/>
  <c r="CW52" i="6"/>
  <c r="GR50" i="1"/>
  <c r="GO51" i="1"/>
  <c r="D51" i="10" s="1"/>
  <c r="AC55" i="1"/>
  <c r="AF54" i="1"/>
  <c r="E51" i="6"/>
  <c r="H50" i="6"/>
  <c r="CZ150" i="6"/>
  <c r="CW151" i="6"/>
  <c r="FT50" i="6"/>
  <c r="FQ51" i="6"/>
  <c r="GC51" i="6"/>
  <c r="GF50" i="6"/>
  <c r="AF51" i="6"/>
  <c r="AC52" i="6"/>
  <c r="DU51" i="6"/>
  <c r="DX50" i="6"/>
  <c r="BY51" i="1"/>
  <c r="HY51" i="1" s="1"/>
  <c r="CB50" i="1"/>
  <c r="T50" i="6"/>
  <c r="Q51" i="6"/>
  <c r="GC51" i="1"/>
  <c r="GF50" i="1"/>
  <c r="DI151" i="6"/>
  <c r="DL150" i="6"/>
  <c r="F50" i="10"/>
  <c r="BP50" i="6"/>
  <c r="BM51" i="6"/>
  <c r="HD149" i="6"/>
  <c r="HA150" i="6"/>
  <c r="BP51" i="1"/>
  <c r="BM52" i="1"/>
  <c r="DU151" i="6"/>
  <c r="DX150" i="6"/>
  <c r="HM50" i="1"/>
  <c r="HK58" i="1" s="1"/>
  <c r="FE53" i="6"/>
  <c r="FH52" i="6"/>
  <c r="C47" i="10"/>
  <c r="HP47" i="1"/>
  <c r="HP48" i="1"/>
  <c r="CN51" i="1"/>
  <c r="CK52" i="1"/>
  <c r="F52" i="6"/>
  <c r="HN51" i="6"/>
  <c r="CK51" i="6"/>
  <c r="CN50" i="6"/>
  <c r="HM50" i="6"/>
  <c r="HP50" i="6" s="1"/>
  <c r="HD50" i="1"/>
  <c r="HA51" i="1"/>
  <c r="IA50" i="1"/>
  <c r="ES151" i="6"/>
  <c r="EV150" i="6"/>
  <c r="FT52" i="1"/>
  <c r="FQ53" i="1"/>
  <c r="AO59" i="6"/>
  <c r="AR57" i="6"/>
  <c r="AR56" i="6"/>
  <c r="U9" i="11"/>
  <c r="H51" i="1"/>
  <c r="E52" i="1"/>
  <c r="EG51" i="1"/>
  <c r="HZ51" i="1" s="1"/>
  <c r="EJ50" i="1"/>
  <c r="T163" i="6"/>
  <c r="Q164" i="6"/>
  <c r="EG52" i="6"/>
  <c r="EJ51" i="6"/>
  <c r="EG150" i="6"/>
  <c r="EJ149" i="6"/>
  <c r="BY54" i="6"/>
  <c r="CB53" i="6"/>
  <c r="BA62" i="6"/>
  <c r="BD61" i="6"/>
  <c r="GC152" i="6"/>
  <c r="GF151" i="6"/>
  <c r="ES52" i="1"/>
  <c r="EV51" i="1"/>
  <c r="BY150" i="6"/>
  <c r="CB149" i="6"/>
  <c r="HP48" i="6"/>
  <c r="HP47" i="6"/>
  <c r="HK58" i="6"/>
  <c r="HD51" i="6"/>
  <c r="HA52" i="6"/>
  <c r="Q52" i="1"/>
  <c r="T51" i="1"/>
  <c r="BN169" i="6"/>
  <c r="HN168" i="6"/>
  <c r="HX50" i="1"/>
  <c r="AR50" i="1"/>
  <c r="AO51" i="1"/>
  <c r="H51" i="10" s="1"/>
  <c r="H50" i="10"/>
  <c r="DI51" i="6"/>
  <c r="DL50" i="6"/>
  <c r="AR163" i="6"/>
  <c r="AO164" i="6"/>
  <c r="FE151" i="6"/>
  <c r="FH150" i="6"/>
  <c r="CW52" i="1"/>
  <c r="CZ51" i="1"/>
  <c r="BD52" i="1"/>
  <c r="BA53" i="1"/>
  <c r="GO55" i="6"/>
  <c r="GR54" i="6"/>
  <c r="BD163" i="6"/>
  <c r="BA164" i="6"/>
  <c r="HP147" i="6"/>
  <c r="HK157" i="6"/>
  <c r="HP146" i="6"/>
  <c r="DI52" i="1"/>
  <c r="DL51" i="1"/>
  <c r="J51" i="10"/>
  <c r="BM163" i="6"/>
  <c r="BP162" i="6"/>
  <c r="H163" i="6"/>
  <c r="E164" i="6"/>
  <c r="AF164" i="6"/>
  <c r="AC167" i="6"/>
  <c r="AF165" i="6"/>
  <c r="CK150" i="6"/>
  <c r="CN149" i="6"/>
  <c r="HM149" i="6"/>
  <c r="HP149" i="6" s="1"/>
  <c r="F53" i="1"/>
  <c r="HN52" i="1"/>
  <c r="FT149" i="6"/>
  <c r="FQ150" i="6"/>
  <c r="GR149" i="6"/>
  <c r="GO150" i="6"/>
  <c r="C50" i="10"/>
  <c r="HP50" i="1"/>
  <c r="FH51" i="1"/>
  <c r="FE52" i="1"/>
  <c r="DX51" i="1"/>
  <c r="DU52" i="1"/>
  <c r="DJ242" i="1"/>
  <c r="F241" i="6"/>
  <c r="ES55" i="6" l="1"/>
  <c r="EV54" i="6"/>
  <c r="CW53" i="6"/>
  <c r="CZ52" i="6"/>
  <c r="GO52" i="1"/>
  <c r="GR51" i="1"/>
  <c r="CW152" i="6"/>
  <c r="CZ151" i="6"/>
  <c r="HM51" i="1"/>
  <c r="HP51" i="1" s="1"/>
  <c r="AC53" i="6"/>
  <c r="AF52" i="6"/>
  <c r="F51" i="10"/>
  <c r="E52" i="6"/>
  <c r="H51" i="6"/>
  <c r="FT51" i="6"/>
  <c r="FQ52" i="6"/>
  <c r="GC52" i="6"/>
  <c r="GF51" i="6"/>
  <c r="AC56" i="1"/>
  <c r="AF55" i="1"/>
  <c r="DX51" i="6"/>
  <c r="DU52" i="6"/>
  <c r="BP52" i="1"/>
  <c r="BM53" i="1"/>
  <c r="DL151" i="6"/>
  <c r="DI152" i="6"/>
  <c r="HA151" i="6"/>
  <c r="HD150" i="6"/>
  <c r="GC52" i="1"/>
  <c r="GF51" i="1"/>
  <c r="FH53" i="6"/>
  <c r="FE54" i="6"/>
  <c r="BM52" i="6"/>
  <c r="BP51" i="6"/>
  <c r="Q52" i="6"/>
  <c r="T51" i="6"/>
  <c r="DU152" i="6"/>
  <c r="DX151" i="6"/>
  <c r="BY52" i="1"/>
  <c r="HY52" i="1" s="1"/>
  <c r="CB51" i="1"/>
  <c r="AO167" i="6"/>
  <c r="AR164" i="6"/>
  <c r="AR165" i="6"/>
  <c r="CK53" i="1"/>
  <c r="CN52" i="1"/>
  <c r="BN170" i="6"/>
  <c r="HN169" i="6"/>
  <c r="GF152" i="6"/>
  <c r="GC153" i="6"/>
  <c r="EJ52" i="6"/>
  <c r="EG53" i="6"/>
  <c r="HA52" i="1"/>
  <c r="HD51" i="1"/>
  <c r="IA51" i="1"/>
  <c r="T164" i="6"/>
  <c r="Q167" i="6"/>
  <c r="T165" i="6"/>
  <c r="S21" i="11"/>
  <c r="DI52" i="6"/>
  <c r="DL51" i="6"/>
  <c r="T52" i="1"/>
  <c r="Q53" i="1"/>
  <c r="BA63" i="6"/>
  <c r="BD62" i="6"/>
  <c r="AR59" i="6"/>
  <c r="AO60" i="6"/>
  <c r="FQ54" i="1"/>
  <c r="FT53" i="1"/>
  <c r="AO52" i="1"/>
  <c r="HX52" i="1" s="1"/>
  <c r="HX51" i="1"/>
  <c r="AR51" i="1"/>
  <c r="HD52" i="6"/>
  <c r="HA53" i="6"/>
  <c r="BY151" i="6"/>
  <c r="CB150" i="6"/>
  <c r="CB54" i="6"/>
  <c r="BY55" i="6"/>
  <c r="EG52" i="1"/>
  <c r="EJ51" i="1"/>
  <c r="CK52" i="6"/>
  <c r="CN51" i="6"/>
  <c r="HM51" i="6"/>
  <c r="HP51" i="6" s="1"/>
  <c r="H52" i="1"/>
  <c r="E53" i="1"/>
  <c r="EV52" i="1"/>
  <c r="ES53" i="1"/>
  <c r="EG151" i="6"/>
  <c r="EJ150" i="6"/>
  <c r="ES152" i="6"/>
  <c r="EV151" i="6"/>
  <c r="F53" i="6"/>
  <c r="HN52" i="6"/>
  <c r="AC168" i="6"/>
  <c r="AF167" i="6"/>
  <c r="BA54" i="1"/>
  <c r="BD53" i="1"/>
  <c r="GR150" i="6"/>
  <c r="GO151" i="6"/>
  <c r="DL52" i="1"/>
  <c r="DI53" i="1"/>
  <c r="BD165" i="6"/>
  <c r="BD164" i="6"/>
  <c r="BA167" i="6"/>
  <c r="U21" i="11"/>
  <c r="FT150" i="6"/>
  <c r="FQ151" i="6"/>
  <c r="CN150" i="6"/>
  <c r="CK151" i="6"/>
  <c r="HM150" i="6"/>
  <c r="HP150" i="6" s="1"/>
  <c r="CW53" i="1"/>
  <c r="CZ52" i="1"/>
  <c r="DX52" i="1"/>
  <c r="DU53" i="1"/>
  <c r="D52" i="10"/>
  <c r="FH52" i="1"/>
  <c r="FE53" i="1"/>
  <c r="Q21" i="11"/>
  <c r="H164" i="6"/>
  <c r="E167" i="6"/>
  <c r="H165" i="6"/>
  <c r="HN53" i="1"/>
  <c r="F54" i="1"/>
  <c r="BP163" i="6"/>
  <c r="BM164" i="6"/>
  <c r="GR55" i="6"/>
  <c r="GO56" i="6"/>
  <c r="FH151" i="6"/>
  <c r="FE152" i="6"/>
  <c r="DJ243" i="1"/>
  <c r="F242" i="6"/>
  <c r="EV55" i="6" l="1"/>
  <c r="ES56" i="6"/>
  <c r="C51" i="10"/>
  <c r="HM52" i="1"/>
  <c r="CZ53" i="6"/>
  <c r="CW54" i="6"/>
  <c r="GO53" i="1"/>
  <c r="D53" i="10" s="1"/>
  <c r="GR52" i="1"/>
  <c r="E53" i="6"/>
  <c r="H52" i="6"/>
  <c r="AF56" i="1"/>
  <c r="AC59" i="1"/>
  <c r="AF57" i="1"/>
  <c r="AF53" i="6"/>
  <c r="AC54" i="6"/>
  <c r="GF52" i="6"/>
  <c r="GC53" i="6"/>
  <c r="FT52" i="6"/>
  <c r="FQ53" i="6"/>
  <c r="CW153" i="6"/>
  <c r="CZ152" i="6"/>
  <c r="DX52" i="6"/>
  <c r="DU53" i="6"/>
  <c r="DX152" i="6"/>
  <c r="DU153" i="6"/>
  <c r="GC53" i="1"/>
  <c r="GF52" i="1"/>
  <c r="Q53" i="6"/>
  <c r="T52" i="6"/>
  <c r="HD151" i="6"/>
  <c r="HA152" i="6"/>
  <c r="DL152" i="6"/>
  <c r="DI153" i="6"/>
  <c r="BP52" i="6"/>
  <c r="BM53" i="6"/>
  <c r="FH54" i="6"/>
  <c r="FE55" i="6"/>
  <c r="BM54" i="1"/>
  <c r="BP53" i="1"/>
  <c r="BY53" i="1"/>
  <c r="CB52" i="1"/>
  <c r="EV152" i="6"/>
  <c r="ES153" i="6"/>
  <c r="EG53" i="1"/>
  <c r="EJ52" i="1"/>
  <c r="Q54" i="1"/>
  <c r="T53" i="1"/>
  <c r="CB55" i="6"/>
  <c r="BY56" i="6"/>
  <c r="H52" i="10"/>
  <c r="AO53" i="1"/>
  <c r="AR52" i="1"/>
  <c r="F52" i="10"/>
  <c r="BN171" i="6"/>
  <c r="HN170" i="6"/>
  <c r="EG152" i="6"/>
  <c r="EJ151" i="6"/>
  <c r="HZ52" i="1"/>
  <c r="EV53" i="1"/>
  <c r="ES54" i="1"/>
  <c r="FQ55" i="1"/>
  <c r="FT54" i="1"/>
  <c r="HA53" i="1"/>
  <c r="HD52" i="1"/>
  <c r="IA52" i="1"/>
  <c r="CK54" i="1"/>
  <c r="CN53" i="1"/>
  <c r="BY152" i="6"/>
  <c r="CB151" i="6"/>
  <c r="AO61" i="6"/>
  <c r="AR60" i="6"/>
  <c r="DI53" i="6"/>
  <c r="DL52" i="6"/>
  <c r="EJ53" i="6"/>
  <c r="EG54" i="6"/>
  <c r="HD53" i="6"/>
  <c r="HA54" i="6"/>
  <c r="F54" i="6"/>
  <c r="HN53" i="6"/>
  <c r="CK53" i="6"/>
  <c r="CN52" i="6"/>
  <c r="HM52" i="6"/>
  <c r="HP52" i="6" s="1"/>
  <c r="GF153" i="6"/>
  <c r="GC154" i="6"/>
  <c r="AO168" i="6"/>
  <c r="AR167" i="6"/>
  <c r="H53" i="1"/>
  <c r="E54" i="1"/>
  <c r="BA64" i="6"/>
  <c r="BD63" i="6"/>
  <c r="Q168" i="6"/>
  <c r="T167" i="6"/>
  <c r="J52" i="10"/>
  <c r="GR57" i="6"/>
  <c r="GO59" i="6"/>
  <c r="GR56" i="6"/>
  <c r="H167" i="6"/>
  <c r="E168" i="6"/>
  <c r="CK152" i="6"/>
  <c r="CN151" i="6"/>
  <c r="HM151" i="6"/>
  <c r="HP151" i="6" s="1"/>
  <c r="FQ152" i="6"/>
  <c r="FT151" i="6"/>
  <c r="DL53" i="1"/>
  <c r="DI54" i="1"/>
  <c r="FE54" i="1"/>
  <c r="FH53" i="1"/>
  <c r="HN54" i="1"/>
  <c r="F55" i="1"/>
  <c r="CW54" i="1"/>
  <c r="CZ53" i="1"/>
  <c r="GO152" i="6"/>
  <c r="GR151" i="6"/>
  <c r="BA55" i="1"/>
  <c r="BD54" i="1"/>
  <c r="DU54" i="1"/>
  <c r="HZ53" i="1"/>
  <c r="DX53" i="1"/>
  <c r="FE153" i="6"/>
  <c r="FH152" i="6"/>
  <c r="C52" i="10"/>
  <c r="HP52" i="1"/>
  <c r="BM167" i="6"/>
  <c r="BP164" i="6"/>
  <c r="BP165" i="6"/>
  <c r="W21" i="11"/>
  <c r="BD167" i="6"/>
  <c r="BA168" i="6"/>
  <c r="AC169" i="6"/>
  <c r="AF168" i="6"/>
  <c r="DJ244" i="1"/>
  <c r="F243" i="6"/>
  <c r="ES59" i="6" l="1"/>
  <c r="EV56" i="6"/>
  <c r="EV57" i="6"/>
  <c r="HM53" i="1"/>
  <c r="C53" i="10" s="1"/>
  <c r="CW55" i="6"/>
  <c r="CZ54" i="6"/>
  <c r="GO54" i="1"/>
  <c r="D54" i="10" s="1"/>
  <c r="GR53" i="1"/>
  <c r="AC55" i="6"/>
  <c r="AF54" i="6"/>
  <c r="F53" i="10"/>
  <c r="CW154" i="6"/>
  <c r="CZ153" i="6"/>
  <c r="AF59" i="1"/>
  <c r="AC60" i="1"/>
  <c r="FQ54" i="6"/>
  <c r="FT53" i="6"/>
  <c r="GC54" i="6"/>
  <c r="GF53" i="6"/>
  <c r="H53" i="6"/>
  <c r="E54" i="6"/>
  <c r="DU54" i="6"/>
  <c r="DX53" i="6"/>
  <c r="HD152" i="6"/>
  <c r="HA153" i="6"/>
  <c r="BP54" i="1"/>
  <c r="BM55" i="1"/>
  <c r="FE56" i="6"/>
  <c r="FH55" i="6"/>
  <c r="T53" i="6"/>
  <c r="Q54" i="6"/>
  <c r="BM54" i="6"/>
  <c r="BP53" i="6"/>
  <c r="GF53" i="1"/>
  <c r="GC54" i="1"/>
  <c r="CB53" i="1"/>
  <c r="BY54" i="1"/>
  <c r="DL153" i="6"/>
  <c r="DI154" i="6"/>
  <c r="DU154" i="6"/>
  <c r="DX153" i="6"/>
  <c r="HY53" i="1"/>
  <c r="BA65" i="6"/>
  <c r="BD64" i="6"/>
  <c r="EG55" i="6"/>
  <c r="EJ54" i="6"/>
  <c r="BN172" i="6"/>
  <c r="HN171" i="6"/>
  <c r="T54" i="1"/>
  <c r="Q55" i="1"/>
  <c r="H54" i="1"/>
  <c r="E55" i="1"/>
  <c r="CN53" i="6"/>
  <c r="CK54" i="6"/>
  <c r="HM53" i="6"/>
  <c r="HP53" i="6" s="1"/>
  <c r="CN54" i="1"/>
  <c r="CK55" i="1"/>
  <c r="ES55" i="1"/>
  <c r="EV54" i="1"/>
  <c r="F55" i="6"/>
  <c r="HN54" i="6"/>
  <c r="DL53" i="6"/>
  <c r="DI54" i="6"/>
  <c r="AR53" i="1"/>
  <c r="H53" i="10"/>
  <c r="AO54" i="1"/>
  <c r="HX54" i="1" s="1"/>
  <c r="HX53" i="1"/>
  <c r="EG54" i="1"/>
  <c r="EJ53" i="1"/>
  <c r="AO169" i="6"/>
  <c r="AR168" i="6"/>
  <c r="HA55" i="6"/>
  <c r="HD54" i="6"/>
  <c r="HD53" i="1"/>
  <c r="HA54" i="1"/>
  <c r="J54" i="10" s="1"/>
  <c r="IA53" i="1"/>
  <c r="ES154" i="6"/>
  <c r="EV153" i="6"/>
  <c r="GF154" i="6"/>
  <c r="GC155" i="6"/>
  <c r="AO62" i="6"/>
  <c r="AR61" i="6"/>
  <c r="CB56" i="6"/>
  <c r="CB57" i="6"/>
  <c r="BY59" i="6"/>
  <c r="Q169" i="6"/>
  <c r="T168" i="6"/>
  <c r="FQ56" i="1"/>
  <c r="FT55" i="1"/>
  <c r="EG153" i="6"/>
  <c r="EJ152" i="6"/>
  <c r="J53" i="10"/>
  <c r="BY153" i="6"/>
  <c r="CB152" i="6"/>
  <c r="CK153" i="6"/>
  <c r="CN152" i="6"/>
  <c r="HM152" i="6"/>
  <c r="HP152" i="6" s="1"/>
  <c r="AF169" i="6"/>
  <c r="AC170" i="6"/>
  <c r="BA169" i="6"/>
  <c r="BD168" i="6"/>
  <c r="FH54" i="1"/>
  <c r="FE55" i="1"/>
  <c r="CW55" i="1"/>
  <c r="CZ54" i="1"/>
  <c r="HP53" i="1"/>
  <c r="FQ153" i="6"/>
  <c r="FT152" i="6"/>
  <c r="DL54" i="1"/>
  <c r="DI55" i="1"/>
  <c r="BD55" i="1"/>
  <c r="BA56" i="1"/>
  <c r="E169" i="6"/>
  <c r="H168" i="6"/>
  <c r="BM168" i="6"/>
  <c r="BP167" i="6"/>
  <c r="GO60" i="6"/>
  <c r="GR59" i="6"/>
  <c r="FE154" i="6"/>
  <c r="FH153" i="6"/>
  <c r="DX54" i="1"/>
  <c r="DU55" i="1"/>
  <c r="GR152" i="6"/>
  <c r="GO153" i="6"/>
  <c r="HN55" i="1"/>
  <c r="F56" i="1"/>
  <c r="DJ245" i="1"/>
  <c r="F244" i="6"/>
  <c r="ES60" i="6" l="1"/>
  <c r="EV59" i="6"/>
  <c r="H54" i="10"/>
  <c r="CZ55" i="6"/>
  <c r="CW56" i="6"/>
  <c r="F54" i="10"/>
  <c r="GR54" i="1"/>
  <c r="GO55" i="1"/>
  <c r="AC61" i="1"/>
  <c r="AF60" i="1"/>
  <c r="FQ55" i="6"/>
  <c r="FT54" i="6"/>
  <c r="CZ154" i="6"/>
  <c r="CW155" i="6"/>
  <c r="H54" i="6"/>
  <c r="E55" i="6"/>
  <c r="GC55" i="6"/>
  <c r="GF54" i="6"/>
  <c r="HZ54" i="1"/>
  <c r="AC56" i="6"/>
  <c r="AF55" i="6"/>
  <c r="HM54" i="1"/>
  <c r="C54" i="10" s="1"/>
  <c r="DU55" i="6"/>
  <c r="DX54" i="6"/>
  <c r="BY55" i="1"/>
  <c r="HY55" i="1" s="1"/>
  <c r="CB54" i="1"/>
  <c r="FH56" i="6"/>
  <c r="FE59" i="6"/>
  <c r="FH57" i="6"/>
  <c r="GF54" i="1"/>
  <c r="GC55" i="1"/>
  <c r="BM56" i="1"/>
  <c r="BP55" i="1"/>
  <c r="HD153" i="6"/>
  <c r="HA154" i="6"/>
  <c r="DU155" i="6"/>
  <c r="DX154" i="6"/>
  <c r="BP54" i="6"/>
  <c r="BM55" i="6"/>
  <c r="DI155" i="6"/>
  <c r="DL154" i="6"/>
  <c r="T54" i="6"/>
  <c r="Q55" i="6"/>
  <c r="HY54" i="1"/>
  <c r="BY154" i="6"/>
  <c r="CB153" i="6"/>
  <c r="FT56" i="1"/>
  <c r="FT57" i="1"/>
  <c r="FQ59" i="1"/>
  <c r="GF155" i="6"/>
  <c r="GC158" i="6"/>
  <c r="GF156" i="6"/>
  <c r="HA56" i="6"/>
  <c r="HD55" i="6"/>
  <c r="DL54" i="6"/>
  <c r="DI55" i="6"/>
  <c r="Q170" i="6"/>
  <c r="T169" i="6"/>
  <c r="AR169" i="6"/>
  <c r="AO170" i="6"/>
  <c r="CN54" i="6"/>
  <c r="CK55" i="6"/>
  <c r="HM54" i="6"/>
  <c r="HP54" i="6" s="1"/>
  <c r="BY60" i="6"/>
  <c r="CB59" i="6"/>
  <c r="ES155" i="6"/>
  <c r="EV154" i="6"/>
  <c r="BN173" i="6"/>
  <c r="HN172" i="6"/>
  <c r="EJ54" i="1"/>
  <c r="EG55" i="1"/>
  <c r="HZ55" i="1" s="1"/>
  <c r="F56" i="6"/>
  <c r="HN55" i="6"/>
  <c r="HD54" i="1"/>
  <c r="HA55" i="1"/>
  <c r="IA54" i="1"/>
  <c r="H55" i="1"/>
  <c r="E56" i="1"/>
  <c r="EG56" i="6"/>
  <c r="EJ55" i="6"/>
  <c r="EG154" i="6"/>
  <c r="EJ153" i="6"/>
  <c r="AR54" i="1"/>
  <c r="AO55" i="1"/>
  <c r="HX55" i="1" s="1"/>
  <c r="EV55" i="1"/>
  <c r="ES56" i="1"/>
  <c r="AO63" i="6"/>
  <c r="AR62" i="6"/>
  <c r="CN55" i="1"/>
  <c r="CK56" i="1"/>
  <c r="T55" i="1"/>
  <c r="Q56" i="1"/>
  <c r="BA68" i="6"/>
  <c r="BD66" i="6"/>
  <c r="BD65" i="6"/>
  <c r="CZ55" i="1"/>
  <c r="CW56" i="1"/>
  <c r="GO61" i="6"/>
  <c r="GR60" i="6"/>
  <c r="BA170" i="6"/>
  <c r="BD169" i="6"/>
  <c r="DX55" i="1"/>
  <c r="DU56" i="1"/>
  <c r="D55" i="10"/>
  <c r="HN56" i="1"/>
  <c r="F59" i="1"/>
  <c r="BA59" i="1"/>
  <c r="BD56" i="1"/>
  <c r="BD57" i="1"/>
  <c r="CN153" i="6"/>
  <c r="CK154" i="6"/>
  <c r="HM153" i="6"/>
  <c r="HP153" i="6" s="1"/>
  <c r="BP168" i="6"/>
  <c r="BM169" i="6"/>
  <c r="H169" i="6"/>
  <c r="E170" i="6"/>
  <c r="GR153" i="6"/>
  <c r="GO154" i="6"/>
  <c r="FH154" i="6"/>
  <c r="FE155" i="6"/>
  <c r="DI56" i="1"/>
  <c r="DL55" i="1"/>
  <c r="FQ154" i="6"/>
  <c r="FT153" i="6"/>
  <c r="AC171" i="6"/>
  <c r="AF170" i="6"/>
  <c r="FH55" i="1"/>
  <c r="FE56" i="1"/>
  <c r="DJ248" i="1"/>
  <c r="F245" i="6"/>
  <c r="HP54" i="1" l="1"/>
  <c r="ES61" i="6"/>
  <c r="EV60" i="6"/>
  <c r="CW59" i="6"/>
  <c r="CZ57" i="6"/>
  <c r="CZ56" i="6"/>
  <c r="GR55" i="1"/>
  <c r="GO56" i="1"/>
  <c r="D56" i="10" s="1"/>
  <c r="E56" i="6"/>
  <c r="H55" i="6"/>
  <c r="CW158" i="6"/>
  <c r="CZ156" i="6"/>
  <c r="CZ155" i="6"/>
  <c r="AC59" i="6"/>
  <c r="AF56" i="6"/>
  <c r="AF57" i="6"/>
  <c r="FT55" i="6"/>
  <c r="FQ56" i="6"/>
  <c r="GF55" i="6"/>
  <c r="GC56" i="6"/>
  <c r="AF61" i="1"/>
  <c r="AC62" i="1"/>
  <c r="DU56" i="6"/>
  <c r="DX55" i="6"/>
  <c r="BM56" i="6"/>
  <c r="BP55" i="6"/>
  <c r="BP56" i="1"/>
  <c r="BP57" i="1"/>
  <c r="BM59" i="1"/>
  <c r="GF55" i="1"/>
  <c r="GC56" i="1"/>
  <c r="DX155" i="6"/>
  <c r="DU158" i="6"/>
  <c r="DX156" i="6"/>
  <c r="Q56" i="6"/>
  <c r="T55" i="6"/>
  <c r="HD154" i="6"/>
  <c r="HA155" i="6"/>
  <c r="FE60" i="6"/>
  <c r="FH59" i="6"/>
  <c r="DL156" i="6"/>
  <c r="DI158" i="6"/>
  <c r="DL155" i="6"/>
  <c r="BY56" i="1"/>
  <c r="IG67" i="1" s="1"/>
  <c r="IG65" i="1" s="1"/>
  <c r="CB55" i="1"/>
  <c r="BD68" i="6"/>
  <c r="BA69" i="6"/>
  <c r="EV57" i="1"/>
  <c r="ES59" i="1"/>
  <c r="EV56" i="1"/>
  <c r="Q171" i="6"/>
  <c r="T170" i="6"/>
  <c r="GC159" i="6"/>
  <c r="GF158" i="6"/>
  <c r="T56" i="1"/>
  <c r="T57" i="1"/>
  <c r="Q59" i="1"/>
  <c r="EG59" i="6"/>
  <c r="EJ56" i="6"/>
  <c r="EJ57" i="6"/>
  <c r="F59" i="6"/>
  <c r="HN56" i="6"/>
  <c r="HL67" i="6" s="1"/>
  <c r="BY61" i="6"/>
  <c r="CB60" i="6"/>
  <c r="DI56" i="6"/>
  <c r="DL55" i="6"/>
  <c r="AO56" i="1"/>
  <c r="HX56" i="1" s="1"/>
  <c r="AR55" i="1"/>
  <c r="H55" i="10"/>
  <c r="E59" i="1"/>
  <c r="H56" i="1"/>
  <c r="H57" i="1"/>
  <c r="EG56" i="1"/>
  <c r="IH67" i="1" s="1"/>
  <c r="IH65" i="1" s="1"/>
  <c r="EJ55" i="1"/>
  <c r="FT59" i="1"/>
  <c r="FQ60" i="1"/>
  <c r="F55" i="10"/>
  <c r="CK56" i="6"/>
  <c r="CN55" i="6"/>
  <c r="HM55" i="6"/>
  <c r="HP55" i="6" s="1"/>
  <c r="CK59" i="1"/>
  <c r="CN57" i="1"/>
  <c r="CN56" i="1"/>
  <c r="EG155" i="6"/>
  <c r="EJ154" i="6"/>
  <c r="BN176" i="6"/>
  <c r="HN173" i="6"/>
  <c r="HL184" i="6" s="1"/>
  <c r="AO171" i="6"/>
  <c r="AR170" i="6"/>
  <c r="HM55" i="1"/>
  <c r="HP55" i="1" s="1"/>
  <c r="HA56" i="1"/>
  <c r="L9" i="11" s="1"/>
  <c r="HD55" i="1"/>
  <c r="IA55" i="1"/>
  <c r="HD56" i="6"/>
  <c r="HA59" i="6"/>
  <c r="HD57" i="6"/>
  <c r="BY155" i="6"/>
  <c r="CB154" i="6"/>
  <c r="AO64" i="6"/>
  <c r="AR63" i="6"/>
  <c r="ES158" i="6"/>
  <c r="EV155" i="6"/>
  <c r="EV156" i="6"/>
  <c r="J55" i="10"/>
  <c r="CZ57" i="1"/>
  <c r="CW59" i="1"/>
  <c r="CZ56" i="1"/>
  <c r="FE59" i="1"/>
  <c r="FH57" i="1"/>
  <c r="FH56" i="1"/>
  <c r="FQ155" i="6"/>
  <c r="FT154" i="6"/>
  <c r="DU59" i="1"/>
  <c r="DX57" i="1"/>
  <c r="DX56" i="1"/>
  <c r="GO62" i="6"/>
  <c r="GR61" i="6"/>
  <c r="FH155" i="6"/>
  <c r="FE158" i="6"/>
  <c r="FH156" i="6"/>
  <c r="H170" i="6"/>
  <c r="E171" i="6"/>
  <c r="AF171" i="6"/>
  <c r="AC172" i="6"/>
  <c r="DI59" i="1"/>
  <c r="DL57" i="1"/>
  <c r="DL56" i="1"/>
  <c r="BD59" i="1"/>
  <c r="BA60" i="1"/>
  <c r="BA171" i="6"/>
  <c r="BD170" i="6"/>
  <c r="F60" i="1"/>
  <c r="HN59" i="1"/>
  <c r="HL67" i="1" s="1"/>
  <c r="GO155" i="6"/>
  <c r="GR154" i="6"/>
  <c r="BM170" i="6"/>
  <c r="BP169" i="6"/>
  <c r="CK155" i="6"/>
  <c r="CN154" i="6"/>
  <c r="HM154" i="6"/>
  <c r="HP154" i="6" s="1"/>
  <c r="DJ249" i="1"/>
  <c r="F248" i="6"/>
  <c r="F9" i="11" l="1"/>
  <c r="ES62" i="6"/>
  <c r="EV61" i="6"/>
  <c r="HZ57" i="1"/>
  <c r="HX57" i="1"/>
  <c r="HZ56" i="1"/>
  <c r="IF67" i="1"/>
  <c r="IF65" i="1" s="1"/>
  <c r="H56" i="10"/>
  <c r="CW60" i="6"/>
  <c r="CZ59" i="6"/>
  <c r="C55" i="10"/>
  <c r="J9" i="11"/>
  <c r="GO59" i="1"/>
  <c r="GR56" i="1"/>
  <c r="GR57" i="1"/>
  <c r="HY57" i="1"/>
  <c r="HY56" i="1"/>
  <c r="AC63" i="1"/>
  <c r="AF62" i="1"/>
  <c r="AF59" i="6"/>
  <c r="AC60" i="6"/>
  <c r="GF57" i="6"/>
  <c r="GF56" i="6"/>
  <c r="GC59" i="6"/>
  <c r="CW159" i="6"/>
  <c r="CZ158" i="6"/>
  <c r="FT57" i="6"/>
  <c r="FT56" i="6"/>
  <c r="FQ59" i="6"/>
  <c r="H57" i="6"/>
  <c r="E59" i="6"/>
  <c r="H56" i="6"/>
  <c r="Q9" i="11"/>
  <c r="DX56" i="6"/>
  <c r="DU59" i="6"/>
  <c r="DX57" i="6"/>
  <c r="FH60" i="6"/>
  <c r="FE61" i="6"/>
  <c r="GC59" i="1"/>
  <c r="GF56" i="1"/>
  <c r="GF57" i="1"/>
  <c r="F56" i="10"/>
  <c r="BY59" i="1"/>
  <c r="CB57" i="1"/>
  <c r="CB56" i="1"/>
  <c r="BM60" i="1"/>
  <c r="BP59" i="1"/>
  <c r="HM56" i="1"/>
  <c r="HP57" i="1" s="1"/>
  <c r="T56" i="6"/>
  <c r="S9" i="11"/>
  <c r="Q59" i="6"/>
  <c r="T57" i="6"/>
  <c r="HA158" i="6"/>
  <c r="HD156" i="6"/>
  <c r="HD155" i="6"/>
  <c r="DI159" i="6"/>
  <c r="DL158" i="6"/>
  <c r="DX158" i="6"/>
  <c r="DU159" i="6"/>
  <c r="W9" i="11"/>
  <c r="BP56" i="6"/>
  <c r="BM59" i="6"/>
  <c r="BP57" i="6"/>
  <c r="EJ156" i="6"/>
  <c r="EG158" i="6"/>
  <c r="EJ155" i="6"/>
  <c r="CK59" i="6"/>
  <c r="CN56" i="6"/>
  <c r="CN57" i="6"/>
  <c r="HM56" i="6"/>
  <c r="GF159" i="6"/>
  <c r="GC160" i="6"/>
  <c r="FT60" i="1"/>
  <c r="FQ61" i="1"/>
  <c r="DL56" i="6"/>
  <c r="DL57" i="6"/>
  <c r="DI59" i="6"/>
  <c r="H9" i="11"/>
  <c r="T171" i="6"/>
  <c r="Q172" i="6"/>
  <c r="HD59" i="6"/>
  <c r="HA60" i="6"/>
  <c r="CK60" i="1"/>
  <c r="CN59" i="1"/>
  <c r="Q60" i="1"/>
  <c r="T59" i="1"/>
  <c r="EG60" i="6"/>
  <c r="EJ59" i="6"/>
  <c r="AO172" i="6"/>
  <c r="AR171" i="6"/>
  <c r="BY62" i="6"/>
  <c r="CB61" i="6"/>
  <c r="ES60" i="1"/>
  <c r="EV59" i="1"/>
  <c r="CB155" i="6"/>
  <c r="BY158" i="6"/>
  <c r="CB156" i="6"/>
  <c r="ES159" i="6"/>
  <c r="EV158" i="6"/>
  <c r="EJ56" i="1"/>
  <c r="EG59" i="1"/>
  <c r="HZ59" i="1" s="1"/>
  <c r="EJ57" i="1"/>
  <c r="BN177" i="6"/>
  <c r="HN176" i="6"/>
  <c r="AR57" i="1"/>
  <c r="AO59" i="1"/>
  <c r="HX59" i="1" s="1"/>
  <c r="AR56" i="1"/>
  <c r="F60" i="6"/>
  <c r="HN59" i="6"/>
  <c r="BD69" i="6"/>
  <c r="BA70" i="6"/>
  <c r="H59" i="1"/>
  <c r="E60" i="1"/>
  <c r="AR64" i="6"/>
  <c r="AO65" i="6"/>
  <c r="HA59" i="1"/>
  <c r="HD56" i="1"/>
  <c r="HD57" i="1"/>
  <c r="IA57" i="1"/>
  <c r="II67" i="1"/>
  <c r="II65" i="1" s="1"/>
  <c r="IA56" i="1"/>
  <c r="J56" i="10"/>
  <c r="BP170" i="6"/>
  <c r="BM171" i="6"/>
  <c r="BA172" i="6"/>
  <c r="BD171" i="6"/>
  <c r="FE159" i="6"/>
  <c r="FH158" i="6"/>
  <c r="FE60" i="1"/>
  <c r="FH59" i="1"/>
  <c r="DI60" i="1"/>
  <c r="DL59" i="1"/>
  <c r="BA61" i="1"/>
  <c r="BD60" i="1"/>
  <c r="F61" i="1"/>
  <c r="HN60" i="1"/>
  <c r="AF172" i="6"/>
  <c r="AC173" i="6"/>
  <c r="E172" i="6"/>
  <c r="H171" i="6"/>
  <c r="GO63" i="6"/>
  <c r="GR62" i="6"/>
  <c r="FT156" i="6"/>
  <c r="FQ158" i="6"/>
  <c r="FT155" i="6"/>
  <c r="CK158" i="6"/>
  <c r="CN156" i="6"/>
  <c r="CN155" i="6"/>
  <c r="HM155" i="6"/>
  <c r="GR155" i="6"/>
  <c r="GO158" i="6"/>
  <c r="GR156" i="6"/>
  <c r="DX59" i="1"/>
  <c r="DU60" i="1"/>
  <c r="D59" i="10"/>
  <c r="CW60" i="1"/>
  <c r="CZ59" i="1"/>
  <c r="DJ250" i="1"/>
  <c r="F249" i="6"/>
  <c r="EV62" i="6" l="1"/>
  <c r="ES63" i="6"/>
  <c r="HP56" i="1"/>
  <c r="HM59" i="1"/>
  <c r="C59" i="10" s="1"/>
  <c r="HY59" i="1"/>
  <c r="C56" i="10"/>
  <c r="CZ60" i="6"/>
  <c r="CW61" i="6"/>
  <c r="GO60" i="1"/>
  <c r="D60" i="10" s="1"/>
  <c r="GR59" i="1"/>
  <c r="CW160" i="6"/>
  <c r="CZ159" i="6"/>
  <c r="GF59" i="6"/>
  <c r="GC60" i="6"/>
  <c r="E60" i="6"/>
  <c r="H59" i="6"/>
  <c r="FQ60" i="6"/>
  <c r="FT59" i="6"/>
  <c r="AF60" i="6"/>
  <c r="AC61" i="6"/>
  <c r="AF63" i="1"/>
  <c r="AC64" i="1"/>
  <c r="DU60" i="6"/>
  <c r="DX59" i="6"/>
  <c r="DU160" i="6"/>
  <c r="DX159" i="6"/>
  <c r="T59" i="6"/>
  <c r="Q60" i="6"/>
  <c r="BY60" i="1"/>
  <c r="CB59" i="1"/>
  <c r="DL159" i="6"/>
  <c r="DI160" i="6"/>
  <c r="F59" i="10"/>
  <c r="GC60" i="1"/>
  <c r="GF59" i="1"/>
  <c r="BM60" i="6"/>
  <c r="BP59" i="6"/>
  <c r="BM61" i="1"/>
  <c r="BP60" i="1"/>
  <c r="FE62" i="6"/>
  <c r="FH61" i="6"/>
  <c r="HD158" i="6"/>
  <c r="HA159" i="6"/>
  <c r="ES160" i="6"/>
  <c r="EV159" i="6"/>
  <c r="HK67" i="6"/>
  <c r="HP56" i="6"/>
  <c r="HP57" i="6"/>
  <c r="HA60" i="1"/>
  <c r="J60" i="10" s="1"/>
  <c r="HD59" i="1"/>
  <c r="J59" i="10"/>
  <c r="IA59" i="1"/>
  <c r="BD70" i="6"/>
  <c r="BA71" i="6"/>
  <c r="BN178" i="6"/>
  <c r="HN177" i="6"/>
  <c r="CB158" i="6"/>
  <c r="BY159" i="6"/>
  <c r="Q61" i="1"/>
  <c r="T60" i="1"/>
  <c r="DI60" i="6"/>
  <c r="DL59" i="6"/>
  <c r="AO68" i="6"/>
  <c r="AR65" i="6"/>
  <c r="AR66" i="6"/>
  <c r="U10" i="11"/>
  <c r="CN60" i="1"/>
  <c r="CK61" i="1"/>
  <c r="CN59" i="6"/>
  <c r="CK60" i="6"/>
  <c r="HM59" i="6"/>
  <c r="HP59" i="6" s="1"/>
  <c r="H60" i="1"/>
  <c r="E61" i="1"/>
  <c r="F61" i="6"/>
  <c r="HN60" i="6"/>
  <c r="EG60" i="1"/>
  <c r="HZ60" i="1" s="1"/>
  <c r="EJ59" i="1"/>
  <c r="ES61" i="1"/>
  <c r="EV60" i="1"/>
  <c r="AO173" i="6"/>
  <c r="AR172" i="6"/>
  <c r="HA61" i="6"/>
  <c r="HD60" i="6"/>
  <c r="FT61" i="1"/>
  <c r="FQ62" i="1"/>
  <c r="EJ158" i="6"/>
  <c r="EG159" i="6"/>
  <c r="AR59" i="1"/>
  <c r="H59" i="10"/>
  <c r="AO60" i="1"/>
  <c r="BY63" i="6"/>
  <c r="CB62" i="6"/>
  <c r="EJ60" i="6"/>
  <c r="EG61" i="6"/>
  <c r="T172" i="6"/>
  <c r="Q173" i="6"/>
  <c r="GC161" i="6"/>
  <c r="GF160" i="6"/>
  <c r="BD61" i="1"/>
  <c r="BA62" i="1"/>
  <c r="DU61" i="1"/>
  <c r="DX60" i="1"/>
  <c r="HP155" i="6"/>
  <c r="HP156" i="6"/>
  <c r="HK166" i="6"/>
  <c r="DL60" i="1"/>
  <c r="DI61" i="1"/>
  <c r="HN61" i="1"/>
  <c r="F62" i="1"/>
  <c r="FH159" i="6"/>
  <c r="FE160" i="6"/>
  <c r="HP59" i="1"/>
  <c r="HK67" i="1"/>
  <c r="H172" i="6"/>
  <c r="E173" i="6"/>
  <c r="GR158" i="6"/>
  <c r="GO159" i="6"/>
  <c r="GO64" i="6"/>
  <c r="GR63" i="6"/>
  <c r="AC176" i="6"/>
  <c r="AF173" i="6"/>
  <c r="AF174" i="6"/>
  <c r="FE61" i="1"/>
  <c r="FH60" i="1"/>
  <c r="BP171" i="6"/>
  <c r="BM172" i="6"/>
  <c r="CW61" i="1"/>
  <c r="CZ60" i="1"/>
  <c r="CK159" i="6"/>
  <c r="CN158" i="6"/>
  <c r="HM158" i="6"/>
  <c r="HP158" i="6" s="1"/>
  <c r="FT158" i="6"/>
  <c r="FQ159" i="6"/>
  <c r="BA173" i="6"/>
  <c r="BD172" i="6"/>
  <c r="DJ251" i="1"/>
  <c r="F250" i="6"/>
  <c r="ES64" i="6" l="1"/>
  <c r="EV63" i="6"/>
  <c r="CZ61" i="6"/>
  <c r="CW62" i="6"/>
  <c r="GO61" i="1"/>
  <c r="D61" i="10" s="1"/>
  <c r="GR60" i="1"/>
  <c r="FT60" i="6"/>
  <c r="FQ61" i="6"/>
  <c r="H60" i="6"/>
  <c r="E61" i="6"/>
  <c r="AF64" i="1"/>
  <c r="AC65" i="1"/>
  <c r="GC61" i="6"/>
  <c r="GF60" i="6"/>
  <c r="AF61" i="6"/>
  <c r="AC62" i="6"/>
  <c r="CZ160" i="6"/>
  <c r="CW161" i="6"/>
  <c r="DU61" i="6"/>
  <c r="DX60" i="6"/>
  <c r="FH62" i="6"/>
  <c r="FE63" i="6"/>
  <c r="DI161" i="6"/>
  <c r="DL160" i="6"/>
  <c r="BM62" i="1"/>
  <c r="BP61" i="1"/>
  <c r="CB60" i="1"/>
  <c r="BY61" i="1"/>
  <c r="HY61" i="1" s="1"/>
  <c r="HY60" i="1"/>
  <c r="BP60" i="6"/>
  <c r="BM61" i="6"/>
  <c r="T60" i="6"/>
  <c r="Q61" i="6"/>
  <c r="HD159" i="6"/>
  <c r="HA160" i="6"/>
  <c r="GF60" i="1"/>
  <c r="GC61" i="1"/>
  <c r="DU161" i="6"/>
  <c r="DX160" i="6"/>
  <c r="BY64" i="6"/>
  <c r="CB63" i="6"/>
  <c r="FT62" i="1"/>
  <c r="FQ63" i="1"/>
  <c r="DI61" i="6"/>
  <c r="DL60" i="6"/>
  <c r="BA72" i="6"/>
  <c r="BD71" i="6"/>
  <c r="HX60" i="1"/>
  <c r="AO61" i="1"/>
  <c r="HX61" i="1" s="1"/>
  <c r="AR60" i="1"/>
  <c r="EJ60" i="1"/>
  <c r="EG61" i="1"/>
  <c r="CN61" i="1"/>
  <c r="CK62" i="1"/>
  <c r="F60" i="10"/>
  <c r="GC162" i="6"/>
  <c r="GF161" i="6"/>
  <c r="Q176" i="6"/>
  <c r="T173" i="6"/>
  <c r="S22" i="11"/>
  <c r="T174" i="6"/>
  <c r="HD61" i="6"/>
  <c r="HA62" i="6"/>
  <c r="F62" i="6"/>
  <c r="HN61" i="6"/>
  <c r="Q62" i="1"/>
  <c r="T61" i="1"/>
  <c r="EJ159" i="6"/>
  <c r="EG160" i="6"/>
  <c r="H61" i="1"/>
  <c r="E62" i="1"/>
  <c r="BY160" i="6"/>
  <c r="CB159" i="6"/>
  <c r="EG62" i="6"/>
  <c r="EJ61" i="6"/>
  <c r="AO176" i="6"/>
  <c r="AR173" i="6"/>
  <c r="AR174" i="6"/>
  <c r="HA61" i="1"/>
  <c r="J61" i="10" s="1"/>
  <c r="HD60" i="1"/>
  <c r="IA60" i="1"/>
  <c r="H60" i="10"/>
  <c r="AO69" i="6"/>
  <c r="AR68" i="6"/>
  <c r="HM60" i="1"/>
  <c r="EV61" i="1"/>
  <c r="ES62" i="1"/>
  <c r="CK61" i="6"/>
  <c r="CN60" i="6"/>
  <c r="HM60" i="6"/>
  <c r="HP60" i="6" s="1"/>
  <c r="BN179" i="6"/>
  <c r="HN178" i="6"/>
  <c r="ES161" i="6"/>
  <c r="EV160" i="6"/>
  <c r="GO160" i="6"/>
  <c r="GR159" i="6"/>
  <c r="DL61" i="1"/>
  <c r="DI62" i="1"/>
  <c r="BD62" i="1"/>
  <c r="BA63" i="1"/>
  <c r="CN159" i="6"/>
  <c r="CK160" i="6"/>
  <c r="HM159" i="6"/>
  <c r="HP159" i="6" s="1"/>
  <c r="FE62" i="1"/>
  <c r="FH61" i="1"/>
  <c r="BD174" i="6"/>
  <c r="BD173" i="6"/>
  <c r="BA176" i="6"/>
  <c r="U22" i="11"/>
  <c r="BP172" i="6"/>
  <c r="BM173" i="6"/>
  <c r="DU62" i="1"/>
  <c r="DX61" i="1"/>
  <c r="HZ61" i="1"/>
  <c r="F63" i="1"/>
  <c r="HN62" i="1"/>
  <c r="FQ160" i="6"/>
  <c r="FT159" i="6"/>
  <c r="AC177" i="6"/>
  <c r="AF176" i="6"/>
  <c r="Q22" i="11"/>
  <c r="H174" i="6"/>
  <c r="E176" i="6"/>
  <c r="H173" i="6"/>
  <c r="CZ61" i="1"/>
  <c r="CW62" i="1"/>
  <c r="GR64" i="6"/>
  <c r="GO65" i="6"/>
  <c r="FH160" i="6"/>
  <c r="FE161" i="6"/>
  <c r="DJ252" i="1"/>
  <c r="F251" i="6"/>
  <c r="EV64" i="6" l="1"/>
  <c r="ES65" i="6"/>
  <c r="CZ62" i="6"/>
  <c r="CW63" i="6"/>
  <c r="GR61" i="1"/>
  <c r="GO62" i="1"/>
  <c r="HM61" i="1"/>
  <c r="HP61" i="1" s="1"/>
  <c r="GC62" i="6"/>
  <c r="GF61" i="6"/>
  <c r="F61" i="10"/>
  <c r="AC68" i="1"/>
  <c r="AF65" i="1"/>
  <c r="AF66" i="1"/>
  <c r="CW162" i="6"/>
  <c r="CZ161" i="6"/>
  <c r="E62" i="6"/>
  <c r="H61" i="6"/>
  <c r="AC63" i="6"/>
  <c r="AF62" i="6"/>
  <c r="FQ62" i="6"/>
  <c r="FT61" i="6"/>
  <c r="DX61" i="6"/>
  <c r="DU62" i="6"/>
  <c r="BY62" i="1"/>
  <c r="HY62" i="1" s="1"/>
  <c r="CB61" i="1"/>
  <c r="Q62" i="6"/>
  <c r="T61" i="6"/>
  <c r="BM63" i="1"/>
  <c r="BP62" i="1"/>
  <c r="BM62" i="6"/>
  <c r="BP61" i="6"/>
  <c r="DI162" i="6"/>
  <c r="DL161" i="6"/>
  <c r="HA161" i="6"/>
  <c r="HD160" i="6"/>
  <c r="DU162" i="6"/>
  <c r="DX161" i="6"/>
  <c r="FH63" i="6"/>
  <c r="FE64" i="6"/>
  <c r="GC62" i="1"/>
  <c r="GF61" i="1"/>
  <c r="CN61" i="6"/>
  <c r="CK62" i="6"/>
  <c r="HM61" i="6"/>
  <c r="HP61" i="6" s="1"/>
  <c r="EV62" i="1"/>
  <c r="ES63" i="1"/>
  <c r="CN62" i="1"/>
  <c r="CK63" i="1"/>
  <c r="BD72" i="6"/>
  <c r="BA73" i="6"/>
  <c r="HA62" i="1"/>
  <c r="J62" i="10" s="1"/>
  <c r="HD61" i="1"/>
  <c r="IA61" i="1"/>
  <c r="EV161" i="6"/>
  <c r="ES162" i="6"/>
  <c r="C60" i="10"/>
  <c r="HP60" i="1"/>
  <c r="CB160" i="6"/>
  <c r="BY161" i="6"/>
  <c r="EJ61" i="1"/>
  <c r="EG62" i="1"/>
  <c r="HZ62" i="1" s="1"/>
  <c r="DI62" i="6"/>
  <c r="DL61" i="6"/>
  <c r="H62" i="1"/>
  <c r="E63" i="1"/>
  <c r="Q63" i="1"/>
  <c r="T62" i="1"/>
  <c r="Q177" i="6"/>
  <c r="T176" i="6"/>
  <c r="FT63" i="1"/>
  <c r="FQ64" i="1"/>
  <c r="BN180" i="6"/>
  <c r="HN179" i="6"/>
  <c r="AR176" i="6"/>
  <c r="AO177" i="6"/>
  <c r="AR69" i="6"/>
  <c r="AO70" i="6"/>
  <c r="F63" i="6"/>
  <c r="HN62" i="6"/>
  <c r="AR61" i="1"/>
  <c r="H61" i="10"/>
  <c r="AO62" i="1"/>
  <c r="EG63" i="6"/>
  <c r="EJ62" i="6"/>
  <c r="EJ160" i="6"/>
  <c r="EG161" i="6"/>
  <c r="HD62" i="6"/>
  <c r="HA63" i="6"/>
  <c r="GF162" i="6"/>
  <c r="GC163" i="6"/>
  <c r="CB64" i="6"/>
  <c r="BY65" i="6"/>
  <c r="BD176" i="6"/>
  <c r="BA177" i="6"/>
  <c r="BD63" i="1"/>
  <c r="BA64" i="1"/>
  <c r="DL62" i="1"/>
  <c r="DI63" i="1"/>
  <c r="HN63" i="1"/>
  <c r="F64" i="1"/>
  <c r="GO68" i="6"/>
  <c r="GR65" i="6"/>
  <c r="GR66" i="6"/>
  <c r="AF177" i="6"/>
  <c r="AC178" i="6"/>
  <c r="E177" i="6"/>
  <c r="H176" i="6"/>
  <c r="FE162" i="6"/>
  <c r="FH161" i="6"/>
  <c r="CZ62" i="1"/>
  <c r="CW63" i="1"/>
  <c r="DU63" i="1"/>
  <c r="DX62" i="1"/>
  <c r="D62" i="10"/>
  <c r="W22" i="11"/>
  <c r="BM176" i="6"/>
  <c r="BP173" i="6"/>
  <c r="BP174" i="6"/>
  <c r="FH62" i="1"/>
  <c r="FE63" i="1"/>
  <c r="FQ161" i="6"/>
  <c r="FT160" i="6"/>
  <c r="CK161" i="6"/>
  <c r="CN160" i="6"/>
  <c r="HM160" i="6"/>
  <c r="HP160" i="6" s="1"/>
  <c r="GR160" i="6"/>
  <c r="GO161" i="6"/>
  <c r="DJ253" i="1"/>
  <c r="F252" i="6"/>
  <c r="C61" i="10" l="1"/>
  <c r="EV65" i="6"/>
  <c r="ES68" i="6"/>
  <c r="EV66" i="6"/>
  <c r="CW64" i="6"/>
  <c r="CZ63" i="6"/>
  <c r="GR62" i="1"/>
  <c r="GO63" i="1"/>
  <c r="D63" i="10" s="1"/>
  <c r="CW163" i="6"/>
  <c r="CZ162" i="6"/>
  <c r="F62" i="10"/>
  <c r="FQ63" i="6"/>
  <c r="FT62" i="6"/>
  <c r="AC69" i="1"/>
  <c r="AF68" i="1"/>
  <c r="AC64" i="6"/>
  <c r="AF63" i="6"/>
  <c r="H62" i="6"/>
  <c r="E63" i="6"/>
  <c r="GF62" i="6"/>
  <c r="GC63" i="6"/>
  <c r="DU63" i="6"/>
  <c r="DX62" i="6"/>
  <c r="FH64" i="6"/>
  <c r="FE65" i="6"/>
  <c r="BM63" i="6"/>
  <c r="BP62" i="6"/>
  <c r="DX162" i="6"/>
  <c r="DU163" i="6"/>
  <c r="BM64" i="1"/>
  <c r="BP63" i="1"/>
  <c r="HD161" i="6"/>
  <c r="HA162" i="6"/>
  <c r="T62" i="6"/>
  <c r="Q63" i="6"/>
  <c r="GF62" i="1"/>
  <c r="GC63" i="1"/>
  <c r="DL162" i="6"/>
  <c r="DI163" i="6"/>
  <c r="BY63" i="1"/>
  <c r="HY63" i="1" s="1"/>
  <c r="CB62" i="1"/>
  <c r="GF163" i="6"/>
  <c r="GC164" i="6"/>
  <c r="HX62" i="1"/>
  <c r="H62" i="10"/>
  <c r="AR62" i="1"/>
  <c r="AO63" i="1"/>
  <c r="AR177" i="6"/>
  <c r="AO178" i="6"/>
  <c r="BY162" i="6"/>
  <c r="CB161" i="6"/>
  <c r="EV63" i="1"/>
  <c r="ES64" i="1"/>
  <c r="Q64" i="1"/>
  <c r="T63" i="1"/>
  <c r="HD63" i="6"/>
  <c r="HA64" i="6"/>
  <c r="H63" i="1"/>
  <c r="E64" i="1"/>
  <c r="BN181" i="6"/>
  <c r="HN180" i="6"/>
  <c r="HD62" i="1"/>
  <c r="HA63" i="1"/>
  <c r="IA62" i="1"/>
  <c r="EG162" i="6"/>
  <c r="EJ161" i="6"/>
  <c r="F64" i="6"/>
  <c r="HN63" i="6"/>
  <c r="FQ65" i="1"/>
  <c r="FT64" i="1"/>
  <c r="EV162" i="6"/>
  <c r="ES163" i="6"/>
  <c r="BD73" i="6"/>
  <c r="BA74" i="6"/>
  <c r="AR70" i="6"/>
  <c r="AO71" i="6"/>
  <c r="DL62" i="6"/>
  <c r="DI63" i="6"/>
  <c r="CN62" i="6"/>
  <c r="CK63" i="6"/>
  <c r="HM62" i="6"/>
  <c r="HP62" i="6" s="1"/>
  <c r="BY68" i="6"/>
  <c r="CB65" i="6"/>
  <c r="CB66" i="6"/>
  <c r="EG63" i="1"/>
  <c r="HZ63" i="1" s="1"/>
  <c r="EJ62" i="1"/>
  <c r="CK64" i="1"/>
  <c r="CN63" i="1"/>
  <c r="EJ63" i="6"/>
  <c r="EG64" i="6"/>
  <c r="Q178" i="6"/>
  <c r="T177" i="6"/>
  <c r="HM62" i="1"/>
  <c r="FQ162" i="6"/>
  <c r="FT161" i="6"/>
  <c r="BA65" i="1"/>
  <c r="BD64" i="1"/>
  <c r="GO162" i="6"/>
  <c r="GR161" i="6"/>
  <c r="F65" i="1"/>
  <c r="HN64" i="1"/>
  <c r="FE64" i="1"/>
  <c r="FH63" i="1"/>
  <c r="DU64" i="1"/>
  <c r="DX63" i="1"/>
  <c r="AC179" i="6"/>
  <c r="AF178" i="6"/>
  <c r="GR68" i="6"/>
  <c r="GO69" i="6"/>
  <c r="CK162" i="6"/>
  <c r="CN161" i="6"/>
  <c r="HM161" i="6"/>
  <c r="HP161" i="6" s="1"/>
  <c r="FE163" i="6"/>
  <c r="FH162" i="6"/>
  <c r="DI64" i="1"/>
  <c r="DL63" i="1"/>
  <c r="BM177" i="6"/>
  <c r="BP176" i="6"/>
  <c r="CW64" i="1"/>
  <c r="CZ63" i="1"/>
  <c r="E178" i="6"/>
  <c r="H177" i="6"/>
  <c r="BA178" i="6"/>
  <c r="BD177" i="6"/>
  <c r="DJ254" i="1"/>
  <c r="F253" i="6"/>
  <c r="EV68" i="6" l="1"/>
  <c r="ES69" i="6"/>
  <c r="CW65" i="6"/>
  <c r="CZ64" i="6"/>
  <c r="GR63" i="1"/>
  <c r="GO64" i="1"/>
  <c r="AC65" i="6"/>
  <c r="AF64" i="6"/>
  <c r="AF69" i="1"/>
  <c r="AC70" i="1"/>
  <c r="GF63" i="6"/>
  <c r="GC64" i="6"/>
  <c r="FQ64" i="6"/>
  <c r="FT63" i="6"/>
  <c r="E64" i="6"/>
  <c r="H63" i="6"/>
  <c r="CW164" i="6"/>
  <c r="CZ163" i="6"/>
  <c r="DU64" i="6"/>
  <c r="DX63" i="6"/>
  <c r="BM65" i="1"/>
  <c r="BP64" i="1"/>
  <c r="GC64" i="1"/>
  <c r="GF63" i="1"/>
  <c r="DX163" i="6"/>
  <c r="DU164" i="6"/>
  <c r="Q64" i="6"/>
  <c r="T63" i="6"/>
  <c r="HA163" i="6"/>
  <c r="HD162" i="6"/>
  <c r="BP63" i="6"/>
  <c r="BM64" i="6"/>
  <c r="BY64" i="1"/>
  <c r="HY64" i="1" s="1"/>
  <c r="CB63" i="1"/>
  <c r="FH66" i="6"/>
  <c r="FE68" i="6"/>
  <c r="FH65" i="6"/>
  <c r="DL163" i="6"/>
  <c r="DI164" i="6"/>
  <c r="AR71" i="6"/>
  <c r="AO72" i="6"/>
  <c r="T178" i="6"/>
  <c r="Q179" i="6"/>
  <c r="F65" i="6"/>
  <c r="HN64" i="6"/>
  <c r="EV64" i="1"/>
  <c r="ES65" i="1"/>
  <c r="AR63" i="1"/>
  <c r="H63" i="10"/>
  <c r="HM63" i="1"/>
  <c r="HX63" i="1"/>
  <c r="AO64" i="1"/>
  <c r="HX64" i="1" s="1"/>
  <c r="EG65" i="6"/>
  <c r="EJ64" i="6"/>
  <c r="BY69" i="6"/>
  <c r="CB68" i="6"/>
  <c r="BA77" i="6"/>
  <c r="BD75" i="6"/>
  <c r="BD74" i="6"/>
  <c r="T64" i="1"/>
  <c r="Q65" i="1"/>
  <c r="EJ162" i="6"/>
  <c r="EG163" i="6"/>
  <c r="EV163" i="6"/>
  <c r="ES164" i="6"/>
  <c r="CK65" i="1"/>
  <c r="CN64" i="1"/>
  <c r="HA64" i="1"/>
  <c r="J64" i="10" s="1"/>
  <c r="HD63" i="1"/>
  <c r="IA63" i="1"/>
  <c r="HA65" i="6"/>
  <c r="HD64" i="6"/>
  <c r="GF165" i="6"/>
  <c r="GF164" i="6"/>
  <c r="GC167" i="6"/>
  <c r="BN182" i="6"/>
  <c r="HN181" i="6"/>
  <c r="CN63" i="6"/>
  <c r="CK64" i="6"/>
  <c r="HM63" i="6"/>
  <c r="HP63" i="6" s="1"/>
  <c r="DL63" i="6"/>
  <c r="DI64" i="6"/>
  <c r="CB162" i="6"/>
  <c r="BY163" i="6"/>
  <c r="H64" i="1"/>
  <c r="E65" i="1"/>
  <c r="HP62" i="1"/>
  <c r="C62" i="10"/>
  <c r="EJ63" i="1"/>
  <c r="EG64" i="1"/>
  <c r="F63" i="10"/>
  <c r="FT65" i="1"/>
  <c r="FT66" i="1"/>
  <c r="FQ68" i="1"/>
  <c r="AO179" i="6"/>
  <c r="AR178" i="6"/>
  <c r="J63" i="10"/>
  <c r="H178" i="6"/>
  <c r="E179" i="6"/>
  <c r="CN162" i="6"/>
  <c r="CK163" i="6"/>
  <c r="HM162" i="6"/>
  <c r="HP162" i="6" s="1"/>
  <c r="GR69" i="6"/>
  <c r="GO70" i="6"/>
  <c r="HN65" i="1"/>
  <c r="F68" i="1"/>
  <c r="DU65" i="1"/>
  <c r="DX64" i="1"/>
  <c r="D64" i="10"/>
  <c r="CZ64" i="1"/>
  <c r="CW65" i="1"/>
  <c r="FH163" i="6"/>
  <c r="FE164" i="6"/>
  <c r="GR162" i="6"/>
  <c r="GO163" i="6"/>
  <c r="DI65" i="1"/>
  <c r="DL64" i="1"/>
  <c r="AC180" i="6"/>
  <c r="AF179" i="6"/>
  <c r="H64" i="10"/>
  <c r="BP177" i="6"/>
  <c r="BM178" i="6"/>
  <c r="FH64" i="1"/>
  <c r="FE65" i="1"/>
  <c r="BD65" i="1"/>
  <c r="BA68" i="1"/>
  <c r="BD66" i="1"/>
  <c r="BD178" i="6"/>
  <c r="BA179" i="6"/>
  <c r="FT162" i="6"/>
  <c r="FQ163" i="6"/>
  <c r="DJ257" i="1"/>
  <c r="F254" i="6"/>
  <c r="EV69" i="6" l="1"/>
  <c r="ES70" i="6"/>
  <c r="CW68" i="6"/>
  <c r="CZ66" i="6"/>
  <c r="CZ65" i="6"/>
  <c r="GR64" i="1"/>
  <c r="GO65" i="1"/>
  <c r="D65" i="10" s="1"/>
  <c r="HM64" i="1"/>
  <c r="C64" i="10" s="1"/>
  <c r="HZ64" i="1"/>
  <c r="FT64" i="6"/>
  <c r="FQ65" i="6"/>
  <c r="GC65" i="6"/>
  <c r="GF64" i="6"/>
  <c r="AC71" i="1"/>
  <c r="AF70" i="1"/>
  <c r="CW167" i="6"/>
  <c r="CZ165" i="6"/>
  <c r="CZ164" i="6"/>
  <c r="H64" i="6"/>
  <c r="E65" i="6"/>
  <c r="AF65" i="6"/>
  <c r="AF66" i="6"/>
  <c r="AC68" i="6"/>
  <c r="DX64" i="6"/>
  <c r="DU65" i="6"/>
  <c r="T64" i="6"/>
  <c r="Q65" i="6"/>
  <c r="DU167" i="6"/>
  <c r="DX165" i="6"/>
  <c r="DX164" i="6"/>
  <c r="CB64" i="1"/>
  <c r="BY65" i="1"/>
  <c r="IG76" i="1" s="1"/>
  <c r="IG74" i="1" s="1"/>
  <c r="FE69" i="6"/>
  <c r="FH68" i="6"/>
  <c r="BP64" i="6"/>
  <c r="BM65" i="6"/>
  <c r="DI167" i="6"/>
  <c r="DL165" i="6"/>
  <c r="DL164" i="6"/>
  <c r="GC65" i="1"/>
  <c r="GF64" i="1"/>
  <c r="HA164" i="6"/>
  <c r="HD163" i="6"/>
  <c r="BM68" i="1"/>
  <c r="BP65" i="1"/>
  <c r="BP66" i="1"/>
  <c r="FQ69" i="1"/>
  <c r="FT68" i="1"/>
  <c r="HP63" i="1"/>
  <c r="C63" i="10"/>
  <c r="F68" i="6"/>
  <c r="HN65" i="6"/>
  <c r="HL76" i="6" s="1"/>
  <c r="ES167" i="6"/>
  <c r="EV165" i="6"/>
  <c r="EV164" i="6"/>
  <c r="CK65" i="6"/>
  <c r="CN64" i="6"/>
  <c r="HM64" i="6"/>
  <c r="HP64" i="6" s="1"/>
  <c r="HD66" i="6"/>
  <c r="HD65" i="6"/>
  <c r="HA68" i="6"/>
  <c r="BD77" i="6"/>
  <c r="BA78" i="6"/>
  <c r="Q180" i="6"/>
  <c r="T179" i="6"/>
  <c r="EJ163" i="6"/>
  <c r="EG164" i="6"/>
  <c r="BY70" i="6"/>
  <c r="CB69" i="6"/>
  <c r="EV65" i="1"/>
  <c r="ES68" i="1"/>
  <c r="EV66" i="1"/>
  <c r="AR72" i="6"/>
  <c r="AO73" i="6"/>
  <c r="AR179" i="6"/>
  <c r="AO180" i="6"/>
  <c r="EJ64" i="1"/>
  <c r="EG65" i="1"/>
  <c r="HZ66" i="1" s="1"/>
  <c r="CB163" i="6"/>
  <c r="BY164" i="6"/>
  <c r="BN185" i="6"/>
  <c r="HN182" i="6"/>
  <c r="HL193" i="6" s="1"/>
  <c r="HD64" i="1"/>
  <c r="HA65" i="1"/>
  <c r="J65" i="10" s="1"/>
  <c r="IA64" i="1"/>
  <c r="GF167" i="6"/>
  <c r="GC168" i="6"/>
  <c r="T65" i="1"/>
  <c r="Q68" i="1"/>
  <c r="T66" i="1"/>
  <c r="EJ65" i="6"/>
  <c r="EJ66" i="6"/>
  <c r="EG68" i="6"/>
  <c r="E68" i="1"/>
  <c r="H65" i="1"/>
  <c r="H66" i="1"/>
  <c r="DL64" i="6"/>
  <c r="DI65" i="6"/>
  <c r="CN66" i="1"/>
  <c r="CK68" i="1"/>
  <c r="CN65" i="1"/>
  <c r="AO65" i="1"/>
  <c r="HX66" i="1" s="1"/>
  <c r="AR64" i="1"/>
  <c r="F64" i="10"/>
  <c r="FE68" i="1"/>
  <c r="FH65" i="1"/>
  <c r="FH66" i="1"/>
  <c r="DL65" i="1"/>
  <c r="DI68" i="1"/>
  <c r="DL66" i="1"/>
  <c r="FQ164" i="6"/>
  <c r="FT163" i="6"/>
  <c r="F69" i="1"/>
  <c r="HN68" i="1"/>
  <c r="HL76" i="1" s="1"/>
  <c r="L10" i="11"/>
  <c r="FH165" i="6"/>
  <c r="FH164" i="6"/>
  <c r="FE167" i="6"/>
  <c r="DU68" i="1"/>
  <c r="DX65" i="1"/>
  <c r="DX66" i="1"/>
  <c r="BA69" i="1"/>
  <c r="BD68" i="1"/>
  <c r="BP178" i="6"/>
  <c r="BM179" i="6"/>
  <c r="CW68" i="1"/>
  <c r="CZ65" i="1"/>
  <c r="CZ66" i="1"/>
  <c r="GR70" i="6"/>
  <c r="GO71" i="6"/>
  <c r="E180" i="6"/>
  <c r="H179" i="6"/>
  <c r="AF180" i="6"/>
  <c r="AC181" i="6"/>
  <c r="CN163" i="6"/>
  <c r="CK164" i="6"/>
  <c r="HM163" i="6"/>
  <c r="HP163" i="6" s="1"/>
  <c r="BD179" i="6"/>
  <c r="BA180" i="6"/>
  <c r="GR163" i="6"/>
  <c r="GO164" i="6"/>
  <c r="DJ258" i="1"/>
  <c r="F257" i="6"/>
  <c r="HP64" i="1" l="1"/>
  <c r="ES71" i="6"/>
  <c r="EV70" i="6"/>
  <c r="F10" i="11"/>
  <c r="HY66" i="1"/>
  <c r="CZ68" i="6"/>
  <c r="CW69" i="6"/>
  <c r="GR66" i="1"/>
  <c r="GO68" i="1"/>
  <c r="GR65" i="1"/>
  <c r="CZ167" i="6"/>
  <c r="CW168" i="6"/>
  <c r="AC69" i="6"/>
  <c r="AF68" i="6"/>
  <c r="AC72" i="1"/>
  <c r="AF71" i="1"/>
  <c r="H66" i="6"/>
  <c r="H65" i="6"/>
  <c r="E68" i="6"/>
  <c r="Q10" i="11"/>
  <c r="GF65" i="6"/>
  <c r="GC68" i="6"/>
  <c r="GF66" i="6"/>
  <c r="FQ68" i="6"/>
  <c r="FT66" i="6"/>
  <c r="FT65" i="6"/>
  <c r="DU68" i="6"/>
  <c r="DX65" i="6"/>
  <c r="DX66" i="6"/>
  <c r="HY65" i="1"/>
  <c r="HZ65" i="1"/>
  <c r="IH76" i="1"/>
  <c r="IH74" i="1" s="1"/>
  <c r="DL167" i="6"/>
  <c r="DI168" i="6"/>
  <c r="BP68" i="1"/>
  <c r="BM69" i="1"/>
  <c r="BM68" i="6"/>
  <c r="W10" i="11"/>
  <c r="BP65" i="6"/>
  <c r="BP66" i="6"/>
  <c r="DU168" i="6"/>
  <c r="DX167" i="6"/>
  <c r="GF66" i="1"/>
  <c r="GF65" i="1"/>
  <c r="GC68" i="1"/>
  <c r="HD165" i="6"/>
  <c r="HD164" i="6"/>
  <c r="HA167" i="6"/>
  <c r="T66" i="6"/>
  <c r="S10" i="11"/>
  <c r="Q68" i="6"/>
  <c r="T65" i="6"/>
  <c r="BY68" i="1"/>
  <c r="HY68" i="1" s="1"/>
  <c r="CB65" i="1"/>
  <c r="CB66" i="1"/>
  <c r="HM65" i="1"/>
  <c r="C65" i="10" s="1"/>
  <c r="FH69" i="6"/>
  <c r="FE70" i="6"/>
  <c r="DL66" i="6"/>
  <c r="DL65" i="6"/>
  <c r="DI68" i="6"/>
  <c r="EJ68" i="6"/>
  <c r="EG69" i="6"/>
  <c r="GF168" i="6"/>
  <c r="GC169" i="6"/>
  <c r="BN186" i="6"/>
  <c r="HN185" i="6"/>
  <c r="AR73" i="6"/>
  <c r="AO74" i="6"/>
  <c r="ES168" i="6"/>
  <c r="EV167" i="6"/>
  <c r="EJ164" i="6"/>
  <c r="EG167" i="6"/>
  <c r="EJ165" i="6"/>
  <c r="HA69" i="6"/>
  <c r="HD68" i="6"/>
  <c r="BY167" i="6"/>
  <c r="CB165" i="6"/>
  <c r="CB164" i="6"/>
  <c r="EJ66" i="1"/>
  <c r="EG68" i="1"/>
  <c r="HZ68" i="1" s="1"/>
  <c r="EJ65" i="1"/>
  <c r="ES69" i="1"/>
  <c r="EV68" i="1"/>
  <c r="HX65" i="1"/>
  <c r="AO68" i="1"/>
  <c r="AR66" i="1"/>
  <c r="J10" i="11"/>
  <c r="IF76" i="1"/>
  <c r="IF74" i="1" s="1"/>
  <c r="AR65" i="1"/>
  <c r="H65" i="10"/>
  <c r="H10" i="11"/>
  <c r="Q181" i="6"/>
  <c r="T180" i="6"/>
  <c r="CN66" i="6"/>
  <c r="CK68" i="6"/>
  <c r="CN65" i="6"/>
  <c r="HM65" i="6"/>
  <c r="F69" i="6"/>
  <c r="HN68" i="6"/>
  <c r="E69" i="1"/>
  <c r="H68" i="1"/>
  <c r="Q69" i="1"/>
  <c r="T68" i="1"/>
  <c r="HD66" i="1"/>
  <c r="HD65" i="1"/>
  <c r="HA68" i="1"/>
  <c r="IA65" i="1"/>
  <c r="IA66" i="1"/>
  <c r="II76" i="1"/>
  <c r="II74" i="1" s="1"/>
  <c r="BD78" i="6"/>
  <c r="BA79" i="6"/>
  <c r="F68" i="10"/>
  <c r="CN68" i="1"/>
  <c r="CK69" i="1"/>
  <c r="F65" i="10"/>
  <c r="AR180" i="6"/>
  <c r="AO181" i="6"/>
  <c r="BY71" i="6"/>
  <c r="CB70" i="6"/>
  <c r="FT69" i="1"/>
  <c r="FQ70" i="1"/>
  <c r="BP179" i="6"/>
  <c r="BM180" i="6"/>
  <c r="BA181" i="6"/>
  <c r="BD180" i="6"/>
  <c r="GO72" i="6"/>
  <c r="GR71" i="6"/>
  <c r="DX68" i="1"/>
  <c r="DU69" i="1"/>
  <c r="D68" i="10"/>
  <c r="DI69" i="1"/>
  <c r="DL68" i="1"/>
  <c r="FH68" i="1"/>
  <c r="FE69" i="1"/>
  <c r="BA70" i="1"/>
  <c r="BD69" i="1"/>
  <c r="GO167" i="6"/>
  <c r="GR165" i="6"/>
  <c r="GR164" i="6"/>
  <c r="AC182" i="6"/>
  <c r="AF181" i="6"/>
  <c r="FH167" i="6"/>
  <c r="FE168" i="6"/>
  <c r="HN69" i="1"/>
  <c r="F70" i="1"/>
  <c r="CN165" i="6"/>
  <c r="CN164" i="6"/>
  <c r="CK167" i="6"/>
  <c r="HM164" i="6"/>
  <c r="CW69" i="1"/>
  <c r="CZ68" i="1"/>
  <c r="FT164" i="6"/>
  <c r="FQ167" i="6"/>
  <c r="FT165" i="6"/>
  <c r="H180" i="6"/>
  <c r="E181" i="6"/>
  <c r="DJ259" i="1"/>
  <c r="F258" i="6"/>
  <c r="HP66" i="1" l="1"/>
  <c r="EV71" i="6"/>
  <c r="ES72" i="6"/>
  <c r="HP65" i="1"/>
  <c r="CW70" i="6"/>
  <c r="CZ69" i="6"/>
  <c r="GO69" i="1"/>
  <c r="D69" i="10" s="1"/>
  <c r="GR68" i="1"/>
  <c r="FT68" i="6"/>
  <c r="FQ69" i="6"/>
  <c r="AC73" i="1"/>
  <c r="AF72" i="1"/>
  <c r="GC69" i="6"/>
  <c r="GF68" i="6"/>
  <c r="AF69" i="6"/>
  <c r="AC70" i="6"/>
  <c r="CW169" i="6"/>
  <c r="CZ168" i="6"/>
  <c r="H68" i="6"/>
  <c r="E69" i="6"/>
  <c r="DU69" i="6"/>
  <c r="DX68" i="6"/>
  <c r="T68" i="6"/>
  <c r="Q69" i="6"/>
  <c r="FE71" i="6"/>
  <c r="FH70" i="6"/>
  <c r="DI169" i="6"/>
  <c r="DL168" i="6"/>
  <c r="BP69" i="1"/>
  <c r="BM70" i="1"/>
  <c r="DX168" i="6"/>
  <c r="DU169" i="6"/>
  <c r="HD167" i="6"/>
  <c r="HA168" i="6"/>
  <c r="CB68" i="1"/>
  <c r="BY69" i="1"/>
  <c r="GF68" i="1"/>
  <c r="GC69" i="1"/>
  <c r="BM69" i="6"/>
  <c r="BP68" i="6"/>
  <c r="CN69" i="1"/>
  <c r="CK70" i="1"/>
  <c r="HA69" i="1"/>
  <c r="J69" i="10" s="1"/>
  <c r="HD68" i="1"/>
  <c r="IA68" i="1"/>
  <c r="J68" i="10"/>
  <c r="F70" i="6"/>
  <c r="HN69" i="6"/>
  <c r="EV69" i="1"/>
  <c r="ES70" i="1"/>
  <c r="BY168" i="6"/>
  <c r="CB167" i="6"/>
  <c r="AO77" i="6"/>
  <c r="AR75" i="6"/>
  <c r="AR74" i="6"/>
  <c r="U11" i="11"/>
  <c r="DI69" i="6"/>
  <c r="DL68" i="6"/>
  <c r="EV168" i="6"/>
  <c r="ES169" i="6"/>
  <c r="FQ71" i="1"/>
  <c r="FT70" i="1"/>
  <c r="HK76" i="6"/>
  <c r="HP65" i="6"/>
  <c r="HP66" i="6"/>
  <c r="EJ68" i="1"/>
  <c r="EG69" i="1"/>
  <c r="HZ69" i="1" s="1"/>
  <c r="BA80" i="6"/>
  <c r="BD79" i="6"/>
  <c r="CK69" i="6"/>
  <c r="CN68" i="6"/>
  <c r="HM68" i="6"/>
  <c r="HP68" i="6" s="1"/>
  <c r="BN187" i="6"/>
  <c r="HN186" i="6"/>
  <c r="HM68" i="1"/>
  <c r="HP68" i="1" s="1"/>
  <c r="CB71" i="6"/>
  <c r="BY72" i="6"/>
  <c r="T69" i="1"/>
  <c r="Q70" i="1"/>
  <c r="EJ167" i="6"/>
  <c r="EG168" i="6"/>
  <c r="GC170" i="6"/>
  <c r="GF169" i="6"/>
  <c r="HA70" i="6"/>
  <c r="HD69" i="6"/>
  <c r="AR181" i="6"/>
  <c r="AO182" i="6"/>
  <c r="HX68" i="1"/>
  <c r="H68" i="10"/>
  <c r="AR68" i="1"/>
  <c r="AO69" i="1"/>
  <c r="H69" i="10" s="1"/>
  <c r="H69" i="1"/>
  <c r="E70" i="1"/>
  <c r="Q182" i="6"/>
  <c r="T181" i="6"/>
  <c r="EJ69" i="6"/>
  <c r="EG70" i="6"/>
  <c r="CN167" i="6"/>
  <c r="CK168" i="6"/>
  <c r="HM167" i="6"/>
  <c r="HP167" i="6" s="1"/>
  <c r="GO168" i="6"/>
  <c r="GR167" i="6"/>
  <c r="GR72" i="6"/>
  <c r="GO73" i="6"/>
  <c r="FH69" i="1"/>
  <c r="FE70" i="1"/>
  <c r="FQ168" i="6"/>
  <c r="FT167" i="6"/>
  <c r="DL69" i="1"/>
  <c r="DI70" i="1"/>
  <c r="DU70" i="1"/>
  <c r="DX69" i="1"/>
  <c r="CZ69" i="1"/>
  <c r="CW70" i="1"/>
  <c r="HP165" i="6"/>
  <c r="HK175" i="6"/>
  <c r="HP164" i="6"/>
  <c r="BD70" i="1"/>
  <c r="BA71" i="1"/>
  <c r="BD181" i="6"/>
  <c r="BA182" i="6"/>
  <c r="HY69" i="1"/>
  <c r="H181" i="6"/>
  <c r="E182" i="6"/>
  <c r="HN70" i="1"/>
  <c r="F71" i="1"/>
  <c r="AC185" i="6"/>
  <c r="AF182" i="6"/>
  <c r="AF183" i="6"/>
  <c r="BM181" i="6"/>
  <c r="BP180" i="6"/>
  <c r="FE169" i="6"/>
  <c r="FH168" i="6"/>
  <c r="C68" i="10"/>
  <c r="DJ260" i="1"/>
  <c r="F259" i="6"/>
  <c r="ES73" i="6" l="1"/>
  <c r="EV72" i="6"/>
  <c r="F69" i="10"/>
  <c r="CW71" i="6"/>
  <c r="CZ70" i="6"/>
  <c r="HK76" i="1"/>
  <c r="GR69" i="1"/>
  <c r="GO70" i="1"/>
  <c r="D70" i="10" s="1"/>
  <c r="AF70" i="6"/>
  <c r="AC71" i="6"/>
  <c r="H69" i="6"/>
  <c r="E70" i="6"/>
  <c r="AF73" i="1"/>
  <c r="AC74" i="1"/>
  <c r="FQ70" i="6"/>
  <c r="FT69" i="6"/>
  <c r="GF69" i="6"/>
  <c r="GC70" i="6"/>
  <c r="CW170" i="6"/>
  <c r="CZ169" i="6"/>
  <c r="DU70" i="6"/>
  <c r="DX69" i="6"/>
  <c r="BY70" i="1"/>
  <c r="HY70" i="1" s="1"/>
  <c r="CB69" i="1"/>
  <c r="GF69" i="1"/>
  <c r="GC70" i="1"/>
  <c r="DL169" i="6"/>
  <c r="DI170" i="6"/>
  <c r="HM69" i="1"/>
  <c r="C69" i="10" s="1"/>
  <c r="HA169" i="6"/>
  <c r="HD168" i="6"/>
  <c r="FH71" i="6"/>
  <c r="FE72" i="6"/>
  <c r="DX169" i="6"/>
  <c r="DU170" i="6"/>
  <c r="T69" i="6"/>
  <c r="Q70" i="6"/>
  <c r="BP70" i="1"/>
  <c r="BM71" i="1"/>
  <c r="BP69" i="6"/>
  <c r="BM70" i="6"/>
  <c r="Q71" i="1"/>
  <c r="T70" i="1"/>
  <c r="HA71" i="6"/>
  <c r="HD70" i="6"/>
  <c r="F71" i="6"/>
  <c r="HN70" i="6"/>
  <c r="AR69" i="1"/>
  <c r="HX69" i="1"/>
  <c r="AO70" i="1"/>
  <c r="CN69" i="6"/>
  <c r="CK70" i="6"/>
  <c r="HM69" i="6"/>
  <c r="HP69" i="6" s="1"/>
  <c r="EJ70" i="6"/>
  <c r="EG71" i="6"/>
  <c r="EG169" i="6"/>
  <c r="EJ168" i="6"/>
  <c r="BD80" i="6"/>
  <c r="BA81" i="6"/>
  <c r="EV169" i="6"/>
  <c r="ES170" i="6"/>
  <c r="E71" i="1"/>
  <c r="H70" i="1"/>
  <c r="EG70" i="1"/>
  <c r="EJ69" i="1"/>
  <c r="CB168" i="6"/>
  <c r="BY169" i="6"/>
  <c r="HA70" i="1"/>
  <c r="HD69" i="1"/>
  <c r="IA69" i="1"/>
  <c r="BY73" i="6"/>
  <c r="CB72" i="6"/>
  <c r="FQ72" i="1"/>
  <c r="FT71" i="1"/>
  <c r="AR183" i="6"/>
  <c r="AO185" i="6"/>
  <c r="AR182" i="6"/>
  <c r="EV70" i="1"/>
  <c r="ES71" i="1"/>
  <c r="CN70" i="1"/>
  <c r="CK71" i="1"/>
  <c r="GF170" i="6"/>
  <c r="GC171" i="6"/>
  <c r="AR77" i="6"/>
  <c r="AO78" i="6"/>
  <c r="T182" i="6"/>
  <c r="S23" i="11"/>
  <c r="Q185" i="6"/>
  <c r="T183" i="6"/>
  <c r="BN188" i="6"/>
  <c r="HN187" i="6"/>
  <c r="DI70" i="6"/>
  <c r="DL69" i="6"/>
  <c r="HN71" i="1"/>
  <c r="F72" i="1"/>
  <c r="GR168" i="6"/>
  <c r="GO169" i="6"/>
  <c r="DI71" i="1"/>
  <c r="DL70" i="1"/>
  <c r="GR73" i="6"/>
  <c r="GO74" i="6"/>
  <c r="FH169" i="6"/>
  <c r="FE170" i="6"/>
  <c r="BM182" i="6"/>
  <c r="BP181" i="6"/>
  <c r="Q23" i="11"/>
  <c r="H182" i="6"/>
  <c r="E185" i="6"/>
  <c r="H183" i="6"/>
  <c r="FQ169" i="6"/>
  <c r="FT168" i="6"/>
  <c r="CK169" i="6"/>
  <c r="CN168" i="6"/>
  <c r="HM168" i="6"/>
  <c r="HP168" i="6" s="1"/>
  <c r="HP69" i="1"/>
  <c r="BD183" i="6"/>
  <c r="BD182" i="6"/>
  <c r="BA185" i="6"/>
  <c r="U23" i="11"/>
  <c r="CZ70" i="1"/>
  <c r="CW71" i="1"/>
  <c r="BA72" i="1"/>
  <c r="BD71" i="1"/>
  <c r="FH70" i="1"/>
  <c r="FE71" i="1"/>
  <c r="AF185" i="6"/>
  <c r="AC186" i="6"/>
  <c r="HZ70" i="1"/>
  <c r="DU71" i="1"/>
  <c r="DX70" i="1"/>
  <c r="DJ261" i="1"/>
  <c r="F260" i="6"/>
  <c r="EV73" i="6" l="1"/>
  <c r="ES74" i="6"/>
  <c r="HM70" i="1"/>
  <c r="CZ71" i="6"/>
  <c r="CW72" i="6"/>
  <c r="HX70" i="1"/>
  <c r="GR70" i="1"/>
  <c r="GO71" i="1"/>
  <c r="D71" i="10" s="1"/>
  <c r="FQ71" i="6"/>
  <c r="FT70" i="6"/>
  <c r="AC77" i="1"/>
  <c r="AF74" i="1"/>
  <c r="AF75" i="1"/>
  <c r="H70" i="6"/>
  <c r="E71" i="6"/>
  <c r="CZ170" i="6"/>
  <c r="CW171" i="6"/>
  <c r="GF70" i="6"/>
  <c r="GC71" i="6"/>
  <c r="AF71" i="6"/>
  <c r="AC72" i="6"/>
  <c r="DU71" i="6"/>
  <c r="DX70" i="6"/>
  <c r="HA170" i="6"/>
  <c r="HD169" i="6"/>
  <c r="T70" i="6"/>
  <c r="Q71" i="6"/>
  <c r="DI171" i="6"/>
  <c r="DL170" i="6"/>
  <c r="DX170" i="6"/>
  <c r="DU171" i="6"/>
  <c r="GC71" i="1"/>
  <c r="GF70" i="1"/>
  <c r="BM71" i="6"/>
  <c r="BP70" i="6"/>
  <c r="FE73" i="6"/>
  <c r="FH72" i="6"/>
  <c r="BM72" i="1"/>
  <c r="BP71" i="1"/>
  <c r="CB70" i="1"/>
  <c r="BY71" i="1"/>
  <c r="HY71" i="1" s="1"/>
  <c r="BN189" i="6"/>
  <c r="HN188" i="6"/>
  <c r="AO186" i="6"/>
  <c r="AR185" i="6"/>
  <c r="HD70" i="1"/>
  <c r="HA71" i="1"/>
  <c r="J71" i="10" s="1"/>
  <c r="IA70" i="1"/>
  <c r="ES171" i="6"/>
  <c r="EV170" i="6"/>
  <c r="AO79" i="6"/>
  <c r="AR78" i="6"/>
  <c r="E72" i="1"/>
  <c r="H71" i="1"/>
  <c r="GC172" i="6"/>
  <c r="GF171" i="6"/>
  <c r="CB169" i="6"/>
  <c r="BY170" i="6"/>
  <c r="CN70" i="6"/>
  <c r="CK71" i="6"/>
  <c r="HM70" i="6"/>
  <c r="HP70" i="6" s="1"/>
  <c r="F72" i="6"/>
  <c r="HN71" i="6"/>
  <c r="T185" i="6"/>
  <c r="Q186" i="6"/>
  <c r="CN71" i="1"/>
  <c r="CK72" i="1"/>
  <c r="FQ73" i="1"/>
  <c r="FT72" i="1"/>
  <c r="AR70" i="1"/>
  <c r="H70" i="10"/>
  <c r="AO71" i="1"/>
  <c r="HA72" i="6"/>
  <c r="HD71" i="6"/>
  <c r="BD81" i="6"/>
  <c r="BA82" i="6"/>
  <c r="EJ70" i="1"/>
  <c r="EG71" i="1"/>
  <c r="HZ71" i="1" s="1"/>
  <c r="DI71" i="6"/>
  <c r="DL70" i="6"/>
  <c r="EV71" i="1"/>
  <c r="ES72" i="1"/>
  <c r="BY74" i="6"/>
  <c r="CB73" i="6"/>
  <c r="EG170" i="6"/>
  <c r="EJ169" i="6"/>
  <c r="T71" i="1"/>
  <c r="Q72" i="1"/>
  <c r="J70" i="10"/>
  <c r="EG72" i="6"/>
  <c r="EJ71" i="6"/>
  <c r="F70" i="10"/>
  <c r="AC187" i="6"/>
  <c r="AF186" i="6"/>
  <c r="HP70" i="1"/>
  <c r="C70" i="10"/>
  <c r="FH170" i="6"/>
  <c r="FE171" i="6"/>
  <c r="HN72" i="1"/>
  <c r="F73" i="1"/>
  <c r="GO77" i="6"/>
  <c r="GR75" i="6"/>
  <c r="GR74" i="6"/>
  <c r="FE72" i="1"/>
  <c r="FH71" i="1"/>
  <c r="BD185" i="6"/>
  <c r="BA186" i="6"/>
  <c r="CK170" i="6"/>
  <c r="CN169" i="6"/>
  <c r="HM169" i="6"/>
  <c r="HP169" i="6" s="1"/>
  <c r="H185" i="6"/>
  <c r="E186" i="6"/>
  <c r="DL71" i="1"/>
  <c r="DI72" i="1"/>
  <c r="DU72" i="1"/>
  <c r="DX71" i="1"/>
  <c r="CW72" i="1"/>
  <c r="CZ71" i="1"/>
  <c r="BA73" i="1"/>
  <c r="BD72" i="1"/>
  <c r="W23" i="11"/>
  <c r="BP182" i="6"/>
  <c r="BM185" i="6"/>
  <c r="BP183" i="6"/>
  <c r="FQ170" i="6"/>
  <c r="FT169" i="6"/>
  <c r="GR169" i="6"/>
  <c r="GO170" i="6"/>
  <c r="DJ262" i="1"/>
  <c r="F261" i="6"/>
  <c r="EV74" i="6" l="1"/>
  <c r="ES77" i="6"/>
  <c r="EV75" i="6"/>
  <c r="F71" i="10"/>
  <c r="CZ72" i="6"/>
  <c r="CW73" i="6"/>
  <c r="GR71" i="1"/>
  <c r="GO72" i="1"/>
  <c r="HM71" i="1"/>
  <c r="C71" i="10" s="1"/>
  <c r="H71" i="6"/>
  <c r="E72" i="6"/>
  <c r="AC73" i="6"/>
  <c r="AF72" i="6"/>
  <c r="GF71" i="6"/>
  <c r="GC72" i="6"/>
  <c r="AC78" i="1"/>
  <c r="AF77" i="1"/>
  <c r="CW172" i="6"/>
  <c r="CZ171" i="6"/>
  <c r="FT71" i="6"/>
  <c r="FQ72" i="6"/>
  <c r="DX71" i="6"/>
  <c r="DU72" i="6"/>
  <c r="BP72" i="1"/>
  <c r="BM73" i="1"/>
  <c r="FE74" i="6"/>
  <c r="FH73" i="6"/>
  <c r="DI172" i="6"/>
  <c r="DL171" i="6"/>
  <c r="DX171" i="6"/>
  <c r="DU172" i="6"/>
  <c r="Q72" i="6"/>
  <c r="T71" i="6"/>
  <c r="BY72" i="1"/>
  <c r="HY72" i="1" s="1"/>
  <c r="CB71" i="1"/>
  <c r="BP71" i="6"/>
  <c r="BM72" i="6"/>
  <c r="GF71" i="1"/>
  <c r="GC72" i="1"/>
  <c r="HD170" i="6"/>
  <c r="HA171" i="6"/>
  <c r="AO187" i="6"/>
  <c r="AR186" i="6"/>
  <c r="AO72" i="1"/>
  <c r="H71" i="10"/>
  <c r="AR71" i="1"/>
  <c r="AR79" i="6"/>
  <c r="AO80" i="6"/>
  <c r="ES73" i="1"/>
  <c r="EV72" i="1"/>
  <c r="H72" i="1"/>
  <c r="E73" i="1"/>
  <c r="HA73" i="6"/>
  <c r="HD72" i="6"/>
  <c r="EJ71" i="1"/>
  <c r="EG72" i="1"/>
  <c r="HZ72" i="1" s="1"/>
  <c r="F73" i="6"/>
  <c r="HN72" i="6"/>
  <c r="ES172" i="6"/>
  <c r="EV171" i="6"/>
  <c r="DL71" i="6"/>
  <c r="DI72" i="6"/>
  <c r="GF172" i="6"/>
  <c r="GC173" i="6"/>
  <c r="EG171" i="6"/>
  <c r="EJ170" i="6"/>
  <c r="CB170" i="6"/>
  <c r="BY171" i="6"/>
  <c r="T186" i="6"/>
  <c r="Q187" i="6"/>
  <c r="BA83" i="6"/>
  <c r="BD82" i="6"/>
  <c r="FQ74" i="1"/>
  <c r="FT73" i="1"/>
  <c r="CN71" i="6"/>
  <c r="CK72" i="6"/>
  <c r="HM71" i="6"/>
  <c r="HP71" i="6" s="1"/>
  <c r="HX71" i="1"/>
  <c r="HA72" i="1"/>
  <c r="HD71" i="1"/>
  <c r="IA71" i="1"/>
  <c r="BN190" i="6"/>
  <c r="HN189" i="6"/>
  <c r="Q73" i="1"/>
  <c r="T72" i="1"/>
  <c r="EG73" i="6"/>
  <c r="EJ72" i="6"/>
  <c r="CB74" i="6"/>
  <c r="BY77" i="6"/>
  <c r="CB75" i="6"/>
  <c r="CK73" i="1"/>
  <c r="CN72" i="1"/>
  <c r="DI73" i="1"/>
  <c r="DL72" i="1"/>
  <c r="FH171" i="6"/>
  <c r="FE172" i="6"/>
  <c r="BA187" i="6"/>
  <c r="BD186" i="6"/>
  <c r="AF187" i="6"/>
  <c r="AC188" i="6"/>
  <c r="GR170" i="6"/>
  <c r="GO171" i="6"/>
  <c r="FT170" i="6"/>
  <c r="FQ171" i="6"/>
  <c r="E187" i="6"/>
  <c r="H186" i="6"/>
  <c r="FE73" i="1"/>
  <c r="FH72" i="1"/>
  <c r="F74" i="1"/>
  <c r="HN73" i="1"/>
  <c r="BD73" i="1"/>
  <c r="BA74" i="1"/>
  <c r="BP185" i="6"/>
  <c r="BM186" i="6"/>
  <c r="DU73" i="1"/>
  <c r="DX72" i="1"/>
  <c r="D72" i="10"/>
  <c r="CZ72" i="1"/>
  <c r="CW73" i="1"/>
  <c r="GR77" i="6"/>
  <c r="GO78" i="6"/>
  <c r="CN170" i="6"/>
  <c r="CK171" i="6"/>
  <c r="HM170" i="6"/>
  <c r="HP170" i="6" s="1"/>
  <c r="DJ263" i="1"/>
  <c r="F262" i="6"/>
  <c r="ES78" i="6" l="1"/>
  <c r="EV77" i="6"/>
  <c r="CW74" i="6"/>
  <c r="CZ73" i="6"/>
  <c r="GO73" i="1"/>
  <c r="D73" i="10" s="1"/>
  <c r="GR72" i="1"/>
  <c r="HP71" i="1"/>
  <c r="F72" i="10"/>
  <c r="AF78" i="1"/>
  <c r="AC79" i="1"/>
  <c r="GC73" i="6"/>
  <c r="GF72" i="6"/>
  <c r="FT72" i="6"/>
  <c r="FQ73" i="6"/>
  <c r="AC74" i="6"/>
  <c r="AF73" i="6"/>
  <c r="E73" i="6"/>
  <c r="H72" i="6"/>
  <c r="CW173" i="6"/>
  <c r="CZ172" i="6"/>
  <c r="DU73" i="6"/>
  <c r="DX72" i="6"/>
  <c r="GF72" i="1"/>
  <c r="GC73" i="1"/>
  <c r="DU173" i="6"/>
  <c r="DX172" i="6"/>
  <c r="BP72" i="6"/>
  <c r="BM73" i="6"/>
  <c r="DI173" i="6"/>
  <c r="DL172" i="6"/>
  <c r="CB72" i="1"/>
  <c r="BY73" i="1"/>
  <c r="HY73" i="1" s="1"/>
  <c r="FH74" i="6"/>
  <c r="FE77" i="6"/>
  <c r="FH75" i="6"/>
  <c r="HD171" i="6"/>
  <c r="HA172" i="6"/>
  <c r="BM74" i="1"/>
  <c r="BP73" i="1"/>
  <c r="T72" i="6"/>
  <c r="Q73" i="6"/>
  <c r="BN191" i="6"/>
  <c r="HN190" i="6"/>
  <c r="FQ77" i="1"/>
  <c r="FT75" i="1"/>
  <c r="FT74" i="1"/>
  <c r="AO81" i="6"/>
  <c r="AR80" i="6"/>
  <c r="HD73" i="6"/>
  <c r="HA74" i="6"/>
  <c r="Q188" i="6"/>
  <c r="T187" i="6"/>
  <c r="EG172" i="6"/>
  <c r="EJ171" i="6"/>
  <c r="ES173" i="6"/>
  <c r="EV172" i="6"/>
  <c r="HX72" i="1"/>
  <c r="AR72" i="1"/>
  <c r="AO73" i="1"/>
  <c r="BD83" i="6"/>
  <c r="BD84" i="6"/>
  <c r="BA86" i="6"/>
  <c r="GF174" i="6"/>
  <c r="GF173" i="6"/>
  <c r="GC176" i="6"/>
  <c r="CB77" i="6"/>
  <c r="BY78" i="6"/>
  <c r="HD72" i="1"/>
  <c r="HA73" i="1"/>
  <c r="IA72" i="1"/>
  <c r="H73" i="1"/>
  <c r="E74" i="1"/>
  <c r="CN73" i="1"/>
  <c r="CK74" i="1"/>
  <c r="T73" i="1"/>
  <c r="Q74" i="1"/>
  <c r="CN72" i="6"/>
  <c r="CK73" i="6"/>
  <c r="HM72" i="6"/>
  <c r="HP72" i="6" s="1"/>
  <c r="CB171" i="6"/>
  <c r="BY172" i="6"/>
  <c r="F74" i="6"/>
  <c r="HN73" i="6"/>
  <c r="ES74" i="1"/>
  <c r="EV73" i="1"/>
  <c r="AO188" i="6"/>
  <c r="AR187" i="6"/>
  <c r="EJ73" i="6"/>
  <c r="EG74" i="6"/>
  <c r="HM72" i="1"/>
  <c r="C72" i="10" s="1"/>
  <c r="J72" i="10"/>
  <c r="DL72" i="6"/>
  <c r="DI73" i="6"/>
  <c r="EJ72" i="1"/>
  <c r="EG73" i="1"/>
  <c r="HZ73" i="1" s="1"/>
  <c r="H72" i="10"/>
  <c r="CK172" i="6"/>
  <c r="CN171" i="6"/>
  <c r="HM171" i="6"/>
  <c r="HP171" i="6" s="1"/>
  <c r="BM187" i="6"/>
  <c r="BP186" i="6"/>
  <c r="H187" i="6"/>
  <c r="E188" i="6"/>
  <c r="BA77" i="1"/>
  <c r="BD75" i="1"/>
  <c r="BD74" i="1"/>
  <c r="HN74" i="1"/>
  <c r="F77" i="1"/>
  <c r="GO172" i="6"/>
  <c r="GR171" i="6"/>
  <c r="FE173" i="6"/>
  <c r="FH172" i="6"/>
  <c r="CW74" i="1"/>
  <c r="CZ73" i="1"/>
  <c r="FE74" i="1"/>
  <c r="FH73" i="1"/>
  <c r="AF188" i="6"/>
  <c r="AC189" i="6"/>
  <c r="BD187" i="6"/>
  <c r="BA188" i="6"/>
  <c r="FQ172" i="6"/>
  <c r="FT171" i="6"/>
  <c r="DI74" i="1"/>
  <c r="DL73" i="1"/>
  <c r="GO79" i="6"/>
  <c r="GR78" i="6"/>
  <c r="DU74" i="1"/>
  <c r="DX73" i="1"/>
  <c r="DJ266" i="1"/>
  <c r="F263" i="6"/>
  <c r="EV78" i="6" l="1"/>
  <c r="ES79" i="6"/>
  <c r="HP72" i="1"/>
  <c r="CZ75" i="6"/>
  <c r="CZ74" i="6"/>
  <c r="CW77" i="6"/>
  <c r="GO74" i="1"/>
  <c r="F11" i="11" s="1"/>
  <c r="GR73" i="1"/>
  <c r="AF74" i="6"/>
  <c r="AC77" i="6"/>
  <c r="AF75" i="6"/>
  <c r="FQ74" i="6"/>
  <c r="FT73" i="6"/>
  <c r="CZ174" i="6"/>
  <c r="CW176" i="6"/>
  <c r="CZ173" i="6"/>
  <c r="GC74" i="6"/>
  <c r="GF73" i="6"/>
  <c r="AC80" i="1"/>
  <c r="AF79" i="1"/>
  <c r="E74" i="6"/>
  <c r="H73" i="6"/>
  <c r="DU74" i="6"/>
  <c r="DX73" i="6"/>
  <c r="BP75" i="1"/>
  <c r="BM77" i="1"/>
  <c r="BP74" i="1"/>
  <c r="HA173" i="6"/>
  <c r="HD172" i="6"/>
  <c r="DL174" i="6"/>
  <c r="DI176" i="6"/>
  <c r="DL173" i="6"/>
  <c r="BM74" i="6"/>
  <c r="BP73" i="6"/>
  <c r="FE78" i="6"/>
  <c r="FH77" i="6"/>
  <c r="Q74" i="6"/>
  <c r="T73" i="6"/>
  <c r="DU176" i="6"/>
  <c r="DX174" i="6"/>
  <c r="DX173" i="6"/>
  <c r="BY74" i="1"/>
  <c r="IG85" i="1" s="1"/>
  <c r="IG83" i="1" s="1"/>
  <c r="CB73" i="1"/>
  <c r="GF73" i="1"/>
  <c r="GC74" i="1"/>
  <c r="CB78" i="6"/>
  <c r="BY79" i="6"/>
  <c r="AO74" i="1"/>
  <c r="HX75" i="1" s="1"/>
  <c r="AR73" i="1"/>
  <c r="HX73" i="1"/>
  <c r="Q189" i="6"/>
  <c r="T188" i="6"/>
  <c r="AO82" i="6"/>
  <c r="AR81" i="6"/>
  <c r="F77" i="6"/>
  <c r="HN74" i="6"/>
  <c r="HL85" i="6" s="1"/>
  <c r="CN75" i="1"/>
  <c r="CN74" i="1"/>
  <c r="CK77" i="1"/>
  <c r="HA77" i="6"/>
  <c r="HD75" i="6"/>
  <c r="HD74" i="6"/>
  <c r="T74" i="1"/>
  <c r="T75" i="1"/>
  <c r="Q77" i="1"/>
  <c r="BY173" i="6"/>
  <c r="CB172" i="6"/>
  <c r="GF176" i="6"/>
  <c r="GC177" i="6"/>
  <c r="HM73" i="1"/>
  <c r="C73" i="10" s="1"/>
  <c r="H74" i="1"/>
  <c r="E77" i="1"/>
  <c r="H75" i="1"/>
  <c r="FQ78" i="1"/>
  <c r="FT77" i="1"/>
  <c r="EJ73" i="1"/>
  <c r="EG74" i="1"/>
  <c r="F73" i="10"/>
  <c r="ES176" i="6"/>
  <c r="EV174" i="6"/>
  <c r="EV173" i="6"/>
  <c r="EJ75" i="6"/>
  <c r="EJ74" i="6"/>
  <c r="EG77" i="6"/>
  <c r="AR188" i="6"/>
  <c r="AO189" i="6"/>
  <c r="CN73" i="6"/>
  <c r="CK74" i="6"/>
  <c r="HM73" i="6"/>
  <c r="HP73" i="6" s="1"/>
  <c r="BA87" i="6"/>
  <c r="BD86" i="6"/>
  <c r="BN194" i="6"/>
  <c r="HN191" i="6"/>
  <c r="HL202" i="6" s="1"/>
  <c r="EV75" i="1"/>
  <c r="ES77" i="1"/>
  <c r="EV74" i="1"/>
  <c r="H73" i="10"/>
  <c r="DL73" i="6"/>
  <c r="DI74" i="6"/>
  <c r="HA74" i="1"/>
  <c r="HD73" i="1"/>
  <c r="IA73" i="1"/>
  <c r="EJ172" i="6"/>
  <c r="EG173" i="6"/>
  <c r="J73" i="10"/>
  <c r="DX74" i="1"/>
  <c r="DX75" i="1"/>
  <c r="DU77" i="1"/>
  <c r="DI77" i="1"/>
  <c r="DL75" i="1"/>
  <c r="DL74" i="1"/>
  <c r="FH75" i="1"/>
  <c r="FE77" i="1"/>
  <c r="FH74" i="1"/>
  <c r="GR172" i="6"/>
  <c r="GO173" i="6"/>
  <c r="FQ173" i="6"/>
  <c r="FT172" i="6"/>
  <c r="CZ74" i="1"/>
  <c r="CZ75" i="1"/>
  <c r="CW77" i="1"/>
  <c r="BA189" i="6"/>
  <c r="BD188" i="6"/>
  <c r="AF189" i="6"/>
  <c r="AC190" i="6"/>
  <c r="CK173" i="6"/>
  <c r="CN172" i="6"/>
  <c r="HM172" i="6"/>
  <c r="HP172" i="6" s="1"/>
  <c r="GO80" i="6"/>
  <c r="GR79" i="6"/>
  <c r="FH174" i="6"/>
  <c r="FH173" i="6"/>
  <c r="FE176" i="6"/>
  <c r="L11" i="11"/>
  <c r="F78" i="1"/>
  <c r="HN77" i="1"/>
  <c r="HL85" i="1" s="1"/>
  <c r="BA78" i="1"/>
  <c r="BD77" i="1"/>
  <c r="H188" i="6"/>
  <c r="E189" i="6"/>
  <c r="BM188" i="6"/>
  <c r="BP187" i="6"/>
  <c r="DJ267" i="1"/>
  <c r="F266" i="6"/>
  <c r="D74" i="10" l="1"/>
  <c r="ES80" i="6"/>
  <c r="EV79" i="6"/>
  <c r="CW78" i="6"/>
  <c r="CZ77" i="6"/>
  <c r="H11" i="11"/>
  <c r="GR74" i="1"/>
  <c r="GR75" i="1"/>
  <c r="GO77" i="1"/>
  <c r="CW177" i="6"/>
  <c r="CZ176" i="6"/>
  <c r="H75" i="6"/>
  <c r="H74" i="6"/>
  <c r="E77" i="6"/>
  <c r="Q11" i="11"/>
  <c r="FQ77" i="6"/>
  <c r="FT75" i="6"/>
  <c r="FT74" i="6"/>
  <c r="AC81" i="1"/>
  <c r="AF80" i="1"/>
  <c r="AF77" i="6"/>
  <c r="AC78" i="6"/>
  <c r="GC77" i="6"/>
  <c r="GF74" i="6"/>
  <c r="GF75" i="6"/>
  <c r="DX75" i="6"/>
  <c r="DX74" i="6"/>
  <c r="DU77" i="6"/>
  <c r="DX176" i="6"/>
  <c r="DU177" i="6"/>
  <c r="DI177" i="6"/>
  <c r="DL176" i="6"/>
  <c r="J11" i="11"/>
  <c r="HX74" i="1"/>
  <c r="GC77" i="1"/>
  <c r="GF74" i="1"/>
  <c r="GF75" i="1"/>
  <c r="T74" i="6"/>
  <c r="T75" i="6"/>
  <c r="S11" i="11"/>
  <c r="Q77" i="6"/>
  <c r="HA176" i="6"/>
  <c r="HD173" i="6"/>
  <c r="HD174" i="6"/>
  <c r="FH78" i="6"/>
  <c r="FE79" i="6"/>
  <c r="CB74" i="1"/>
  <c r="HY75" i="1"/>
  <c r="BY77" i="1"/>
  <c r="CB75" i="1"/>
  <c r="HY74" i="1"/>
  <c r="BP77" i="1"/>
  <c r="BM78" i="1"/>
  <c r="BP74" i="6"/>
  <c r="W11" i="11"/>
  <c r="BP75" i="6"/>
  <c r="BM77" i="6"/>
  <c r="HZ74" i="1"/>
  <c r="HP73" i="1"/>
  <c r="IH85" i="1"/>
  <c r="IH83" i="1" s="1"/>
  <c r="ES78" i="1"/>
  <c r="EV77" i="1"/>
  <c r="BA88" i="6"/>
  <c r="BD87" i="6"/>
  <c r="EJ77" i="6"/>
  <c r="EG78" i="6"/>
  <c r="CN77" i="1"/>
  <c r="CK78" i="1"/>
  <c r="EJ173" i="6"/>
  <c r="EG176" i="6"/>
  <c r="EJ174" i="6"/>
  <c r="FT78" i="1"/>
  <c r="FQ79" i="1"/>
  <c r="H74" i="10"/>
  <c r="AR74" i="1"/>
  <c r="AO77" i="1"/>
  <c r="HX77" i="1" s="1"/>
  <c r="AR75" i="1"/>
  <c r="EJ75" i="1"/>
  <c r="EJ74" i="1"/>
  <c r="EG77" i="1"/>
  <c r="HZ77" i="1" s="1"/>
  <c r="CN74" i="6"/>
  <c r="CN75" i="6"/>
  <c r="CK77" i="6"/>
  <c r="HM74" i="6"/>
  <c r="GC178" i="6"/>
  <c r="GF177" i="6"/>
  <c r="F74" i="10"/>
  <c r="F78" i="6"/>
  <c r="HN77" i="6"/>
  <c r="BY80" i="6"/>
  <c r="CB79" i="6"/>
  <c r="Q190" i="6"/>
  <c r="T189" i="6"/>
  <c r="HD75" i="1"/>
  <c r="HD74" i="1"/>
  <c r="HA77" i="1"/>
  <c r="J77" i="10" s="1"/>
  <c r="II85" i="1"/>
  <c r="II83" i="1" s="1"/>
  <c r="IA74" i="1"/>
  <c r="IA75" i="1"/>
  <c r="HM74" i="1"/>
  <c r="C74" i="10" s="1"/>
  <c r="DL75" i="6"/>
  <c r="DI77" i="6"/>
  <c r="DL74" i="6"/>
  <c r="BN195" i="6"/>
  <c r="HN194" i="6"/>
  <c r="AR189" i="6"/>
  <c r="AO190" i="6"/>
  <c r="ES177" i="6"/>
  <c r="EV176" i="6"/>
  <c r="AO83" i="6"/>
  <c r="AR82" i="6"/>
  <c r="J74" i="10"/>
  <c r="Q78" i="1"/>
  <c r="T77" i="1"/>
  <c r="HZ75" i="1"/>
  <c r="H77" i="1"/>
  <c r="E78" i="1"/>
  <c r="CB174" i="6"/>
  <c r="CB173" i="6"/>
  <c r="BY176" i="6"/>
  <c r="HD77" i="6"/>
  <c r="HA78" i="6"/>
  <c r="IF85" i="1"/>
  <c r="IF83" i="1" s="1"/>
  <c r="BD189" i="6"/>
  <c r="BA190" i="6"/>
  <c r="BM189" i="6"/>
  <c r="BP188" i="6"/>
  <c r="DI78" i="1"/>
  <c r="DL77" i="1"/>
  <c r="GR80" i="6"/>
  <c r="GO81" i="6"/>
  <c r="E190" i="6"/>
  <c r="H189" i="6"/>
  <c r="CW78" i="1"/>
  <c r="CZ77" i="1"/>
  <c r="FE78" i="1"/>
  <c r="FH77" i="1"/>
  <c r="FT174" i="6"/>
  <c r="FT173" i="6"/>
  <c r="FQ176" i="6"/>
  <c r="FH176" i="6"/>
  <c r="FE177" i="6"/>
  <c r="DX77" i="1"/>
  <c r="DU78" i="1"/>
  <c r="D77" i="10"/>
  <c r="AC191" i="6"/>
  <c r="AF190" i="6"/>
  <c r="F79" i="1"/>
  <c r="HN78" i="1"/>
  <c r="CN174" i="6"/>
  <c r="CN173" i="6"/>
  <c r="CK176" i="6"/>
  <c r="HM173" i="6"/>
  <c r="HP75" i="1"/>
  <c r="GO176" i="6"/>
  <c r="GR173" i="6"/>
  <c r="GR174" i="6"/>
  <c r="BD78" i="1"/>
  <c r="BA79" i="1"/>
  <c r="DJ268" i="1"/>
  <c r="F267" i="6"/>
  <c r="EV80" i="6" l="1"/>
  <c r="ES81" i="6"/>
  <c r="HP74" i="1"/>
  <c r="CZ78" i="6"/>
  <c r="CW79" i="6"/>
  <c r="GR77" i="1"/>
  <c r="GO78" i="1"/>
  <c r="D78" i="10" s="1"/>
  <c r="HM77" i="1"/>
  <c r="HP77" i="1" s="1"/>
  <c r="FQ78" i="6"/>
  <c r="FT77" i="6"/>
  <c r="GC78" i="6"/>
  <c r="GF77" i="6"/>
  <c r="AC79" i="6"/>
  <c r="AF78" i="6"/>
  <c r="H77" i="6"/>
  <c r="E78" i="6"/>
  <c r="HY77" i="1"/>
  <c r="AF81" i="1"/>
  <c r="AC82" i="1"/>
  <c r="CW178" i="6"/>
  <c r="CZ177" i="6"/>
  <c r="DU78" i="6"/>
  <c r="DX77" i="6"/>
  <c r="GC78" i="1"/>
  <c r="GF77" i="1"/>
  <c r="HA177" i="6"/>
  <c r="HD176" i="6"/>
  <c r="BP77" i="6"/>
  <c r="BM78" i="6"/>
  <c r="BY78" i="1"/>
  <c r="CB77" i="1"/>
  <c r="Q78" i="6"/>
  <c r="T77" i="6"/>
  <c r="DL177" i="6"/>
  <c r="DI178" i="6"/>
  <c r="FE80" i="6"/>
  <c r="FH79" i="6"/>
  <c r="DX177" i="6"/>
  <c r="DU178" i="6"/>
  <c r="BP78" i="1"/>
  <c r="BM79" i="1"/>
  <c r="FQ80" i="1"/>
  <c r="FT79" i="1"/>
  <c r="EJ78" i="6"/>
  <c r="EG79" i="6"/>
  <c r="AO86" i="6"/>
  <c r="AR84" i="6"/>
  <c r="AR83" i="6"/>
  <c r="U12" i="11"/>
  <c r="DI78" i="6"/>
  <c r="DL77" i="6"/>
  <c r="HD77" i="1"/>
  <c r="HA78" i="1"/>
  <c r="J78" i="10" s="1"/>
  <c r="IA77" i="1"/>
  <c r="F79" i="6"/>
  <c r="HN78" i="6"/>
  <c r="EJ77" i="1"/>
  <c r="EG78" i="1"/>
  <c r="HZ78" i="1" s="1"/>
  <c r="H78" i="1"/>
  <c r="E79" i="1"/>
  <c r="BA89" i="6"/>
  <c r="BD88" i="6"/>
  <c r="BN196" i="6"/>
  <c r="HN195" i="6"/>
  <c r="BY81" i="6"/>
  <c r="CB80" i="6"/>
  <c r="ES178" i="6"/>
  <c r="EV177" i="6"/>
  <c r="EG177" i="6"/>
  <c r="EJ176" i="6"/>
  <c r="HA79" i="6"/>
  <c r="HD78" i="6"/>
  <c r="AR190" i="6"/>
  <c r="AO191" i="6"/>
  <c r="GC179" i="6"/>
  <c r="GF178" i="6"/>
  <c r="ES79" i="1"/>
  <c r="EV78" i="1"/>
  <c r="F77" i="10"/>
  <c r="BY177" i="6"/>
  <c r="CB176" i="6"/>
  <c r="Q79" i="1"/>
  <c r="T78" i="1"/>
  <c r="CK78" i="6"/>
  <c r="CN77" i="6"/>
  <c r="HM77" i="6"/>
  <c r="HP77" i="6" s="1"/>
  <c r="T190" i="6"/>
  <c r="Q191" i="6"/>
  <c r="HK85" i="6"/>
  <c r="HP74" i="6"/>
  <c r="HP75" i="6"/>
  <c r="AO78" i="1"/>
  <c r="HX78" i="1" s="1"/>
  <c r="AR77" i="1"/>
  <c r="H77" i="10"/>
  <c r="CN78" i="1"/>
  <c r="CK79" i="1"/>
  <c r="HK184" i="6"/>
  <c r="HP173" i="6"/>
  <c r="HP174" i="6"/>
  <c r="DX78" i="1"/>
  <c r="DU79" i="1"/>
  <c r="GR176" i="6"/>
  <c r="GO177" i="6"/>
  <c r="CK177" i="6"/>
  <c r="CN176" i="6"/>
  <c r="HM176" i="6"/>
  <c r="HP176" i="6" s="1"/>
  <c r="FH177" i="6"/>
  <c r="FE178" i="6"/>
  <c r="GO82" i="6"/>
  <c r="GR81" i="6"/>
  <c r="BP189" i="6"/>
  <c r="BM190" i="6"/>
  <c r="FQ177" i="6"/>
  <c r="FT176" i="6"/>
  <c r="CZ78" i="1"/>
  <c r="CW79" i="1"/>
  <c r="H190" i="6"/>
  <c r="E191" i="6"/>
  <c r="FE79" i="1"/>
  <c r="FH78" i="1"/>
  <c r="HN79" i="1"/>
  <c r="F80" i="1"/>
  <c r="BA191" i="6"/>
  <c r="BD190" i="6"/>
  <c r="AF192" i="6"/>
  <c r="AC194" i="6"/>
  <c r="AF191" i="6"/>
  <c r="BD79" i="1"/>
  <c r="BA80" i="1"/>
  <c r="DI79" i="1"/>
  <c r="DL78" i="1"/>
  <c r="DJ269" i="1"/>
  <c r="F268" i="6"/>
  <c r="HK85" i="1" l="1"/>
  <c r="ES82" i="6"/>
  <c r="EV81" i="6"/>
  <c r="C77" i="10"/>
  <c r="CZ79" i="6"/>
  <c r="CW80" i="6"/>
  <c r="H78" i="10"/>
  <c r="GR78" i="1"/>
  <c r="GO79" i="1"/>
  <c r="AF79" i="6"/>
  <c r="AC80" i="6"/>
  <c r="CW179" i="6"/>
  <c r="CZ178" i="6"/>
  <c r="E79" i="6"/>
  <c r="H78" i="6"/>
  <c r="AC83" i="1"/>
  <c r="AF82" i="1"/>
  <c r="GC79" i="6"/>
  <c r="GF78" i="6"/>
  <c r="FQ79" i="6"/>
  <c r="FT78" i="6"/>
  <c r="DU79" i="6"/>
  <c r="DX78" i="6"/>
  <c r="CB78" i="1"/>
  <c r="BY79" i="1"/>
  <c r="HY79" i="1" s="1"/>
  <c r="FH80" i="6"/>
  <c r="FE81" i="6"/>
  <c r="BP78" i="6"/>
  <c r="BM79" i="6"/>
  <c r="DI179" i="6"/>
  <c r="DL178" i="6"/>
  <c r="BM80" i="1"/>
  <c r="BP79" i="1"/>
  <c r="HY78" i="1"/>
  <c r="HD177" i="6"/>
  <c r="HA178" i="6"/>
  <c r="DU179" i="6"/>
  <c r="DX178" i="6"/>
  <c r="Q79" i="6"/>
  <c r="T78" i="6"/>
  <c r="GC79" i="1"/>
  <c r="GF78" i="1"/>
  <c r="ES179" i="6"/>
  <c r="EV178" i="6"/>
  <c r="T79" i="1"/>
  <c r="Q80" i="1"/>
  <c r="F80" i="6"/>
  <c r="HN79" i="6"/>
  <c r="EG80" i="6"/>
  <c r="EJ79" i="6"/>
  <c r="BY82" i="6"/>
  <c r="CB81" i="6"/>
  <c r="CN79" i="1"/>
  <c r="CK80" i="1"/>
  <c r="E80" i="1"/>
  <c r="H79" i="1"/>
  <c r="CB177" i="6"/>
  <c r="BY178" i="6"/>
  <c r="HD78" i="1"/>
  <c r="HA79" i="1"/>
  <c r="IA78" i="1"/>
  <c r="S24" i="11"/>
  <c r="T192" i="6"/>
  <c r="Q194" i="6"/>
  <c r="T191" i="6"/>
  <c r="AR86" i="6"/>
  <c r="AO87" i="6"/>
  <c r="AR191" i="6"/>
  <c r="AR192" i="6"/>
  <c r="AO194" i="6"/>
  <c r="AR78" i="1"/>
  <c r="AO79" i="1"/>
  <c r="HX79" i="1" s="1"/>
  <c r="CK79" i="6"/>
  <c r="CN78" i="6"/>
  <c r="HM78" i="6"/>
  <c r="HP78" i="6" s="1"/>
  <c r="EV79" i="1"/>
  <c r="ES80" i="1"/>
  <c r="HA80" i="6"/>
  <c r="HD79" i="6"/>
  <c r="BN197" i="6"/>
  <c r="HN196" i="6"/>
  <c r="EG79" i="1"/>
  <c r="HZ79" i="1" s="1"/>
  <c r="EJ78" i="1"/>
  <c r="DL78" i="6"/>
  <c r="DI79" i="6"/>
  <c r="FT80" i="1"/>
  <c r="FQ81" i="1"/>
  <c r="HM78" i="1"/>
  <c r="C78" i="10" s="1"/>
  <c r="F78" i="10"/>
  <c r="GC180" i="6"/>
  <c r="GF179" i="6"/>
  <c r="EG178" i="6"/>
  <c r="EJ177" i="6"/>
  <c r="BD89" i="6"/>
  <c r="BA90" i="6"/>
  <c r="BD80" i="1"/>
  <c r="BA81" i="1"/>
  <c r="AF194" i="6"/>
  <c r="AC195" i="6"/>
  <c r="FE80" i="1"/>
  <c r="FH79" i="1"/>
  <c r="BD191" i="6"/>
  <c r="BA194" i="6"/>
  <c r="BD192" i="6"/>
  <c r="U24" i="11"/>
  <c r="H191" i="6"/>
  <c r="H192" i="6"/>
  <c r="Q24" i="11"/>
  <c r="E194" i="6"/>
  <c r="F81" i="1"/>
  <c r="HN80" i="1"/>
  <c r="CK178" i="6"/>
  <c r="CN177" i="6"/>
  <c r="HM177" i="6"/>
  <c r="HP177" i="6" s="1"/>
  <c r="GO83" i="6"/>
  <c r="GR82" i="6"/>
  <c r="DU80" i="1"/>
  <c r="DX79" i="1"/>
  <c r="D79" i="10"/>
  <c r="DI80" i="1"/>
  <c r="DL79" i="1"/>
  <c r="CW80" i="1"/>
  <c r="CZ79" i="1"/>
  <c r="FE179" i="6"/>
  <c r="FH178" i="6"/>
  <c r="FQ178" i="6"/>
  <c r="FT177" i="6"/>
  <c r="BP190" i="6"/>
  <c r="BM191" i="6"/>
  <c r="GO178" i="6"/>
  <c r="GR177" i="6"/>
  <c r="DJ270" i="1"/>
  <c r="F269" i="6"/>
  <c r="ES83" i="6" l="1"/>
  <c r="EV82" i="6"/>
  <c r="CW81" i="6"/>
  <c r="CZ80" i="6"/>
  <c r="GR79" i="1"/>
  <c r="GO80" i="1"/>
  <c r="AF83" i="1"/>
  <c r="AC86" i="1"/>
  <c r="AF84" i="1"/>
  <c r="E80" i="6"/>
  <c r="H79" i="6"/>
  <c r="FQ80" i="6"/>
  <c r="FT79" i="6"/>
  <c r="CZ179" i="6"/>
  <c r="CW180" i="6"/>
  <c r="AC81" i="6"/>
  <c r="AF80" i="6"/>
  <c r="GC80" i="6"/>
  <c r="GF79" i="6"/>
  <c r="HP78" i="1"/>
  <c r="DX79" i="6"/>
  <c r="DU80" i="6"/>
  <c r="Q80" i="6"/>
  <c r="T79" i="6"/>
  <c r="DL179" i="6"/>
  <c r="DI180" i="6"/>
  <c r="DU180" i="6"/>
  <c r="DX179" i="6"/>
  <c r="BM80" i="6"/>
  <c r="BP79" i="6"/>
  <c r="HA179" i="6"/>
  <c r="HD178" i="6"/>
  <c r="FH81" i="6"/>
  <c r="FE82" i="6"/>
  <c r="GF79" i="1"/>
  <c r="GC80" i="1"/>
  <c r="BY80" i="1"/>
  <c r="CB79" i="1"/>
  <c r="BP80" i="1"/>
  <c r="BM81" i="1"/>
  <c r="CK81" i="1"/>
  <c r="CN80" i="1"/>
  <c r="GF180" i="6"/>
  <c r="GC181" i="6"/>
  <c r="AO88" i="6"/>
  <c r="AR87" i="6"/>
  <c r="EJ79" i="1"/>
  <c r="EG80" i="1"/>
  <c r="HZ80" i="1" s="1"/>
  <c r="F79" i="10"/>
  <c r="HD79" i="1"/>
  <c r="HA80" i="1"/>
  <c r="J80" i="10" s="1"/>
  <c r="IA79" i="1"/>
  <c r="T80" i="1"/>
  <c r="Q81" i="1"/>
  <c r="CK80" i="6"/>
  <c r="CN79" i="6"/>
  <c r="HM79" i="6"/>
  <c r="HP79" i="6" s="1"/>
  <c r="CB82" i="6"/>
  <c r="BY83" i="6"/>
  <c r="BA91" i="6"/>
  <c r="BD90" i="6"/>
  <c r="BN198" i="6"/>
  <c r="HN197" i="6"/>
  <c r="AO80" i="1"/>
  <c r="H79" i="10"/>
  <c r="AR79" i="1"/>
  <c r="Q195" i="6"/>
  <c r="T194" i="6"/>
  <c r="CB178" i="6"/>
  <c r="BY179" i="6"/>
  <c r="FQ82" i="1"/>
  <c r="FT81" i="1"/>
  <c r="EJ80" i="6"/>
  <c r="EG81" i="6"/>
  <c r="ES180" i="6"/>
  <c r="EV179" i="6"/>
  <c r="HD80" i="6"/>
  <c r="HA81" i="6"/>
  <c r="AR194" i="6"/>
  <c r="AO195" i="6"/>
  <c r="J79" i="10"/>
  <c r="EJ178" i="6"/>
  <c r="EG179" i="6"/>
  <c r="DL79" i="6"/>
  <c r="DI80" i="6"/>
  <c r="EV80" i="1"/>
  <c r="ES81" i="1"/>
  <c r="H80" i="1"/>
  <c r="E81" i="1"/>
  <c r="F81" i="6"/>
  <c r="HN80" i="6"/>
  <c r="HM79" i="1"/>
  <c r="CN178" i="6"/>
  <c r="CK179" i="6"/>
  <c r="HM178" i="6"/>
  <c r="HP178" i="6" s="1"/>
  <c r="BA82" i="1"/>
  <c r="BD81" i="1"/>
  <c r="BM194" i="6"/>
  <c r="W24" i="11"/>
  <c r="BP191" i="6"/>
  <c r="BP192" i="6"/>
  <c r="HN81" i="1"/>
  <c r="F82" i="1"/>
  <c r="BA195" i="6"/>
  <c r="BD194" i="6"/>
  <c r="FH80" i="1"/>
  <c r="FE81" i="1"/>
  <c r="GO179" i="6"/>
  <c r="GR178" i="6"/>
  <c r="DU81" i="1"/>
  <c r="DX80" i="1"/>
  <c r="D80" i="10"/>
  <c r="H194" i="6"/>
  <c r="E195" i="6"/>
  <c r="DL80" i="1"/>
  <c r="DI81" i="1"/>
  <c r="FT178" i="6"/>
  <c r="FQ179" i="6"/>
  <c r="FH179" i="6"/>
  <c r="FE180" i="6"/>
  <c r="CZ80" i="1"/>
  <c r="CW81" i="1"/>
  <c r="GR84" i="6"/>
  <c r="GR83" i="6"/>
  <c r="GO86" i="6"/>
  <c r="AC196" i="6"/>
  <c r="AF195" i="6"/>
  <c r="DJ271" i="1"/>
  <c r="F270" i="6"/>
  <c r="ES86" i="6" l="1"/>
  <c r="EV84" i="6"/>
  <c r="EV83" i="6"/>
  <c r="CZ81" i="6"/>
  <c r="CW82" i="6"/>
  <c r="GO81" i="1"/>
  <c r="GR80" i="1"/>
  <c r="FQ81" i="6"/>
  <c r="FT80" i="6"/>
  <c r="GC81" i="6"/>
  <c r="GF80" i="6"/>
  <c r="H80" i="6"/>
  <c r="E81" i="6"/>
  <c r="AC82" i="6"/>
  <c r="AF81" i="6"/>
  <c r="AC87" i="1"/>
  <c r="AF86" i="1"/>
  <c r="CW181" i="6"/>
  <c r="CZ180" i="6"/>
  <c r="DU81" i="6"/>
  <c r="DX80" i="6"/>
  <c r="CB80" i="1"/>
  <c r="BY81" i="1"/>
  <c r="HY81" i="1" s="1"/>
  <c r="BP80" i="6"/>
  <c r="BM81" i="6"/>
  <c r="GC81" i="1"/>
  <c r="GF80" i="1"/>
  <c r="DU181" i="6"/>
  <c r="DX180" i="6"/>
  <c r="FH82" i="6"/>
  <c r="FE83" i="6"/>
  <c r="DI181" i="6"/>
  <c r="DL180" i="6"/>
  <c r="BP81" i="1"/>
  <c r="BM82" i="1"/>
  <c r="HY80" i="1"/>
  <c r="HA180" i="6"/>
  <c r="HD179" i="6"/>
  <c r="Q81" i="6"/>
  <c r="T80" i="6"/>
  <c r="CK81" i="6"/>
  <c r="CN80" i="6"/>
  <c r="HM80" i="6"/>
  <c r="HP80" i="6" s="1"/>
  <c r="H81" i="1"/>
  <c r="E82" i="1"/>
  <c r="EJ179" i="6"/>
  <c r="EG180" i="6"/>
  <c r="AR80" i="1"/>
  <c r="AO81" i="1"/>
  <c r="HX80" i="1"/>
  <c r="HM80" i="1"/>
  <c r="H80" i="10"/>
  <c r="EG81" i="1"/>
  <c r="HZ81" i="1" s="1"/>
  <c r="EJ80" i="1"/>
  <c r="F80" i="10"/>
  <c r="HN198" i="6"/>
  <c r="Q82" i="1"/>
  <c r="T81" i="1"/>
  <c r="EG82" i="6"/>
  <c r="EJ81" i="6"/>
  <c r="AR88" i="6"/>
  <c r="AO89" i="6"/>
  <c r="ES82" i="1"/>
  <c r="EV81" i="1"/>
  <c r="BD91" i="6"/>
  <c r="BA92" i="6"/>
  <c r="GF181" i="6"/>
  <c r="GC182" i="6"/>
  <c r="CB179" i="6"/>
  <c r="BY180" i="6"/>
  <c r="C79" i="10"/>
  <c r="HP79" i="1"/>
  <c r="AO196" i="6"/>
  <c r="AR195" i="6"/>
  <c r="Q196" i="6"/>
  <c r="T195" i="6"/>
  <c r="CB83" i="6"/>
  <c r="CB84" i="6"/>
  <c r="BY86" i="6"/>
  <c r="HA81" i="1"/>
  <c r="HD80" i="1"/>
  <c r="IA80" i="1"/>
  <c r="DI81" i="6"/>
  <c r="DL80" i="6"/>
  <c r="FT82" i="1"/>
  <c r="FQ83" i="1"/>
  <c r="EV180" i="6"/>
  <c r="ES181" i="6"/>
  <c r="H81" i="10"/>
  <c r="HX81" i="1"/>
  <c r="F82" i="6"/>
  <c r="HN81" i="6"/>
  <c r="HD81" i="6"/>
  <c r="HA82" i="6"/>
  <c r="CN81" i="1"/>
  <c r="CK82" i="1"/>
  <c r="AC197" i="6"/>
  <c r="AF196" i="6"/>
  <c r="E196" i="6"/>
  <c r="H195" i="6"/>
  <c r="GO180" i="6"/>
  <c r="GR179" i="6"/>
  <c r="BA196" i="6"/>
  <c r="BD195" i="6"/>
  <c r="BD82" i="1"/>
  <c r="BA83" i="1"/>
  <c r="DU82" i="1"/>
  <c r="DX81" i="1"/>
  <c r="D81" i="10"/>
  <c r="FE82" i="1"/>
  <c r="FH81" i="1"/>
  <c r="BP194" i="6"/>
  <c r="BM195" i="6"/>
  <c r="DL81" i="1"/>
  <c r="DI82" i="1"/>
  <c r="CN179" i="6"/>
  <c r="CK180" i="6"/>
  <c r="HM179" i="6"/>
  <c r="HP179" i="6" s="1"/>
  <c r="FE181" i="6"/>
  <c r="FH180" i="6"/>
  <c r="F83" i="1"/>
  <c r="HN82" i="1"/>
  <c r="FQ180" i="6"/>
  <c r="FT179" i="6"/>
  <c r="GO87" i="6"/>
  <c r="GR86" i="6"/>
  <c r="CW82" i="1"/>
  <c r="CZ81" i="1"/>
  <c r="DJ272" i="1"/>
  <c r="F271" i="6"/>
  <c r="ES87" i="6" l="1"/>
  <c r="EV86" i="6"/>
  <c r="CW83" i="6"/>
  <c r="CZ82" i="6"/>
  <c r="GO82" i="1"/>
  <c r="D82" i="10" s="1"/>
  <c r="GR81" i="1"/>
  <c r="AC83" i="6"/>
  <c r="AF82" i="6"/>
  <c r="H81" i="6"/>
  <c r="E82" i="6"/>
  <c r="CW182" i="6"/>
  <c r="CZ181" i="6"/>
  <c r="GC82" i="6"/>
  <c r="GF81" i="6"/>
  <c r="AC88" i="1"/>
  <c r="AF87" i="1"/>
  <c r="FT81" i="6"/>
  <c r="FQ82" i="6"/>
  <c r="HM81" i="1"/>
  <c r="HP81" i="1" s="1"/>
  <c r="DU82" i="6"/>
  <c r="DX81" i="6"/>
  <c r="DX181" i="6"/>
  <c r="DU182" i="6"/>
  <c r="BM83" i="1"/>
  <c r="BP82" i="1"/>
  <c r="GC82" i="1"/>
  <c r="GF81" i="1"/>
  <c r="HA181" i="6"/>
  <c r="HD180" i="6"/>
  <c r="BP81" i="6"/>
  <c r="BM82" i="6"/>
  <c r="DI182" i="6"/>
  <c r="DL181" i="6"/>
  <c r="T81" i="6"/>
  <c r="Q82" i="6"/>
  <c r="FE86" i="6"/>
  <c r="FH83" i="6"/>
  <c r="FH84" i="6"/>
  <c r="CB81" i="1"/>
  <c r="BY82" i="1"/>
  <c r="HY82" i="1" s="1"/>
  <c r="BA95" i="6"/>
  <c r="BA96" i="6" s="1"/>
  <c r="BA97" i="6" s="1"/>
  <c r="BA98" i="6" s="1"/>
  <c r="BA99" i="6" s="1"/>
  <c r="BA100" i="6" s="1"/>
  <c r="BA101" i="6" s="1"/>
  <c r="BD92" i="6"/>
  <c r="BD93" i="6"/>
  <c r="EJ81" i="1"/>
  <c r="EG82" i="1"/>
  <c r="F81" i="10"/>
  <c r="EG181" i="6"/>
  <c r="EJ180" i="6"/>
  <c r="CK83" i="1"/>
  <c r="CN82" i="1"/>
  <c r="ES182" i="6"/>
  <c r="EV181" i="6"/>
  <c r="HD81" i="1"/>
  <c r="HA82" i="1"/>
  <c r="J82" i="10" s="1"/>
  <c r="IA81" i="1"/>
  <c r="C80" i="10"/>
  <c r="HP80" i="1"/>
  <c r="E83" i="1"/>
  <c r="H82" i="1"/>
  <c r="CB86" i="6"/>
  <c r="BY87" i="6"/>
  <c r="EV82" i="1"/>
  <c r="ES83" i="1"/>
  <c r="BN200" i="6"/>
  <c r="HN199" i="6"/>
  <c r="AO197" i="6"/>
  <c r="AR196" i="6"/>
  <c r="HD82" i="6"/>
  <c r="HA83" i="6"/>
  <c r="FT84" i="1"/>
  <c r="FQ86" i="1"/>
  <c r="FT83" i="1"/>
  <c r="CB180" i="6"/>
  <c r="BY181" i="6"/>
  <c r="AO90" i="6"/>
  <c r="AR89" i="6"/>
  <c r="AO82" i="1"/>
  <c r="HX82" i="1" s="1"/>
  <c r="AR81" i="1"/>
  <c r="Q83" i="1"/>
  <c r="T82" i="1"/>
  <c r="GF182" i="6"/>
  <c r="GC185" i="6"/>
  <c r="GF183" i="6"/>
  <c r="CN81" i="6"/>
  <c r="CK82" i="6"/>
  <c r="HM81" i="6"/>
  <c r="HP81" i="6" s="1"/>
  <c r="F83" i="6"/>
  <c r="HN82" i="6"/>
  <c r="DI82" i="6"/>
  <c r="DL81" i="6"/>
  <c r="Q197" i="6"/>
  <c r="T196" i="6"/>
  <c r="EJ82" i="6"/>
  <c r="EG83" i="6"/>
  <c r="J81" i="10"/>
  <c r="BM196" i="6"/>
  <c r="BP195" i="6"/>
  <c r="AC198" i="6"/>
  <c r="AF197" i="6"/>
  <c r="GR87" i="6"/>
  <c r="GO88" i="6"/>
  <c r="H196" i="6"/>
  <c r="E197" i="6"/>
  <c r="FE83" i="1"/>
  <c r="FH82" i="1"/>
  <c r="BA197" i="6"/>
  <c r="BD196" i="6"/>
  <c r="CK181" i="6"/>
  <c r="CN180" i="6"/>
  <c r="HM180" i="6"/>
  <c r="HP180" i="6" s="1"/>
  <c r="HN83" i="1"/>
  <c r="F86" i="1"/>
  <c r="GR180" i="6"/>
  <c r="GO181" i="6"/>
  <c r="FH181" i="6"/>
  <c r="FE182" i="6"/>
  <c r="DI83" i="1"/>
  <c r="DL82" i="1"/>
  <c r="DU83" i="1"/>
  <c r="HZ82" i="1"/>
  <c r="DX82" i="1"/>
  <c r="CZ82" i="1"/>
  <c r="CW83" i="1"/>
  <c r="FT180" i="6"/>
  <c r="FQ181" i="6"/>
  <c r="BD83" i="1"/>
  <c r="BA86" i="1"/>
  <c r="BD84" i="1"/>
  <c r="DJ275" i="1"/>
  <c r="F272" i="6"/>
  <c r="ES88" i="6" l="1"/>
  <c r="EV87" i="6"/>
  <c r="CZ83" i="6"/>
  <c r="CW86" i="6"/>
  <c r="CZ84" i="6"/>
  <c r="C81" i="10"/>
  <c r="F82" i="10"/>
  <c r="GR82" i="1"/>
  <c r="GO83" i="1"/>
  <c r="D83" i="10" s="1"/>
  <c r="GF82" i="6"/>
  <c r="GC83" i="6"/>
  <c r="CW185" i="6"/>
  <c r="CZ183" i="6"/>
  <c r="CZ182" i="6"/>
  <c r="FT82" i="6"/>
  <c r="FQ83" i="6"/>
  <c r="E83" i="6"/>
  <c r="H82" i="6"/>
  <c r="AC89" i="1"/>
  <c r="AF88" i="1"/>
  <c r="AF83" i="6"/>
  <c r="AF84" i="6"/>
  <c r="AC86" i="6"/>
  <c r="DU83" i="6"/>
  <c r="DX82" i="6"/>
  <c r="FE87" i="6"/>
  <c r="FH86" i="6"/>
  <c r="HA182" i="6"/>
  <c r="HD181" i="6"/>
  <c r="T82" i="6"/>
  <c r="Q83" i="6"/>
  <c r="GC83" i="1"/>
  <c r="GF82" i="1"/>
  <c r="BY83" i="1"/>
  <c r="HY83" i="1" s="1"/>
  <c r="CB82" i="1"/>
  <c r="DL182" i="6"/>
  <c r="DI185" i="6"/>
  <c r="DL183" i="6"/>
  <c r="BP84" i="1"/>
  <c r="BM86" i="1"/>
  <c r="BP83" i="1"/>
  <c r="BP82" i="6"/>
  <c r="BM83" i="6"/>
  <c r="DX183" i="6"/>
  <c r="DX182" i="6"/>
  <c r="DU185" i="6"/>
  <c r="DL82" i="6"/>
  <c r="DI83" i="6"/>
  <c r="FQ87" i="1"/>
  <c r="FT86" i="1"/>
  <c r="EV83" i="1"/>
  <c r="ES86" i="1"/>
  <c r="EV84" i="1"/>
  <c r="EJ181" i="6"/>
  <c r="EG182" i="6"/>
  <c r="F86" i="6"/>
  <c r="HN83" i="6"/>
  <c r="HL94" i="6" s="1"/>
  <c r="GF185" i="6"/>
  <c r="GC186" i="6"/>
  <c r="AO83" i="1"/>
  <c r="H82" i="10"/>
  <c r="AR82" i="1"/>
  <c r="HD84" i="6"/>
  <c r="HD83" i="6"/>
  <c r="HA86" i="6"/>
  <c r="CB87" i="6"/>
  <c r="BY88" i="6"/>
  <c r="EG83" i="1"/>
  <c r="HZ84" i="1" s="1"/>
  <c r="EJ82" i="1"/>
  <c r="EG86" i="6"/>
  <c r="EJ84" i="6"/>
  <c r="EJ83" i="6"/>
  <c r="AR90" i="6"/>
  <c r="AO91" i="6"/>
  <c r="EV182" i="6"/>
  <c r="ES185" i="6"/>
  <c r="EV183" i="6"/>
  <c r="HD82" i="1"/>
  <c r="HA83" i="1"/>
  <c r="L12" i="11" s="1"/>
  <c r="IA82" i="1"/>
  <c r="CK83" i="6"/>
  <c r="CN82" i="6"/>
  <c r="HM82" i="6"/>
  <c r="HP82" i="6" s="1"/>
  <c r="BY182" i="6"/>
  <c r="CB181" i="6"/>
  <c r="AO198" i="6"/>
  <c r="AR197" i="6"/>
  <c r="E86" i="1"/>
  <c r="H83" i="1"/>
  <c r="H84" i="1"/>
  <c r="HM82" i="1"/>
  <c r="C82" i="10" s="1"/>
  <c r="T197" i="6"/>
  <c r="Q198" i="6"/>
  <c r="CK86" i="1"/>
  <c r="CN83" i="1"/>
  <c r="CN84" i="1"/>
  <c r="BA104" i="6"/>
  <c r="BD102" i="6"/>
  <c r="T83" i="1"/>
  <c r="T84" i="1"/>
  <c r="Q86" i="1"/>
  <c r="BN203" i="6"/>
  <c r="HN200" i="6"/>
  <c r="HL211" i="6" s="1"/>
  <c r="FQ182" i="6"/>
  <c r="FT181" i="6"/>
  <c r="GR181" i="6"/>
  <c r="GO182" i="6"/>
  <c r="F87" i="1"/>
  <c r="HN86" i="1"/>
  <c r="HL94" i="1" s="1"/>
  <c r="CW86" i="1"/>
  <c r="CZ84" i="1"/>
  <c r="CZ83" i="1"/>
  <c r="DI86" i="1"/>
  <c r="DL83" i="1"/>
  <c r="DL84" i="1"/>
  <c r="GR88" i="6"/>
  <c r="GO89" i="6"/>
  <c r="BA87" i="1"/>
  <c r="BD86" i="1"/>
  <c r="FH182" i="6"/>
  <c r="FE185" i="6"/>
  <c r="FH183" i="6"/>
  <c r="CK182" i="6"/>
  <c r="CN181" i="6"/>
  <c r="HM181" i="6"/>
  <c r="HP181" i="6" s="1"/>
  <c r="BA198" i="6"/>
  <c r="BD197" i="6"/>
  <c r="E198" i="6"/>
  <c r="H197" i="6"/>
  <c r="BP196" i="6"/>
  <c r="BM197" i="6"/>
  <c r="DU86" i="1"/>
  <c r="DX84" i="1"/>
  <c r="DX83" i="1"/>
  <c r="IH94" i="1"/>
  <c r="IH92" i="1" s="1"/>
  <c r="FE86" i="1"/>
  <c r="FH83" i="1"/>
  <c r="FH84" i="1"/>
  <c r="AF198" i="6"/>
  <c r="AC199" i="6"/>
  <c r="DJ276" i="1"/>
  <c r="F275" i="6"/>
  <c r="EV88" i="6" l="1"/>
  <c r="ES89" i="6"/>
  <c r="F12" i="11"/>
  <c r="HY84" i="1"/>
  <c r="CW87" i="6"/>
  <c r="CZ86" i="6"/>
  <c r="GR84" i="1"/>
  <c r="GO86" i="1"/>
  <c r="D86" i="10" s="1"/>
  <c r="GR83" i="1"/>
  <c r="IG94" i="1"/>
  <c r="IG92" i="1" s="1"/>
  <c r="FT84" i="6"/>
  <c r="FT83" i="6"/>
  <c r="FQ86" i="6"/>
  <c r="AF86" i="6"/>
  <c r="AC87" i="6"/>
  <c r="H83" i="6"/>
  <c r="E86" i="6"/>
  <c r="H84" i="6"/>
  <c r="Q12" i="11"/>
  <c r="HP82" i="1"/>
  <c r="CW186" i="6"/>
  <c r="CZ185" i="6"/>
  <c r="AF89" i="1"/>
  <c r="AC90" i="1"/>
  <c r="GF83" i="6"/>
  <c r="GF84" i="6"/>
  <c r="GC86" i="6"/>
  <c r="DX83" i="6"/>
  <c r="DU86" i="6"/>
  <c r="DX84" i="6"/>
  <c r="BM87" i="1"/>
  <c r="BP86" i="1"/>
  <c r="DX185" i="6"/>
  <c r="DU186" i="6"/>
  <c r="T83" i="6"/>
  <c r="T84" i="6"/>
  <c r="S12" i="11"/>
  <c r="Q86" i="6"/>
  <c r="GF83" i="1"/>
  <c r="GF84" i="1"/>
  <c r="GC86" i="1"/>
  <c r="DL185" i="6"/>
  <c r="DI186" i="6"/>
  <c r="BP83" i="6"/>
  <c r="BP84" i="6"/>
  <c r="BM86" i="6"/>
  <c r="W12" i="11"/>
  <c r="HD183" i="6"/>
  <c r="HA185" i="6"/>
  <c r="HD182" i="6"/>
  <c r="H12" i="11"/>
  <c r="BY86" i="1"/>
  <c r="CB83" i="1"/>
  <c r="CB84" i="1"/>
  <c r="FE88" i="6"/>
  <c r="FH87" i="6"/>
  <c r="AO92" i="6"/>
  <c r="AR91" i="6"/>
  <c r="Q87" i="1"/>
  <c r="T86" i="1"/>
  <c r="E87" i="1"/>
  <c r="H86" i="1"/>
  <c r="CN83" i="6"/>
  <c r="CN84" i="6"/>
  <c r="CK86" i="6"/>
  <c r="HM83" i="6"/>
  <c r="CB88" i="6"/>
  <c r="BY89" i="6"/>
  <c r="GF186" i="6"/>
  <c r="GC187" i="6"/>
  <c r="ES87" i="1"/>
  <c r="EV86" i="1"/>
  <c r="BD104" i="6"/>
  <c r="BA105" i="6"/>
  <c r="EG86" i="1"/>
  <c r="HZ86" i="1" s="1"/>
  <c r="EJ83" i="1"/>
  <c r="EJ84" i="1"/>
  <c r="HX84" i="1"/>
  <c r="AR83" i="1"/>
  <c r="J12" i="11"/>
  <c r="H83" i="10"/>
  <c r="IF94" i="1"/>
  <c r="IF92" i="1" s="1"/>
  <c r="AR84" i="1"/>
  <c r="AO86" i="1"/>
  <c r="HM83" i="1"/>
  <c r="HP84" i="1" s="1"/>
  <c r="F83" i="10"/>
  <c r="HX83" i="1"/>
  <c r="CN86" i="1"/>
  <c r="CK87" i="1"/>
  <c r="Q199" i="6"/>
  <c r="T198" i="6"/>
  <c r="AR198" i="6"/>
  <c r="AO199" i="6"/>
  <c r="F87" i="6"/>
  <c r="HN86" i="6"/>
  <c r="FQ88" i="1"/>
  <c r="FT87" i="1"/>
  <c r="HZ83" i="1"/>
  <c r="DL83" i="6"/>
  <c r="DL84" i="6"/>
  <c r="DI86" i="6"/>
  <c r="HD84" i="1"/>
  <c r="HD83" i="1"/>
  <c r="HA86" i="1"/>
  <c r="J86" i="10" s="1"/>
  <c r="IA83" i="1"/>
  <c r="IA84" i="1"/>
  <c r="II94" i="1"/>
  <c r="II92" i="1" s="1"/>
  <c r="HD86" i="6"/>
  <c r="HA87" i="6"/>
  <c r="HY86" i="1"/>
  <c r="CB183" i="6"/>
  <c r="BY185" i="6"/>
  <c r="CB182" i="6"/>
  <c r="EV185" i="6"/>
  <c r="ES186" i="6"/>
  <c r="EG87" i="6"/>
  <c r="EJ86" i="6"/>
  <c r="EJ183" i="6"/>
  <c r="EJ182" i="6"/>
  <c r="EG185" i="6"/>
  <c r="BN204" i="6"/>
  <c r="HN203" i="6"/>
  <c r="J83" i="10"/>
  <c r="FE87" i="1"/>
  <c r="FH86" i="1"/>
  <c r="CN183" i="6"/>
  <c r="CK185" i="6"/>
  <c r="CN182" i="6"/>
  <c r="HM182" i="6"/>
  <c r="DX86" i="1"/>
  <c r="DU87" i="1"/>
  <c r="DI87" i="1"/>
  <c r="DL86" i="1"/>
  <c r="H198" i="6"/>
  <c r="E199" i="6"/>
  <c r="F88" i="1"/>
  <c r="HN87" i="1"/>
  <c r="AC200" i="6"/>
  <c r="AF199" i="6"/>
  <c r="GR182" i="6"/>
  <c r="GO185" i="6"/>
  <c r="GR183" i="6"/>
  <c r="BA199" i="6"/>
  <c r="BD198" i="6"/>
  <c r="HP83" i="1"/>
  <c r="BD87" i="1"/>
  <c r="BA88" i="1"/>
  <c r="CZ86" i="1"/>
  <c r="CW87" i="1"/>
  <c r="FT182" i="6"/>
  <c r="FQ185" i="6"/>
  <c r="FT183" i="6"/>
  <c r="GO90" i="6"/>
  <c r="GR89" i="6"/>
  <c r="BM198" i="6"/>
  <c r="BP197" i="6"/>
  <c r="FH185" i="6"/>
  <c r="FE186" i="6"/>
  <c r="DJ277" i="1"/>
  <c r="F276" i="6"/>
  <c r="EV89" i="6" l="1"/>
  <c r="ES90" i="6"/>
  <c r="CZ87" i="6"/>
  <c r="CW88" i="6"/>
  <c r="GO87" i="1"/>
  <c r="GR86" i="1"/>
  <c r="H86" i="6"/>
  <c r="E87" i="6"/>
  <c r="AF90" i="1"/>
  <c r="AC91" i="1"/>
  <c r="AF87" i="6"/>
  <c r="AC88" i="6"/>
  <c r="CW187" i="6"/>
  <c r="CZ186" i="6"/>
  <c r="FT86" i="6"/>
  <c r="FQ87" i="6"/>
  <c r="GF86" i="6"/>
  <c r="GC87" i="6"/>
  <c r="HM86" i="1"/>
  <c r="HK94" i="1" s="1"/>
  <c r="DU87" i="6"/>
  <c r="DX86" i="6"/>
  <c r="Q87" i="6"/>
  <c r="T86" i="6"/>
  <c r="BY87" i="1"/>
  <c r="HY87" i="1" s="1"/>
  <c r="CB86" i="1"/>
  <c r="DL186" i="6"/>
  <c r="DI187" i="6"/>
  <c r="DU187" i="6"/>
  <c r="DX186" i="6"/>
  <c r="HA186" i="6"/>
  <c r="HD185" i="6"/>
  <c r="GF86" i="1"/>
  <c r="GC87" i="1"/>
  <c r="BP86" i="6"/>
  <c r="BM87" i="6"/>
  <c r="FE89" i="6"/>
  <c r="FH88" i="6"/>
  <c r="BM88" i="1"/>
  <c r="BP87" i="1"/>
  <c r="BN205" i="6"/>
  <c r="HN204" i="6"/>
  <c r="ES88" i="1"/>
  <c r="EV87" i="1"/>
  <c r="EG186" i="6"/>
  <c r="EJ185" i="6"/>
  <c r="CB185" i="6"/>
  <c r="BY186" i="6"/>
  <c r="HA87" i="1"/>
  <c r="HD86" i="1"/>
  <c r="IA86" i="1"/>
  <c r="Q200" i="6"/>
  <c r="T199" i="6"/>
  <c r="GC188" i="6"/>
  <c r="GF187" i="6"/>
  <c r="FT88" i="1"/>
  <c r="FQ89" i="1"/>
  <c r="AO87" i="1"/>
  <c r="H87" i="10" s="1"/>
  <c r="AR86" i="1"/>
  <c r="H86" i="10"/>
  <c r="HX86" i="1"/>
  <c r="BY90" i="6"/>
  <c r="CB89" i="6"/>
  <c r="HA88" i="6"/>
  <c r="HD87" i="6"/>
  <c r="DL86" i="6"/>
  <c r="DI87" i="6"/>
  <c r="EG87" i="1"/>
  <c r="EJ86" i="1"/>
  <c r="F86" i="10"/>
  <c r="Q88" i="1"/>
  <c r="T87" i="1"/>
  <c r="C83" i="10"/>
  <c r="EG88" i="6"/>
  <c r="EJ87" i="6"/>
  <c r="F88" i="6"/>
  <c r="HN87" i="6"/>
  <c r="BA106" i="6"/>
  <c r="BD105" i="6"/>
  <c r="HP84" i="6"/>
  <c r="HP83" i="6"/>
  <c r="HK94" i="6"/>
  <c r="H87" i="1"/>
  <c r="E88" i="1"/>
  <c r="EV186" i="6"/>
  <c r="ES187" i="6"/>
  <c r="AO200" i="6"/>
  <c r="AR199" i="6"/>
  <c r="CK88" i="1"/>
  <c r="CN87" i="1"/>
  <c r="CK87" i="6"/>
  <c r="CN86" i="6"/>
  <c r="HM86" i="6"/>
  <c r="HP86" i="6" s="1"/>
  <c r="AR92" i="6"/>
  <c r="AO95" i="6"/>
  <c r="AO96" i="6" s="1"/>
  <c r="AO97" i="6" s="1"/>
  <c r="AO98" i="6" s="1"/>
  <c r="AO99" i="6" s="1"/>
  <c r="AO100" i="6" s="1"/>
  <c r="AO101" i="6" s="1"/>
  <c r="AR93" i="6"/>
  <c r="U13" i="11"/>
  <c r="CW88" i="1"/>
  <c r="CZ87" i="1"/>
  <c r="DX87" i="1"/>
  <c r="DU88" i="1"/>
  <c r="D87" i="10"/>
  <c r="BM199" i="6"/>
  <c r="BP198" i="6"/>
  <c r="BD199" i="6"/>
  <c r="BA200" i="6"/>
  <c r="HP86" i="1"/>
  <c r="C86" i="10"/>
  <c r="GO186" i="6"/>
  <c r="GR185" i="6"/>
  <c r="BD88" i="1"/>
  <c r="BA89" i="1"/>
  <c r="HP182" i="6"/>
  <c r="HK193" i="6"/>
  <c r="HP183" i="6"/>
  <c r="FE88" i="1"/>
  <c r="FH87" i="1"/>
  <c r="AC203" i="6"/>
  <c r="AF201" i="6"/>
  <c r="AF200" i="6"/>
  <c r="CK186" i="6"/>
  <c r="CN185" i="6"/>
  <c r="HM185" i="6"/>
  <c r="HP185" i="6" s="1"/>
  <c r="FE187" i="6"/>
  <c r="FH186" i="6"/>
  <c r="GR90" i="6"/>
  <c r="GO91" i="6"/>
  <c r="DI88" i="1"/>
  <c r="DL87" i="1"/>
  <c r="FQ186" i="6"/>
  <c r="FT185" i="6"/>
  <c r="HN88" i="1"/>
  <c r="F89" i="1"/>
  <c r="E200" i="6"/>
  <c r="H199" i="6"/>
  <c r="DJ278" i="1"/>
  <c r="F277" i="6"/>
  <c r="EV90" i="6" l="1"/>
  <c r="ES91" i="6"/>
  <c r="CW89" i="6"/>
  <c r="CZ88" i="6"/>
  <c r="GR87" i="1"/>
  <c r="GO88" i="1"/>
  <c r="D88" i="10" s="1"/>
  <c r="CW188" i="6"/>
  <c r="CZ187" i="6"/>
  <c r="AC89" i="6"/>
  <c r="AF88" i="6"/>
  <c r="GC88" i="6"/>
  <c r="GF87" i="6"/>
  <c r="AC92" i="1"/>
  <c r="AF91" i="1"/>
  <c r="FT87" i="6"/>
  <c r="FQ88" i="6"/>
  <c r="E88" i="6"/>
  <c r="H87" i="6"/>
  <c r="DX87" i="6"/>
  <c r="DU88" i="6"/>
  <c r="HM87" i="1"/>
  <c r="FE90" i="6"/>
  <c r="FH89" i="6"/>
  <c r="DX187" i="6"/>
  <c r="DU188" i="6"/>
  <c r="BM88" i="6"/>
  <c r="BP87" i="6"/>
  <c r="DL187" i="6"/>
  <c r="DI188" i="6"/>
  <c r="GF87" i="1"/>
  <c r="GC88" i="1"/>
  <c r="BY88" i="1"/>
  <c r="CB87" i="1"/>
  <c r="BM89" i="1"/>
  <c r="BP88" i="1"/>
  <c r="HD186" i="6"/>
  <c r="HA187" i="6"/>
  <c r="T87" i="6"/>
  <c r="Q88" i="6"/>
  <c r="CK89" i="1"/>
  <c r="CN88" i="1"/>
  <c r="EJ186" i="6"/>
  <c r="EG187" i="6"/>
  <c r="AR102" i="6"/>
  <c r="AO104" i="6"/>
  <c r="U14" i="11"/>
  <c r="AO203" i="6"/>
  <c r="AR200" i="6"/>
  <c r="AR201" i="6"/>
  <c r="DI88" i="6"/>
  <c r="DL87" i="6"/>
  <c r="ES89" i="1"/>
  <c r="EV88" i="1"/>
  <c r="S25" i="11"/>
  <c r="T200" i="6"/>
  <c r="Q203" i="6"/>
  <c r="T201" i="6"/>
  <c r="EV187" i="6"/>
  <c r="ES188" i="6"/>
  <c r="BD106" i="6"/>
  <c r="BA107" i="6"/>
  <c r="AO88" i="1"/>
  <c r="AR87" i="1"/>
  <c r="EG88" i="1"/>
  <c r="HZ88" i="1" s="1"/>
  <c r="EJ87" i="1"/>
  <c r="HZ87" i="1"/>
  <c r="F87" i="10"/>
  <c r="FQ90" i="1"/>
  <c r="FT89" i="1"/>
  <c r="HD87" i="1"/>
  <c r="HA88" i="1"/>
  <c r="J88" i="10" s="1"/>
  <c r="IA87" i="1"/>
  <c r="J87" i="10"/>
  <c r="BN206" i="6"/>
  <c r="HN205" i="6"/>
  <c r="E89" i="1"/>
  <c r="H88" i="1"/>
  <c r="HX88" i="1"/>
  <c r="F89" i="6"/>
  <c r="HN88" i="6"/>
  <c r="HD88" i="6"/>
  <c r="HA89" i="6"/>
  <c r="CB186" i="6"/>
  <c r="BY187" i="6"/>
  <c r="CN87" i="6"/>
  <c r="CK88" i="6"/>
  <c r="HM87" i="6"/>
  <c r="HP87" i="6" s="1"/>
  <c r="Q89" i="1"/>
  <c r="T88" i="1"/>
  <c r="EG89" i="6"/>
  <c r="EJ88" i="6"/>
  <c r="BY91" i="6"/>
  <c r="CB90" i="6"/>
  <c r="GF188" i="6"/>
  <c r="GC189" i="6"/>
  <c r="HX87" i="1"/>
  <c r="FH88" i="1"/>
  <c r="FE89" i="1"/>
  <c r="DI89" i="1"/>
  <c r="DL88" i="1"/>
  <c r="CN186" i="6"/>
  <c r="CK187" i="6"/>
  <c r="HM186" i="6"/>
  <c r="HP186" i="6" s="1"/>
  <c r="GR186" i="6"/>
  <c r="GO187" i="6"/>
  <c r="BD200" i="6"/>
  <c r="BA203" i="6"/>
  <c r="BD201" i="6"/>
  <c r="U25" i="11"/>
  <c r="FE188" i="6"/>
  <c r="FH187" i="6"/>
  <c r="DU89" i="1"/>
  <c r="DX88" i="1"/>
  <c r="HP87" i="1"/>
  <c r="C87" i="10"/>
  <c r="CW89" i="1"/>
  <c r="CZ88" i="1"/>
  <c r="E203" i="6"/>
  <c r="H200" i="6"/>
  <c r="H201" i="6"/>
  <c r="Q25" i="11"/>
  <c r="GO92" i="6"/>
  <c r="GR91" i="6"/>
  <c r="AC204" i="6"/>
  <c r="AF203" i="6"/>
  <c r="BP199" i="6"/>
  <c r="BM200" i="6"/>
  <c r="F90" i="1"/>
  <c r="HN89" i="1"/>
  <c r="FQ187" i="6"/>
  <c r="FT186" i="6"/>
  <c r="BA90" i="1"/>
  <c r="BD89" i="1"/>
  <c r="DJ279" i="1"/>
  <c r="F278" i="6"/>
  <c r="F88" i="10" l="1"/>
  <c r="ES92" i="6"/>
  <c r="EV91" i="6"/>
  <c r="CZ89" i="6"/>
  <c r="CW90" i="6"/>
  <c r="GR88" i="1"/>
  <c r="GO89" i="1"/>
  <c r="D89" i="10" s="1"/>
  <c r="HM88" i="1"/>
  <c r="C88" i="10" s="1"/>
  <c r="AF93" i="1"/>
  <c r="AC95" i="1"/>
  <c r="AF92" i="1"/>
  <c r="GC89" i="6"/>
  <c r="GF88" i="6"/>
  <c r="H88" i="10"/>
  <c r="E89" i="6"/>
  <c r="H88" i="6"/>
  <c r="AC90" i="6"/>
  <c r="AF89" i="6"/>
  <c r="FT88" i="6"/>
  <c r="FQ89" i="6"/>
  <c r="CZ188" i="6"/>
  <c r="CW189" i="6"/>
  <c r="DU89" i="6"/>
  <c r="DX88" i="6"/>
  <c r="BM90" i="1"/>
  <c r="BP89" i="1"/>
  <c r="BM89" i="6"/>
  <c r="BP88" i="6"/>
  <c r="DL188" i="6"/>
  <c r="DI189" i="6"/>
  <c r="BY89" i="1"/>
  <c r="CB88" i="1"/>
  <c r="DX188" i="6"/>
  <c r="DU189" i="6"/>
  <c r="Q89" i="6"/>
  <c r="T88" i="6"/>
  <c r="GC89" i="1"/>
  <c r="GF88" i="1"/>
  <c r="HD187" i="6"/>
  <c r="HA188" i="6"/>
  <c r="HY88" i="1"/>
  <c r="FE91" i="6"/>
  <c r="FH90" i="6"/>
  <c r="EG90" i="6"/>
  <c r="EJ89" i="6"/>
  <c r="BA108" i="6"/>
  <c r="BD107" i="6"/>
  <c r="AR104" i="6"/>
  <c r="AO105" i="6"/>
  <c r="CB187" i="6"/>
  <c r="BY188" i="6"/>
  <c r="EV188" i="6"/>
  <c r="ES189" i="6"/>
  <c r="GF189" i="6"/>
  <c r="GC190" i="6"/>
  <c r="Q90" i="1"/>
  <c r="T89" i="1"/>
  <c r="HA90" i="6"/>
  <c r="HD89" i="6"/>
  <c r="BN207" i="6"/>
  <c r="HN206" i="6"/>
  <c r="DI89" i="6"/>
  <c r="DL88" i="6"/>
  <c r="EV89" i="1"/>
  <c r="ES90" i="1"/>
  <c r="EJ187" i="6"/>
  <c r="EG188" i="6"/>
  <c r="CN88" i="6"/>
  <c r="CK89" i="6"/>
  <c r="HM88" i="6"/>
  <c r="HP88" i="6" s="1"/>
  <c r="EJ88" i="1"/>
  <c r="EG89" i="1"/>
  <c r="Q204" i="6"/>
  <c r="T203" i="6"/>
  <c r="H89" i="1"/>
  <c r="E90" i="1"/>
  <c r="CB91" i="6"/>
  <c r="BY92" i="6"/>
  <c r="F90" i="6"/>
  <c r="HN89" i="6"/>
  <c r="HA89" i="1"/>
  <c r="HD88" i="1"/>
  <c r="IA88" i="1"/>
  <c r="AO204" i="6"/>
  <c r="AR203" i="6"/>
  <c r="FT90" i="1"/>
  <c r="FQ91" i="1"/>
  <c r="AR88" i="1"/>
  <c r="AO89" i="1"/>
  <c r="CK90" i="1"/>
  <c r="CN89" i="1"/>
  <c r="BD90" i="1"/>
  <c r="BA91" i="1"/>
  <c r="DU90" i="1"/>
  <c r="DX89" i="1"/>
  <c r="HZ89" i="1"/>
  <c r="FE189" i="6"/>
  <c r="FH188" i="6"/>
  <c r="BD203" i="6"/>
  <c r="BA204" i="6"/>
  <c r="CK188" i="6"/>
  <c r="CN187" i="6"/>
  <c r="HM187" i="6"/>
  <c r="HP187" i="6" s="1"/>
  <c r="H203" i="6"/>
  <c r="E204" i="6"/>
  <c r="FH89" i="1"/>
  <c r="FE90" i="1"/>
  <c r="FT187" i="6"/>
  <c r="FQ188" i="6"/>
  <c r="DI90" i="1"/>
  <c r="DL89" i="1"/>
  <c r="AF204" i="6"/>
  <c r="AC205" i="6"/>
  <c r="BP201" i="6"/>
  <c r="W25" i="11"/>
  <c r="BM203" i="6"/>
  <c r="BP200" i="6"/>
  <c r="CW90" i="1"/>
  <c r="CZ89" i="1"/>
  <c r="H89" i="10"/>
  <c r="HN90" i="1"/>
  <c r="F91" i="1"/>
  <c r="GR92" i="6"/>
  <c r="GR93" i="6"/>
  <c r="GR187" i="6"/>
  <c r="GO188" i="6"/>
  <c r="DJ280" i="1"/>
  <c r="EV92" i="6" l="1"/>
  <c r="EV93" i="6"/>
  <c r="HP88" i="1"/>
  <c r="CZ90" i="6"/>
  <c r="CW91" i="6"/>
  <c r="GO90" i="1"/>
  <c r="GR89" i="1"/>
  <c r="E90" i="6"/>
  <c r="H89" i="6"/>
  <c r="CW190" i="6"/>
  <c r="CZ189" i="6"/>
  <c r="FT89" i="6"/>
  <c r="FQ90" i="6"/>
  <c r="GF89" i="6"/>
  <c r="GC90" i="6"/>
  <c r="AC96" i="1"/>
  <c r="AF95" i="1"/>
  <c r="AC91" i="6"/>
  <c r="AF90" i="6"/>
  <c r="F89" i="10"/>
  <c r="DU90" i="6"/>
  <c r="DX89" i="6"/>
  <c r="HA189" i="6"/>
  <c r="HD188" i="6"/>
  <c r="BY90" i="1"/>
  <c r="HY90" i="1" s="1"/>
  <c r="HY89" i="1"/>
  <c r="CB89" i="1"/>
  <c r="DL189" i="6"/>
  <c r="DI190" i="6"/>
  <c r="GC90" i="1"/>
  <c r="GF89" i="1"/>
  <c r="Q90" i="6"/>
  <c r="T89" i="6"/>
  <c r="BP89" i="6"/>
  <c r="BM90" i="6"/>
  <c r="FE92" i="6"/>
  <c r="FH91" i="6"/>
  <c r="DX189" i="6"/>
  <c r="DU190" i="6"/>
  <c r="BM91" i="1"/>
  <c r="BP90" i="1"/>
  <c r="CN90" i="1"/>
  <c r="CK91" i="1"/>
  <c r="EG189" i="6"/>
  <c r="EJ188" i="6"/>
  <c r="BD108" i="6"/>
  <c r="BA109" i="6"/>
  <c r="Q205" i="6"/>
  <c r="T204" i="6"/>
  <c r="FQ92" i="1"/>
  <c r="FT91" i="1"/>
  <c r="F91" i="6"/>
  <c r="HN90" i="6"/>
  <c r="EJ89" i="1"/>
  <c r="EG90" i="1"/>
  <c r="CB188" i="6"/>
  <c r="BY189" i="6"/>
  <c r="AR89" i="1"/>
  <c r="AO90" i="1"/>
  <c r="HA91" i="6"/>
  <c r="HD90" i="6"/>
  <c r="ES91" i="1"/>
  <c r="EV90" i="1"/>
  <c r="CB93" i="6"/>
  <c r="CB92" i="6"/>
  <c r="Q91" i="1"/>
  <c r="T90" i="1"/>
  <c r="DI90" i="6"/>
  <c r="DL89" i="6"/>
  <c r="GF190" i="6"/>
  <c r="GC191" i="6"/>
  <c r="AR105" i="6"/>
  <c r="AO106" i="6"/>
  <c r="EG91" i="6"/>
  <c r="EJ90" i="6"/>
  <c r="HA90" i="1"/>
  <c r="HD89" i="1"/>
  <c r="IA89" i="1"/>
  <c r="J89" i="10"/>
  <c r="ES190" i="6"/>
  <c r="EV189" i="6"/>
  <c r="AR204" i="6"/>
  <c r="AO205" i="6"/>
  <c r="HX89" i="1"/>
  <c r="CN89" i="6"/>
  <c r="CK90" i="6"/>
  <c r="HM89" i="6"/>
  <c r="HP89" i="6" s="1"/>
  <c r="HM89" i="1"/>
  <c r="E91" i="1"/>
  <c r="H90" i="1"/>
  <c r="HX90" i="1"/>
  <c r="BN208" i="6"/>
  <c r="HN207" i="6"/>
  <c r="FH90" i="1"/>
  <c r="FE91" i="1"/>
  <c r="H204" i="6"/>
  <c r="E205" i="6"/>
  <c r="DU91" i="1"/>
  <c r="DX90" i="1"/>
  <c r="D90" i="10"/>
  <c r="BA92" i="1"/>
  <c r="BD91" i="1"/>
  <c r="CW91" i="1"/>
  <c r="CZ90" i="1"/>
  <c r="BD204" i="6"/>
  <c r="BA205" i="6"/>
  <c r="AF205" i="6"/>
  <c r="AC206" i="6"/>
  <c r="CK189" i="6"/>
  <c r="CN188" i="6"/>
  <c r="HM188" i="6"/>
  <c r="HP188" i="6" s="1"/>
  <c r="FH189" i="6"/>
  <c r="FE190" i="6"/>
  <c r="GR188" i="6"/>
  <c r="GO189" i="6"/>
  <c r="DL90" i="1"/>
  <c r="DI91" i="1"/>
  <c r="HN91" i="1"/>
  <c r="F92" i="1"/>
  <c r="BM204" i="6"/>
  <c r="BP203" i="6"/>
  <c r="FT188" i="6"/>
  <c r="FQ189" i="6"/>
  <c r="DJ281" i="1"/>
  <c r="F280" i="6"/>
  <c r="CZ91" i="6" l="1"/>
  <c r="CW92" i="6"/>
  <c r="GO91" i="1"/>
  <c r="GR90" i="1"/>
  <c r="GF90" i="6"/>
  <c r="GC91" i="6"/>
  <c r="FT90" i="6"/>
  <c r="FQ91" i="6"/>
  <c r="AF91" i="6"/>
  <c r="AC92" i="6"/>
  <c r="CW191" i="6"/>
  <c r="CZ190" i="6"/>
  <c r="AC97" i="1"/>
  <c r="AF96" i="1"/>
  <c r="E91" i="6"/>
  <c r="H90" i="6"/>
  <c r="DU91" i="6"/>
  <c r="DX90" i="6"/>
  <c r="DI191" i="6"/>
  <c r="DL190" i="6"/>
  <c r="FH93" i="6"/>
  <c r="FH92" i="6"/>
  <c r="BM91" i="6"/>
  <c r="BP90" i="6"/>
  <c r="CB90" i="1"/>
  <c r="BY91" i="1"/>
  <c r="HY91" i="1" s="1"/>
  <c r="BM92" i="1"/>
  <c r="BP91" i="1"/>
  <c r="T90" i="6"/>
  <c r="Q91" i="6"/>
  <c r="GC91" i="1"/>
  <c r="GF90" i="1"/>
  <c r="DU191" i="6"/>
  <c r="DX190" i="6"/>
  <c r="HA190" i="6"/>
  <c r="HD189" i="6"/>
  <c r="BN209" i="6"/>
  <c r="HN208" i="6"/>
  <c r="HA91" i="1"/>
  <c r="J91" i="10" s="1"/>
  <c r="HD90" i="1"/>
  <c r="IA90" i="1"/>
  <c r="DI91" i="6"/>
  <c r="DL90" i="6"/>
  <c r="EV91" i="1"/>
  <c r="ES92" i="1"/>
  <c r="T205" i="6"/>
  <c r="Q206" i="6"/>
  <c r="EJ90" i="1"/>
  <c r="EG91" i="1"/>
  <c r="F90" i="10"/>
  <c r="AR205" i="6"/>
  <c r="AO206" i="6"/>
  <c r="BA110" i="6"/>
  <c r="BD109" i="6"/>
  <c r="EJ91" i="6"/>
  <c r="EG92" i="6"/>
  <c r="HD91" i="6"/>
  <c r="HA92" i="6"/>
  <c r="HM90" i="1"/>
  <c r="E92" i="1"/>
  <c r="H91" i="1"/>
  <c r="AO107" i="6"/>
  <c r="AR106" i="6"/>
  <c r="AR90" i="1"/>
  <c r="AO91" i="1"/>
  <c r="H90" i="10"/>
  <c r="F92" i="6"/>
  <c r="HN91" i="6"/>
  <c r="HZ90" i="1"/>
  <c r="HP89" i="1"/>
  <c r="C89" i="10"/>
  <c r="EV190" i="6"/>
  <c r="ES191" i="6"/>
  <c r="FT92" i="1"/>
  <c r="FQ95" i="1"/>
  <c r="FT93" i="1"/>
  <c r="EJ189" i="6"/>
  <c r="EG190" i="6"/>
  <c r="Q92" i="1"/>
  <c r="T91" i="1"/>
  <c r="GF192" i="6"/>
  <c r="GF191" i="6"/>
  <c r="GC194" i="6"/>
  <c r="CB189" i="6"/>
  <c r="BY190" i="6"/>
  <c r="CN91" i="1"/>
  <c r="CK92" i="1"/>
  <c r="CK91" i="6"/>
  <c r="CN90" i="6"/>
  <c r="HM90" i="6"/>
  <c r="HP90" i="6" s="1"/>
  <c r="J90" i="10"/>
  <c r="AF206" i="6"/>
  <c r="AC207" i="6"/>
  <c r="BD92" i="1"/>
  <c r="BD93" i="1"/>
  <c r="BA95" i="1"/>
  <c r="FQ190" i="6"/>
  <c r="FT189" i="6"/>
  <c r="DI92" i="1"/>
  <c r="DL91" i="1"/>
  <c r="GO190" i="6"/>
  <c r="GR189" i="6"/>
  <c r="CW92" i="1"/>
  <c r="CZ91" i="1"/>
  <c r="BM205" i="6"/>
  <c r="BP204" i="6"/>
  <c r="FH190" i="6"/>
  <c r="FE191" i="6"/>
  <c r="DX91" i="1"/>
  <c r="DU92" i="1"/>
  <c r="D91" i="10"/>
  <c r="HN92" i="1"/>
  <c r="F95" i="1"/>
  <c r="CK190" i="6"/>
  <c r="CN189" i="6"/>
  <c r="HM189" i="6"/>
  <c r="HP189" i="6" s="1"/>
  <c r="BA206" i="6"/>
  <c r="BD205" i="6"/>
  <c r="E206" i="6"/>
  <c r="H205" i="6"/>
  <c r="FE92" i="1"/>
  <c r="FH91" i="1"/>
  <c r="C90" i="10"/>
  <c r="HP90" i="1"/>
  <c r="DJ284" i="1"/>
  <c r="F281" i="6"/>
  <c r="CZ93" i="6" l="1"/>
  <c r="CZ92" i="6"/>
  <c r="GR91" i="1"/>
  <c r="GO92" i="1"/>
  <c r="CZ192" i="6"/>
  <c r="CW194" i="6"/>
  <c r="CZ191" i="6"/>
  <c r="AC95" i="6"/>
  <c r="AC96" i="6" s="1"/>
  <c r="AC97" i="6" s="1"/>
  <c r="AC98" i="6" s="1"/>
  <c r="AC99" i="6" s="1"/>
  <c r="AC100" i="6" s="1"/>
  <c r="AC101" i="6" s="1"/>
  <c r="AF102" i="6" s="1"/>
  <c r="AF92" i="6"/>
  <c r="AF93" i="6"/>
  <c r="FT91" i="6"/>
  <c r="FQ92" i="6"/>
  <c r="E92" i="6"/>
  <c r="H91" i="6"/>
  <c r="GC92" i="6"/>
  <c r="GF91" i="6"/>
  <c r="AC98" i="1"/>
  <c r="AF97" i="1"/>
  <c r="DX91" i="6"/>
  <c r="DU92" i="6"/>
  <c r="Q92" i="6"/>
  <c r="T91" i="6"/>
  <c r="GC92" i="1"/>
  <c r="GF91" i="1"/>
  <c r="HA191" i="6"/>
  <c r="HD190" i="6"/>
  <c r="BP92" i="1"/>
  <c r="BM95" i="1"/>
  <c r="BP93" i="1"/>
  <c r="DX191" i="6"/>
  <c r="DU194" i="6"/>
  <c r="DX192" i="6"/>
  <c r="BP91" i="6"/>
  <c r="BM92" i="6"/>
  <c r="BY92" i="1"/>
  <c r="CB91" i="1"/>
  <c r="DL192" i="6"/>
  <c r="DL191" i="6"/>
  <c r="DI194" i="6"/>
  <c r="CN93" i="1"/>
  <c r="CK95" i="1"/>
  <c r="CN92" i="1"/>
  <c r="HD92" i="6"/>
  <c r="HD93" i="6"/>
  <c r="DL91" i="6"/>
  <c r="DI92" i="6"/>
  <c r="HX91" i="1"/>
  <c r="AR91" i="1"/>
  <c r="AO92" i="1"/>
  <c r="H92" i="10" s="1"/>
  <c r="EG92" i="1"/>
  <c r="HZ92" i="1" s="1"/>
  <c r="EJ91" i="1"/>
  <c r="EJ92" i="6"/>
  <c r="EJ93" i="6"/>
  <c r="T92" i="1"/>
  <c r="T93" i="1"/>
  <c r="Q95" i="1"/>
  <c r="T206" i="6"/>
  <c r="Q207" i="6"/>
  <c r="HD91" i="1"/>
  <c r="HA92" i="1"/>
  <c r="IA91" i="1"/>
  <c r="HZ91" i="1"/>
  <c r="CB190" i="6"/>
  <c r="BY191" i="6"/>
  <c r="EJ190" i="6"/>
  <c r="EG191" i="6"/>
  <c r="AR107" i="6"/>
  <c r="AO108" i="6"/>
  <c r="CK92" i="6"/>
  <c r="CN91" i="6"/>
  <c r="HM91" i="6"/>
  <c r="HP91" i="6" s="1"/>
  <c r="BD111" i="6"/>
  <c r="BD110" i="6"/>
  <c r="BA113" i="6"/>
  <c r="EV93" i="1"/>
  <c r="EV92" i="1"/>
  <c r="ES95" i="1"/>
  <c r="BN212" i="6"/>
  <c r="HN209" i="6"/>
  <c r="HL220" i="6" s="1"/>
  <c r="EV192" i="6"/>
  <c r="ES194" i="6"/>
  <c r="EV191" i="6"/>
  <c r="F91" i="10"/>
  <c r="H92" i="1"/>
  <c r="H93" i="1"/>
  <c r="E95" i="1"/>
  <c r="AO207" i="6"/>
  <c r="AR206" i="6"/>
  <c r="H91" i="10"/>
  <c r="GC195" i="6"/>
  <c r="GF194" i="6"/>
  <c r="FT95" i="1"/>
  <c r="FQ96" i="1"/>
  <c r="F95" i="6"/>
  <c r="HN92" i="6"/>
  <c r="HL103" i="6" s="1"/>
  <c r="HM91" i="1"/>
  <c r="FT190" i="6"/>
  <c r="FQ191" i="6"/>
  <c r="CZ92" i="1"/>
  <c r="CW95" i="1"/>
  <c r="CZ93" i="1"/>
  <c r="CN190" i="6"/>
  <c r="CK191" i="6"/>
  <c r="HM190" i="6"/>
  <c r="HP190" i="6" s="1"/>
  <c r="DX92" i="1"/>
  <c r="DU95" i="1"/>
  <c r="DX93" i="1"/>
  <c r="F13" i="11"/>
  <c r="D92" i="10"/>
  <c r="DL92" i="1"/>
  <c r="DI95" i="1"/>
  <c r="DL93" i="1"/>
  <c r="GR190" i="6"/>
  <c r="GO191" i="6"/>
  <c r="IG103" i="1"/>
  <c r="IG101" i="1" s="1"/>
  <c r="L13" i="11"/>
  <c r="BA96" i="1"/>
  <c r="BD95" i="1"/>
  <c r="FH92" i="1"/>
  <c r="FH93" i="1"/>
  <c r="FE95" i="1"/>
  <c r="HY92" i="1"/>
  <c r="BD206" i="6"/>
  <c r="BA207" i="6"/>
  <c r="F96" i="1"/>
  <c r="HN95" i="1"/>
  <c r="HL103" i="1" s="1"/>
  <c r="AF207" i="6"/>
  <c r="AC208" i="6"/>
  <c r="H206" i="6"/>
  <c r="E207" i="6"/>
  <c r="FH192" i="6"/>
  <c r="FH191" i="6"/>
  <c r="FE194" i="6"/>
  <c r="BP205" i="6"/>
  <c r="BM206" i="6"/>
  <c r="J92" i="10"/>
  <c r="DJ285" i="1"/>
  <c r="F284" i="6"/>
  <c r="HZ93" i="1" l="1"/>
  <c r="IH103" i="1"/>
  <c r="IH101" i="1" s="1"/>
  <c r="AC104" i="6"/>
  <c r="HX92" i="1"/>
  <c r="J13" i="11"/>
  <c r="GR92" i="1"/>
  <c r="GR93" i="1"/>
  <c r="GO95" i="1"/>
  <c r="FT93" i="6"/>
  <c r="FT92" i="6"/>
  <c r="AF98" i="1"/>
  <c r="AC99" i="1"/>
  <c r="GF93" i="6"/>
  <c r="GF92" i="6"/>
  <c r="CW195" i="6"/>
  <c r="CZ194" i="6"/>
  <c r="E95" i="6"/>
  <c r="E96" i="6" s="1"/>
  <c r="E97" i="6" s="1"/>
  <c r="E98" i="6" s="1"/>
  <c r="E99" i="6" s="1"/>
  <c r="E100" i="6" s="1"/>
  <c r="E101" i="6" s="1"/>
  <c r="H92" i="6"/>
  <c r="H93" i="6"/>
  <c r="Q13" i="11"/>
  <c r="DX93" i="6"/>
  <c r="DX92" i="6"/>
  <c r="HM92" i="1"/>
  <c r="C92" i="10" s="1"/>
  <c r="CB92" i="1"/>
  <c r="CB93" i="1"/>
  <c r="BY95" i="1"/>
  <c r="HY95" i="1" s="1"/>
  <c r="BP92" i="6"/>
  <c r="BP93" i="6"/>
  <c r="W13" i="11"/>
  <c r="BM95" i="6"/>
  <c r="BM96" i="6" s="1"/>
  <c r="BM97" i="6" s="1"/>
  <c r="HD191" i="6"/>
  <c r="HA194" i="6"/>
  <c r="HD192" i="6"/>
  <c r="HY93" i="1"/>
  <c r="DL194" i="6"/>
  <c r="DI195" i="6"/>
  <c r="DU195" i="6"/>
  <c r="DX194" i="6"/>
  <c r="GF92" i="1"/>
  <c r="GF93" i="1"/>
  <c r="GC95" i="1"/>
  <c r="F92" i="10"/>
  <c r="BM96" i="1"/>
  <c r="BP95" i="1"/>
  <c r="T93" i="6"/>
  <c r="T92" i="6"/>
  <c r="S13" i="11"/>
  <c r="Q95" i="6"/>
  <c r="EV95" i="1"/>
  <c r="ES96" i="1"/>
  <c r="CN93" i="6"/>
  <c r="CN92" i="6"/>
  <c r="HM92" i="6"/>
  <c r="F96" i="6"/>
  <c r="HN95" i="6"/>
  <c r="AO109" i="6"/>
  <c r="AR108" i="6"/>
  <c r="HD92" i="1"/>
  <c r="HA95" i="1"/>
  <c r="HD93" i="1"/>
  <c r="IA92" i="1"/>
  <c r="II103" i="1"/>
  <c r="II101" i="1" s="1"/>
  <c r="IA93" i="1"/>
  <c r="DL93" i="6"/>
  <c r="DL92" i="6"/>
  <c r="FQ97" i="1"/>
  <c r="FT96" i="1"/>
  <c r="AR207" i="6"/>
  <c r="AO208" i="6"/>
  <c r="ES195" i="6"/>
  <c r="EV194" i="6"/>
  <c r="GF195" i="6"/>
  <c r="GC196" i="6"/>
  <c r="E96" i="1"/>
  <c r="H95" i="1"/>
  <c r="CB191" i="6"/>
  <c r="BY194" i="6"/>
  <c r="CB192" i="6"/>
  <c r="T95" i="1"/>
  <c r="Q96" i="1"/>
  <c r="EG95" i="1"/>
  <c r="HZ95" i="1" s="1"/>
  <c r="EJ92" i="1"/>
  <c r="EJ93" i="1"/>
  <c r="H13" i="11"/>
  <c r="BD113" i="6"/>
  <c r="BA114" i="6"/>
  <c r="Q208" i="6"/>
  <c r="T207" i="6"/>
  <c r="AR93" i="1"/>
  <c r="IF103" i="1"/>
  <c r="IF101" i="1" s="1"/>
  <c r="HX93" i="1"/>
  <c r="AR92" i="1"/>
  <c r="AO95" i="1"/>
  <c r="CK96" i="1"/>
  <c r="CN95" i="1"/>
  <c r="EJ192" i="6"/>
  <c r="EJ191" i="6"/>
  <c r="EG194" i="6"/>
  <c r="HP91" i="1"/>
  <c r="C91" i="10"/>
  <c r="BN213" i="6"/>
  <c r="HN212" i="6"/>
  <c r="BM207" i="6"/>
  <c r="BP206" i="6"/>
  <c r="E208" i="6"/>
  <c r="H207" i="6"/>
  <c r="GO194" i="6"/>
  <c r="GR192" i="6"/>
  <c r="GR191" i="6"/>
  <c r="FH194" i="6"/>
  <c r="FE195" i="6"/>
  <c r="FH95" i="1"/>
  <c r="FE96" i="1"/>
  <c r="CN192" i="6"/>
  <c r="CN191" i="6"/>
  <c r="CK194" i="6"/>
  <c r="HM191" i="6"/>
  <c r="AF208" i="6"/>
  <c r="AC209" i="6"/>
  <c r="BD207" i="6"/>
  <c r="BA208" i="6"/>
  <c r="BM98" i="6"/>
  <c r="FT191" i="6"/>
  <c r="FT192" i="6"/>
  <c r="FQ194" i="6"/>
  <c r="BA97" i="1"/>
  <c r="BD96" i="1"/>
  <c r="DI96" i="1"/>
  <c r="DL95" i="1"/>
  <c r="AC105" i="6"/>
  <c r="AF104" i="6"/>
  <c r="DX95" i="1"/>
  <c r="DU96" i="1"/>
  <c r="D95" i="10"/>
  <c r="CW96" i="1"/>
  <c r="CZ95" i="1"/>
  <c r="F97" i="1"/>
  <c r="HN96" i="1"/>
  <c r="F285" i="6"/>
  <c r="HP93" i="1" l="1"/>
  <c r="HP92" i="1"/>
  <c r="HM95" i="1"/>
  <c r="GR95" i="1"/>
  <c r="GO96" i="1"/>
  <c r="CW196" i="6"/>
  <c r="CZ195" i="6"/>
  <c r="AC100" i="1"/>
  <c r="AF99" i="1"/>
  <c r="H102" i="6"/>
  <c r="E104" i="6"/>
  <c r="Q14" i="11"/>
  <c r="DX195" i="6"/>
  <c r="DU196" i="6"/>
  <c r="DL195" i="6"/>
  <c r="DI196" i="6"/>
  <c r="BM97" i="1"/>
  <c r="BP96" i="1"/>
  <c r="BY96" i="1"/>
  <c r="CB95" i="1"/>
  <c r="GC96" i="1"/>
  <c r="GF95" i="1"/>
  <c r="Q96" i="6"/>
  <c r="HM95" i="6"/>
  <c r="HP95" i="6" s="1"/>
  <c r="HA195" i="6"/>
  <c r="HD194" i="6"/>
  <c r="EG96" i="1"/>
  <c r="EJ95" i="1"/>
  <c r="F95" i="10"/>
  <c r="GC197" i="6"/>
  <c r="GF196" i="6"/>
  <c r="HA96" i="1"/>
  <c r="J96" i="10" s="1"/>
  <c r="HD95" i="1"/>
  <c r="IA95" i="1"/>
  <c r="CK97" i="1"/>
  <c r="CN96" i="1"/>
  <c r="Q97" i="1"/>
  <c r="T96" i="1"/>
  <c r="FQ98" i="1"/>
  <c r="FT97" i="1"/>
  <c r="HK103" i="6"/>
  <c r="HP92" i="6"/>
  <c r="HP93" i="6"/>
  <c r="BN214" i="6"/>
  <c r="HN213" i="6"/>
  <c r="HX95" i="1"/>
  <c r="AO96" i="1"/>
  <c r="HX96" i="1" s="1"/>
  <c r="AR95" i="1"/>
  <c r="T208" i="6"/>
  <c r="Q209" i="6"/>
  <c r="E97" i="1"/>
  <c r="H96" i="1"/>
  <c r="BD114" i="6"/>
  <c r="BA115" i="6"/>
  <c r="BD115" i="6" s="1"/>
  <c r="H95" i="10"/>
  <c r="AR109" i="6"/>
  <c r="AO110" i="6"/>
  <c r="BY195" i="6"/>
  <c r="CB194" i="6"/>
  <c r="ES97" i="1"/>
  <c r="EV96" i="1"/>
  <c r="EJ194" i="6"/>
  <c r="EG195" i="6"/>
  <c r="EV195" i="6"/>
  <c r="ES196" i="6"/>
  <c r="F97" i="6"/>
  <c r="HN96" i="6"/>
  <c r="AO209" i="6"/>
  <c r="AR208" i="6"/>
  <c r="J95" i="10"/>
  <c r="BA209" i="6"/>
  <c r="BD208" i="6"/>
  <c r="AF105" i="6"/>
  <c r="AC106" i="6"/>
  <c r="HP192" i="6"/>
  <c r="HP191" i="6"/>
  <c r="HK202" i="6"/>
  <c r="FE97" i="1"/>
  <c r="FH96" i="1"/>
  <c r="GO195" i="6"/>
  <c r="GR194" i="6"/>
  <c r="DU97" i="1"/>
  <c r="HZ96" i="1"/>
  <c r="DX96" i="1"/>
  <c r="D96" i="10"/>
  <c r="CN194" i="6"/>
  <c r="CK195" i="6"/>
  <c r="HM194" i="6"/>
  <c r="HP194" i="6" s="1"/>
  <c r="CW97" i="1"/>
  <c r="CZ96" i="1"/>
  <c r="DL96" i="1"/>
  <c r="DI97" i="1"/>
  <c r="HN97" i="1"/>
  <c r="F98" i="1"/>
  <c r="AC212" i="6"/>
  <c r="AF209" i="6"/>
  <c r="AF210" i="6"/>
  <c r="E209" i="6"/>
  <c r="H208" i="6"/>
  <c r="HK103" i="1"/>
  <c r="HP95" i="1"/>
  <c r="C95" i="10"/>
  <c r="FH195" i="6"/>
  <c r="FE196" i="6"/>
  <c r="BD97" i="1"/>
  <c r="BA98" i="1"/>
  <c r="FT194" i="6"/>
  <c r="FQ195" i="6"/>
  <c r="BM99" i="6"/>
  <c r="BM208" i="6"/>
  <c r="BP207" i="6"/>
  <c r="DJ287" i="1"/>
  <c r="F286" i="6"/>
  <c r="GR96" i="1" l="1"/>
  <c r="GO97" i="1"/>
  <c r="H104" i="6"/>
  <c r="E105" i="6"/>
  <c r="AC101" i="1"/>
  <c r="AF100" i="1"/>
  <c r="CW197" i="6"/>
  <c r="CZ196" i="6"/>
  <c r="CB96" i="1"/>
  <c r="BY97" i="1"/>
  <c r="HD195" i="6"/>
  <c r="HA196" i="6"/>
  <c r="BP97" i="1"/>
  <c r="BM98" i="1"/>
  <c r="DL196" i="6"/>
  <c r="DI197" i="6"/>
  <c r="Q97" i="6"/>
  <c r="HM96" i="6"/>
  <c r="HP96" i="6" s="1"/>
  <c r="DX196" i="6"/>
  <c r="DU197" i="6"/>
  <c r="HM96" i="1"/>
  <c r="HP96" i="1" s="1"/>
  <c r="F96" i="10"/>
  <c r="GC97" i="1"/>
  <c r="GF96" i="1"/>
  <c r="HY96" i="1"/>
  <c r="F98" i="6"/>
  <c r="HN97" i="6"/>
  <c r="CB195" i="6"/>
  <c r="BY196" i="6"/>
  <c r="AO97" i="1"/>
  <c r="AR96" i="1"/>
  <c r="FT98" i="1"/>
  <c r="FQ99" i="1"/>
  <c r="EV196" i="6"/>
  <c r="ES197" i="6"/>
  <c r="HD96" i="1"/>
  <c r="HA97" i="1"/>
  <c r="IA96" i="1"/>
  <c r="Q98" i="1"/>
  <c r="T97" i="1"/>
  <c r="EG196" i="6"/>
  <c r="EJ195" i="6"/>
  <c r="BN215" i="6"/>
  <c r="HN214" i="6"/>
  <c r="GC198" i="6"/>
  <c r="GF197" i="6"/>
  <c r="AR210" i="6"/>
  <c r="AR209" i="6"/>
  <c r="AO212" i="6"/>
  <c r="H97" i="1"/>
  <c r="E98" i="1"/>
  <c r="CK98" i="1"/>
  <c r="CN97" i="1"/>
  <c r="H96" i="10"/>
  <c r="AR110" i="6"/>
  <c r="AO113" i="6"/>
  <c r="AR111" i="6"/>
  <c r="U15" i="11"/>
  <c r="S26" i="11"/>
  <c r="T209" i="6"/>
  <c r="T210" i="6"/>
  <c r="Q212" i="6"/>
  <c r="ES98" i="1"/>
  <c r="EV97" i="1"/>
  <c r="EJ96" i="1"/>
  <c r="EG97" i="1"/>
  <c r="CZ97" i="1"/>
  <c r="CW98" i="1"/>
  <c r="C96" i="10"/>
  <c r="BM209" i="6"/>
  <c r="BP208" i="6"/>
  <c r="BA99" i="1"/>
  <c r="BD98" i="1"/>
  <c r="FT195" i="6"/>
  <c r="FQ196" i="6"/>
  <c r="AF212" i="6"/>
  <c r="AC213" i="6"/>
  <c r="F99" i="1"/>
  <c r="HN98" i="1"/>
  <c r="DX97" i="1"/>
  <c r="DU98" i="1"/>
  <c r="D97" i="10"/>
  <c r="CK196" i="6"/>
  <c r="CN195" i="6"/>
  <c r="HM195" i="6"/>
  <c r="HP195" i="6" s="1"/>
  <c r="AC107" i="6"/>
  <c r="AF106" i="6"/>
  <c r="FH196" i="6"/>
  <c r="FE197" i="6"/>
  <c r="DL97" i="1"/>
  <c r="DI98" i="1"/>
  <c r="GO196" i="6"/>
  <c r="GR195" i="6"/>
  <c r="HY97" i="1"/>
  <c r="BD209" i="6"/>
  <c r="BA212" i="6"/>
  <c r="BD210" i="6"/>
  <c r="U26" i="11"/>
  <c r="BM100" i="6"/>
  <c r="E212" i="6"/>
  <c r="H210" i="6"/>
  <c r="H209" i="6"/>
  <c r="Q26" i="11"/>
  <c r="H97" i="10"/>
  <c r="FH97" i="1"/>
  <c r="FE98" i="1"/>
  <c r="DJ288" i="1"/>
  <c r="F287" i="6"/>
  <c r="HM97" i="1" l="1"/>
  <c r="HP97" i="1" s="1"/>
  <c r="GR97" i="1"/>
  <c r="GO98" i="1"/>
  <c r="D98" i="10" s="1"/>
  <c r="CW198" i="6"/>
  <c r="CZ197" i="6"/>
  <c r="AF102" i="1"/>
  <c r="AF101" i="1"/>
  <c r="AC104" i="1"/>
  <c r="H105" i="6"/>
  <c r="E106" i="6"/>
  <c r="DI198" i="6"/>
  <c r="DL197" i="6"/>
  <c r="GF97" i="1"/>
  <c r="GC98" i="1"/>
  <c r="BP98" i="1"/>
  <c r="BM99" i="1"/>
  <c r="DU198" i="6"/>
  <c r="DX197" i="6"/>
  <c r="HD196" i="6"/>
  <c r="HA197" i="6"/>
  <c r="CB97" i="1"/>
  <c r="BY98" i="1"/>
  <c r="Q98" i="6"/>
  <c r="HM97" i="6"/>
  <c r="HP97" i="6" s="1"/>
  <c r="CK99" i="1"/>
  <c r="CN98" i="1"/>
  <c r="AR97" i="1"/>
  <c r="AO98" i="1"/>
  <c r="HX97" i="1"/>
  <c r="HA98" i="1"/>
  <c r="J98" i="10" s="1"/>
  <c r="HD97" i="1"/>
  <c r="IA97" i="1"/>
  <c r="H98" i="1"/>
  <c r="E99" i="1"/>
  <c r="BN216" i="6"/>
  <c r="HN215" i="6"/>
  <c r="BY197" i="6"/>
  <c r="CB196" i="6"/>
  <c r="HZ97" i="1"/>
  <c r="AO213" i="6"/>
  <c r="AR212" i="6"/>
  <c r="EJ196" i="6"/>
  <c r="EG197" i="6"/>
  <c r="EV197" i="6"/>
  <c r="ES198" i="6"/>
  <c r="GF198" i="6"/>
  <c r="GC199" i="6"/>
  <c r="ES99" i="1"/>
  <c r="EV98" i="1"/>
  <c r="AR113" i="6"/>
  <c r="AO114" i="6"/>
  <c r="F99" i="6"/>
  <c r="HN98" i="6"/>
  <c r="EJ97" i="1"/>
  <c r="EG98" i="1"/>
  <c r="HZ98" i="1" s="1"/>
  <c r="F97" i="10"/>
  <c r="Q99" i="1"/>
  <c r="T98" i="1"/>
  <c r="FQ100" i="1"/>
  <c r="FT99" i="1"/>
  <c r="Q213" i="6"/>
  <c r="T212" i="6"/>
  <c r="J97" i="10"/>
  <c r="FE99" i="1"/>
  <c r="FH98" i="1"/>
  <c r="BD99" i="1"/>
  <c r="BA100" i="1"/>
  <c r="BD212" i="6"/>
  <c r="BA213" i="6"/>
  <c r="GO197" i="6"/>
  <c r="GR196" i="6"/>
  <c r="CN196" i="6"/>
  <c r="CK197" i="6"/>
  <c r="HM196" i="6"/>
  <c r="HP196" i="6" s="1"/>
  <c r="HN99" i="1"/>
  <c r="F100" i="1"/>
  <c r="E213" i="6"/>
  <c r="H212" i="6"/>
  <c r="DL98" i="1"/>
  <c r="DI99" i="1"/>
  <c r="FE198" i="6"/>
  <c r="FH197" i="6"/>
  <c r="AF213" i="6"/>
  <c r="AC214" i="6"/>
  <c r="BP210" i="6"/>
  <c r="BM212" i="6"/>
  <c r="W26" i="11"/>
  <c r="BP209" i="6"/>
  <c r="CW99" i="1"/>
  <c r="CZ98" i="1"/>
  <c r="BM101" i="6"/>
  <c r="FT196" i="6"/>
  <c r="FQ197" i="6"/>
  <c r="HY98" i="1"/>
  <c r="AC108" i="6"/>
  <c r="AF107" i="6"/>
  <c r="DX98" i="1"/>
  <c r="DU99" i="1"/>
  <c r="DJ289" i="1"/>
  <c r="F288" i="6"/>
  <c r="C97" i="10" l="1"/>
  <c r="HM98" i="1"/>
  <c r="C98" i="10" s="1"/>
  <c r="GO99" i="1"/>
  <c r="GR98" i="1"/>
  <c r="E107" i="6"/>
  <c r="H106" i="6"/>
  <c r="AF104" i="1"/>
  <c r="AC105" i="1"/>
  <c r="CW199" i="6"/>
  <c r="CZ198" i="6"/>
  <c r="DU199" i="6"/>
  <c r="DX198" i="6"/>
  <c r="BM100" i="1"/>
  <c r="BP99" i="1"/>
  <c r="Q99" i="6"/>
  <c r="HM98" i="6"/>
  <c r="HP98" i="6" s="1"/>
  <c r="CB98" i="1"/>
  <c r="BY99" i="1"/>
  <c r="GC99" i="1"/>
  <c r="GF98" i="1"/>
  <c r="HA198" i="6"/>
  <c r="HD197" i="6"/>
  <c r="DL198" i="6"/>
  <c r="DI199" i="6"/>
  <c r="AR114" i="6"/>
  <c r="AO115" i="6"/>
  <c r="AR115" i="6" s="1"/>
  <c r="Q100" i="1"/>
  <c r="T99" i="1"/>
  <c r="EG198" i="6"/>
  <c r="EJ197" i="6"/>
  <c r="BN217" i="6"/>
  <c r="HN216" i="6"/>
  <c r="HA99" i="1"/>
  <c r="HD98" i="1"/>
  <c r="IA98" i="1"/>
  <c r="AO214" i="6"/>
  <c r="AR213" i="6"/>
  <c r="Q214" i="6"/>
  <c r="T213" i="6"/>
  <c r="EJ98" i="1"/>
  <c r="EG99" i="1"/>
  <c r="HZ99" i="1" s="1"/>
  <c r="GC200" i="6"/>
  <c r="GF199" i="6"/>
  <c r="HX98" i="1"/>
  <c r="H98" i="10"/>
  <c r="AR98" i="1"/>
  <c r="AO99" i="1"/>
  <c r="ES100" i="1"/>
  <c r="EV99" i="1"/>
  <c r="H99" i="1"/>
  <c r="E100" i="1"/>
  <c r="F98" i="10"/>
  <c r="EV198" i="6"/>
  <c r="ES199" i="6"/>
  <c r="CB197" i="6"/>
  <c r="BY198" i="6"/>
  <c r="FQ101" i="1"/>
  <c r="FT100" i="1"/>
  <c r="F100" i="6"/>
  <c r="HN99" i="6"/>
  <c r="CN99" i="1"/>
  <c r="CK100" i="1"/>
  <c r="FT197" i="6"/>
  <c r="FQ198" i="6"/>
  <c r="H213" i="6"/>
  <c r="E214" i="6"/>
  <c r="GR197" i="6"/>
  <c r="GO198" i="6"/>
  <c r="BD100" i="1"/>
  <c r="BA101" i="1"/>
  <c r="BP212" i="6"/>
  <c r="BM213" i="6"/>
  <c r="HP98" i="1"/>
  <c r="FH198" i="6"/>
  <c r="FE199" i="6"/>
  <c r="CK198" i="6"/>
  <c r="CN197" i="6"/>
  <c r="HM197" i="6"/>
  <c r="HP197" i="6" s="1"/>
  <c r="AC109" i="6"/>
  <c r="AF108" i="6"/>
  <c r="DI100" i="1"/>
  <c r="DL99" i="1"/>
  <c r="FH99" i="1"/>
  <c r="FE100" i="1"/>
  <c r="BP102" i="6"/>
  <c r="W14" i="11"/>
  <c r="BM104" i="6"/>
  <c r="CW100" i="1"/>
  <c r="CZ99" i="1"/>
  <c r="AF214" i="6"/>
  <c r="AC215" i="6"/>
  <c r="HN100" i="1"/>
  <c r="F101" i="1"/>
  <c r="BA214" i="6"/>
  <c r="BD213" i="6"/>
  <c r="DX99" i="1"/>
  <c r="DU100" i="1"/>
  <c r="D99" i="10"/>
  <c r="DJ290" i="1"/>
  <c r="F289" i="6"/>
  <c r="HM99" i="1" l="1"/>
  <c r="HP99" i="1" s="1"/>
  <c r="GR99" i="1"/>
  <c r="GO100" i="1"/>
  <c r="D100" i="10" s="1"/>
  <c r="CW200" i="6"/>
  <c r="CZ199" i="6"/>
  <c r="AF105" i="1"/>
  <c r="AC106" i="1"/>
  <c r="E108" i="6"/>
  <c r="H107" i="6"/>
  <c r="BY100" i="1"/>
  <c r="CB99" i="1"/>
  <c r="DL199" i="6"/>
  <c r="DI200" i="6"/>
  <c r="Q100" i="6"/>
  <c r="HM99" i="6"/>
  <c r="HP99" i="6" s="1"/>
  <c r="HA199" i="6"/>
  <c r="HD198" i="6"/>
  <c r="HY99" i="1"/>
  <c r="BM101" i="1"/>
  <c r="BP100" i="1"/>
  <c r="GC100" i="1"/>
  <c r="GF99" i="1"/>
  <c r="DX199" i="6"/>
  <c r="DU200" i="6"/>
  <c r="AR99" i="1"/>
  <c r="H99" i="10"/>
  <c r="AO100" i="1"/>
  <c r="H100" i="10" s="1"/>
  <c r="BN218" i="6"/>
  <c r="HN217" i="6"/>
  <c r="EV100" i="1"/>
  <c r="ES101" i="1"/>
  <c r="F101" i="6"/>
  <c r="HN100" i="6"/>
  <c r="Q215" i="6"/>
  <c r="T214" i="6"/>
  <c r="FT101" i="1"/>
  <c r="FQ104" i="1"/>
  <c r="FT102" i="1"/>
  <c r="HX99" i="1"/>
  <c r="AO215" i="6"/>
  <c r="AR214" i="6"/>
  <c r="CB198" i="6"/>
  <c r="BY199" i="6"/>
  <c r="E101" i="1"/>
  <c r="H100" i="1"/>
  <c r="T100" i="1"/>
  <c r="Q101" i="1"/>
  <c r="EG199" i="6"/>
  <c r="EJ198" i="6"/>
  <c r="GC203" i="6"/>
  <c r="GF201" i="6"/>
  <c r="GF200" i="6"/>
  <c r="CN100" i="1"/>
  <c r="CK101" i="1"/>
  <c r="EV199" i="6"/>
  <c r="ES200" i="6"/>
  <c r="EG100" i="1"/>
  <c r="EJ99" i="1"/>
  <c r="F99" i="10"/>
  <c r="HA100" i="1"/>
  <c r="HD99" i="1"/>
  <c r="J99" i="10"/>
  <c r="IA99" i="1"/>
  <c r="DI101" i="1"/>
  <c r="DL100" i="1"/>
  <c r="FH199" i="6"/>
  <c r="FE200" i="6"/>
  <c r="BA104" i="1"/>
  <c r="BD101" i="1"/>
  <c r="BD102" i="1"/>
  <c r="HY100" i="1"/>
  <c r="H214" i="6"/>
  <c r="E215" i="6"/>
  <c r="F104" i="1"/>
  <c r="HN101" i="1"/>
  <c r="CK199" i="6"/>
  <c r="CN198" i="6"/>
  <c r="HM198" i="6"/>
  <c r="HP198" i="6" s="1"/>
  <c r="BM105" i="6"/>
  <c r="BP104" i="6"/>
  <c r="FH100" i="1"/>
  <c r="FE101" i="1"/>
  <c r="DX100" i="1"/>
  <c r="DU101" i="1"/>
  <c r="AF215" i="6"/>
  <c r="AC216" i="6"/>
  <c r="BP213" i="6"/>
  <c r="BM214" i="6"/>
  <c r="CW101" i="1"/>
  <c r="CZ100" i="1"/>
  <c r="GO199" i="6"/>
  <c r="GR198" i="6"/>
  <c r="FT198" i="6"/>
  <c r="FQ199" i="6"/>
  <c r="BA215" i="6"/>
  <c r="BD214" i="6"/>
  <c r="C99" i="10"/>
  <c r="AC110" i="6"/>
  <c r="AF109" i="6"/>
  <c r="J100" i="10"/>
  <c r="DJ293" i="1"/>
  <c r="F290" i="6"/>
  <c r="GO101" i="1" l="1"/>
  <c r="GR100" i="1"/>
  <c r="E109" i="6"/>
  <c r="H108" i="6"/>
  <c r="AF106" i="1"/>
  <c r="AC107" i="1"/>
  <c r="CW203" i="6"/>
  <c r="CZ201" i="6"/>
  <c r="CZ200" i="6"/>
  <c r="DU203" i="6"/>
  <c r="DX200" i="6"/>
  <c r="DX201" i="6"/>
  <c r="HD199" i="6"/>
  <c r="HA200" i="6"/>
  <c r="Q101" i="6"/>
  <c r="HM100" i="6"/>
  <c r="HP100" i="6" s="1"/>
  <c r="GC101" i="1"/>
  <c r="GF100" i="1"/>
  <c r="DI203" i="6"/>
  <c r="DL201" i="6"/>
  <c r="DL200" i="6"/>
  <c r="BM104" i="1"/>
  <c r="BP101" i="1"/>
  <c r="BP102" i="1"/>
  <c r="BY101" i="1"/>
  <c r="CB100" i="1"/>
  <c r="BN221" i="6"/>
  <c r="HN218" i="6"/>
  <c r="HL229" i="6" s="1"/>
  <c r="ES203" i="6"/>
  <c r="EV201" i="6"/>
  <c r="EV200" i="6"/>
  <c r="AO101" i="1"/>
  <c r="HX102" i="1" s="1"/>
  <c r="AR100" i="1"/>
  <c r="HX100" i="1"/>
  <c r="CB199" i="6"/>
  <c r="BY200" i="6"/>
  <c r="EJ100" i="1"/>
  <c r="EG101" i="1"/>
  <c r="IH112" i="1" s="1"/>
  <c r="IH110" i="1" s="1"/>
  <c r="F100" i="10"/>
  <c r="EJ199" i="6"/>
  <c r="EG200" i="6"/>
  <c r="Q216" i="6"/>
  <c r="T215" i="6"/>
  <c r="CN101" i="1"/>
  <c r="CN102" i="1"/>
  <c r="CK104" i="1"/>
  <c r="Q104" i="1"/>
  <c r="T101" i="1"/>
  <c r="T102" i="1"/>
  <c r="AO216" i="6"/>
  <c r="AR215" i="6"/>
  <c r="HZ100" i="1"/>
  <c r="F104" i="6"/>
  <c r="HN101" i="6"/>
  <c r="HL112" i="6" s="1"/>
  <c r="GF203" i="6"/>
  <c r="GC204" i="6"/>
  <c r="HM100" i="1"/>
  <c r="HD100" i="1"/>
  <c r="HA101" i="1"/>
  <c r="IA100" i="1"/>
  <c r="ES104" i="1"/>
  <c r="EV102" i="1"/>
  <c r="EV101" i="1"/>
  <c r="H102" i="1"/>
  <c r="H101" i="1"/>
  <c r="E104" i="1"/>
  <c r="FQ105" i="1"/>
  <c r="FT104" i="1"/>
  <c r="BD104" i="1"/>
  <c r="BA105" i="1"/>
  <c r="DL101" i="1"/>
  <c r="DI104" i="1"/>
  <c r="DL102" i="1"/>
  <c r="AF216" i="6"/>
  <c r="AC217" i="6"/>
  <c r="F105" i="1"/>
  <c r="HN104" i="1"/>
  <c r="HL112" i="1" s="1"/>
  <c r="BD215" i="6"/>
  <c r="BA216" i="6"/>
  <c r="BM106" i="6"/>
  <c r="BP105" i="6"/>
  <c r="AF111" i="6"/>
  <c r="AC113" i="6"/>
  <c r="AF110" i="6"/>
  <c r="BM215" i="6"/>
  <c r="BP214" i="6"/>
  <c r="HY101" i="1"/>
  <c r="CK200" i="6"/>
  <c r="CN199" i="6"/>
  <c r="HM199" i="6"/>
  <c r="HP199" i="6" s="1"/>
  <c r="H215" i="6"/>
  <c r="E216" i="6"/>
  <c r="J101" i="10"/>
  <c r="FE203" i="6"/>
  <c r="FH200" i="6"/>
  <c r="FH201" i="6"/>
  <c r="GR199" i="6"/>
  <c r="GO200" i="6"/>
  <c r="FH102" i="1"/>
  <c r="FH101" i="1"/>
  <c r="FE104" i="1"/>
  <c r="FQ200" i="6"/>
  <c r="FT199" i="6"/>
  <c r="CZ101" i="1"/>
  <c r="CW104" i="1"/>
  <c r="CZ102" i="1"/>
  <c r="DU104" i="1"/>
  <c r="DX102" i="1"/>
  <c r="DX101" i="1"/>
  <c r="HZ102" i="1"/>
  <c r="F14" i="11"/>
  <c r="D101" i="10"/>
  <c r="HY102" i="1"/>
  <c r="L14" i="11"/>
  <c r="DJ294" i="1"/>
  <c r="F293" i="6"/>
  <c r="HZ101" i="1" l="1"/>
  <c r="GR102" i="1"/>
  <c r="GO104" i="1"/>
  <c r="GR101" i="1"/>
  <c r="CZ203" i="6"/>
  <c r="CW204" i="6"/>
  <c r="AF107" i="1"/>
  <c r="AC108" i="1"/>
  <c r="E110" i="6"/>
  <c r="H109" i="6"/>
  <c r="F101" i="10"/>
  <c r="IF112" i="1"/>
  <c r="IF110" i="1" s="1"/>
  <c r="T102" i="6"/>
  <c r="S14" i="11"/>
  <c r="Q104" i="6"/>
  <c r="HM101" i="6"/>
  <c r="BM105" i="1"/>
  <c r="BP104" i="1"/>
  <c r="HD201" i="6"/>
  <c r="HD200" i="6"/>
  <c r="HA203" i="6"/>
  <c r="DL203" i="6"/>
  <c r="DI204" i="6"/>
  <c r="DX203" i="6"/>
  <c r="DU204" i="6"/>
  <c r="CB102" i="1"/>
  <c r="BY104" i="1"/>
  <c r="HY104" i="1" s="1"/>
  <c r="CB101" i="1"/>
  <c r="GF101" i="1"/>
  <c r="GC104" i="1"/>
  <c r="GF102" i="1"/>
  <c r="IG112" i="1"/>
  <c r="IG110" i="1" s="1"/>
  <c r="HX101" i="1"/>
  <c r="EJ201" i="6"/>
  <c r="EJ200" i="6"/>
  <c r="EG203" i="6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HZ104" i="1" s="1"/>
  <c r="EJ102" i="1"/>
  <c r="EJ101" i="1"/>
  <c r="HA104" i="1"/>
  <c r="J104" i="10" s="1"/>
  <c r="HD101" i="1"/>
  <c r="HD102" i="1"/>
  <c r="IA101" i="1"/>
  <c r="IA102" i="1"/>
  <c r="II112" i="1"/>
  <c r="II110" i="1" s="1"/>
  <c r="ES204" i="6"/>
  <c r="EV203" i="6"/>
  <c r="AR216" i="6"/>
  <c r="AO217" i="6"/>
  <c r="CB200" i="6"/>
  <c r="BY203" i="6"/>
  <c r="CB201" i="6"/>
  <c r="AR101" i="1"/>
  <c r="AR102" i="1"/>
  <c r="J14" i="11"/>
  <c r="AO104" i="1"/>
  <c r="H104" i="10" s="1"/>
  <c r="HM101" i="1"/>
  <c r="HP100" i="1"/>
  <c r="C100" i="10"/>
  <c r="BN222" i="6"/>
  <c r="HN221" i="6"/>
  <c r="FQ106" i="1"/>
  <c r="FT105" i="1"/>
  <c r="GC205" i="6"/>
  <c r="GF204" i="6"/>
  <c r="H14" i="11"/>
  <c r="T216" i="6"/>
  <c r="Q217" i="6"/>
  <c r="AC114" i="6"/>
  <c r="AF113" i="6"/>
  <c r="GR200" i="6"/>
  <c r="GR201" i="6"/>
  <c r="GO203" i="6"/>
  <c r="CN200" i="6"/>
  <c r="CN201" i="6"/>
  <c r="CK203" i="6"/>
  <c r="HM200" i="6"/>
  <c r="CZ104" i="1"/>
  <c r="CW105" i="1"/>
  <c r="FT200" i="6"/>
  <c r="FT201" i="6"/>
  <c r="FQ203" i="6"/>
  <c r="FE204" i="6"/>
  <c r="FH203" i="6"/>
  <c r="BD216" i="6"/>
  <c r="BA217" i="6"/>
  <c r="DI105" i="1"/>
  <c r="DL104" i="1"/>
  <c r="FH104" i="1"/>
  <c r="FE105" i="1"/>
  <c r="BP106" i="6"/>
  <c r="BM107" i="6"/>
  <c r="F106" i="1"/>
  <c r="HN105" i="1"/>
  <c r="BA106" i="1"/>
  <c r="BD105" i="1"/>
  <c r="DU105" i="1"/>
  <c r="DX104" i="1"/>
  <c r="D104" i="10"/>
  <c r="E217" i="6"/>
  <c r="H216" i="6"/>
  <c r="BP215" i="6"/>
  <c r="BM216" i="6"/>
  <c r="AF217" i="6"/>
  <c r="AC218" i="6"/>
  <c r="DJ295" i="1"/>
  <c r="F294" i="6"/>
  <c r="GR104" i="1" l="1"/>
  <c r="GO105" i="1"/>
  <c r="E113" i="6"/>
  <c r="H110" i="6"/>
  <c r="H111" i="6"/>
  <c r="Q15" i="11"/>
  <c r="AC109" i="1"/>
  <c r="AF108" i="1"/>
  <c r="CZ204" i="6"/>
  <c r="CW205" i="6"/>
  <c r="CB104" i="1"/>
  <c r="BY105" i="1"/>
  <c r="HY105" i="1" s="1"/>
  <c r="DU205" i="6"/>
  <c r="DX204" i="6"/>
  <c r="BM106" i="1"/>
  <c r="BP105" i="1"/>
  <c r="HP101" i="6"/>
  <c r="HK112" i="6"/>
  <c r="HP102" i="6"/>
  <c r="DL204" i="6"/>
  <c r="DI205" i="6"/>
  <c r="Q105" i="6"/>
  <c r="T104" i="6"/>
  <c r="HM104" i="6"/>
  <c r="HP104" i="6" s="1"/>
  <c r="GF104" i="1"/>
  <c r="GC105" i="1"/>
  <c r="HA204" i="6"/>
  <c r="HD203" i="6"/>
  <c r="BN223" i="6"/>
  <c r="HN222" i="6"/>
  <c r="EG105" i="1"/>
  <c r="HZ105" i="1" s="1"/>
  <c r="EJ104" i="1"/>
  <c r="F106" i="6"/>
  <c r="HN105" i="6"/>
  <c r="GF205" i="6"/>
  <c r="GC206" i="6"/>
  <c r="BY204" i="6"/>
  <c r="CB203" i="6"/>
  <c r="CK106" i="1"/>
  <c r="CN105" i="1"/>
  <c r="ES106" i="1"/>
  <c r="EV105" i="1"/>
  <c r="F104" i="10"/>
  <c r="E106" i="1"/>
  <c r="H105" i="1"/>
  <c r="HP102" i="1"/>
  <c r="HP101" i="1"/>
  <c r="C101" i="10"/>
  <c r="AO218" i="6"/>
  <c r="AR217" i="6"/>
  <c r="EG204" i="6"/>
  <c r="EJ203" i="6"/>
  <c r="HX104" i="1"/>
  <c r="AO105" i="1"/>
  <c r="H105" i="10" s="1"/>
  <c r="HM104" i="1"/>
  <c r="AR104" i="1"/>
  <c r="HA105" i="1"/>
  <c r="HD104" i="1"/>
  <c r="IA104" i="1"/>
  <c r="T217" i="6"/>
  <c r="Q218" i="6"/>
  <c r="FQ107" i="1"/>
  <c r="FT106" i="1"/>
  <c r="T105" i="1"/>
  <c r="Q106" i="1"/>
  <c r="ES205" i="6"/>
  <c r="EV204" i="6"/>
  <c r="AC115" i="6"/>
  <c r="AF114" i="6"/>
  <c r="E218" i="6"/>
  <c r="H218" i="6" s="1"/>
  <c r="H217" i="6"/>
  <c r="DX105" i="1"/>
  <c r="DU106" i="1"/>
  <c r="D105" i="10"/>
  <c r="DI106" i="1"/>
  <c r="DL105" i="1"/>
  <c r="FE205" i="6"/>
  <c r="FH204" i="6"/>
  <c r="GR203" i="6"/>
  <c r="GO204" i="6"/>
  <c r="F107" i="1"/>
  <c r="HN106" i="1"/>
  <c r="BD217" i="6"/>
  <c r="BA218" i="6"/>
  <c r="FT203" i="6"/>
  <c r="FQ204" i="6"/>
  <c r="BP216" i="6"/>
  <c r="BM217" i="6"/>
  <c r="BA107" i="1"/>
  <c r="BD106" i="1"/>
  <c r="BP107" i="6"/>
  <c r="BM108" i="6"/>
  <c r="FH105" i="1"/>
  <c r="FE106" i="1"/>
  <c r="CK204" i="6"/>
  <c r="CN203" i="6"/>
  <c r="HM203" i="6"/>
  <c r="HP203" i="6" s="1"/>
  <c r="AF219" i="6"/>
  <c r="AC221" i="6"/>
  <c r="AF218" i="6"/>
  <c r="CZ105" i="1"/>
  <c r="CW106" i="1"/>
  <c r="HP200" i="6"/>
  <c r="HK211" i="6"/>
  <c r="HP201" i="6"/>
  <c r="DJ296" i="1"/>
  <c r="F295" i="6"/>
  <c r="GR105" i="1" l="1"/>
  <c r="GO106" i="1"/>
  <c r="AC110" i="1"/>
  <c r="AF109" i="1"/>
  <c r="CW206" i="6"/>
  <c r="CZ205" i="6"/>
  <c r="E114" i="6"/>
  <c r="H113" i="6"/>
  <c r="GF105" i="1"/>
  <c r="GC106" i="1"/>
  <c r="BP106" i="1"/>
  <c r="BM107" i="1"/>
  <c r="T105" i="6"/>
  <c r="Q106" i="6"/>
  <c r="HM105" i="6"/>
  <c r="HP105" i="6" s="1"/>
  <c r="DI206" i="6"/>
  <c r="DL205" i="6"/>
  <c r="DX205" i="6"/>
  <c r="DU206" i="6"/>
  <c r="F105" i="10"/>
  <c r="CB105" i="1"/>
  <c r="BY106" i="1"/>
  <c r="HY106" i="1" s="1"/>
  <c r="HA205" i="6"/>
  <c r="HD204" i="6"/>
  <c r="AR105" i="1"/>
  <c r="HX105" i="1"/>
  <c r="AO106" i="1"/>
  <c r="HM105" i="1"/>
  <c r="F107" i="6"/>
  <c r="HN106" i="6"/>
  <c r="EV205" i="6"/>
  <c r="ES206" i="6"/>
  <c r="CN106" i="1"/>
  <c r="CK107" i="1"/>
  <c r="C104" i="10"/>
  <c r="HP104" i="1"/>
  <c r="HK112" i="1"/>
  <c r="HX106" i="1"/>
  <c r="H106" i="1"/>
  <c r="E107" i="1"/>
  <c r="EJ105" i="1"/>
  <c r="EG106" i="1"/>
  <c r="H106" i="10"/>
  <c r="EG205" i="6"/>
  <c r="EJ204" i="6"/>
  <c r="CB204" i="6"/>
  <c r="BY205" i="6"/>
  <c r="FQ108" i="1"/>
  <c r="FT107" i="1"/>
  <c r="ES107" i="1"/>
  <c r="EV106" i="1"/>
  <c r="S27" i="11"/>
  <c r="T218" i="6"/>
  <c r="Q221" i="6"/>
  <c r="T219" i="6"/>
  <c r="T106" i="1"/>
  <c r="Q107" i="1"/>
  <c r="GC207" i="6"/>
  <c r="GF206" i="6"/>
  <c r="BN224" i="6"/>
  <c r="HN223" i="6"/>
  <c r="HA106" i="1"/>
  <c r="J106" i="10" s="1"/>
  <c r="HD105" i="1"/>
  <c r="IA105" i="1"/>
  <c r="J105" i="10"/>
  <c r="AR219" i="6"/>
  <c r="AR218" i="6"/>
  <c r="AO221" i="6"/>
  <c r="CK205" i="6"/>
  <c r="CN204" i="6"/>
  <c r="HM204" i="6"/>
  <c r="HP204" i="6" s="1"/>
  <c r="BA108" i="1"/>
  <c r="BD107" i="1"/>
  <c r="F108" i="1"/>
  <c r="HN107" i="1"/>
  <c r="FH106" i="1"/>
  <c r="FE107" i="1"/>
  <c r="GR204" i="6"/>
  <c r="GO205" i="6"/>
  <c r="H219" i="6"/>
  <c r="E221" i="6"/>
  <c r="Q27" i="11"/>
  <c r="CZ106" i="1"/>
  <c r="CW107" i="1"/>
  <c r="FT204" i="6"/>
  <c r="FQ205" i="6"/>
  <c r="AC222" i="6"/>
  <c r="AF221" i="6"/>
  <c r="BM109" i="6"/>
  <c r="BP108" i="6"/>
  <c r="FH205" i="6"/>
  <c r="FE206" i="6"/>
  <c r="DX106" i="1"/>
  <c r="DU107" i="1"/>
  <c r="HZ106" i="1"/>
  <c r="D106" i="10"/>
  <c r="BD218" i="6"/>
  <c r="BA221" i="6"/>
  <c r="BD219" i="6"/>
  <c r="U27" i="11"/>
  <c r="BP217" i="6"/>
  <c r="BM218" i="6"/>
  <c r="DI107" i="1"/>
  <c r="DL106" i="1"/>
  <c r="AF115" i="6"/>
  <c r="DJ297" i="1"/>
  <c r="F296" i="6"/>
  <c r="GO107" i="1" l="1"/>
  <c r="GR106" i="1"/>
  <c r="H114" i="6"/>
  <c r="E115" i="6"/>
  <c r="H115" i="6" s="1"/>
  <c r="CW207" i="6"/>
  <c r="CZ206" i="6"/>
  <c r="AC113" i="1"/>
  <c r="AF110" i="1"/>
  <c r="AF111" i="1"/>
  <c r="DL206" i="6"/>
  <c r="DI207" i="6"/>
  <c r="HD205" i="6"/>
  <c r="HA206" i="6"/>
  <c r="CB106" i="1"/>
  <c r="BY107" i="1"/>
  <c r="Q107" i="6"/>
  <c r="T106" i="6"/>
  <c r="HM106" i="6"/>
  <c r="HP106" i="6" s="1"/>
  <c r="BP107" i="1"/>
  <c r="BM108" i="1"/>
  <c r="DU207" i="6"/>
  <c r="DX206" i="6"/>
  <c r="HY107" i="1"/>
  <c r="GC107" i="1"/>
  <c r="GF106" i="1"/>
  <c r="CB205" i="6"/>
  <c r="BY206" i="6"/>
  <c r="AO222" i="6"/>
  <c r="AR221" i="6"/>
  <c r="T221" i="6"/>
  <c r="Q222" i="6"/>
  <c r="F108" i="6"/>
  <c r="HN107" i="6"/>
  <c r="GF207" i="6"/>
  <c r="GC208" i="6"/>
  <c r="EJ205" i="6"/>
  <c r="EG206" i="6"/>
  <c r="C105" i="10"/>
  <c r="HP105" i="1"/>
  <c r="HM106" i="1"/>
  <c r="AR106" i="1"/>
  <c r="AO107" i="1"/>
  <c r="ES108" i="1"/>
  <c r="EV107" i="1"/>
  <c r="EG107" i="1"/>
  <c r="EJ106" i="1"/>
  <c r="F106" i="10"/>
  <c r="CK108" i="1"/>
  <c r="CN107" i="1"/>
  <c r="BN225" i="6"/>
  <c r="HN224" i="6"/>
  <c r="Q108" i="1"/>
  <c r="T107" i="1"/>
  <c r="HA107" i="1"/>
  <c r="J107" i="10" s="1"/>
  <c r="HD106" i="1"/>
  <c r="IA106" i="1"/>
  <c r="FT108" i="1"/>
  <c r="FQ109" i="1"/>
  <c r="H107" i="1"/>
  <c r="E108" i="1"/>
  <c r="ES207" i="6"/>
  <c r="EV206" i="6"/>
  <c r="W27" i="11"/>
  <c r="BP219" i="6"/>
  <c r="BP218" i="6"/>
  <c r="BM221" i="6"/>
  <c r="FH107" i="1"/>
  <c r="FE108" i="1"/>
  <c r="CN205" i="6"/>
  <c r="CK206" i="6"/>
  <c r="HM205" i="6"/>
  <c r="HP205" i="6" s="1"/>
  <c r="AF222" i="6"/>
  <c r="AC223" i="6"/>
  <c r="FQ206" i="6"/>
  <c r="FT205" i="6"/>
  <c r="E222" i="6"/>
  <c r="H221" i="6"/>
  <c r="GO206" i="6"/>
  <c r="GR205" i="6"/>
  <c r="F109" i="1"/>
  <c r="HN108" i="1"/>
  <c r="DU108" i="1"/>
  <c r="DX107" i="1"/>
  <c r="D107" i="10"/>
  <c r="BA222" i="6"/>
  <c r="BD221" i="6"/>
  <c r="DL107" i="1"/>
  <c r="DI108" i="1"/>
  <c r="CZ107" i="1"/>
  <c r="CW108" i="1"/>
  <c r="BD108" i="1"/>
  <c r="BA109" i="1"/>
  <c r="FE207" i="6"/>
  <c r="FH206" i="6"/>
  <c r="BP109" i="6"/>
  <c r="BM110" i="6"/>
  <c r="DJ298" i="1"/>
  <c r="F297" i="6"/>
  <c r="GR107" i="1" l="1"/>
  <c r="GO108" i="1"/>
  <c r="D108" i="10" s="1"/>
  <c r="AC114" i="1"/>
  <c r="AF113" i="1"/>
  <c r="CZ207" i="6"/>
  <c r="CW208" i="6"/>
  <c r="HM107" i="1"/>
  <c r="HP107" i="1" s="1"/>
  <c r="GF107" i="1"/>
  <c r="GC108" i="1"/>
  <c r="Q108" i="6"/>
  <c r="T107" i="6"/>
  <c r="HM107" i="6"/>
  <c r="HP107" i="6" s="1"/>
  <c r="BY108" i="1"/>
  <c r="CB107" i="1"/>
  <c r="DX207" i="6"/>
  <c r="DU208" i="6"/>
  <c r="HD206" i="6"/>
  <c r="HA207" i="6"/>
  <c r="BM109" i="1"/>
  <c r="BP108" i="1"/>
  <c r="DL207" i="6"/>
  <c r="DI208" i="6"/>
  <c r="ES208" i="6"/>
  <c r="EV207" i="6"/>
  <c r="T108" i="1"/>
  <c r="Q109" i="1"/>
  <c r="Q223" i="6"/>
  <c r="T222" i="6"/>
  <c r="FT109" i="1"/>
  <c r="FQ110" i="1"/>
  <c r="EV108" i="1"/>
  <c r="ES109" i="1"/>
  <c r="E109" i="1"/>
  <c r="H108" i="1"/>
  <c r="BN226" i="6"/>
  <c r="HN225" i="6"/>
  <c r="H107" i="10"/>
  <c r="AO108" i="1"/>
  <c r="H108" i="10" s="1"/>
  <c r="AR107" i="1"/>
  <c r="HX107" i="1"/>
  <c r="EG207" i="6"/>
  <c r="EJ206" i="6"/>
  <c r="EG108" i="1"/>
  <c r="EJ107" i="1"/>
  <c r="F107" i="10"/>
  <c r="HZ107" i="1"/>
  <c r="AR222" i="6"/>
  <c r="AO223" i="6"/>
  <c r="CK109" i="1"/>
  <c r="CN108" i="1"/>
  <c r="C106" i="10"/>
  <c r="HP106" i="1"/>
  <c r="GC209" i="6"/>
  <c r="GF208" i="6"/>
  <c r="CB206" i="6"/>
  <c r="BY207" i="6"/>
  <c r="F109" i="6"/>
  <c r="HN108" i="6"/>
  <c r="HA108" i="1"/>
  <c r="HD107" i="1"/>
  <c r="IA107" i="1"/>
  <c r="BP110" i="6"/>
  <c r="BM113" i="6"/>
  <c r="BP111" i="6"/>
  <c r="W15" i="11"/>
  <c r="CZ108" i="1"/>
  <c r="CW109" i="1"/>
  <c r="FT206" i="6"/>
  <c r="FQ207" i="6"/>
  <c r="FH108" i="1"/>
  <c r="FE109" i="1"/>
  <c r="DL108" i="1"/>
  <c r="DI109" i="1"/>
  <c r="DU109" i="1"/>
  <c r="HZ108" i="1"/>
  <c r="DX108" i="1"/>
  <c r="AF223" i="6"/>
  <c r="AC224" i="6"/>
  <c r="FE208" i="6"/>
  <c r="FH207" i="6"/>
  <c r="GO207" i="6"/>
  <c r="GR206" i="6"/>
  <c r="BM222" i="6"/>
  <c r="BP221" i="6"/>
  <c r="BD109" i="1"/>
  <c r="BA110" i="1"/>
  <c r="BA223" i="6"/>
  <c r="BD222" i="6"/>
  <c r="CK207" i="6"/>
  <c r="CN206" i="6"/>
  <c r="HM206" i="6"/>
  <c r="HP206" i="6" s="1"/>
  <c r="E223" i="6"/>
  <c r="H222" i="6"/>
  <c r="HN109" i="1"/>
  <c r="F110" i="1"/>
  <c r="DJ299" i="1"/>
  <c r="F298" i="6"/>
  <c r="C107" i="10" l="1"/>
  <c r="GR108" i="1"/>
  <c r="GO109" i="1"/>
  <c r="CW209" i="6"/>
  <c r="CZ208" i="6"/>
  <c r="AF114" i="1"/>
  <c r="AC115" i="1"/>
  <c r="DL208" i="6"/>
  <c r="DI209" i="6"/>
  <c r="BY109" i="1"/>
  <c r="CB108" i="1"/>
  <c r="HY108" i="1"/>
  <c r="BM110" i="1"/>
  <c r="BP109" i="1"/>
  <c r="HM108" i="1"/>
  <c r="HP108" i="1" s="1"/>
  <c r="HA208" i="6"/>
  <c r="HD207" i="6"/>
  <c r="T108" i="6"/>
  <c r="Q109" i="6"/>
  <c r="HM108" i="6"/>
  <c r="HP108" i="6" s="1"/>
  <c r="GC109" i="1"/>
  <c r="GF108" i="1"/>
  <c r="DX208" i="6"/>
  <c r="DU209" i="6"/>
  <c r="GC212" i="6"/>
  <c r="GF210" i="6"/>
  <c r="GF209" i="6"/>
  <c r="HA109" i="1"/>
  <c r="HD108" i="1"/>
  <c r="IA108" i="1"/>
  <c r="EG109" i="1"/>
  <c r="HZ109" i="1" s="1"/>
  <c r="EJ108" i="1"/>
  <c r="F108" i="10"/>
  <c r="BN227" i="6"/>
  <c r="HN226" i="6"/>
  <c r="Q224" i="6"/>
  <c r="T223" i="6"/>
  <c r="T109" i="1"/>
  <c r="Q110" i="1"/>
  <c r="F110" i="6"/>
  <c r="HN109" i="6"/>
  <c r="CK110" i="1"/>
  <c r="CN109" i="1"/>
  <c r="EG208" i="6"/>
  <c r="EJ207" i="6"/>
  <c r="E110" i="1"/>
  <c r="H109" i="1"/>
  <c r="CB207" i="6"/>
  <c r="BY208" i="6"/>
  <c r="AO224" i="6"/>
  <c r="AR223" i="6"/>
  <c r="ES110" i="1"/>
  <c r="EV109" i="1"/>
  <c r="EV208" i="6"/>
  <c r="ES209" i="6"/>
  <c r="HX108" i="1"/>
  <c r="AR108" i="1"/>
  <c r="AO109" i="1"/>
  <c r="FT111" i="1"/>
  <c r="FT110" i="1"/>
  <c r="FQ113" i="1"/>
  <c r="J108" i="10"/>
  <c r="H223" i="6"/>
  <c r="E224" i="6"/>
  <c r="BA224" i="6"/>
  <c r="BD223" i="6"/>
  <c r="FT207" i="6"/>
  <c r="FQ208" i="6"/>
  <c r="BA113" i="1"/>
  <c r="BD111" i="1"/>
  <c r="BD110" i="1"/>
  <c r="GR207" i="6"/>
  <c r="GO208" i="6"/>
  <c r="AF224" i="6"/>
  <c r="AC225" i="6"/>
  <c r="DX109" i="1"/>
  <c r="DU110" i="1"/>
  <c r="D109" i="10"/>
  <c r="FE209" i="6"/>
  <c r="FH208" i="6"/>
  <c r="DL109" i="1"/>
  <c r="DI110" i="1"/>
  <c r="F113" i="1"/>
  <c r="HN110" i="1"/>
  <c r="BM223" i="6"/>
  <c r="BP222" i="6"/>
  <c r="HY109" i="1"/>
  <c r="FH109" i="1"/>
  <c r="FE110" i="1"/>
  <c r="CW110" i="1"/>
  <c r="CZ109" i="1"/>
  <c r="BM114" i="6"/>
  <c r="BP113" i="6"/>
  <c r="CK208" i="6"/>
  <c r="CN207" i="6"/>
  <c r="HM207" i="6"/>
  <c r="HP207" i="6" s="1"/>
  <c r="DJ302" i="1"/>
  <c r="F299" i="6"/>
  <c r="C108" i="10" l="1"/>
  <c r="GR109" i="1"/>
  <c r="GO110" i="1"/>
  <c r="F109" i="10"/>
  <c r="AF115" i="1"/>
  <c r="AC116" i="1"/>
  <c r="CZ209" i="6"/>
  <c r="CW212" i="6"/>
  <c r="CZ210" i="6"/>
  <c r="GC110" i="1"/>
  <c r="GF109" i="1"/>
  <c r="BM113" i="1"/>
  <c r="BP111" i="1"/>
  <c r="BP110" i="1"/>
  <c r="T109" i="6"/>
  <c r="Q110" i="6"/>
  <c r="HM109" i="6"/>
  <c r="HP109" i="6" s="1"/>
  <c r="BY110" i="1"/>
  <c r="HY111" i="1" s="1"/>
  <c r="CB109" i="1"/>
  <c r="DI212" i="6"/>
  <c r="DL210" i="6"/>
  <c r="DL209" i="6"/>
  <c r="DX209" i="6"/>
  <c r="DX210" i="6"/>
  <c r="DU212" i="6"/>
  <c r="HD208" i="6"/>
  <c r="HA209" i="6"/>
  <c r="FT113" i="1"/>
  <c r="FQ114" i="1"/>
  <c r="T111" i="1"/>
  <c r="T110" i="1"/>
  <c r="Q113" i="1"/>
  <c r="H111" i="1"/>
  <c r="H110" i="1"/>
  <c r="E113" i="1"/>
  <c r="AO110" i="1"/>
  <c r="IF121" i="1" s="1"/>
  <c r="IF119" i="1" s="1"/>
  <c r="AR109" i="1"/>
  <c r="HX109" i="1"/>
  <c r="HM109" i="1"/>
  <c r="H109" i="10"/>
  <c r="EV111" i="1"/>
  <c r="ES113" i="1"/>
  <c r="EV110" i="1"/>
  <c r="EJ208" i="6"/>
  <c r="EG209" i="6"/>
  <c r="ES212" i="6"/>
  <c r="EV210" i="6"/>
  <c r="EV209" i="6"/>
  <c r="EJ109" i="1"/>
  <c r="EG110" i="1"/>
  <c r="F110" i="10" s="1"/>
  <c r="Q225" i="6"/>
  <c r="T224" i="6"/>
  <c r="HA110" i="1"/>
  <c r="L15" i="11" s="1"/>
  <c r="HD109" i="1"/>
  <c r="IA109" i="1"/>
  <c r="J109" i="10"/>
  <c r="AO225" i="6"/>
  <c r="AR224" i="6"/>
  <c r="CK113" i="1"/>
  <c r="CN110" i="1"/>
  <c r="CN111" i="1"/>
  <c r="BY209" i="6"/>
  <c r="CB208" i="6"/>
  <c r="BN230" i="6"/>
  <c r="HN227" i="6"/>
  <c r="HL238" i="6" s="1"/>
  <c r="IG121" i="1"/>
  <c r="IG119" i="1" s="1"/>
  <c r="F113" i="6"/>
  <c r="HN110" i="6"/>
  <c r="HL121" i="6" s="1"/>
  <c r="GF212" i="6"/>
  <c r="GC213" i="6"/>
  <c r="GO209" i="6"/>
  <c r="GR208" i="6"/>
  <c r="CK209" i="6"/>
  <c r="CN208" i="6"/>
  <c r="HM208" i="6"/>
  <c r="HP208" i="6" s="1"/>
  <c r="CW113" i="1"/>
  <c r="CZ110" i="1"/>
  <c r="CZ111" i="1"/>
  <c r="BM224" i="6"/>
  <c r="BP223" i="6"/>
  <c r="FH209" i="6"/>
  <c r="FE212" i="6"/>
  <c r="FH210" i="6"/>
  <c r="FQ209" i="6"/>
  <c r="FT208" i="6"/>
  <c r="BA225" i="6"/>
  <c r="BD224" i="6"/>
  <c r="F114" i="1"/>
  <c r="HN113" i="1"/>
  <c r="HL121" i="1" s="1"/>
  <c r="DU113" i="1"/>
  <c r="DX110" i="1"/>
  <c r="DX111" i="1"/>
  <c r="F15" i="11"/>
  <c r="D110" i="10"/>
  <c r="DL111" i="1"/>
  <c r="DI113" i="1"/>
  <c r="DL110" i="1"/>
  <c r="AC226" i="6"/>
  <c r="AF225" i="6"/>
  <c r="BD113" i="1"/>
  <c r="BA114" i="1"/>
  <c r="H224" i="6"/>
  <c r="E225" i="6"/>
  <c r="BP114" i="6"/>
  <c r="BM115" i="6"/>
  <c r="FH110" i="1"/>
  <c r="FE113" i="1"/>
  <c r="FH111" i="1"/>
  <c r="DJ303" i="1"/>
  <c r="F302" i="6"/>
  <c r="HZ110" i="1" l="1"/>
  <c r="IH121" i="1"/>
  <c r="IH119" i="1" s="1"/>
  <c r="HZ111" i="1"/>
  <c r="J110" i="10"/>
  <c r="GO113" i="1"/>
  <c r="GR110" i="1"/>
  <c r="GR111" i="1"/>
  <c r="H15" i="11"/>
  <c r="CZ212" i="6"/>
  <c r="CW213" i="6"/>
  <c r="AF116" i="1"/>
  <c r="AC117" i="1"/>
  <c r="DX212" i="6"/>
  <c r="DU213" i="6"/>
  <c r="T110" i="6"/>
  <c r="S15" i="11"/>
  <c r="T111" i="6"/>
  <c r="Q113" i="6"/>
  <c r="HM110" i="6"/>
  <c r="DL212" i="6"/>
  <c r="DI213" i="6"/>
  <c r="BP113" i="1"/>
  <c r="BM114" i="1"/>
  <c r="HD209" i="6"/>
  <c r="HD210" i="6"/>
  <c r="HA212" i="6"/>
  <c r="CB110" i="1"/>
  <c r="CB111" i="1"/>
  <c r="BY113" i="1"/>
  <c r="HY113" i="1" s="1"/>
  <c r="HY110" i="1"/>
  <c r="GF111" i="1"/>
  <c r="GC113" i="1"/>
  <c r="GF110" i="1"/>
  <c r="CN113" i="1"/>
  <c r="CK114" i="1"/>
  <c r="HD111" i="1"/>
  <c r="HD110" i="1"/>
  <c r="HA113" i="1"/>
  <c r="J113" i="10" s="1"/>
  <c r="IA111" i="1"/>
  <c r="IA110" i="1"/>
  <c r="II121" i="1"/>
  <c r="II119" i="1" s="1"/>
  <c r="EV212" i="6"/>
  <c r="ES213" i="6"/>
  <c r="J15" i="11"/>
  <c r="T225" i="6"/>
  <c r="Q226" i="6"/>
  <c r="GC214" i="6"/>
  <c r="GF213" i="6"/>
  <c r="CB209" i="6"/>
  <c r="CB210" i="6"/>
  <c r="BY212" i="6"/>
  <c r="HX111" i="1"/>
  <c r="T113" i="1"/>
  <c r="Q114" i="1"/>
  <c r="BN231" i="6"/>
  <c r="HN230" i="6"/>
  <c r="HM110" i="1"/>
  <c r="HP111" i="1" s="1"/>
  <c r="HX110" i="1"/>
  <c r="EG113" i="1"/>
  <c r="HZ113" i="1" s="1"/>
  <c r="EJ111" i="1"/>
  <c r="EJ110" i="1"/>
  <c r="ES114" i="1"/>
  <c r="EV113" i="1"/>
  <c r="H113" i="1"/>
  <c r="E114" i="1"/>
  <c r="AR225" i="6"/>
  <c r="AO226" i="6"/>
  <c r="H110" i="10"/>
  <c r="F114" i="6"/>
  <c r="HN113" i="6"/>
  <c r="FQ115" i="1"/>
  <c r="FT114" i="1"/>
  <c r="EJ209" i="6"/>
  <c r="EG212" i="6"/>
  <c r="EJ210" i="6"/>
  <c r="AR111" i="1"/>
  <c r="AR110" i="1"/>
  <c r="AO113" i="1"/>
  <c r="HX113" i="1" s="1"/>
  <c r="HP109" i="1"/>
  <c r="C109" i="10"/>
  <c r="E226" i="6"/>
  <c r="H225" i="6"/>
  <c r="FE213" i="6"/>
  <c r="FH212" i="6"/>
  <c r="CN209" i="6"/>
  <c r="CK212" i="6"/>
  <c r="CN210" i="6"/>
  <c r="HM209" i="6"/>
  <c r="FH113" i="1"/>
  <c r="FE114" i="1"/>
  <c r="AF226" i="6"/>
  <c r="AC227" i="6"/>
  <c r="BD114" i="1"/>
  <c r="BA115" i="1"/>
  <c r="BA226" i="6"/>
  <c r="BD225" i="6"/>
  <c r="BM225" i="6"/>
  <c r="BP224" i="6"/>
  <c r="DL113" i="1"/>
  <c r="DI114" i="1"/>
  <c r="F115" i="1"/>
  <c r="HN114" i="1"/>
  <c r="BP115" i="6"/>
  <c r="FT209" i="6"/>
  <c r="FQ212" i="6"/>
  <c r="FT210" i="6"/>
  <c r="GR209" i="6"/>
  <c r="GO212" i="6"/>
  <c r="GR210" i="6"/>
  <c r="DU114" i="1"/>
  <c r="DX113" i="1"/>
  <c r="D113" i="10"/>
  <c r="CW114" i="1"/>
  <c r="CZ113" i="1"/>
  <c r="DJ304" i="1"/>
  <c r="F303" i="6"/>
  <c r="GO114" i="1" l="1"/>
  <c r="D114" i="10" s="1"/>
  <c r="GR113" i="1"/>
  <c r="AC118" i="1"/>
  <c r="AF117" i="1"/>
  <c r="CZ213" i="6"/>
  <c r="CW214" i="6"/>
  <c r="HD212" i="6"/>
  <c r="HA213" i="6"/>
  <c r="HK121" i="6"/>
  <c r="HP110" i="6"/>
  <c r="HP111" i="6"/>
  <c r="T113" i="6"/>
  <c r="Q114" i="6"/>
  <c r="HM113" i="6"/>
  <c r="HP113" i="6" s="1"/>
  <c r="GF113" i="1"/>
  <c r="GC114" i="1"/>
  <c r="BP114" i="1"/>
  <c r="BM115" i="1"/>
  <c r="HM113" i="1"/>
  <c r="C113" i="10" s="1"/>
  <c r="CB113" i="1"/>
  <c r="BY114" i="1"/>
  <c r="DU214" i="6"/>
  <c r="DX213" i="6"/>
  <c r="DL213" i="6"/>
  <c r="DI214" i="6"/>
  <c r="F115" i="6"/>
  <c r="HN115" i="6" s="1"/>
  <c r="HN114" i="6"/>
  <c r="EV114" i="1"/>
  <c r="ES115" i="1"/>
  <c r="BN232" i="6"/>
  <c r="HN231" i="6"/>
  <c r="GC215" i="6"/>
  <c r="GF214" i="6"/>
  <c r="HP110" i="1"/>
  <c r="EG213" i="6"/>
  <c r="EJ212" i="6"/>
  <c r="AO227" i="6"/>
  <c r="AR226" i="6"/>
  <c r="Q115" i="1"/>
  <c r="T114" i="1"/>
  <c r="T226" i="6"/>
  <c r="Q227" i="6"/>
  <c r="HD113" i="1"/>
  <c r="HA114" i="1"/>
  <c r="IA113" i="1"/>
  <c r="C110" i="10"/>
  <c r="H114" i="1"/>
  <c r="E115" i="1"/>
  <c r="EG114" i="1"/>
  <c r="HZ114" i="1" s="1"/>
  <c r="EJ113" i="1"/>
  <c r="F113" i="10"/>
  <c r="FQ116" i="1"/>
  <c r="FT115" i="1"/>
  <c r="CB212" i="6"/>
  <c r="BY213" i="6"/>
  <c r="EV213" i="6"/>
  <c r="ES214" i="6"/>
  <c r="CN114" i="1"/>
  <c r="CK115" i="1"/>
  <c r="H113" i="10"/>
  <c r="AO114" i="1"/>
  <c r="H114" i="10" s="1"/>
  <c r="AR113" i="1"/>
  <c r="HN115" i="1"/>
  <c r="F116" i="1"/>
  <c r="BM226" i="6"/>
  <c r="BP225" i="6"/>
  <c r="HK220" i="6"/>
  <c r="HP210" i="6"/>
  <c r="HP209" i="6"/>
  <c r="FT212" i="6"/>
  <c r="FQ213" i="6"/>
  <c r="BA116" i="1"/>
  <c r="BD115" i="1"/>
  <c r="H226" i="6"/>
  <c r="E227" i="6"/>
  <c r="CW115" i="1"/>
  <c r="CZ114" i="1"/>
  <c r="DX114" i="1"/>
  <c r="DU115" i="1"/>
  <c r="CK213" i="6"/>
  <c r="CN212" i="6"/>
  <c r="HM212" i="6"/>
  <c r="HP212" i="6" s="1"/>
  <c r="AF228" i="6"/>
  <c r="AF227" i="6"/>
  <c r="AC230" i="6"/>
  <c r="DI115" i="1"/>
  <c r="DL114" i="1"/>
  <c r="BA227" i="6"/>
  <c r="BD226" i="6"/>
  <c r="GR212" i="6"/>
  <c r="GO213" i="6"/>
  <c r="FH114" i="1"/>
  <c r="FE115" i="1"/>
  <c r="FH213" i="6"/>
  <c r="FE214" i="6"/>
  <c r="DJ305" i="1"/>
  <c r="F304" i="6"/>
  <c r="HP113" i="1" l="1"/>
  <c r="HK121" i="1"/>
  <c r="GO115" i="1"/>
  <c r="GR114" i="1"/>
  <c r="CZ214" i="6"/>
  <c r="CW215" i="6"/>
  <c r="AC119" i="1"/>
  <c r="AF118" i="1"/>
  <c r="HM114" i="1"/>
  <c r="C114" i="10" s="1"/>
  <c r="DX214" i="6"/>
  <c r="DU215" i="6"/>
  <c r="Q115" i="6"/>
  <c r="T114" i="6"/>
  <c r="HM114" i="6"/>
  <c r="HP114" i="6" s="1"/>
  <c r="DI215" i="6"/>
  <c r="DL214" i="6"/>
  <c r="BP115" i="1"/>
  <c r="BM116" i="1"/>
  <c r="BY115" i="1"/>
  <c r="CB114" i="1"/>
  <c r="HY114" i="1"/>
  <c r="GC115" i="1"/>
  <c r="GF114" i="1"/>
  <c r="HA214" i="6"/>
  <c r="HD213" i="6"/>
  <c r="ES116" i="1"/>
  <c r="EV115" i="1"/>
  <c r="EG214" i="6"/>
  <c r="EJ213" i="6"/>
  <c r="FQ117" i="1"/>
  <c r="FT116" i="1"/>
  <c r="EV214" i="6"/>
  <c r="ES215" i="6"/>
  <c r="EG115" i="1"/>
  <c r="HZ115" i="1" s="1"/>
  <c r="EJ114" i="1"/>
  <c r="F114" i="10"/>
  <c r="T228" i="6"/>
  <c r="Q230" i="6"/>
  <c r="T227" i="6"/>
  <c r="S28" i="11"/>
  <c r="AR228" i="6"/>
  <c r="AO230" i="6"/>
  <c r="AR227" i="6"/>
  <c r="H115" i="1"/>
  <c r="E116" i="1"/>
  <c r="CK116" i="1"/>
  <c r="CN115" i="1"/>
  <c r="HA115" i="1"/>
  <c r="HD114" i="1"/>
  <c r="IA114" i="1"/>
  <c r="BY214" i="6"/>
  <c r="CB213" i="6"/>
  <c r="GF215" i="6"/>
  <c r="GC216" i="6"/>
  <c r="T115" i="1"/>
  <c r="Q116" i="1"/>
  <c r="AR114" i="1"/>
  <c r="HX114" i="1"/>
  <c r="AO115" i="1"/>
  <c r="J114" i="10"/>
  <c r="BN233" i="6"/>
  <c r="HN232" i="6"/>
  <c r="BA230" i="6"/>
  <c r="BD228" i="6"/>
  <c r="BD227" i="6"/>
  <c r="U28" i="11"/>
  <c r="AC231" i="6"/>
  <c r="AF230" i="6"/>
  <c r="BD116" i="1"/>
  <c r="BA117" i="1"/>
  <c r="DI116" i="1"/>
  <c r="DL115" i="1"/>
  <c r="CN213" i="6"/>
  <c r="CK214" i="6"/>
  <c r="HM213" i="6"/>
  <c r="HP213" i="6" s="1"/>
  <c r="FH214" i="6"/>
  <c r="FE215" i="6"/>
  <c r="HY115" i="1"/>
  <c r="DU116" i="1"/>
  <c r="DX115" i="1"/>
  <c r="D115" i="10"/>
  <c r="H227" i="6"/>
  <c r="H228" i="6"/>
  <c r="E230" i="6"/>
  <c r="Q28" i="11"/>
  <c r="BM227" i="6"/>
  <c r="BP226" i="6"/>
  <c r="F117" i="1"/>
  <c r="HN116" i="1"/>
  <c r="FE116" i="1"/>
  <c r="FH115" i="1"/>
  <c r="GO214" i="6"/>
  <c r="GR213" i="6"/>
  <c r="FQ214" i="6"/>
  <c r="FT213" i="6"/>
  <c r="CZ115" i="1"/>
  <c r="CW116" i="1"/>
  <c r="DJ306" i="1"/>
  <c r="F305" i="6"/>
  <c r="HP114" i="1" l="1"/>
  <c r="GO116" i="1"/>
  <c r="GR115" i="1"/>
  <c r="AF119" i="1"/>
  <c r="AF120" i="1"/>
  <c r="AC122" i="1"/>
  <c r="CZ215" i="6"/>
  <c r="CW216" i="6"/>
  <c r="DI216" i="6"/>
  <c r="DL215" i="6"/>
  <c r="GF115" i="1"/>
  <c r="GC116" i="1"/>
  <c r="T115" i="6"/>
  <c r="HM115" i="6"/>
  <c r="HP115" i="6" s="1"/>
  <c r="HD214" i="6"/>
  <c r="HA215" i="6"/>
  <c r="BY116" i="1"/>
  <c r="HY116" i="1" s="1"/>
  <c r="CB115" i="1"/>
  <c r="DX215" i="6"/>
  <c r="DU216" i="6"/>
  <c r="F115" i="10"/>
  <c r="BP116" i="1"/>
  <c r="BM117" i="1"/>
  <c r="CN116" i="1"/>
  <c r="CK117" i="1"/>
  <c r="T230" i="6"/>
  <c r="Q231" i="6"/>
  <c r="FT117" i="1"/>
  <c r="FQ118" i="1"/>
  <c r="HD115" i="1"/>
  <c r="HA116" i="1"/>
  <c r="IA115" i="1"/>
  <c r="HX115" i="1"/>
  <c r="H115" i="10"/>
  <c r="HM115" i="1"/>
  <c r="AR115" i="1"/>
  <c r="AO116" i="1"/>
  <c r="H116" i="10" s="1"/>
  <c r="BY215" i="6"/>
  <c r="CB214" i="6"/>
  <c r="H116" i="1"/>
  <c r="E117" i="1"/>
  <c r="EJ214" i="6"/>
  <c r="EG215" i="6"/>
  <c r="J115" i="10"/>
  <c r="T116" i="1"/>
  <c r="Q117" i="1"/>
  <c r="GF216" i="6"/>
  <c r="GC217" i="6"/>
  <c r="AR230" i="6"/>
  <c r="AO231" i="6"/>
  <c r="EJ115" i="1"/>
  <c r="EG116" i="1"/>
  <c r="BN234" i="6"/>
  <c r="HN233" i="6"/>
  <c r="ES216" i="6"/>
  <c r="EV215" i="6"/>
  <c r="ES117" i="1"/>
  <c r="EV116" i="1"/>
  <c r="FH116" i="1"/>
  <c r="FE117" i="1"/>
  <c r="FQ215" i="6"/>
  <c r="FT214" i="6"/>
  <c r="BM230" i="6"/>
  <c r="BP227" i="6"/>
  <c r="BP228" i="6"/>
  <c r="W28" i="11"/>
  <c r="AC232" i="6"/>
  <c r="AF231" i="6"/>
  <c r="DU117" i="1"/>
  <c r="HZ116" i="1"/>
  <c r="DX116" i="1"/>
  <c r="D116" i="10"/>
  <c r="H230" i="6"/>
  <c r="E231" i="6"/>
  <c r="BA118" i="1"/>
  <c r="BD117" i="1"/>
  <c r="BD230" i="6"/>
  <c r="BA231" i="6"/>
  <c r="F118" i="1"/>
  <c r="HN117" i="1"/>
  <c r="GO215" i="6"/>
  <c r="GR214" i="6"/>
  <c r="FE216" i="6"/>
  <c r="FH215" i="6"/>
  <c r="CZ116" i="1"/>
  <c r="CW117" i="1"/>
  <c r="CN214" i="6"/>
  <c r="CK215" i="6"/>
  <c r="HM214" i="6"/>
  <c r="HP214" i="6" s="1"/>
  <c r="DI117" i="1"/>
  <c r="DL116" i="1"/>
  <c r="DJ307" i="1"/>
  <c r="F306" i="6"/>
  <c r="GO117" i="1" l="1"/>
  <c r="D117" i="10" s="1"/>
  <c r="GR116" i="1"/>
  <c r="CW217" i="6"/>
  <c r="CZ216" i="6"/>
  <c r="AC123" i="1"/>
  <c r="AF122" i="1"/>
  <c r="F116" i="10"/>
  <c r="HM116" i="1"/>
  <c r="HP116" i="1" s="1"/>
  <c r="HA216" i="6"/>
  <c r="HD215" i="6"/>
  <c r="BP117" i="1"/>
  <c r="BM118" i="1"/>
  <c r="DU217" i="6"/>
  <c r="DX216" i="6"/>
  <c r="GC117" i="1"/>
  <c r="GF116" i="1"/>
  <c r="BY117" i="1"/>
  <c r="HY117" i="1" s="1"/>
  <c r="CB116" i="1"/>
  <c r="DI217" i="6"/>
  <c r="DL216" i="6"/>
  <c r="EV216" i="6"/>
  <c r="ES217" i="6"/>
  <c r="GC218" i="6"/>
  <c r="GF217" i="6"/>
  <c r="HD116" i="1"/>
  <c r="HA117" i="1"/>
  <c r="IA116" i="1"/>
  <c r="BN235" i="6"/>
  <c r="HN234" i="6"/>
  <c r="AR116" i="1"/>
  <c r="AO117" i="1"/>
  <c r="H117" i="10" s="1"/>
  <c r="HX116" i="1"/>
  <c r="FT118" i="1"/>
  <c r="FQ119" i="1"/>
  <c r="EJ116" i="1"/>
  <c r="EG117" i="1"/>
  <c r="J116" i="10"/>
  <c r="EG216" i="6"/>
  <c r="EJ215" i="6"/>
  <c r="H117" i="1"/>
  <c r="E118" i="1"/>
  <c r="C115" i="10"/>
  <c r="HP115" i="1"/>
  <c r="Q232" i="6"/>
  <c r="T231" i="6"/>
  <c r="AR231" i="6"/>
  <c r="AO232" i="6"/>
  <c r="EV117" i="1"/>
  <c r="ES118" i="1"/>
  <c r="T117" i="1"/>
  <c r="Q118" i="1"/>
  <c r="CN117" i="1"/>
  <c r="CK118" i="1"/>
  <c r="CB215" i="6"/>
  <c r="BY216" i="6"/>
  <c r="FE217" i="6"/>
  <c r="FH216" i="6"/>
  <c r="BD118" i="1"/>
  <c r="BA119" i="1"/>
  <c r="GR215" i="6"/>
  <c r="GO216" i="6"/>
  <c r="BP230" i="6"/>
  <c r="BM231" i="6"/>
  <c r="AC233" i="6"/>
  <c r="AF232" i="6"/>
  <c r="CZ117" i="1"/>
  <c r="CW118" i="1"/>
  <c r="FE118" i="1"/>
  <c r="FH117" i="1"/>
  <c r="H231" i="6"/>
  <c r="E232" i="6"/>
  <c r="FT215" i="6"/>
  <c r="FQ216" i="6"/>
  <c r="F119" i="1"/>
  <c r="HN118" i="1"/>
  <c r="HZ117" i="1"/>
  <c r="DU118" i="1"/>
  <c r="DX117" i="1"/>
  <c r="DI118" i="1"/>
  <c r="DL117" i="1"/>
  <c r="CK216" i="6"/>
  <c r="CN215" i="6"/>
  <c r="HM215" i="6"/>
  <c r="HP215" i="6" s="1"/>
  <c r="BA232" i="6"/>
  <c r="BD231" i="6"/>
  <c r="DJ308" i="1"/>
  <c r="F307" i="6"/>
  <c r="GO118" i="1" l="1"/>
  <c r="D118" i="10" s="1"/>
  <c r="GR117" i="1"/>
  <c r="HM117" i="1"/>
  <c r="AC124" i="1"/>
  <c r="AF123" i="1"/>
  <c r="C116" i="10"/>
  <c r="CZ217" i="6"/>
  <c r="CW218" i="6"/>
  <c r="HX117" i="1"/>
  <c r="GF117" i="1"/>
  <c r="GC118" i="1"/>
  <c r="DX217" i="6"/>
  <c r="DU218" i="6"/>
  <c r="BP118" i="1"/>
  <c r="BM119" i="1"/>
  <c r="F117" i="10"/>
  <c r="DI218" i="6"/>
  <c r="DL217" i="6"/>
  <c r="BY118" i="1"/>
  <c r="HY118" i="1" s="1"/>
  <c r="CB117" i="1"/>
  <c r="HA217" i="6"/>
  <c r="HD216" i="6"/>
  <c r="HA118" i="1"/>
  <c r="J118" i="10" s="1"/>
  <c r="HD117" i="1"/>
  <c r="IA117" i="1"/>
  <c r="Q119" i="1"/>
  <c r="T118" i="1"/>
  <c r="EJ216" i="6"/>
  <c r="EG217" i="6"/>
  <c r="AO118" i="1"/>
  <c r="HX118" i="1" s="1"/>
  <c r="AR117" i="1"/>
  <c r="GF218" i="6"/>
  <c r="GC221" i="6"/>
  <c r="GF219" i="6"/>
  <c r="ES119" i="1"/>
  <c r="EV118" i="1"/>
  <c r="ES218" i="6"/>
  <c r="EV217" i="6"/>
  <c r="Q233" i="6"/>
  <c r="T232" i="6"/>
  <c r="BY217" i="6"/>
  <c r="CB216" i="6"/>
  <c r="H118" i="1"/>
  <c r="E119" i="1"/>
  <c r="EG118" i="1"/>
  <c r="HZ118" i="1" s="1"/>
  <c r="EJ117" i="1"/>
  <c r="CK119" i="1"/>
  <c r="CN118" i="1"/>
  <c r="FT120" i="1"/>
  <c r="FQ122" i="1"/>
  <c r="FT119" i="1"/>
  <c r="AR232" i="6"/>
  <c r="AO233" i="6"/>
  <c r="BN236" i="6"/>
  <c r="HN235" i="6"/>
  <c r="J117" i="10"/>
  <c r="CK217" i="6"/>
  <c r="CN216" i="6"/>
  <c r="HM216" i="6"/>
  <c r="HP216" i="6" s="1"/>
  <c r="DX118" i="1"/>
  <c r="DU119" i="1"/>
  <c r="E233" i="6"/>
  <c r="H232" i="6"/>
  <c r="FE119" i="1"/>
  <c r="FH118" i="1"/>
  <c r="CZ118" i="1"/>
  <c r="CW119" i="1"/>
  <c r="FQ217" i="6"/>
  <c r="FT216" i="6"/>
  <c r="DL118" i="1"/>
  <c r="DI119" i="1"/>
  <c r="BD232" i="6"/>
  <c r="BA233" i="6"/>
  <c r="F122" i="1"/>
  <c r="HN119" i="1"/>
  <c r="AC234" i="6"/>
  <c r="AF233" i="6"/>
  <c r="GO217" i="6"/>
  <c r="GR216" i="6"/>
  <c r="C117" i="10"/>
  <c r="HP117" i="1"/>
  <c r="BD119" i="1"/>
  <c r="BA122" i="1"/>
  <c r="BD120" i="1"/>
  <c r="BM232" i="6"/>
  <c r="BP231" i="6"/>
  <c r="FE218" i="6"/>
  <c r="FH217" i="6"/>
  <c r="DJ311" i="1"/>
  <c r="F308" i="6"/>
  <c r="GO119" i="1" l="1"/>
  <c r="GR118" i="1"/>
  <c r="CW221" i="6"/>
  <c r="CZ219" i="6"/>
  <c r="CZ218" i="6"/>
  <c r="F118" i="10"/>
  <c r="AF124" i="1"/>
  <c r="AC125" i="1"/>
  <c r="BM122" i="1"/>
  <c r="BP120" i="1"/>
  <c r="BP119" i="1"/>
  <c r="HD217" i="6"/>
  <c r="HA218" i="6"/>
  <c r="DU221" i="6"/>
  <c r="DX219" i="6"/>
  <c r="DX218" i="6"/>
  <c r="CB118" i="1"/>
  <c r="BY119" i="1"/>
  <c r="HY119" i="1" s="1"/>
  <c r="GF118" i="1"/>
  <c r="GC119" i="1"/>
  <c r="DL219" i="6"/>
  <c r="DI221" i="6"/>
  <c r="DL218" i="6"/>
  <c r="BY218" i="6"/>
  <c r="CB217" i="6"/>
  <c r="HY120" i="1"/>
  <c r="AR233" i="6"/>
  <c r="AO234" i="6"/>
  <c r="EJ118" i="1"/>
  <c r="EG119" i="1"/>
  <c r="IH130" i="1" s="1"/>
  <c r="IH128" i="1" s="1"/>
  <c r="Q234" i="6"/>
  <c r="T233" i="6"/>
  <c r="GF221" i="6"/>
  <c r="GC222" i="6"/>
  <c r="T120" i="1"/>
  <c r="T119" i="1"/>
  <c r="Q122" i="1"/>
  <c r="CK122" i="1"/>
  <c r="CN119" i="1"/>
  <c r="CN120" i="1"/>
  <c r="H119" i="1"/>
  <c r="E122" i="1"/>
  <c r="H120" i="1"/>
  <c r="EV218" i="6"/>
  <c r="ES221" i="6"/>
  <c r="EV219" i="6"/>
  <c r="BN239" i="6"/>
  <c r="HN236" i="6"/>
  <c r="HL247" i="6" s="1"/>
  <c r="FQ123" i="1"/>
  <c r="FT122" i="1"/>
  <c r="AO119" i="1"/>
  <c r="HX120" i="1" s="1"/>
  <c r="AR118" i="1"/>
  <c r="H118" i="10"/>
  <c r="HM118" i="1"/>
  <c r="HP118" i="1" s="1"/>
  <c r="EV120" i="1"/>
  <c r="ES122" i="1"/>
  <c r="EV119" i="1"/>
  <c r="EG218" i="6"/>
  <c r="EJ217" i="6"/>
  <c r="HD118" i="1"/>
  <c r="HA119" i="1"/>
  <c r="IA118" i="1"/>
  <c r="AC235" i="6"/>
  <c r="AF234" i="6"/>
  <c r="FH120" i="1"/>
  <c r="FE122" i="1"/>
  <c r="FH119" i="1"/>
  <c r="DU122" i="1"/>
  <c r="DX119" i="1"/>
  <c r="DX120" i="1"/>
  <c r="F16" i="11"/>
  <c r="D119" i="10"/>
  <c r="DL119" i="1"/>
  <c r="DL120" i="1"/>
  <c r="DI122" i="1"/>
  <c r="BM233" i="6"/>
  <c r="BP232" i="6"/>
  <c r="BD122" i="1"/>
  <c r="BA123" i="1"/>
  <c r="H233" i="6"/>
  <c r="E234" i="6"/>
  <c r="FQ218" i="6"/>
  <c r="FT217" i="6"/>
  <c r="GR217" i="6"/>
  <c r="GO218" i="6"/>
  <c r="F123" i="1"/>
  <c r="HN122" i="1"/>
  <c r="HL130" i="1" s="1"/>
  <c r="FH218" i="6"/>
  <c r="FE221" i="6"/>
  <c r="FH219" i="6"/>
  <c r="BA234" i="6"/>
  <c r="BD233" i="6"/>
  <c r="CW122" i="1"/>
  <c r="CZ120" i="1"/>
  <c r="CZ119" i="1"/>
  <c r="CK218" i="6"/>
  <c r="CN217" i="6"/>
  <c r="HM217" i="6"/>
  <c r="HP217" i="6" s="1"/>
  <c r="DJ312" i="1"/>
  <c r="F311" i="6"/>
  <c r="HZ120" i="1" l="1"/>
  <c r="IG130" i="1"/>
  <c r="IG128" i="1" s="1"/>
  <c r="GR119" i="1"/>
  <c r="GR120" i="1"/>
  <c r="GO122" i="1"/>
  <c r="D122" i="10" s="1"/>
  <c r="AC126" i="1"/>
  <c r="AF125" i="1"/>
  <c r="F119" i="10"/>
  <c r="H16" i="11"/>
  <c r="CZ221" i="6"/>
  <c r="CW222" i="6"/>
  <c r="HM119" i="1"/>
  <c r="HP120" i="1" s="1"/>
  <c r="HZ119" i="1"/>
  <c r="DI222" i="6"/>
  <c r="DL221" i="6"/>
  <c r="DU222" i="6"/>
  <c r="DX221" i="6"/>
  <c r="GF119" i="1"/>
  <c r="GC122" i="1"/>
  <c r="GF120" i="1"/>
  <c r="HD218" i="6"/>
  <c r="HA221" i="6"/>
  <c r="HD219" i="6"/>
  <c r="C118" i="10"/>
  <c r="CB120" i="1"/>
  <c r="CB119" i="1"/>
  <c r="BY122" i="1"/>
  <c r="BM123" i="1"/>
  <c r="BP122" i="1"/>
  <c r="BN240" i="6"/>
  <c r="HN239" i="6"/>
  <c r="GC223" i="6"/>
  <c r="GF222" i="6"/>
  <c r="EV122" i="1"/>
  <c r="ES123" i="1"/>
  <c r="HD119" i="1"/>
  <c r="HA122" i="1"/>
  <c r="J122" i="10" s="1"/>
  <c r="HD120" i="1"/>
  <c r="II130" i="1"/>
  <c r="II128" i="1" s="1"/>
  <c r="IA120" i="1"/>
  <c r="IA119" i="1"/>
  <c r="J119" i="10"/>
  <c r="ES222" i="6"/>
  <c r="EV221" i="6"/>
  <c r="AR234" i="6"/>
  <c r="AO235" i="6"/>
  <c r="CN122" i="1"/>
  <c r="CK123" i="1"/>
  <c r="HX119" i="1"/>
  <c r="J16" i="11"/>
  <c r="H119" i="10"/>
  <c r="IF130" i="1"/>
  <c r="IF128" i="1" s="1"/>
  <c r="AR120" i="1"/>
  <c r="AR119" i="1"/>
  <c r="AO122" i="1"/>
  <c r="H122" i="10" s="1"/>
  <c r="T234" i="6"/>
  <c r="Q235" i="6"/>
  <c r="EJ219" i="6"/>
  <c r="EJ218" i="6"/>
  <c r="EG221" i="6"/>
  <c r="H122" i="1"/>
  <c r="E123" i="1"/>
  <c r="EG122" i="1"/>
  <c r="F122" i="10" s="1"/>
  <c r="EJ119" i="1"/>
  <c r="EJ120" i="1"/>
  <c r="BY221" i="6"/>
  <c r="CB219" i="6"/>
  <c r="CB218" i="6"/>
  <c r="FQ124" i="1"/>
  <c r="FT123" i="1"/>
  <c r="Q123" i="1"/>
  <c r="T122" i="1"/>
  <c r="L16" i="11"/>
  <c r="BM234" i="6"/>
  <c r="BP233" i="6"/>
  <c r="FH122" i="1"/>
  <c r="FE123" i="1"/>
  <c r="FT218" i="6"/>
  <c r="FQ221" i="6"/>
  <c r="FT219" i="6"/>
  <c r="CN219" i="6"/>
  <c r="CN218" i="6"/>
  <c r="CK221" i="6"/>
  <c r="HM218" i="6"/>
  <c r="FE222" i="6"/>
  <c r="FH221" i="6"/>
  <c r="F124" i="1"/>
  <c r="HN123" i="1"/>
  <c r="DI123" i="1"/>
  <c r="DL122" i="1"/>
  <c r="BD234" i="6"/>
  <c r="BA235" i="6"/>
  <c r="GR218" i="6"/>
  <c r="GO221" i="6"/>
  <c r="GR219" i="6"/>
  <c r="BD123" i="1"/>
  <c r="BA124" i="1"/>
  <c r="H234" i="6"/>
  <c r="E235" i="6"/>
  <c r="DU123" i="1"/>
  <c r="DX122" i="1"/>
  <c r="AC236" i="6"/>
  <c r="AF235" i="6"/>
  <c r="CZ122" i="1"/>
  <c r="CW123" i="1"/>
  <c r="DJ313" i="1"/>
  <c r="F312" i="6"/>
  <c r="HZ122" i="1" l="1"/>
  <c r="GO123" i="1"/>
  <c r="GR122" i="1"/>
  <c r="C119" i="10"/>
  <c r="HP119" i="1"/>
  <c r="CW223" i="6"/>
  <c r="CZ222" i="6"/>
  <c r="AF126" i="1"/>
  <c r="AC127" i="1"/>
  <c r="BP123" i="1"/>
  <c r="BM124" i="1"/>
  <c r="CB122" i="1"/>
  <c r="BY123" i="1"/>
  <c r="GC123" i="1"/>
  <c r="GF122" i="1"/>
  <c r="DX222" i="6"/>
  <c r="DU223" i="6"/>
  <c r="HA222" i="6"/>
  <c r="HD221" i="6"/>
  <c r="DL222" i="6"/>
  <c r="DI223" i="6"/>
  <c r="HY122" i="1"/>
  <c r="Q124" i="1"/>
  <c r="T123" i="1"/>
  <c r="EG123" i="1"/>
  <c r="EJ122" i="1"/>
  <c r="ES223" i="6"/>
  <c r="EV222" i="6"/>
  <c r="EV123" i="1"/>
  <c r="ES124" i="1"/>
  <c r="E124" i="1"/>
  <c r="H123" i="1"/>
  <c r="AO123" i="1"/>
  <c r="HX122" i="1"/>
  <c r="AR122" i="1"/>
  <c r="CN123" i="1"/>
  <c r="CK124" i="1"/>
  <c r="FT124" i="1"/>
  <c r="FQ125" i="1"/>
  <c r="T235" i="6"/>
  <c r="Q236" i="6"/>
  <c r="HM122" i="1"/>
  <c r="HP122" i="1" s="1"/>
  <c r="EG222" i="6"/>
  <c r="EJ221" i="6"/>
  <c r="AR235" i="6"/>
  <c r="AO236" i="6"/>
  <c r="GC224" i="6"/>
  <c r="GF223" i="6"/>
  <c r="HA123" i="1"/>
  <c r="J123" i="10" s="1"/>
  <c r="HD122" i="1"/>
  <c r="IA122" i="1"/>
  <c r="CB221" i="6"/>
  <c r="BY222" i="6"/>
  <c r="BN241" i="6"/>
  <c r="HN240" i="6"/>
  <c r="HK229" i="6"/>
  <c r="HP219" i="6"/>
  <c r="HP218" i="6"/>
  <c r="DL123" i="1"/>
  <c r="DI124" i="1"/>
  <c r="CK222" i="6"/>
  <c r="CN221" i="6"/>
  <c r="HM221" i="6"/>
  <c r="HP221" i="6" s="1"/>
  <c r="E236" i="6"/>
  <c r="H235" i="6"/>
  <c r="BA125" i="1"/>
  <c r="BD124" i="1"/>
  <c r="GR221" i="6"/>
  <c r="GO222" i="6"/>
  <c r="AC239" i="6"/>
  <c r="AF237" i="6"/>
  <c r="AF236" i="6"/>
  <c r="FH123" i="1"/>
  <c r="FE124" i="1"/>
  <c r="F125" i="1"/>
  <c r="HN124" i="1"/>
  <c r="CW124" i="1"/>
  <c r="CZ123" i="1"/>
  <c r="DU124" i="1"/>
  <c r="HZ123" i="1"/>
  <c r="DX123" i="1"/>
  <c r="D123" i="10"/>
  <c r="BA236" i="6"/>
  <c r="BD235" i="6"/>
  <c r="FE223" i="6"/>
  <c r="FH222" i="6"/>
  <c r="FQ222" i="6"/>
  <c r="FT221" i="6"/>
  <c r="BP234" i="6"/>
  <c r="BM235" i="6"/>
  <c r="DJ314" i="1"/>
  <c r="F313" i="6"/>
  <c r="HK130" i="1" l="1"/>
  <c r="GR123" i="1"/>
  <c r="GO124" i="1"/>
  <c r="HM123" i="1"/>
  <c r="C123" i="10" s="1"/>
  <c r="AF127" i="1"/>
  <c r="AC128" i="1"/>
  <c r="HY123" i="1"/>
  <c r="CZ223" i="6"/>
  <c r="CW224" i="6"/>
  <c r="C122" i="10"/>
  <c r="DL223" i="6"/>
  <c r="DI224" i="6"/>
  <c r="GC124" i="1"/>
  <c r="GF123" i="1"/>
  <c r="CB123" i="1"/>
  <c r="BY124" i="1"/>
  <c r="HA223" i="6"/>
  <c r="HD222" i="6"/>
  <c r="BP124" i="1"/>
  <c r="BM125" i="1"/>
  <c r="DX223" i="6"/>
  <c r="DU224" i="6"/>
  <c r="CK125" i="1"/>
  <c r="CN124" i="1"/>
  <c r="EV124" i="1"/>
  <c r="ES125" i="1"/>
  <c r="EJ222" i="6"/>
  <c r="EG223" i="6"/>
  <c r="ES224" i="6"/>
  <c r="EV223" i="6"/>
  <c r="BN242" i="6"/>
  <c r="HN241" i="6"/>
  <c r="HA124" i="1"/>
  <c r="HD123" i="1"/>
  <c r="IA123" i="1"/>
  <c r="T236" i="6"/>
  <c r="S29" i="11"/>
  <c r="Q239" i="6"/>
  <c r="T237" i="6"/>
  <c r="AO124" i="1"/>
  <c r="HX124" i="1" s="1"/>
  <c r="AR123" i="1"/>
  <c r="H123" i="10"/>
  <c r="HX123" i="1"/>
  <c r="EJ123" i="1"/>
  <c r="EG124" i="1"/>
  <c r="F123" i="10"/>
  <c r="GC225" i="6"/>
  <c r="GF224" i="6"/>
  <c r="FQ126" i="1"/>
  <c r="FT125" i="1"/>
  <c r="CB222" i="6"/>
  <c r="BY223" i="6"/>
  <c r="AR237" i="6"/>
  <c r="AO239" i="6"/>
  <c r="AR236" i="6"/>
  <c r="E125" i="1"/>
  <c r="H124" i="1"/>
  <c r="T124" i="1"/>
  <c r="Q125" i="1"/>
  <c r="BD236" i="6"/>
  <c r="BA239" i="6"/>
  <c r="BD237" i="6"/>
  <c r="U29" i="11"/>
  <c r="CZ124" i="1"/>
  <c r="CW125" i="1"/>
  <c r="FE125" i="1"/>
  <c r="FH124" i="1"/>
  <c r="DI125" i="1"/>
  <c r="DL124" i="1"/>
  <c r="BP235" i="6"/>
  <c r="BM236" i="6"/>
  <c r="FT222" i="6"/>
  <c r="FQ223" i="6"/>
  <c r="GR222" i="6"/>
  <c r="GO223" i="6"/>
  <c r="FE224" i="6"/>
  <c r="FH223" i="6"/>
  <c r="H237" i="6"/>
  <c r="H236" i="6"/>
  <c r="E239" i="6"/>
  <c r="Q29" i="11"/>
  <c r="DX124" i="1"/>
  <c r="DU125" i="1"/>
  <c r="D124" i="10"/>
  <c r="AC240" i="6"/>
  <c r="AF239" i="6"/>
  <c r="BD125" i="1"/>
  <c r="BA126" i="1"/>
  <c r="F126" i="1"/>
  <c r="HN125" i="1"/>
  <c r="J124" i="10"/>
  <c r="CK223" i="6"/>
  <c r="CN222" i="6"/>
  <c r="HM222" i="6"/>
  <c r="HP222" i="6" s="1"/>
  <c r="DJ315" i="1"/>
  <c r="F314" i="6"/>
  <c r="HP123" i="1" l="1"/>
  <c r="GO125" i="1"/>
  <c r="GR124" i="1"/>
  <c r="CW225" i="6"/>
  <c r="CZ224" i="6"/>
  <c r="AC131" i="1"/>
  <c r="AF128" i="1"/>
  <c r="AF129" i="1"/>
  <c r="HD223" i="6"/>
  <c r="HA224" i="6"/>
  <c r="BY125" i="1"/>
  <c r="CB124" i="1"/>
  <c r="H124" i="10"/>
  <c r="DU225" i="6"/>
  <c r="DX224" i="6"/>
  <c r="GF124" i="1"/>
  <c r="GC125" i="1"/>
  <c r="HY124" i="1"/>
  <c r="BP125" i="1"/>
  <c r="BM126" i="1"/>
  <c r="DL224" i="6"/>
  <c r="DI225" i="6"/>
  <c r="EG125" i="1"/>
  <c r="EJ124" i="1"/>
  <c r="F124" i="10"/>
  <c r="EV224" i="6"/>
  <c r="ES225" i="6"/>
  <c r="EG224" i="6"/>
  <c r="EJ223" i="6"/>
  <c r="HM124" i="1"/>
  <c r="C124" i="10" s="1"/>
  <c r="FT126" i="1"/>
  <c r="FQ127" i="1"/>
  <c r="BY224" i="6"/>
  <c r="CB223" i="6"/>
  <c r="H125" i="1"/>
  <c r="E126" i="1"/>
  <c r="EV125" i="1"/>
  <c r="ES126" i="1"/>
  <c r="T239" i="6"/>
  <c r="Q240" i="6"/>
  <c r="HZ124" i="1"/>
  <c r="GC226" i="6"/>
  <c r="GF225" i="6"/>
  <c r="HA125" i="1"/>
  <c r="HD124" i="1"/>
  <c r="IA124" i="1"/>
  <c r="T125" i="1"/>
  <c r="Q126" i="1"/>
  <c r="AR239" i="6"/>
  <c r="AO240" i="6"/>
  <c r="AR124" i="1"/>
  <c r="AO125" i="1"/>
  <c r="HX125" i="1" s="1"/>
  <c r="BN243" i="6"/>
  <c r="HN242" i="6"/>
  <c r="CK126" i="1"/>
  <c r="CN125" i="1"/>
  <c r="FH224" i="6"/>
  <c r="FE225" i="6"/>
  <c r="H239" i="6"/>
  <c r="E240" i="6"/>
  <c r="BA127" i="1"/>
  <c r="BD126" i="1"/>
  <c r="HZ125" i="1"/>
  <c r="DU126" i="1"/>
  <c r="DX125" i="1"/>
  <c r="D125" i="10"/>
  <c r="FQ224" i="6"/>
  <c r="FT223" i="6"/>
  <c r="CW126" i="1"/>
  <c r="CZ125" i="1"/>
  <c r="W29" i="11"/>
  <c r="BP236" i="6"/>
  <c r="BM239" i="6"/>
  <c r="BP237" i="6"/>
  <c r="F127" i="1"/>
  <c r="HN126" i="1"/>
  <c r="DI126" i="1"/>
  <c r="DL125" i="1"/>
  <c r="CN223" i="6"/>
  <c r="CK224" i="6"/>
  <c r="HM223" i="6"/>
  <c r="HP223" i="6" s="1"/>
  <c r="AF240" i="6"/>
  <c r="AC241" i="6"/>
  <c r="FH125" i="1"/>
  <c r="FE126" i="1"/>
  <c r="BD239" i="6"/>
  <c r="BA240" i="6"/>
  <c r="GO224" i="6"/>
  <c r="GR223" i="6"/>
  <c r="DJ316" i="1"/>
  <c r="F315" i="6"/>
  <c r="HP124" i="1" l="1"/>
  <c r="GR125" i="1"/>
  <c r="GO126" i="1"/>
  <c r="HM125" i="1"/>
  <c r="C125" i="10" s="1"/>
  <c r="AC132" i="1"/>
  <c r="AF131" i="1"/>
  <c r="CW226" i="6"/>
  <c r="CZ225" i="6"/>
  <c r="DI226" i="6"/>
  <c r="DL225" i="6"/>
  <c r="DX225" i="6"/>
  <c r="DU226" i="6"/>
  <c r="BM127" i="1"/>
  <c r="BP126" i="1"/>
  <c r="BY126" i="1"/>
  <c r="HY125" i="1"/>
  <c r="CB125" i="1"/>
  <c r="HD224" i="6"/>
  <c r="HA225" i="6"/>
  <c r="GF125" i="1"/>
  <c r="GC126" i="1"/>
  <c r="EJ224" i="6"/>
  <c r="EG225" i="6"/>
  <c r="CK127" i="1"/>
  <c r="CN126" i="1"/>
  <c r="AO241" i="6"/>
  <c r="AR240" i="6"/>
  <c r="GC227" i="6"/>
  <c r="GF226" i="6"/>
  <c r="EV225" i="6"/>
  <c r="ES226" i="6"/>
  <c r="BN244" i="6"/>
  <c r="HN243" i="6"/>
  <c r="T126" i="1"/>
  <c r="Q127" i="1"/>
  <c r="FT127" i="1"/>
  <c r="FQ128" i="1"/>
  <c r="Q241" i="6"/>
  <c r="T240" i="6"/>
  <c r="ES127" i="1"/>
  <c r="EV126" i="1"/>
  <c r="EG126" i="1"/>
  <c r="HZ126" i="1" s="1"/>
  <c r="EJ125" i="1"/>
  <c r="CB224" i="6"/>
  <c r="BY225" i="6"/>
  <c r="H125" i="10"/>
  <c r="AO126" i="1"/>
  <c r="H126" i="10" s="1"/>
  <c r="AR125" i="1"/>
  <c r="HD125" i="1"/>
  <c r="HA126" i="1"/>
  <c r="J126" i="10" s="1"/>
  <c r="IA125" i="1"/>
  <c r="J125" i="10"/>
  <c r="E127" i="1"/>
  <c r="H126" i="1"/>
  <c r="F125" i="10"/>
  <c r="F128" i="1"/>
  <c r="HN127" i="1"/>
  <c r="FE226" i="6"/>
  <c r="FH225" i="6"/>
  <c r="FE127" i="1"/>
  <c r="FH126" i="1"/>
  <c r="CN224" i="6"/>
  <c r="CK225" i="6"/>
  <c r="HM224" i="6"/>
  <c r="HP224" i="6" s="1"/>
  <c r="BA128" i="1"/>
  <c r="BD127" i="1"/>
  <c r="AF241" i="6"/>
  <c r="AC242" i="6"/>
  <c r="HP125" i="1"/>
  <c r="CW127" i="1"/>
  <c r="CZ126" i="1"/>
  <c r="BM240" i="6"/>
  <c r="BP239" i="6"/>
  <c r="GR224" i="6"/>
  <c r="GO225" i="6"/>
  <c r="DI127" i="1"/>
  <c r="DL126" i="1"/>
  <c r="DU127" i="1"/>
  <c r="DX126" i="1"/>
  <c r="D126" i="10"/>
  <c r="BD240" i="6"/>
  <c r="BA241" i="6"/>
  <c r="FQ225" i="6"/>
  <c r="FT224" i="6"/>
  <c r="H240" i="6"/>
  <c r="E241" i="6"/>
  <c r="DJ317" i="1"/>
  <c r="F316" i="6"/>
  <c r="GR126" i="1" l="1"/>
  <c r="GO127" i="1"/>
  <c r="CZ226" i="6"/>
  <c r="CW227" i="6"/>
  <c r="AF132" i="1"/>
  <c r="AC133" i="1"/>
  <c r="CB126" i="1"/>
  <c r="BY127" i="1"/>
  <c r="HY127" i="1" s="1"/>
  <c r="HY126" i="1"/>
  <c r="GF126" i="1"/>
  <c r="GC127" i="1"/>
  <c r="BP127" i="1"/>
  <c r="BM128" i="1"/>
  <c r="HA226" i="6"/>
  <c r="HD225" i="6"/>
  <c r="DU227" i="6"/>
  <c r="DX226" i="6"/>
  <c r="DL226" i="6"/>
  <c r="DI227" i="6"/>
  <c r="EG127" i="1"/>
  <c r="EJ126" i="1"/>
  <c r="F126" i="10"/>
  <c r="GF227" i="6"/>
  <c r="GC230" i="6"/>
  <c r="GF228" i="6"/>
  <c r="ES128" i="1"/>
  <c r="EV127" i="1"/>
  <c r="AO242" i="6"/>
  <c r="AR241" i="6"/>
  <c r="T127" i="1"/>
  <c r="Q128" i="1"/>
  <c r="H127" i="1"/>
  <c r="E128" i="1"/>
  <c r="CB225" i="6"/>
  <c r="BY226" i="6"/>
  <c r="AO127" i="1"/>
  <c r="HX127" i="1" s="1"/>
  <c r="AR126" i="1"/>
  <c r="HX126" i="1"/>
  <c r="Q242" i="6"/>
  <c r="T241" i="6"/>
  <c r="BN245" i="6"/>
  <c r="HN244" i="6"/>
  <c r="CK128" i="1"/>
  <c r="CN127" i="1"/>
  <c r="FQ131" i="1"/>
  <c r="FT128" i="1"/>
  <c r="FT129" i="1"/>
  <c r="EV226" i="6"/>
  <c r="ES227" i="6"/>
  <c r="EG226" i="6"/>
  <c r="EJ225" i="6"/>
  <c r="HA127" i="1"/>
  <c r="J127" i="10" s="1"/>
  <c r="HD126" i="1"/>
  <c r="IA126" i="1"/>
  <c r="HM126" i="1"/>
  <c r="CK226" i="6"/>
  <c r="CN225" i="6"/>
  <c r="HM225" i="6"/>
  <c r="HP225" i="6" s="1"/>
  <c r="FE227" i="6"/>
  <c r="FH226" i="6"/>
  <c r="AC243" i="6"/>
  <c r="AF242" i="6"/>
  <c r="FT225" i="6"/>
  <c r="FQ226" i="6"/>
  <c r="BM241" i="6"/>
  <c r="BP240" i="6"/>
  <c r="BD128" i="1"/>
  <c r="BA131" i="1"/>
  <c r="BD129" i="1"/>
  <c r="F131" i="1"/>
  <c r="HN128" i="1"/>
  <c r="BD241" i="6"/>
  <c r="BA242" i="6"/>
  <c r="DL127" i="1"/>
  <c r="DI128" i="1"/>
  <c r="FE128" i="1"/>
  <c r="FH127" i="1"/>
  <c r="DU128" i="1"/>
  <c r="HZ127" i="1"/>
  <c r="DX127" i="1"/>
  <c r="D127" i="10"/>
  <c r="E242" i="6"/>
  <c r="H241" i="6"/>
  <c r="CW128" i="1"/>
  <c r="CZ127" i="1"/>
  <c r="GR225" i="6"/>
  <c r="GO226" i="6"/>
  <c r="DJ320" i="1"/>
  <c r="F317" i="6"/>
  <c r="GR127" i="1" l="1"/>
  <c r="GO128" i="1"/>
  <c r="AC134" i="1"/>
  <c r="AF133" i="1"/>
  <c r="F127" i="10"/>
  <c r="CZ227" i="6"/>
  <c r="CW230" i="6"/>
  <c r="CZ228" i="6"/>
  <c r="BP129" i="1"/>
  <c r="BP128" i="1"/>
  <c r="BM131" i="1"/>
  <c r="DL228" i="6"/>
  <c r="DI230" i="6"/>
  <c r="DL227" i="6"/>
  <c r="GC128" i="1"/>
  <c r="GF127" i="1"/>
  <c r="HD226" i="6"/>
  <c r="HA227" i="6"/>
  <c r="DX228" i="6"/>
  <c r="DX227" i="6"/>
  <c r="DU230" i="6"/>
  <c r="CB127" i="1"/>
  <c r="BY128" i="1"/>
  <c r="HY128" i="1" s="1"/>
  <c r="H128" i="1"/>
  <c r="H129" i="1"/>
  <c r="E131" i="1"/>
  <c r="T242" i="6"/>
  <c r="Q243" i="6"/>
  <c r="FQ132" i="1"/>
  <c r="FT131" i="1"/>
  <c r="GF230" i="6"/>
  <c r="GC231" i="6"/>
  <c r="HA128" i="1"/>
  <c r="J128" i="10" s="1"/>
  <c r="HD127" i="1"/>
  <c r="IA127" i="1"/>
  <c r="Q131" i="1"/>
  <c r="T128" i="1"/>
  <c r="T129" i="1"/>
  <c r="CN129" i="1"/>
  <c r="CN128" i="1"/>
  <c r="CK131" i="1"/>
  <c r="H127" i="10"/>
  <c r="AR127" i="1"/>
  <c r="AO128" i="1"/>
  <c r="HX129" i="1" s="1"/>
  <c r="C126" i="10"/>
  <c r="HP126" i="1"/>
  <c r="EJ226" i="6"/>
  <c r="EG227" i="6"/>
  <c r="HM127" i="1"/>
  <c r="ES131" i="1"/>
  <c r="EV128" i="1"/>
  <c r="EV129" i="1"/>
  <c r="EV228" i="6"/>
  <c r="EV227" i="6"/>
  <c r="ES230" i="6"/>
  <c r="BN248" i="6"/>
  <c r="HN245" i="6"/>
  <c r="HL256" i="6" s="1"/>
  <c r="CB226" i="6"/>
  <c r="BY227" i="6"/>
  <c r="AR242" i="6"/>
  <c r="AO243" i="6"/>
  <c r="EG128" i="1"/>
  <c r="HZ129" i="1" s="1"/>
  <c r="EJ127" i="1"/>
  <c r="FT226" i="6"/>
  <c r="FQ227" i="6"/>
  <c r="CK227" i="6"/>
  <c r="CN226" i="6"/>
  <c r="HM226" i="6"/>
  <c r="HP226" i="6" s="1"/>
  <c r="F132" i="1"/>
  <c r="HN131" i="1"/>
  <c r="HL139" i="1" s="1"/>
  <c r="GR226" i="6"/>
  <c r="GO227" i="6"/>
  <c r="DI131" i="1"/>
  <c r="DL129" i="1"/>
  <c r="DL128" i="1"/>
  <c r="E243" i="6"/>
  <c r="H242" i="6"/>
  <c r="DU131" i="1"/>
  <c r="DX129" i="1"/>
  <c r="DX128" i="1"/>
  <c r="D128" i="10"/>
  <c r="F17" i="11"/>
  <c r="BM242" i="6"/>
  <c r="BP241" i="6"/>
  <c r="AF243" i="6"/>
  <c r="AC244" i="6"/>
  <c r="H128" i="10"/>
  <c r="BA243" i="6"/>
  <c r="BD242" i="6"/>
  <c r="FE230" i="6"/>
  <c r="FH228" i="6"/>
  <c r="FH227" i="6"/>
  <c r="CZ128" i="1"/>
  <c r="CW131" i="1"/>
  <c r="CZ129" i="1"/>
  <c r="FH129" i="1"/>
  <c r="FH128" i="1"/>
  <c r="FE131" i="1"/>
  <c r="BA132" i="1"/>
  <c r="BD131" i="1"/>
  <c r="DJ321" i="1"/>
  <c r="F320" i="6"/>
  <c r="J17" i="11" l="1"/>
  <c r="GO131" i="1"/>
  <c r="GR128" i="1"/>
  <c r="GR129" i="1"/>
  <c r="CZ230" i="6"/>
  <c r="CW231" i="6"/>
  <c r="AF134" i="1"/>
  <c r="AC135" i="1"/>
  <c r="IF139" i="1"/>
  <c r="IF137" i="1" s="1"/>
  <c r="DX230" i="6"/>
  <c r="DU231" i="6"/>
  <c r="DI231" i="6"/>
  <c r="DL230" i="6"/>
  <c r="CB128" i="1"/>
  <c r="BY131" i="1"/>
  <c r="HY131" i="1" s="1"/>
  <c r="HY129" i="1"/>
  <c r="CB129" i="1"/>
  <c r="IG139" i="1"/>
  <c r="IG137" i="1" s="1"/>
  <c r="BM132" i="1"/>
  <c r="BP131" i="1"/>
  <c r="HD228" i="6"/>
  <c r="HD227" i="6"/>
  <c r="HA230" i="6"/>
  <c r="GC131" i="1"/>
  <c r="GF129" i="1"/>
  <c r="GF128" i="1"/>
  <c r="EV230" i="6"/>
  <c r="ES231" i="6"/>
  <c r="EJ228" i="6"/>
  <c r="EJ227" i="6"/>
  <c r="EG230" i="6"/>
  <c r="GF231" i="6"/>
  <c r="GC232" i="6"/>
  <c r="EJ128" i="1"/>
  <c r="EG131" i="1"/>
  <c r="HZ131" i="1" s="1"/>
  <c r="EJ129" i="1"/>
  <c r="F128" i="10"/>
  <c r="H17" i="11"/>
  <c r="FT132" i="1"/>
  <c r="FQ133" i="1"/>
  <c r="HZ128" i="1"/>
  <c r="AR243" i="6"/>
  <c r="AO244" i="6"/>
  <c r="IH139" i="1"/>
  <c r="IH137" i="1" s="1"/>
  <c r="CB227" i="6"/>
  <c r="BY230" i="6"/>
  <c r="CB228" i="6"/>
  <c r="AR128" i="1"/>
  <c r="HX128" i="1"/>
  <c r="AO131" i="1"/>
  <c r="H131" i="10" s="1"/>
  <c r="AR129" i="1"/>
  <c r="Q132" i="1"/>
  <c r="T131" i="1"/>
  <c r="T243" i="6"/>
  <c r="Q244" i="6"/>
  <c r="EV131" i="1"/>
  <c r="ES132" i="1"/>
  <c r="HM128" i="1"/>
  <c r="HP128" i="1" s="1"/>
  <c r="BN249" i="6"/>
  <c r="HN248" i="6"/>
  <c r="HP127" i="1"/>
  <c r="C127" i="10"/>
  <c r="CK132" i="1"/>
  <c r="CN131" i="1"/>
  <c r="HD128" i="1"/>
  <c r="HA131" i="1"/>
  <c r="HD129" i="1"/>
  <c r="IA129" i="1"/>
  <c r="II139" i="1"/>
  <c r="II137" i="1" s="1"/>
  <c r="IA128" i="1"/>
  <c r="H131" i="1"/>
  <c r="E132" i="1"/>
  <c r="L17" i="11"/>
  <c r="BM243" i="6"/>
  <c r="BP242" i="6"/>
  <c r="E244" i="6"/>
  <c r="H243" i="6"/>
  <c r="FT227" i="6"/>
  <c r="FQ230" i="6"/>
  <c r="FT228" i="6"/>
  <c r="BA133" i="1"/>
  <c r="BD132" i="1"/>
  <c r="FH230" i="6"/>
  <c r="FE231" i="6"/>
  <c r="FH131" i="1"/>
  <c r="FE132" i="1"/>
  <c r="CZ131" i="1"/>
  <c r="CW132" i="1"/>
  <c r="CN227" i="6"/>
  <c r="CK230" i="6"/>
  <c r="CN228" i="6"/>
  <c r="HM227" i="6"/>
  <c r="DI132" i="1"/>
  <c r="DL131" i="1"/>
  <c r="BA244" i="6"/>
  <c r="BD243" i="6"/>
  <c r="AC245" i="6"/>
  <c r="AF244" i="6"/>
  <c r="DX131" i="1"/>
  <c r="DU132" i="1"/>
  <c r="D131" i="10"/>
  <c r="GR227" i="6"/>
  <c r="GO230" i="6"/>
  <c r="GR228" i="6"/>
  <c r="HN132" i="1"/>
  <c r="F133" i="1"/>
  <c r="DJ322" i="1"/>
  <c r="F321" i="6"/>
  <c r="C128" i="10" l="1"/>
  <c r="GR131" i="1"/>
  <c r="GO132" i="1"/>
  <c r="HM131" i="1"/>
  <c r="HK139" i="1" s="1"/>
  <c r="HP129" i="1"/>
  <c r="AF135" i="1"/>
  <c r="AC136" i="1"/>
  <c r="CW232" i="6"/>
  <c r="CZ231" i="6"/>
  <c r="GF131" i="1"/>
  <c r="GC132" i="1"/>
  <c r="HA231" i="6"/>
  <c r="HD230" i="6"/>
  <c r="CB131" i="1"/>
  <c r="BY132" i="1"/>
  <c r="HY132" i="1" s="1"/>
  <c r="F131" i="10"/>
  <c r="DL231" i="6"/>
  <c r="DI232" i="6"/>
  <c r="BM133" i="1"/>
  <c r="BP132" i="1"/>
  <c r="DU232" i="6"/>
  <c r="DX231" i="6"/>
  <c r="T244" i="6"/>
  <c r="Q245" i="6"/>
  <c r="FT133" i="1"/>
  <c r="FQ134" i="1"/>
  <c r="GC233" i="6"/>
  <c r="GF232" i="6"/>
  <c r="BN250" i="6"/>
  <c r="HN249" i="6"/>
  <c r="BY231" i="6"/>
  <c r="CB230" i="6"/>
  <c r="EJ230" i="6"/>
  <c r="EG231" i="6"/>
  <c r="HA132" i="1"/>
  <c r="HD131" i="1"/>
  <c r="IA131" i="1"/>
  <c r="EV132" i="1"/>
  <c r="ES133" i="1"/>
  <c r="Q133" i="1"/>
  <c r="T132" i="1"/>
  <c r="H132" i="1"/>
  <c r="E133" i="1"/>
  <c r="AO245" i="6"/>
  <c r="AR244" i="6"/>
  <c r="ES232" i="6"/>
  <c r="EV231" i="6"/>
  <c r="CN132" i="1"/>
  <c r="CK133" i="1"/>
  <c r="HX131" i="1"/>
  <c r="AR131" i="1"/>
  <c r="AO132" i="1"/>
  <c r="H132" i="10" s="1"/>
  <c r="EJ131" i="1"/>
  <c r="EG132" i="1"/>
  <c r="J131" i="10"/>
  <c r="BD244" i="6"/>
  <c r="BA245" i="6"/>
  <c r="FH231" i="6"/>
  <c r="FE232" i="6"/>
  <c r="BD133" i="1"/>
  <c r="BA134" i="1"/>
  <c r="BM244" i="6"/>
  <c r="BP243" i="6"/>
  <c r="FH132" i="1"/>
  <c r="FE133" i="1"/>
  <c r="HP131" i="1"/>
  <c r="GR230" i="6"/>
  <c r="GO231" i="6"/>
  <c r="DL132" i="1"/>
  <c r="DI133" i="1"/>
  <c r="CN230" i="6"/>
  <c r="CK231" i="6"/>
  <c r="HM230" i="6"/>
  <c r="HP230" i="6" s="1"/>
  <c r="CW133" i="1"/>
  <c r="CZ132" i="1"/>
  <c r="DU133" i="1"/>
  <c r="DX132" i="1"/>
  <c r="D132" i="10"/>
  <c r="F134" i="1"/>
  <c r="HN133" i="1"/>
  <c r="HP227" i="6"/>
  <c r="HK238" i="6"/>
  <c r="HP228" i="6"/>
  <c r="AF246" i="6"/>
  <c r="AC248" i="6"/>
  <c r="AF245" i="6"/>
  <c r="FQ231" i="6"/>
  <c r="FT230" i="6"/>
  <c r="H244" i="6"/>
  <c r="E245" i="6"/>
  <c r="DJ323" i="1"/>
  <c r="F322" i="6"/>
  <c r="C131" i="10" l="1"/>
  <c r="GR132" i="1"/>
  <c r="GO133" i="1"/>
  <c r="CZ232" i="6"/>
  <c r="CW233" i="6"/>
  <c r="AC137" i="1"/>
  <c r="AF136" i="1"/>
  <c r="HM132" i="1"/>
  <c r="HP132" i="1" s="1"/>
  <c r="BY133" i="1"/>
  <c r="HY133" i="1" s="1"/>
  <c r="CB132" i="1"/>
  <c r="HZ132" i="1"/>
  <c r="DX232" i="6"/>
  <c r="DU233" i="6"/>
  <c r="HD231" i="6"/>
  <c r="HA232" i="6"/>
  <c r="BP133" i="1"/>
  <c r="BM134" i="1"/>
  <c r="GC133" i="1"/>
  <c r="GF132" i="1"/>
  <c r="DL232" i="6"/>
  <c r="DI233" i="6"/>
  <c r="AO248" i="6"/>
  <c r="AR246" i="6"/>
  <c r="AR245" i="6"/>
  <c r="E134" i="1"/>
  <c r="H133" i="1"/>
  <c r="HA133" i="1"/>
  <c r="J133" i="10" s="1"/>
  <c r="HD132" i="1"/>
  <c r="IA132" i="1"/>
  <c r="EG232" i="6"/>
  <c r="EJ231" i="6"/>
  <c r="GC234" i="6"/>
  <c r="GF233" i="6"/>
  <c r="CN133" i="1"/>
  <c r="CK134" i="1"/>
  <c r="FQ135" i="1"/>
  <c r="FT134" i="1"/>
  <c r="EJ132" i="1"/>
  <c r="EG133" i="1"/>
  <c r="HZ133" i="1" s="1"/>
  <c r="F132" i="10"/>
  <c r="T133" i="1"/>
  <c r="Q134" i="1"/>
  <c r="EV133" i="1"/>
  <c r="ES134" i="1"/>
  <c r="CB231" i="6"/>
  <c r="BY232" i="6"/>
  <c r="T245" i="6"/>
  <c r="S30" i="11"/>
  <c r="Q248" i="6"/>
  <c r="T246" i="6"/>
  <c r="AO133" i="1"/>
  <c r="AR132" i="1"/>
  <c r="HX132" i="1"/>
  <c r="EV232" i="6"/>
  <c r="ES233" i="6"/>
  <c r="BN251" i="6"/>
  <c r="HN250" i="6"/>
  <c r="J132" i="10"/>
  <c r="BM245" i="6"/>
  <c r="BP244" i="6"/>
  <c r="DX133" i="1"/>
  <c r="DU134" i="1"/>
  <c r="D133" i="10"/>
  <c r="FE233" i="6"/>
  <c r="FH232" i="6"/>
  <c r="CZ133" i="1"/>
  <c r="CW134" i="1"/>
  <c r="DI134" i="1"/>
  <c r="DL133" i="1"/>
  <c r="GO232" i="6"/>
  <c r="GR231" i="6"/>
  <c r="H245" i="6"/>
  <c r="E248" i="6"/>
  <c r="H246" i="6"/>
  <c r="Q30" i="11"/>
  <c r="AC249" i="6"/>
  <c r="AF248" i="6"/>
  <c r="HN134" i="1"/>
  <c r="F135" i="1"/>
  <c r="CK232" i="6"/>
  <c r="CN231" i="6"/>
  <c r="HM231" i="6"/>
  <c r="HP231" i="6" s="1"/>
  <c r="FE134" i="1"/>
  <c r="FH133" i="1"/>
  <c r="BD246" i="6"/>
  <c r="BA248" i="6"/>
  <c r="BD245" i="6"/>
  <c r="U30" i="11"/>
  <c r="BA135" i="1"/>
  <c r="BD134" i="1"/>
  <c r="FQ232" i="6"/>
  <c r="FT231" i="6"/>
  <c r="DJ324" i="1"/>
  <c r="F323" i="6"/>
  <c r="GO134" i="1" l="1"/>
  <c r="D134" i="10" s="1"/>
  <c r="GR133" i="1"/>
  <c r="C132" i="10"/>
  <c r="AF137" i="1"/>
  <c r="AF138" i="1"/>
  <c r="AC140" i="1"/>
  <c r="CW234" i="6"/>
  <c r="CZ233" i="6"/>
  <c r="HM133" i="1"/>
  <c r="HP133" i="1" s="1"/>
  <c r="HA233" i="6"/>
  <c r="HD232" i="6"/>
  <c r="HX133" i="1"/>
  <c r="DI234" i="6"/>
  <c r="DL233" i="6"/>
  <c r="DU234" i="6"/>
  <c r="DX233" i="6"/>
  <c r="GC134" i="1"/>
  <c r="GF133" i="1"/>
  <c r="BP134" i="1"/>
  <c r="BM135" i="1"/>
  <c r="BY134" i="1"/>
  <c r="CB133" i="1"/>
  <c r="T248" i="6"/>
  <c r="Q249" i="6"/>
  <c r="Q135" i="1"/>
  <c r="T134" i="1"/>
  <c r="BN252" i="6"/>
  <c r="HN251" i="6"/>
  <c r="EV233" i="6"/>
  <c r="ES234" i="6"/>
  <c r="GF234" i="6"/>
  <c r="GC235" i="6"/>
  <c r="H134" i="1"/>
  <c r="E135" i="1"/>
  <c r="BY233" i="6"/>
  <c r="CB232" i="6"/>
  <c r="EG134" i="1"/>
  <c r="HZ134" i="1" s="1"/>
  <c r="EJ133" i="1"/>
  <c r="EG233" i="6"/>
  <c r="EJ232" i="6"/>
  <c r="EV134" i="1"/>
  <c r="ES135" i="1"/>
  <c r="H133" i="10"/>
  <c r="AO134" i="1"/>
  <c r="AR133" i="1"/>
  <c r="FQ136" i="1"/>
  <c r="FT135" i="1"/>
  <c r="F133" i="10"/>
  <c r="CK135" i="1"/>
  <c r="CN134" i="1"/>
  <c r="HA134" i="1"/>
  <c r="J134" i="10" s="1"/>
  <c r="HD133" i="1"/>
  <c r="IA133" i="1"/>
  <c r="AR248" i="6"/>
  <c r="AO249" i="6"/>
  <c r="FH134" i="1"/>
  <c r="FE135" i="1"/>
  <c r="CK233" i="6"/>
  <c r="CN232" i="6"/>
  <c r="HM232" i="6"/>
  <c r="HP232" i="6" s="1"/>
  <c r="CZ134" i="1"/>
  <c r="CW135" i="1"/>
  <c r="F136" i="1"/>
  <c r="HN135" i="1"/>
  <c r="BD135" i="1"/>
  <c r="BA136" i="1"/>
  <c r="FT232" i="6"/>
  <c r="FQ233" i="6"/>
  <c r="H248" i="6"/>
  <c r="E249" i="6"/>
  <c r="GO233" i="6"/>
  <c r="GR232" i="6"/>
  <c r="BP245" i="6"/>
  <c r="BM248" i="6"/>
  <c r="W30" i="11"/>
  <c r="BP246" i="6"/>
  <c r="AC250" i="6"/>
  <c r="AF249" i="6"/>
  <c r="DX134" i="1"/>
  <c r="DU135" i="1"/>
  <c r="BA249" i="6"/>
  <c r="BD248" i="6"/>
  <c r="FH233" i="6"/>
  <c r="FE234" i="6"/>
  <c r="DL134" i="1"/>
  <c r="DI135" i="1"/>
  <c r="DJ325" i="1"/>
  <c r="F324" i="6"/>
  <c r="C133" i="10" l="1"/>
  <c r="GO135" i="1"/>
  <c r="GR134" i="1"/>
  <c r="CZ234" i="6"/>
  <c r="CW235" i="6"/>
  <c r="AF140" i="1"/>
  <c r="AC141" i="1"/>
  <c r="HM134" i="1"/>
  <c r="HP134" i="1" s="1"/>
  <c r="GF134" i="1"/>
  <c r="GC135" i="1"/>
  <c r="DU235" i="6"/>
  <c r="DX234" i="6"/>
  <c r="BY135" i="1"/>
  <c r="HY135" i="1" s="1"/>
  <c r="CB134" i="1"/>
  <c r="HY134" i="1"/>
  <c r="DL234" i="6"/>
  <c r="DI235" i="6"/>
  <c r="BP135" i="1"/>
  <c r="BM136" i="1"/>
  <c r="HA234" i="6"/>
  <c r="HD233" i="6"/>
  <c r="CK136" i="1"/>
  <c r="CN135" i="1"/>
  <c r="EG135" i="1"/>
  <c r="HZ135" i="1" s="1"/>
  <c r="EJ134" i="1"/>
  <c r="AO250" i="6"/>
  <c r="AR249" i="6"/>
  <c r="BY234" i="6"/>
  <c r="CB233" i="6"/>
  <c r="BN253" i="6"/>
  <c r="HN252" i="6"/>
  <c r="FQ137" i="1"/>
  <c r="FT136" i="1"/>
  <c r="H135" i="1"/>
  <c r="E136" i="1"/>
  <c r="T135" i="1"/>
  <c r="Q136" i="1"/>
  <c r="AR134" i="1"/>
  <c r="AO135" i="1"/>
  <c r="H134" i="10"/>
  <c r="HX134" i="1"/>
  <c r="EJ233" i="6"/>
  <c r="EG234" i="6"/>
  <c r="GC236" i="6"/>
  <c r="GF235" i="6"/>
  <c r="F134" i="10"/>
  <c r="HA135" i="1"/>
  <c r="J135" i="10" s="1"/>
  <c r="HD134" i="1"/>
  <c r="IA134" i="1"/>
  <c r="T249" i="6"/>
  <c r="Q250" i="6"/>
  <c r="EV135" i="1"/>
  <c r="ES136" i="1"/>
  <c r="ES235" i="6"/>
  <c r="EV234" i="6"/>
  <c r="FQ234" i="6"/>
  <c r="FT233" i="6"/>
  <c r="CW136" i="1"/>
  <c r="CZ135" i="1"/>
  <c r="FE136" i="1"/>
  <c r="FH135" i="1"/>
  <c r="CN233" i="6"/>
  <c r="CK234" i="6"/>
  <c r="HM233" i="6"/>
  <c r="HP233" i="6" s="1"/>
  <c r="F137" i="1"/>
  <c r="HN136" i="1"/>
  <c r="BD136" i="1"/>
  <c r="BA137" i="1"/>
  <c r="DL135" i="1"/>
  <c r="DI136" i="1"/>
  <c r="GR233" i="6"/>
  <c r="GO234" i="6"/>
  <c r="DU136" i="1"/>
  <c r="DX135" i="1"/>
  <c r="D135" i="10"/>
  <c r="FE235" i="6"/>
  <c r="FH234" i="6"/>
  <c r="BD249" i="6"/>
  <c r="BA250" i="6"/>
  <c r="E250" i="6"/>
  <c r="H249" i="6"/>
  <c r="AF250" i="6"/>
  <c r="AC251" i="6"/>
  <c r="BP248" i="6"/>
  <c r="BM249" i="6"/>
  <c r="DJ326" i="1"/>
  <c r="F325" i="6"/>
  <c r="C134" i="10" l="1"/>
  <c r="GO136" i="1"/>
  <c r="GR135" i="1"/>
  <c r="AC142" i="1"/>
  <c r="AF141" i="1"/>
  <c r="CZ235" i="6"/>
  <c r="CW236" i="6"/>
  <c r="BY136" i="1"/>
  <c r="HY136" i="1" s="1"/>
  <c r="CB135" i="1"/>
  <c r="HA235" i="6"/>
  <c r="HD234" i="6"/>
  <c r="BM137" i="1"/>
  <c r="BP136" i="1"/>
  <c r="DX235" i="6"/>
  <c r="DU236" i="6"/>
  <c r="GF135" i="1"/>
  <c r="GC136" i="1"/>
  <c r="HM135" i="1"/>
  <c r="HP135" i="1" s="1"/>
  <c r="DI236" i="6"/>
  <c r="DL235" i="6"/>
  <c r="FT137" i="1"/>
  <c r="FT138" i="1"/>
  <c r="FQ140" i="1"/>
  <c r="HD135" i="1"/>
  <c r="HA136" i="1"/>
  <c r="J136" i="10" s="1"/>
  <c r="IA135" i="1"/>
  <c r="AO136" i="1"/>
  <c r="H136" i="10" s="1"/>
  <c r="AR135" i="1"/>
  <c r="HX135" i="1"/>
  <c r="H135" i="10"/>
  <c r="EV235" i="6"/>
  <c r="ES236" i="6"/>
  <c r="BN254" i="6"/>
  <c r="HN253" i="6"/>
  <c r="ES137" i="1"/>
  <c r="EV136" i="1"/>
  <c r="Q137" i="1"/>
  <c r="T136" i="1"/>
  <c r="GC239" i="6"/>
  <c r="GF237" i="6"/>
  <c r="GF236" i="6"/>
  <c r="CB234" i="6"/>
  <c r="BY235" i="6"/>
  <c r="EG136" i="1"/>
  <c r="HZ136" i="1" s="1"/>
  <c r="EJ135" i="1"/>
  <c r="F135" i="10"/>
  <c r="Q251" i="6"/>
  <c r="T250" i="6"/>
  <c r="EG235" i="6"/>
  <c r="EJ234" i="6"/>
  <c r="H136" i="1"/>
  <c r="E137" i="1"/>
  <c r="AO251" i="6"/>
  <c r="AR250" i="6"/>
  <c r="CK137" i="1"/>
  <c r="CN136" i="1"/>
  <c r="FE236" i="6"/>
  <c r="FH235" i="6"/>
  <c r="CN234" i="6"/>
  <c r="CK235" i="6"/>
  <c r="HM234" i="6"/>
  <c r="HP234" i="6" s="1"/>
  <c r="BD138" i="1"/>
  <c r="BA140" i="1"/>
  <c r="BD137" i="1"/>
  <c r="DU137" i="1"/>
  <c r="DX136" i="1"/>
  <c r="D136" i="10"/>
  <c r="F140" i="1"/>
  <c r="HN137" i="1"/>
  <c r="CZ136" i="1"/>
  <c r="CW137" i="1"/>
  <c r="BP249" i="6"/>
  <c r="BM250" i="6"/>
  <c r="H250" i="6"/>
  <c r="E251" i="6"/>
  <c r="DI137" i="1"/>
  <c r="DL136" i="1"/>
  <c r="FQ235" i="6"/>
  <c r="FT234" i="6"/>
  <c r="BA251" i="6"/>
  <c r="BD250" i="6"/>
  <c r="GO235" i="6"/>
  <c r="GR234" i="6"/>
  <c r="FH136" i="1"/>
  <c r="FE137" i="1"/>
  <c r="AC252" i="6"/>
  <c r="AF251" i="6"/>
  <c r="DJ329" i="1"/>
  <c r="F326" i="6"/>
  <c r="GO137" i="1" l="1"/>
  <c r="GR136" i="1"/>
  <c r="CW239" i="6"/>
  <c r="CZ237" i="6"/>
  <c r="CZ236" i="6"/>
  <c r="C135" i="10"/>
  <c r="HM136" i="1"/>
  <c r="HP136" i="1" s="1"/>
  <c r="AC143" i="1"/>
  <c r="AF142" i="1"/>
  <c r="DX236" i="6"/>
  <c r="DU239" i="6"/>
  <c r="DX237" i="6"/>
  <c r="BP137" i="1"/>
  <c r="BM140" i="1"/>
  <c r="BP138" i="1"/>
  <c r="DL236" i="6"/>
  <c r="DI239" i="6"/>
  <c r="DL237" i="6"/>
  <c r="HA236" i="6"/>
  <c r="HD235" i="6"/>
  <c r="GC137" i="1"/>
  <c r="GF136" i="1"/>
  <c r="BY137" i="1"/>
  <c r="HY137" i="1" s="1"/>
  <c r="CB136" i="1"/>
  <c r="BN257" i="6"/>
  <c r="HN254" i="6"/>
  <c r="HL265" i="6" s="1"/>
  <c r="AR251" i="6"/>
  <c r="AO252" i="6"/>
  <c r="EV236" i="6"/>
  <c r="ES239" i="6"/>
  <c r="EV237" i="6"/>
  <c r="HD136" i="1"/>
  <c r="HA137" i="1"/>
  <c r="L18" i="11" s="1"/>
  <c r="IA136" i="1"/>
  <c r="H138" i="1"/>
  <c r="E140" i="1"/>
  <c r="H137" i="1"/>
  <c r="EJ136" i="1"/>
  <c r="EG137" i="1"/>
  <c r="HZ137" i="1" s="1"/>
  <c r="F136" i="10"/>
  <c r="T138" i="1"/>
  <c r="T137" i="1"/>
  <c r="Q140" i="1"/>
  <c r="BY236" i="6"/>
  <c r="CB235" i="6"/>
  <c r="FQ141" i="1"/>
  <c r="FT140" i="1"/>
  <c r="EV138" i="1"/>
  <c r="EV137" i="1"/>
  <c r="ES140" i="1"/>
  <c r="EG236" i="6"/>
  <c r="EJ235" i="6"/>
  <c r="CN137" i="1"/>
  <c r="CK140" i="1"/>
  <c r="CN138" i="1"/>
  <c r="T251" i="6"/>
  <c r="Q252" i="6"/>
  <c r="GF239" i="6"/>
  <c r="GC240" i="6"/>
  <c r="HX136" i="1"/>
  <c r="AO137" i="1"/>
  <c r="HX138" i="1" s="1"/>
  <c r="AR136" i="1"/>
  <c r="BP250" i="6"/>
  <c r="BM251" i="6"/>
  <c r="DL137" i="1"/>
  <c r="DI140" i="1"/>
  <c r="DL138" i="1"/>
  <c r="DX137" i="1"/>
  <c r="DU140" i="1"/>
  <c r="DX138" i="1"/>
  <c r="IH148" i="1"/>
  <c r="IH146" i="1" s="1"/>
  <c r="D137" i="10"/>
  <c r="F18" i="11"/>
  <c r="AF252" i="6"/>
  <c r="AC253" i="6"/>
  <c r="BA141" i="1"/>
  <c r="BD140" i="1"/>
  <c r="FH236" i="6"/>
  <c r="FE239" i="6"/>
  <c r="FH237" i="6"/>
  <c r="CN235" i="6"/>
  <c r="CK236" i="6"/>
  <c r="HM235" i="6"/>
  <c r="HP235" i="6" s="1"/>
  <c r="GR235" i="6"/>
  <c r="GO236" i="6"/>
  <c r="E252" i="6"/>
  <c r="H251" i="6"/>
  <c r="FT235" i="6"/>
  <c r="FQ236" i="6"/>
  <c r="HN140" i="1"/>
  <c r="HL148" i="1" s="1"/>
  <c r="F141" i="1"/>
  <c r="FH137" i="1"/>
  <c r="FH138" i="1"/>
  <c r="FE140" i="1"/>
  <c r="CZ137" i="1"/>
  <c r="CW140" i="1"/>
  <c r="CZ138" i="1"/>
  <c r="BD251" i="6"/>
  <c r="BA252" i="6"/>
  <c r="DJ330" i="1"/>
  <c r="F329" i="6"/>
  <c r="C136" i="10" l="1"/>
  <c r="H137" i="10"/>
  <c r="GO140" i="1"/>
  <c r="D140" i="10" s="1"/>
  <c r="GR138" i="1"/>
  <c r="GR137" i="1"/>
  <c r="HM137" i="1"/>
  <c r="C137" i="10" s="1"/>
  <c r="J137" i="10"/>
  <c r="AC144" i="1"/>
  <c r="AF143" i="1"/>
  <c r="HZ138" i="1"/>
  <c r="CW240" i="6"/>
  <c r="CZ239" i="6"/>
  <c r="HX137" i="1"/>
  <c r="CB138" i="1"/>
  <c r="CB137" i="1"/>
  <c r="BY140" i="1"/>
  <c r="HY140" i="1" s="1"/>
  <c r="IG148" i="1"/>
  <c r="IG146" i="1" s="1"/>
  <c r="GF137" i="1"/>
  <c r="GF138" i="1"/>
  <c r="GC140" i="1"/>
  <c r="BM141" i="1"/>
  <c r="BP140" i="1"/>
  <c r="HY138" i="1"/>
  <c r="HA239" i="6"/>
  <c r="HD236" i="6"/>
  <c r="HD237" i="6"/>
  <c r="DU240" i="6"/>
  <c r="DX239" i="6"/>
  <c r="DI240" i="6"/>
  <c r="DL239" i="6"/>
  <c r="T252" i="6"/>
  <c r="Q253" i="6"/>
  <c r="CB236" i="6"/>
  <c r="CB237" i="6"/>
  <c r="BY239" i="6"/>
  <c r="EV239" i="6"/>
  <c r="ES240" i="6"/>
  <c r="EJ236" i="6"/>
  <c r="EJ237" i="6"/>
  <c r="EG239" i="6"/>
  <c r="T140" i="1"/>
  <c r="Q141" i="1"/>
  <c r="E141" i="1"/>
  <c r="H140" i="1"/>
  <c r="EV140" i="1"/>
  <c r="ES141" i="1"/>
  <c r="AO253" i="6"/>
  <c r="AR252" i="6"/>
  <c r="CN140" i="1"/>
  <c r="CK141" i="1"/>
  <c r="IF148" i="1"/>
  <c r="IF146" i="1" s="1"/>
  <c r="AR137" i="1"/>
  <c r="AR138" i="1"/>
  <c r="AO140" i="1"/>
  <c r="J18" i="11"/>
  <c r="EJ138" i="1"/>
  <c r="EJ137" i="1"/>
  <c r="EG140" i="1"/>
  <c r="HZ140" i="1" s="1"/>
  <c r="H18" i="11"/>
  <c r="F137" i="10"/>
  <c r="HD138" i="1"/>
  <c r="HD137" i="1"/>
  <c r="HA140" i="1"/>
  <c r="IA138" i="1"/>
  <c r="IA137" i="1"/>
  <c r="II148" i="1"/>
  <c r="II146" i="1" s="1"/>
  <c r="GC241" i="6"/>
  <c r="GF240" i="6"/>
  <c r="FQ142" i="1"/>
  <c r="FT141" i="1"/>
  <c r="BN258" i="6"/>
  <c r="HN257" i="6"/>
  <c r="CK239" i="6"/>
  <c r="CN236" i="6"/>
  <c r="CN237" i="6"/>
  <c r="HM236" i="6"/>
  <c r="E253" i="6"/>
  <c r="H252" i="6"/>
  <c r="BA253" i="6"/>
  <c r="BD252" i="6"/>
  <c r="FQ239" i="6"/>
  <c r="FT237" i="6"/>
  <c r="FT236" i="6"/>
  <c r="GO239" i="6"/>
  <c r="GR237" i="6"/>
  <c r="GR236" i="6"/>
  <c r="FE240" i="6"/>
  <c r="FH239" i="6"/>
  <c r="CZ140" i="1"/>
  <c r="CW141" i="1"/>
  <c r="FE141" i="1"/>
  <c r="FH140" i="1"/>
  <c r="AC254" i="6"/>
  <c r="AF253" i="6"/>
  <c r="DI141" i="1"/>
  <c r="DL140" i="1"/>
  <c r="F142" i="1"/>
  <c r="HN141" i="1"/>
  <c r="BD141" i="1"/>
  <c r="BA142" i="1"/>
  <c r="DU141" i="1"/>
  <c r="DX140" i="1"/>
  <c r="BP251" i="6"/>
  <c r="BM252" i="6"/>
  <c r="DJ331" i="1"/>
  <c r="F330" i="6"/>
  <c r="HP138" i="1" l="1"/>
  <c r="HP137" i="1"/>
  <c r="GO141" i="1"/>
  <c r="GR140" i="1"/>
  <c r="F140" i="10"/>
  <c r="CZ240" i="6"/>
  <c r="CW241" i="6"/>
  <c r="AC145" i="1"/>
  <c r="AF144" i="1"/>
  <c r="GF140" i="1"/>
  <c r="GC141" i="1"/>
  <c r="DU241" i="6"/>
  <c r="DX240" i="6"/>
  <c r="HA240" i="6"/>
  <c r="HD239" i="6"/>
  <c r="BY141" i="1"/>
  <c r="HY141" i="1" s="1"/>
  <c r="CB140" i="1"/>
  <c r="BM142" i="1"/>
  <c r="BP141" i="1"/>
  <c r="DL240" i="6"/>
  <c r="DI241" i="6"/>
  <c r="Q142" i="1"/>
  <c r="T141" i="1"/>
  <c r="CB239" i="6"/>
  <c r="BY240" i="6"/>
  <c r="BN259" i="6"/>
  <c r="HN258" i="6"/>
  <c r="HA141" i="1"/>
  <c r="HD140" i="1"/>
  <c r="IA140" i="1"/>
  <c r="AO254" i="6"/>
  <c r="AR253" i="6"/>
  <c r="HM140" i="1"/>
  <c r="AO141" i="1"/>
  <c r="AR140" i="1"/>
  <c r="H140" i="10"/>
  <c r="EV141" i="1"/>
  <c r="ES142" i="1"/>
  <c r="EG240" i="6"/>
  <c r="EJ239" i="6"/>
  <c r="FT142" i="1"/>
  <c r="FQ143" i="1"/>
  <c r="Q254" i="6"/>
  <c r="T253" i="6"/>
  <c r="GF241" i="6"/>
  <c r="GC242" i="6"/>
  <c r="HX140" i="1"/>
  <c r="J140" i="10"/>
  <c r="EJ140" i="1"/>
  <c r="EG141" i="1"/>
  <c r="CK142" i="1"/>
  <c r="CN141" i="1"/>
  <c r="E142" i="1"/>
  <c r="H141" i="1"/>
  <c r="EV240" i="6"/>
  <c r="ES241" i="6"/>
  <c r="DL141" i="1"/>
  <c r="DI142" i="1"/>
  <c r="FE142" i="1"/>
  <c r="FH141" i="1"/>
  <c r="GO240" i="6"/>
  <c r="GR239" i="6"/>
  <c r="BM253" i="6"/>
  <c r="BP252" i="6"/>
  <c r="HP237" i="6"/>
  <c r="HP236" i="6"/>
  <c r="HK247" i="6"/>
  <c r="F143" i="1"/>
  <c r="HN142" i="1"/>
  <c r="FQ240" i="6"/>
  <c r="FT239" i="6"/>
  <c r="AC257" i="6"/>
  <c r="AF255" i="6"/>
  <c r="AF254" i="6"/>
  <c r="H253" i="6"/>
  <c r="E254" i="6"/>
  <c r="CK240" i="6"/>
  <c r="CN239" i="6"/>
  <c r="HM239" i="6"/>
  <c r="HP239" i="6" s="1"/>
  <c r="DX141" i="1"/>
  <c r="DU142" i="1"/>
  <c r="HZ141" i="1"/>
  <c r="D141" i="10"/>
  <c r="FE241" i="6"/>
  <c r="FH240" i="6"/>
  <c r="BD253" i="6"/>
  <c r="BA254" i="6"/>
  <c r="CZ141" i="1"/>
  <c r="CW142" i="1"/>
  <c r="BD142" i="1"/>
  <c r="BA143" i="1"/>
  <c r="H141" i="10"/>
  <c r="DJ332" i="1"/>
  <c r="F331" i="6"/>
  <c r="GR141" i="1" l="1"/>
  <c r="GO142" i="1"/>
  <c r="AF145" i="1"/>
  <c r="AC146" i="1"/>
  <c r="CZ241" i="6"/>
  <c r="CW242" i="6"/>
  <c r="CB141" i="1"/>
  <c r="BY142" i="1"/>
  <c r="HA241" i="6"/>
  <c r="HD240" i="6"/>
  <c r="DI242" i="6"/>
  <c r="DL241" i="6"/>
  <c r="GF141" i="1"/>
  <c r="GC142" i="1"/>
  <c r="DU242" i="6"/>
  <c r="DX241" i="6"/>
  <c r="BM143" i="1"/>
  <c r="BP142" i="1"/>
  <c r="EV241" i="6"/>
  <c r="ES242" i="6"/>
  <c r="S31" i="11"/>
  <c r="T254" i="6"/>
  <c r="Q257" i="6"/>
  <c r="T255" i="6"/>
  <c r="BN260" i="6"/>
  <c r="HN259" i="6"/>
  <c r="C140" i="10"/>
  <c r="HK148" i="1"/>
  <c r="HP140" i="1"/>
  <c r="CB240" i="6"/>
  <c r="BY241" i="6"/>
  <c r="H142" i="1"/>
  <c r="E143" i="1"/>
  <c r="FT143" i="1"/>
  <c r="FQ144" i="1"/>
  <c r="GF242" i="6"/>
  <c r="GC243" i="6"/>
  <c r="EJ240" i="6"/>
  <c r="EG241" i="6"/>
  <c r="AO257" i="6"/>
  <c r="AR255" i="6"/>
  <c r="AR254" i="6"/>
  <c r="HX141" i="1"/>
  <c r="AO142" i="1"/>
  <c r="AR141" i="1"/>
  <c r="HM141" i="1"/>
  <c r="HP141" i="1" s="1"/>
  <c r="CN142" i="1"/>
  <c r="CK143" i="1"/>
  <c r="EV142" i="1"/>
  <c r="ES143" i="1"/>
  <c r="Q143" i="1"/>
  <c r="T142" i="1"/>
  <c r="EJ141" i="1"/>
  <c r="EG142" i="1"/>
  <c r="HZ142" i="1" s="1"/>
  <c r="F141" i="10"/>
  <c r="HY142" i="1"/>
  <c r="HD141" i="1"/>
  <c r="HA142" i="1"/>
  <c r="IA141" i="1"/>
  <c r="J141" i="10"/>
  <c r="F144" i="1"/>
  <c r="HN143" i="1"/>
  <c r="BD255" i="6"/>
  <c r="BA257" i="6"/>
  <c r="BD254" i="6"/>
  <c r="U31" i="11"/>
  <c r="CK241" i="6"/>
  <c r="CN240" i="6"/>
  <c r="HM240" i="6"/>
  <c r="HP240" i="6" s="1"/>
  <c r="FT240" i="6"/>
  <c r="FQ241" i="6"/>
  <c r="CZ142" i="1"/>
  <c r="CW143" i="1"/>
  <c r="FE242" i="6"/>
  <c r="FH241" i="6"/>
  <c r="GO241" i="6"/>
  <c r="GR240" i="6"/>
  <c r="H254" i="6"/>
  <c r="E257" i="6"/>
  <c r="H255" i="6"/>
  <c r="Q31" i="11"/>
  <c r="FH142" i="1"/>
  <c r="FE143" i="1"/>
  <c r="BD143" i="1"/>
  <c r="BA144" i="1"/>
  <c r="AF257" i="6"/>
  <c r="AC258" i="6"/>
  <c r="DI143" i="1"/>
  <c r="DL142" i="1"/>
  <c r="DX142" i="1"/>
  <c r="DU143" i="1"/>
  <c r="D142" i="10"/>
  <c r="BP253" i="6"/>
  <c r="BM254" i="6"/>
  <c r="DJ333" i="1"/>
  <c r="F332" i="6"/>
  <c r="GO143" i="1" l="1"/>
  <c r="D143" i="10" s="1"/>
  <c r="GR142" i="1"/>
  <c r="CZ242" i="6"/>
  <c r="CW243" i="6"/>
  <c r="C141" i="10"/>
  <c r="AF147" i="1"/>
  <c r="AF146" i="1"/>
  <c r="AC149" i="1"/>
  <c r="GF142" i="1"/>
  <c r="GC143" i="1"/>
  <c r="DL242" i="6"/>
  <c r="DI243" i="6"/>
  <c r="BP143" i="1"/>
  <c r="BM144" i="1"/>
  <c r="CB142" i="1"/>
  <c r="BY143" i="1"/>
  <c r="HD241" i="6"/>
  <c r="HA242" i="6"/>
  <c r="DU243" i="6"/>
  <c r="DX242" i="6"/>
  <c r="AR257" i="6"/>
  <c r="AO258" i="6"/>
  <c r="EJ142" i="1"/>
  <c r="EG143" i="1"/>
  <c r="HZ143" i="1" s="1"/>
  <c r="F142" i="10"/>
  <c r="EG242" i="6"/>
  <c r="EJ241" i="6"/>
  <c r="BY242" i="6"/>
  <c r="CB241" i="6"/>
  <c r="Q258" i="6"/>
  <c r="T257" i="6"/>
  <c r="HY143" i="1"/>
  <c r="GF243" i="6"/>
  <c r="GC244" i="6"/>
  <c r="HD142" i="1"/>
  <c r="HA143" i="1"/>
  <c r="IA142" i="1"/>
  <c r="J142" i="10"/>
  <c r="T143" i="1"/>
  <c r="Q144" i="1"/>
  <c r="HX142" i="1"/>
  <c r="HM142" i="1"/>
  <c r="AR142" i="1"/>
  <c r="AO143" i="1"/>
  <c r="ES144" i="1"/>
  <c r="EV143" i="1"/>
  <c r="FT144" i="1"/>
  <c r="FQ145" i="1"/>
  <c r="ES243" i="6"/>
  <c r="EV242" i="6"/>
  <c r="H142" i="10"/>
  <c r="CN143" i="1"/>
  <c r="CK144" i="1"/>
  <c r="H143" i="1"/>
  <c r="E144" i="1"/>
  <c r="BN261" i="6"/>
  <c r="HN260" i="6"/>
  <c r="W31" i="11"/>
  <c r="BP254" i="6"/>
  <c r="BP255" i="6"/>
  <c r="BM257" i="6"/>
  <c r="H257" i="6"/>
  <c r="E258" i="6"/>
  <c r="GR241" i="6"/>
  <c r="GO242" i="6"/>
  <c r="DL143" i="1"/>
  <c r="DI144" i="1"/>
  <c r="AC259" i="6"/>
  <c r="AF258" i="6"/>
  <c r="FE144" i="1"/>
  <c r="FH143" i="1"/>
  <c r="BA258" i="6"/>
  <c r="BD257" i="6"/>
  <c r="CK242" i="6"/>
  <c r="CN241" i="6"/>
  <c r="HM241" i="6"/>
  <c r="HP241" i="6" s="1"/>
  <c r="DX143" i="1"/>
  <c r="DU144" i="1"/>
  <c r="BA145" i="1"/>
  <c r="BD144" i="1"/>
  <c r="FE243" i="6"/>
  <c r="FH242" i="6"/>
  <c r="F145" i="1"/>
  <c r="HN144" i="1"/>
  <c r="CW144" i="1"/>
  <c r="CZ143" i="1"/>
  <c r="FT241" i="6"/>
  <c r="FQ242" i="6"/>
  <c r="DJ334" i="1"/>
  <c r="F333" i="6"/>
  <c r="GO144" i="1" l="1"/>
  <c r="GR143" i="1"/>
  <c r="AC150" i="1"/>
  <c r="AF149" i="1"/>
  <c r="CW244" i="6"/>
  <c r="CZ243" i="6"/>
  <c r="CB143" i="1"/>
  <c r="BY144" i="1"/>
  <c r="HY144" i="1" s="1"/>
  <c r="DI244" i="6"/>
  <c r="DL243" i="6"/>
  <c r="BP144" i="1"/>
  <c r="BM145" i="1"/>
  <c r="DU244" i="6"/>
  <c r="DX243" i="6"/>
  <c r="HA243" i="6"/>
  <c r="HD242" i="6"/>
  <c r="GF143" i="1"/>
  <c r="GC144" i="1"/>
  <c r="HX143" i="1"/>
  <c r="AO144" i="1"/>
  <c r="AR143" i="1"/>
  <c r="H143" i="10"/>
  <c r="FT145" i="1"/>
  <c r="FQ146" i="1"/>
  <c r="H144" i="1"/>
  <c r="E145" i="1"/>
  <c r="C142" i="10"/>
  <c r="HP142" i="1"/>
  <c r="GF244" i="6"/>
  <c r="GC245" i="6"/>
  <c r="EJ242" i="6"/>
  <c r="EG243" i="6"/>
  <c r="BN262" i="6"/>
  <c r="HN261" i="6"/>
  <c r="CB242" i="6"/>
  <c r="BY243" i="6"/>
  <c r="CK145" i="1"/>
  <c r="CN144" i="1"/>
  <c r="T144" i="1"/>
  <c r="Q145" i="1"/>
  <c r="EG144" i="1"/>
  <c r="HZ144" i="1" s="1"/>
  <c r="EJ143" i="1"/>
  <c r="F143" i="10"/>
  <c r="HA144" i="1"/>
  <c r="J144" i="10" s="1"/>
  <c r="HD143" i="1"/>
  <c r="IA143" i="1"/>
  <c r="J143" i="10"/>
  <c r="EV144" i="1"/>
  <c r="ES145" i="1"/>
  <c r="HX144" i="1"/>
  <c r="Q259" i="6"/>
  <c r="T258" i="6"/>
  <c r="AR258" i="6"/>
  <c r="AO259" i="6"/>
  <c r="EV243" i="6"/>
  <c r="ES244" i="6"/>
  <c r="HM143" i="1"/>
  <c r="HP143" i="1" s="1"/>
  <c r="HN145" i="1"/>
  <c r="F146" i="1"/>
  <c r="FH243" i="6"/>
  <c r="FE244" i="6"/>
  <c r="FE145" i="1"/>
  <c r="FH144" i="1"/>
  <c r="CZ144" i="1"/>
  <c r="CW145" i="1"/>
  <c r="DX144" i="1"/>
  <c r="DU145" i="1"/>
  <c r="D144" i="10"/>
  <c r="AC260" i="6"/>
  <c r="AF260" i="6" s="1"/>
  <c r="AF259" i="6"/>
  <c r="BM258" i="6"/>
  <c r="BP257" i="6"/>
  <c r="DL144" i="1"/>
  <c r="DI145" i="1"/>
  <c r="GR242" i="6"/>
  <c r="GO243" i="6"/>
  <c r="BD145" i="1"/>
  <c r="BA146" i="1"/>
  <c r="CK243" i="6"/>
  <c r="CN242" i="6"/>
  <c r="HM242" i="6"/>
  <c r="HP242" i="6" s="1"/>
  <c r="FQ243" i="6"/>
  <c r="FT242" i="6"/>
  <c r="BA259" i="6"/>
  <c r="BD258" i="6"/>
  <c r="H258" i="6"/>
  <c r="E259" i="6"/>
  <c r="DJ335" i="1"/>
  <c r="F334" i="6"/>
  <c r="GR144" i="1" l="1"/>
  <c r="GO145" i="1"/>
  <c r="D145" i="10" s="1"/>
  <c r="CZ244" i="6"/>
  <c r="CW245" i="6"/>
  <c r="AF150" i="1"/>
  <c r="AC151" i="1"/>
  <c r="HM144" i="1"/>
  <c r="C144" i="10" s="1"/>
  <c r="F144" i="10"/>
  <c r="GF144" i="1"/>
  <c r="GC145" i="1"/>
  <c r="DX244" i="6"/>
  <c r="DU245" i="6"/>
  <c r="C143" i="10"/>
  <c r="DI245" i="6"/>
  <c r="DL244" i="6"/>
  <c r="CB144" i="1"/>
  <c r="BY145" i="1"/>
  <c r="BM146" i="1"/>
  <c r="BP145" i="1"/>
  <c r="HD243" i="6"/>
  <c r="HA244" i="6"/>
  <c r="HD144" i="1"/>
  <c r="HA145" i="1"/>
  <c r="IA144" i="1"/>
  <c r="Q146" i="1"/>
  <c r="T145" i="1"/>
  <c r="BN263" i="6"/>
  <c r="HN262" i="6"/>
  <c r="T259" i="6"/>
  <c r="Q260" i="6"/>
  <c r="EG244" i="6"/>
  <c r="EJ243" i="6"/>
  <c r="FT147" i="1"/>
  <c r="FT146" i="1"/>
  <c r="FQ149" i="1"/>
  <c r="H145" i="1"/>
  <c r="E146" i="1"/>
  <c r="ES146" i="1"/>
  <c r="EV145" i="1"/>
  <c r="CN145" i="1"/>
  <c r="CK146" i="1"/>
  <c r="GF245" i="6"/>
  <c r="GC248" i="6"/>
  <c r="GF246" i="6"/>
  <c r="EV244" i="6"/>
  <c r="ES245" i="6"/>
  <c r="CB243" i="6"/>
  <c r="BY244" i="6"/>
  <c r="H144" i="10"/>
  <c r="AO145" i="1"/>
  <c r="HX145" i="1" s="1"/>
  <c r="AR144" i="1"/>
  <c r="AO260" i="6"/>
  <c r="AR259" i="6"/>
  <c r="EG145" i="1"/>
  <c r="HZ145" i="1" s="1"/>
  <c r="EJ144" i="1"/>
  <c r="BP258" i="6"/>
  <c r="BM259" i="6"/>
  <c r="CW146" i="1"/>
  <c r="CZ145" i="1"/>
  <c r="FE245" i="6"/>
  <c r="FH244" i="6"/>
  <c r="CN243" i="6"/>
  <c r="CK244" i="6"/>
  <c r="HM243" i="6"/>
  <c r="HP243" i="6" s="1"/>
  <c r="FQ244" i="6"/>
  <c r="FT243" i="6"/>
  <c r="BD146" i="1"/>
  <c r="BA149" i="1"/>
  <c r="BD147" i="1"/>
  <c r="BD259" i="6"/>
  <c r="BA260" i="6"/>
  <c r="FE146" i="1"/>
  <c r="FH145" i="1"/>
  <c r="DX145" i="1"/>
  <c r="DU146" i="1"/>
  <c r="E260" i="6"/>
  <c r="H259" i="6"/>
  <c r="GO244" i="6"/>
  <c r="GR243" i="6"/>
  <c r="F149" i="1"/>
  <c r="HN146" i="1"/>
  <c r="AC261" i="6"/>
  <c r="DI146" i="1"/>
  <c r="DL145" i="1"/>
  <c r="H145" i="10"/>
  <c r="DJ338" i="1"/>
  <c r="F335" i="6"/>
  <c r="HP144" i="1" l="1"/>
  <c r="GO146" i="1"/>
  <c r="D146" i="10" s="1"/>
  <c r="GR145" i="1"/>
  <c r="AC152" i="1"/>
  <c r="AF151" i="1"/>
  <c r="CZ245" i="6"/>
  <c r="CZ246" i="6"/>
  <c r="CW248" i="6"/>
  <c r="HM145" i="1"/>
  <c r="C145" i="10" s="1"/>
  <c r="HA245" i="6"/>
  <c r="HD244" i="6"/>
  <c r="DU248" i="6"/>
  <c r="DX246" i="6"/>
  <c r="DX245" i="6"/>
  <c r="DI248" i="6"/>
  <c r="DL246" i="6"/>
  <c r="DL245" i="6"/>
  <c r="BP146" i="1"/>
  <c r="BM149" i="1"/>
  <c r="BP147" i="1"/>
  <c r="GF145" i="1"/>
  <c r="GC146" i="1"/>
  <c r="CB145" i="1"/>
  <c r="BY146" i="1"/>
  <c r="HY146" i="1" s="1"/>
  <c r="HY145" i="1"/>
  <c r="EG146" i="1"/>
  <c r="IH157" i="1" s="1"/>
  <c r="IH155" i="1" s="1"/>
  <c r="EJ145" i="1"/>
  <c r="ES248" i="6"/>
  <c r="EV246" i="6"/>
  <c r="EV245" i="6"/>
  <c r="EV146" i="1"/>
  <c r="EV147" i="1"/>
  <c r="ES149" i="1"/>
  <c r="H146" i="1"/>
  <c r="H147" i="1"/>
  <c r="E149" i="1"/>
  <c r="F145" i="10"/>
  <c r="BN266" i="6"/>
  <c r="HN263" i="6"/>
  <c r="HL274" i="6" s="1"/>
  <c r="AO261" i="6"/>
  <c r="AR260" i="6"/>
  <c r="EJ244" i="6"/>
  <c r="EG245" i="6"/>
  <c r="T146" i="1"/>
  <c r="T147" i="1"/>
  <c r="Q149" i="1"/>
  <c r="GF248" i="6"/>
  <c r="GC249" i="6"/>
  <c r="Q261" i="6"/>
  <c r="T260" i="6"/>
  <c r="AR145" i="1"/>
  <c r="AO146" i="1"/>
  <c r="HD145" i="1"/>
  <c r="HA146" i="1"/>
  <c r="J146" i="10" s="1"/>
  <c r="IA145" i="1"/>
  <c r="J145" i="10"/>
  <c r="CN146" i="1"/>
  <c r="CN147" i="1"/>
  <c r="CK149" i="1"/>
  <c r="HX147" i="1"/>
  <c r="CB244" i="6"/>
  <c r="BY245" i="6"/>
  <c r="FT149" i="1"/>
  <c r="FQ150" i="1"/>
  <c r="DU149" i="1"/>
  <c r="DX147" i="1"/>
  <c r="DX146" i="1"/>
  <c r="F19" i="11"/>
  <c r="FH146" i="1"/>
  <c r="FE149" i="1"/>
  <c r="FH147" i="1"/>
  <c r="IG157" i="1"/>
  <c r="IG155" i="1" s="1"/>
  <c r="FH246" i="6"/>
  <c r="FH245" i="6"/>
  <c r="FE248" i="6"/>
  <c r="E261" i="6"/>
  <c r="H260" i="6"/>
  <c r="BM260" i="6"/>
  <c r="BP259" i="6"/>
  <c r="DL146" i="1"/>
  <c r="DL147" i="1"/>
  <c r="DI149" i="1"/>
  <c r="FT244" i="6"/>
  <c r="FQ245" i="6"/>
  <c r="AC262" i="6"/>
  <c r="AF261" i="6"/>
  <c r="F150" i="1"/>
  <c r="HN149" i="1"/>
  <c r="HL157" i="1" s="1"/>
  <c r="BA261" i="6"/>
  <c r="BD260" i="6"/>
  <c r="CK245" i="6"/>
  <c r="CN244" i="6"/>
  <c r="HM244" i="6"/>
  <c r="HP244" i="6" s="1"/>
  <c r="GR244" i="6"/>
  <c r="GO245" i="6"/>
  <c r="BD149" i="1"/>
  <c r="BA150" i="1"/>
  <c r="CZ147" i="1"/>
  <c r="CZ146" i="1"/>
  <c r="CW149" i="1"/>
  <c r="DJ339" i="1"/>
  <c r="F338" i="6"/>
  <c r="HP145" i="1" l="1"/>
  <c r="GO149" i="1"/>
  <c r="GR146" i="1"/>
  <c r="GR147" i="1"/>
  <c r="HZ147" i="1"/>
  <c r="HZ146" i="1"/>
  <c r="CZ248" i="6"/>
  <c r="CW249" i="6"/>
  <c r="AC153" i="1"/>
  <c r="AF152" i="1"/>
  <c r="CB146" i="1"/>
  <c r="BY149" i="1"/>
  <c r="HY149" i="1" s="1"/>
  <c r="CB147" i="1"/>
  <c r="GF147" i="1"/>
  <c r="GC149" i="1"/>
  <c r="GF146" i="1"/>
  <c r="HM146" i="1"/>
  <c r="C146" i="10" s="1"/>
  <c r="DL248" i="6"/>
  <c r="DI249" i="6"/>
  <c r="F146" i="10"/>
  <c r="DX248" i="6"/>
  <c r="DU249" i="6"/>
  <c r="BM150" i="1"/>
  <c r="BP149" i="1"/>
  <c r="HA248" i="6"/>
  <c r="HD245" i="6"/>
  <c r="HD246" i="6"/>
  <c r="HY147" i="1"/>
  <c r="AR261" i="6"/>
  <c r="AO262" i="6"/>
  <c r="HD147" i="1"/>
  <c r="HD146" i="1"/>
  <c r="HA149" i="1"/>
  <c r="IA146" i="1"/>
  <c r="II157" i="1"/>
  <c r="II155" i="1" s="1"/>
  <c r="IA147" i="1"/>
  <c r="Q150" i="1"/>
  <c r="T149" i="1"/>
  <c r="BN267" i="6"/>
  <c r="HN266" i="6"/>
  <c r="H146" i="10"/>
  <c r="AO149" i="1"/>
  <c r="AR146" i="1"/>
  <c r="J19" i="11"/>
  <c r="AR147" i="1"/>
  <c r="IF157" i="1"/>
  <c r="IF155" i="1" s="1"/>
  <c r="HX146" i="1"/>
  <c r="CK150" i="1"/>
  <c r="CN149" i="1"/>
  <c r="H149" i="1"/>
  <c r="E150" i="1"/>
  <c r="EV248" i="6"/>
  <c r="ES249" i="6"/>
  <c r="FT150" i="1"/>
  <c r="FQ151" i="1"/>
  <c r="EJ246" i="6"/>
  <c r="EJ245" i="6"/>
  <c r="EG248" i="6"/>
  <c r="T261" i="6"/>
  <c r="Q262" i="6"/>
  <c r="EG149" i="1"/>
  <c r="HZ149" i="1" s="1"/>
  <c r="EJ146" i="1"/>
  <c r="EJ147" i="1"/>
  <c r="H19" i="11"/>
  <c r="L19" i="11"/>
  <c r="CB246" i="6"/>
  <c r="BY248" i="6"/>
  <c r="CB245" i="6"/>
  <c r="GF249" i="6"/>
  <c r="GC250" i="6"/>
  <c r="ES150" i="1"/>
  <c r="EV149" i="1"/>
  <c r="F151" i="1"/>
  <c r="HN150" i="1"/>
  <c r="FE150" i="1"/>
  <c r="FH149" i="1"/>
  <c r="H261" i="6"/>
  <c r="E262" i="6"/>
  <c r="CK248" i="6"/>
  <c r="CN246" i="6"/>
  <c r="CN245" i="6"/>
  <c r="HM245" i="6"/>
  <c r="AF262" i="6"/>
  <c r="AC263" i="6"/>
  <c r="FT246" i="6"/>
  <c r="FT245" i="6"/>
  <c r="FQ248" i="6"/>
  <c r="BM261" i="6"/>
  <c r="BP260" i="6"/>
  <c r="H149" i="10"/>
  <c r="FE249" i="6"/>
  <c r="FH248" i="6"/>
  <c r="BA262" i="6"/>
  <c r="BD261" i="6"/>
  <c r="DL149" i="1"/>
  <c r="DI150" i="1"/>
  <c r="DX149" i="1"/>
  <c r="DU150" i="1"/>
  <c r="D149" i="10"/>
  <c r="CZ149" i="1"/>
  <c r="CW150" i="1"/>
  <c r="GR245" i="6"/>
  <c r="GR246" i="6"/>
  <c r="GO248" i="6"/>
  <c r="BA151" i="1"/>
  <c r="BD150" i="1"/>
  <c r="DJ340" i="1"/>
  <c r="F339" i="6"/>
  <c r="GO150" i="1" l="1"/>
  <c r="GR149" i="1"/>
  <c r="AC154" i="1"/>
  <c r="AF153" i="1"/>
  <c r="CZ249" i="6"/>
  <c r="CW250" i="6"/>
  <c r="HD248" i="6"/>
  <c r="HA249" i="6"/>
  <c r="BM151" i="1"/>
  <c r="BP150" i="1"/>
  <c r="GC150" i="1"/>
  <c r="GF149" i="1"/>
  <c r="HP147" i="1"/>
  <c r="DU250" i="6"/>
  <c r="DX249" i="6"/>
  <c r="HP146" i="1"/>
  <c r="CB149" i="1"/>
  <c r="BY150" i="1"/>
  <c r="HY150" i="1" s="1"/>
  <c r="DI250" i="6"/>
  <c r="DL249" i="6"/>
  <c r="EV150" i="1"/>
  <c r="ES151" i="1"/>
  <c r="CN150" i="1"/>
  <c r="CK151" i="1"/>
  <c r="GC251" i="6"/>
  <c r="GF250" i="6"/>
  <c r="FQ152" i="1"/>
  <c r="FT151" i="1"/>
  <c r="EG150" i="1"/>
  <c r="HZ150" i="1" s="1"/>
  <c r="EJ149" i="1"/>
  <c r="HA150" i="1"/>
  <c r="HD149" i="1"/>
  <c r="IA149" i="1"/>
  <c r="J149" i="10"/>
  <c r="T262" i="6"/>
  <c r="Q263" i="6"/>
  <c r="ES250" i="6"/>
  <c r="EV249" i="6"/>
  <c r="BN268" i="6"/>
  <c r="HN267" i="6"/>
  <c r="CB248" i="6"/>
  <c r="BY249" i="6"/>
  <c r="HM149" i="1"/>
  <c r="H150" i="1"/>
  <c r="E151" i="1"/>
  <c r="F149" i="10"/>
  <c r="AO263" i="6"/>
  <c r="AR262" i="6"/>
  <c r="EG249" i="6"/>
  <c r="EJ248" i="6"/>
  <c r="AO150" i="1"/>
  <c r="AR149" i="1"/>
  <c r="HX149" i="1"/>
  <c r="Q151" i="1"/>
  <c r="T150" i="1"/>
  <c r="CK249" i="6"/>
  <c r="CN248" i="6"/>
  <c r="HM248" i="6"/>
  <c r="HP248" i="6" s="1"/>
  <c r="BA152" i="1"/>
  <c r="BD151" i="1"/>
  <c r="BA263" i="6"/>
  <c r="BD262" i="6"/>
  <c r="E263" i="6"/>
  <c r="H262" i="6"/>
  <c r="GR248" i="6"/>
  <c r="GO249" i="6"/>
  <c r="DX150" i="1"/>
  <c r="DU151" i="1"/>
  <c r="D150" i="10"/>
  <c r="AF263" i="6"/>
  <c r="AC266" i="6"/>
  <c r="AF264" i="6"/>
  <c r="FE250" i="6"/>
  <c r="FH249" i="6"/>
  <c r="BM262" i="6"/>
  <c r="BP261" i="6"/>
  <c r="HN151" i="1"/>
  <c r="F152" i="1"/>
  <c r="DL150" i="1"/>
  <c r="DI151" i="1"/>
  <c r="FT248" i="6"/>
  <c r="FQ249" i="6"/>
  <c r="HK256" i="6"/>
  <c r="HP245" i="6"/>
  <c r="HP246" i="6"/>
  <c r="CZ150" i="1"/>
  <c r="CW151" i="1"/>
  <c r="FH150" i="1"/>
  <c r="FE151" i="1"/>
  <c r="GR150" i="1" l="1"/>
  <c r="GO151" i="1"/>
  <c r="CZ250" i="6"/>
  <c r="CW251" i="6"/>
  <c r="AC155" i="1"/>
  <c r="AF154" i="1"/>
  <c r="HM150" i="1"/>
  <c r="HP150" i="1" s="1"/>
  <c r="DX250" i="6"/>
  <c r="DU251" i="6"/>
  <c r="DI251" i="6"/>
  <c r="DL250" i="6"/>
  <c r="GF150" i="1"/>
  <c r="GC151" i="1"/>
  <c r="BY151" i="1"/>
  <c r="CB150" i="1"/>
  <c r="BM152" i="1"/>
  <c r="BP151" i="1"/>
  <c r="HA250" i="6"/>
  <c r="HD249" i="6"/>
  <c r="AR264" i="6"/>
  <c r="AR263" i="6"/>
  <c r="AO266" i="6"/>
  <c r="BN269" i="6"/>
  <c r="HN268" i="6"/>
  <c r="T151" i="1"/>
  <c r="Q152" i="1"/>
  <c r="HD150" i="1"/>
  <c r="HA151" i="1"/>
  <c r="IA150" i="1"/>
  <c r="GC252" i="6"/>
  <c r="GF251" i="6"/>
  <c r="H151" i="1"/>
  <c r="E152" i="1"/>
  <c r="ES251" i="6"/>
  <c r="EV250" i="6"/>
  <c r="CK152" i="1"/>
  <c r="CN151" i="1"/>
  <c r="Q266" i="6"/>
  <c r="S32" i="11"/>
  <c r="T263" i="6"/>
  <c r="T264" i="6"/>
  <c r="EG151" i="1"/>
  <c r="HZ151" i="1" s="1"/>
  <c r="EJ150" i="1"/>
  <c r="F150" i="10"/>
  <c r="HX150" i="1"/>
  <c r="AR150" i="1"/>
  <c r="AO151" i="1"/>
  <c r="H151" i="10" s="1"/>
  <c r="HK157" i="1"/>
  <c r="C149" i="10"/>
  <c r="HP149" i="1"/>
  <c r="ES152" i="1"/>
  <c r="EV151" i="1"/>
  <c r="CB249" i="6"/>
  <c r="BY250" i="6"/>
  <c r="EG250" i="6"/>
  <c r="EJ249" i="6"/>
  <c r="H150" i="10"/>
  <c r="FQ153" i="1"/>
  <c r="FT152" i="1"/>
  <c r="J150" i="10"/>
  <c r="F153" i="1"/>
  <c r="HN152" i="1"/>
  <c r="BP262" i="6"/>
  <c r="BM263" i="6"/>
  <c r="FT249" i="6"/>
  <c r="FQ250" i="6"/>
  <c r="FE251" i="6"/>
  <c r="FH250" i="6"/>
  <c r="GR249" i="6"/>
  <c r="GO250" i="6"/>
  <c r="BD263" i="6"/>
  <c r="BA266" i="6"/>
  <c r="BD264" i="6"/>
  <c r="U32" i="11"/>
  <c r="CZ151" i="1"/>
  <c r="CW152" i="1"/>
  <c r="DI152" i="1"/>
  <c r="DL151" i="1"/>
  <c r="E266" i="6"/>
  <c r="H264" i="6"/>
  <c r="H263" i="6"/>
  <c r="Q32" i="11"/>
  <c r="HY151" i="1"/>
  <c r="FE152" i="1"/>
  <c r="FH151" i="1"/>
  <c r="CN249" i="6"/>
  <c r="CK250" i="6"/>
  <c r="HM249" i="6"/>
  <c r="HP249" i="6" s="1"/>
  <c r="AF266" i="6"/>
  <c r="AC267" i="6"/>
  <c r="DU152" i="1"/>
  <c r="DX151" i="1"/>
  <c r="D151" i="10"/>
  <c r="J151" i="10"/>
  <c r="BA153" i="1"/>
  <c r="BD152" i="1"/>
  <c r="DJ342" i="1"/>
  <c r="F341" i="6"/>
  <c r="C150" i="10" l="1"/>
  <c r="GO152" i="1"/>
  <c r="D152" i="10" s="1"/>
  <c r="GR151" i="1"/>
  <c r="AF156" i="1"/>
  <c r="AF155" i="1"/>
  <c r="AC158" i="1"/>
  <c r="CZ251" i="6"/>
  <c r="CW252" i="6"/>
  <c r="HM151" i="1"/>
  <c r="HP151" i="1" s="1"/>
  <c r="GC152" i="1"/>
  <c r="GF151" i="1"/>
  <c r="HA251" i="6"/>
  <c r="HD250" i="6"/>
  <c r="DI252" i="6"/>
  <c r="DL251" i="6"/>
  <c r="DU252" i="6"/>
  <c r="DX251" i="6"/>
  <c r="BY152" i="1"/>
  <c r="CB151" i="1"/>
  <c r="BM153" i="1"/>
  <c r="BP152" i="1"/>
  <c r="EJ250" i="6"/>
  <c r="EG251" i="6"/>
  <c r="EG152" i="1"/>
  <c r="EJ151" i="1"/>
  <c r="ES252" i="6"/>
  <c r="EV251" i="6"/>
  <c r="F151" i="10"/>
  <c r="CB250" i="6"/>
  <c r="BY251" i="6"/>
  <c r="E153" i="1"/>
  <c r="H152" i="1"/>
  <c r="Q153" i="1"/>
  <c r="T152" i="1"/>
  <c r="AR151" i="1"/>
  <c r="AO152" i="1"/>
  <c r="HX152" i="1" s="1"/>
  <c r="HX151" i="1"/>
  <c r="Q267" i="6"/>
  <c r="T266" i="6"/>
  <c r="GF252" i="6"/>
  <c r="GC253" i="6"/>
  <c r="BN270" i="6"/>
  <c r="HN269" i="6"/>
  <c r="FT153" i="1"/>
  <c r="FQ154" i="1"/>
  <c r="ES153" i="1"/>
  <c r="EV152" i="1"/>
  <c r="AR266" i="6"/>
  <c r="AO267" i="6"/>
  <c r="CK153" i="1"/>
  <c r="CN152" i="1"/>
  <c r="HA152" i="1"/>
  <c r="HD151" i="1"/>
  <c r="IA151" i="1"/>
  <c r="BD266" i="6"/>
  <c r="BA267" i="6"/>
  <c r="FE252" i="6"/>
  <c r="FH251" i="6"/>
  <c r="BP264" i="6"/>
  <c r="W32" i="11"/>
  <c r="BM266" i="6"/>
  <c r="BP263" i="6"/>
  <c r="BA154" i="1"/>
  <c r="BD153" i="1"/>
  <c r="AC268" i="6"/>
  <c r="AF267" i="6"/>
  <c r="E267" i="6"/>
  <c r="H266" i="6"/>
  <c r="GR250" i="6"/>
  <c r="GO251" i="6"/>
  <c r="DU153" i="1"/>
  <c r="DX152" i="1"/>
  <c r="DL152" i="1"/>
  <c r="DI153" i="1"/>
  <c r="FT250" i="6"/>
  <c r="FQ251" i="6"/>
  <c r="F154" i="1"/>
  <c r="HN153" i="1"/>
  <c r="FE153" i="1"/>
  <c r="FH152" i="1"/>
  <c r="CW153" i="1"/>
  <c r="CZ152" i="1"/>
  <c r="CK251" i="6"/>
  <c r="CN250" i="6"/>
  <c r="HM250" i="6"/>
  <c r="HP250" i="6" s="1"/>
  <c r="DJ343" i="1"/>
  <c r="F342" i="6"/>
  <c r="C151" i="10" l="1"/>
  <c r="GR152" i="1"/>
  <c r="GO153" i="1"/>
  <c r="F152" i="10"/>
  <c r="CW253" i="6"/>
  <c r="CZ252" i="6"/>
  <c r="AF158" i="1"/>
  <c r="AC159" i="1"/>
  <c r="HM152" i="1"/>
  <c r="DL252" i="6"/>
  <c r="DI253" i="6"/>
  <c r="BM154" i="1"/>
  <c r="BP153" i="1"/>
  <c r="HA252" i="6"/>
  <c r="HD251" i="6"/>
  <c r="DU253" i="6"/>
  <c r="DX252" i="6"/>
  <c r="HZ152" i="1"/>
  <c r="CB152" i="1"/>
  <c r="HY152" i="1"/>
  <c r="BY153" i="1"/>
  <c r="GF152" i="1"/>
  <c r="GC153" i="1"/>
  <c r="CN153" i="1"/>
  <c r="CK154" i="1"/>
  <c r="BN271" i="6"/>
  <c r="HN270" i="6"/>
  <c r="AO268" i="6"/>
  <c r="AR267" i="6"/>
  <c r="GC254" i="6"/>
  <c r="GF253" i="6"/>
  <c r="Q154" i="1"/>
  <c r="T153" i="1"/>
  <c r="ES253" i="6"/>
  <c r="EV252" i="6"/>
  <c r="EV153" i="1"/>
  <c r="ES154" i="1"/>
  <c r="T267" i="6"/>
  <c r="Q268" i="6"/>
  <c r="H153" i="1"/>
  <c r="E154" i="1"/>
  <c r="EJ152" i="1"/>
  <c r="EG153" i="1"/>
  <c r="HZ153" i="1" s="1"/>
  <c r="FQ155" i="1"/>
  <c r="FT154" i="1"/>
  <c r="EJ251" i="6"/>
  <c r="EG252" i="6"/>
  <c r="HA153" i="1"/>
  <c r="J153" i="10" s="1"/>
  <c r="HD152" i="1"/>
  <c r="IA152" i="1"/>
  <c r="J152" i="10"/>
  <c r="H152" i="10"/>
  <c r="AR152" i="1"/>
  <c r="AO153" i="1"/>
  <c r="H153" i="10" s="1"/>
  <c r="BY252" i="6"/>
  <c r="CB251" i="6"/>
  <c r="BA155" i="1"/>
  <c r="BD154" i="1"/>
  <c r="FH252" i="6"/>
  <c r="FE253" i="6"/>
  <c r="H267" i="6"/>
  <c r="E268" i="6"/>
  <c r="FE154" i="1"/>
  <c r="FH153" i="1"/>
  <c r="FQ252" i="6"/>
  <c r="FT251" i="6"/>
  <c r="DU154" i="1"/>
  <c r="DX153" i="1"/>
  <c r="D153" i="10"/>
  <c r="CK252" i="6"/>
  <c r="CN251" i="6"/>
  <c r="HM251" i="6"/>
  <c r="HP251" i="6" s="1"/>
  <c r="BM267" i="6"/>
  <c r="BP266" i="6"/>
  <c r="CZ153" i="1"/>
  <c r="CW154" i="1"/>
  <c r="GO252" i="6"/>
  <c r="GR251" i="6"/>
  <c r="AC269" i="6"/>
  <c r="AF268" i="6"/>
  <c r="F155" i="1"/>
  <c r="HN154" i="1"/>
  <c r="DI154" i="1"/>
  <c r="DL153" i="1"/>
  <c r="BD267" i="6"/>
  <c r="BA268" i="6"/>
  <c r="DJ344" i="1"/>
  <c r="F343" i="6"/>
  <c r="GO154" i="1" l="1"/>
  <c r="GR153" i="1"/>
  <c r="AC160" i="1"/>
  <c r="AF159" i="1"/>
  <c r="CZ253" i="6"/>
  <c r="CW254" i="6"/>
  <c r="GF153" i="1"/>
  <c r="GC154" i="1"/>
  <c r="BY154" i="1"/>
  <c r="HY154" i="1" s="1"/>
  <c r="CB153" i="1"/>
  <c r="HA253" i="6"/>
  <c r="HD252" i="6"/>
  <c r="BM155" i="1"/>
  <c r="BP154" i="1"/>
  <c r="HY153" i="1"/>
  <c r="DI254" i="6"/>
  <c r="DL253" i="6"/>
  <c r="DX253" i="6"/>
  <c r="DU254" i="6"/>
  <c r="C152" i="10"/>
  <c r="HP152" i="1"/>
  <c r="EV154" i="1"/>
  <c r="ES155" i="1"/>
  <c r="EG154" i="1"/>
  <c r="EJ153" i="1"/>
  <c r="F153" i="10"/>
  <c r="ES254" i="6"/>
  <c r="EV253" i="6"/>
  <c r="AO269" i="6"/>
  <c r="AR268" i="6"/>
  <c r="H154" i="1"/>
  <c r="E155" i="1"/>
  <c r="HA154" i="1"/>
  <c r="HD153" i="1"/>
  <c r="IA153" i="1"/>
  <c r="BN272" i="6"/>
  <c r="HN271" i="6"/>
  <c r="GC257" i="6"/>
  <c r="GF254" i="6"/>
  <c r="GF255" i="6"/>
  <c r="CB252" i="6"/>
  <c r="BY253" i="6"/>
  <c r="EG253" i="6"/>
  <c r="EJ252" i="6"/>
  <c r="T268" i="6"/>
  <c r="Q269" i="6"/>
  <c r="CN154" i="1"/>
  <c r="CK155" i="1"/>
  <c r="FQ158" i="1"/>
  <c r="FT156" i="1"/>
  <c r="FT155" i="1"/>
  <c r="HX153" i="1"/>
  <c r="AO154" i="1"/>
  <c r="H154" i="10" s="1"/>
  <c r="HM153" i="1"/>
  <c r="AR153" i="1"/>
  <c r="T154" i="1"/>
  <c r="Q155" i="1"/>
  <c r="FQ253" i="6"/>
  <c r="FT252" i="6"/>
  <c r="FH253" i="6"/>
  <c r="FE254" i="6"/>
  <c r="BP267" i="6"/>
  <c r="BM268" i="6"/>
  <c r="BA269" i="6"/>
  <c r="BD268" i="6"/>
  <c r="GO253" i="6"/>
  <c r="GR252" i="6"/>
  <c r="FH154" i="1"/>
  <c r="FE155" i="1"/>
  <c r="H268" i="6"/>
  <c r="E269" i="6"/>
  <c r="CW155" i="1"/>
  <c r="CZ154" i="1"/>
  <c r="BD155" i="1"/>
  <c r="BD156" i="1"/>
  <c r="BA158" i="1"/>
  <c r="DL154" i="1"/>
  <c r="DI155" i="1"/>
  <c r="DU155" i="1"/>
  <c r="HZ154" i="1"/>
  <c r="DX154" i="1"/>
  <c r="D154" i="10"/>
  <c r="AC270" i="6"/>
  <c r="AF269" i="6"/>
  <c r="F158" i="1"/>
  <c r="HN155" i="1"/>
  <c r="CN252" i="6"/>
  <c r="CK253" i="6"/>
  <c r="HM252" i="6"/>
  <c r="HP252" i="6" s="1"/>
  <c r="DJ347" i="1"/>
  <c r="F344" i="6"/>
  <c r="GO155" i="1" l="1"/>
  <c r="GR154" i="1"/>
  <c r="F154" i="10"/>
  <c r="CZ254" i="6"/>
  <c r="CW257" i="6"/>
  <c r="CZ255" i="6"/>
  <c r="AF160" i="1"/>
  <c r="AC161" i="1"/>
  <c r="DU257" i="6"/>
  <c r="DX255" i="6"/>
  <c r="DX254" i="6"/>
  <c r="HA254" i="6"/>
  <c r="HD253" i="6"/>
  <c r="BY155" i="1"/>
  <c r="IG166" i="1" s="1"/>
  <c r="IG164" i="1" s="1"/>
  <c r="CB154" i="1"/>
  <c r="BP156" i="1"/>
  <c r="BM158" i="1"/>
  <c r="BP155" i="1"/>
  <c r="DI257" i="6"/>
  <c r="DL254" i="6"/>
  <c r="DL255" i="6"/>
  <c r="GF154" i="1"/>
  <c r="GC155" i="1"/>
  <c r="EV255" i="6"/>
  <c r="EV254" i="6"/>
  <c r="ES257" i="6"/>
  <c r="HP153" i="1"/>
  <c r="C153" i="10"/>
  <c r="FQ159" i="1"/>
  <c r="FT158" i="1"/>
  <c r="CN155" i="1"/>
  <c r="CK158" i="1"/>
  <c r="CN156" i="1"/>
  <c r="AR154" i="1"/>
  <c r="AO155" i="1"/>
  <c r="IF166" i="1" s="1"/>
  <c r="IF164" i="1" s="1"/>
  <c r="HX154" i="1"/>
  <c r="T269" i="6"/>
  <c r="Q270" i="6"/>
  <c r="GF257" i="6"/>
  <c r="GC258" i="6"/>
  <c r="H155" i="1"/>
  <c r="E158" i="1"/>
  <c r="H156" i="1"/>
  <c r="BN275" i="6"/>
  <c r="HN272" i="6"/>
  <c r="HL283" i="6" s="1"/>
  <c r="EJ154" i="1"/>
  <c r="EG155" i="1"/>
  <c r="IH166" i="1" s="1"/>
  <c r="IH164" i="1" s="1"/>
  <c r="HA155" i="1"/>
  <c r="HD154" i="1"/>
  <c r="IA154" i="1"/>
  <c r="HM154" i="1"/>
  <c r="HP154" i="1" s="1"/>
  <c r="J154" i="10"/>
  <c r="EJ253" i="6"/>
  <c r="EG254" i="6"/>
  <c r="ES158" i="1"/>
  <c r="EV156" i="1"/>
  <c r="EV155" i="1"/>
  <c r="Q158" i="1"/>
  <c r="T156" i="1"/>
  <c r="T155" i="1"/>
  <c r="CB253" i="6"/>
  <c r="BY254" i="6"/>
  <c r="AR269" i="6"/>
  <c r="AO270" i="6"/>
  <c r="CZ156" i="1"/>
  <c r="CZ155" i="1"/>
  <c r="CW158" i="1"/>
  <c r="FQ254" i="6"/>
  <c r="FT253" i="6"/>
  <c r="DX155" i="1"/>
  <c r="DX156" i="1"/>
  <c r="DU158" i="1"/>
  <c r="D155" i="10"/>
  <c r="F20" i="11"/>
  <c r="BD158" i="1"/>
  <c r="BA159" i="1"/>
  <c r="E270" i="6"/>
  <c r="H269" i="6"/>
  <c r="BD269" i="6"/>
  <c r="BA270" i="6"/>
  <c r="AF270" i="6"/>
  <c r="AC271" i="6"/>
  <c r="H155" i="10"/>
  <c r="FH155" i="1"/>
  <c r="FE158" i="1"/>
  <c r="FH156" i="1"/>
  <c r="CN253" i="6"/>
  <c r="CK254" i="6"/>
  <c r="HM253" i="6"/>
  <c r="HP253" i="6" s="1"/>
  <c r="DL156" i="1"/>
  <c r="DL155" i="1"/>
  <c r="DI158" i="1"/>
  <c r="FE257" i="6"/>
  <c r="FH255" i="6"/>
  <c r="FH254" i="6"/>
  <c r="F159" i="1"/>
  <c r="HN158" i="1"/>
  <c r="HL166" i="1" s="1"/>
  <c r="GO254" i="6"/>
  <c r="GR253" i="6"/>
  <c r="BP268" i="6"/>
  <c r="BM269" i="6"/>
  <c r="DJ348" i="1"/>
  <c r="F347" i="6"/>
  <c r="HY155" i="1" l="1"/>
  <c r="HY156" i="1"/>
  <c r="GO158" i="1"/>
  <c r="GR156" i="1"/>
  <c r="GR155" i="1"/>
  <c r="AC162" i="1"/>
  <c r="AF161" i="1"/>
  <c r="HZ155" i="1"/>
  <c r="CW258" i="6"/>
  <c r="CZ257" i="6"/>
  <c r="GC158" i="1"/>
  <c r="GF156" i="1"/>
  <c r="GF155" i="1"/>
  <c r="CB155" i="1"/>
  <c r="BY158" i="1"/>
  <c r="HY158" i="1" s="1"/>
  <c r="CB156" i="1"/>
  <c r="C154" i="10"/>
  <c r="HD254" i="6"/>
  <c r="HA257" i="6"/>
  <c r="HD255" i="6"/>
  <c r="DL257" i="6"/>
  <c r="DI258" i="6"/>
  <c r="BM159" i="1"/>
  <c r="BP158" i="1"/>
  <c r="DU258" i="6"/>
  <c r="DX257" i="6"/>
  <c r="HD156" i="1"/>
  <c r="HD155" i="1"/>
  <c r="HA158" i="1"/>
  <c r="J158" i="10" s="1"/>
  <c r="IA155" i="1"/>
  <c r="II166" i="1"/>
  <c r="II164" i="1" s="1"/>
  <c r="IA156" i="1"/>
  <c r="H158" i="1"/>
  <c r="E159" i="1"/>
  <c r="CB255" i="6"/>
  <c r="CB254" i="6"/>
  <c r="BY257" i="6"/>
  <c r="ES159" i="1"/>
  <c r="EV158" i="1"/>
  <c r="EJ155" i="1"/>
  <c r="EJ156" i="1"/>
  <c r="EG158" i="1"/>
  <c r="F155" i="10"/>
  <c r="H20" i="11"/>
  <c r="EJ254" i="6"/>
  <c r="EG257" i="6"/>
  <c r="EJ255" i="6"/>
  <c r="J20" i="11"/>
  <c r="AO158" i="1"/>
  <c r="AR156" i="1"/>
  <c r="AR155" i="1"/>
  <c r="FT159" i="1"/>
  <c r="FQ160" i="1"/>
  <c r="BN276" i="6"/>
  <c r="HN275" i="6"/>
  <c r="L20" i="11"/>
  <c r="Q159" i="1"/>
  <c r="T158" i="1"/>
  <c r="HX156" i="1"/>
  <c r="GC259" i="6"/>
  <c r="GF258" i="6"/>
  <c r="EV257" i="6"/>
  <c r="ES258" i="6"/>
  <c r="HX155" i="1"/>
  <c r="J155" i="10"/>
  <c r="HZ156" i="1"/>
  <c r="HM155" i="1"/>
  <c r="HP155" i="1" s="1"/>
  <c r="AO271" i="6"/>
  <c r="AR270" i="6"/>
  <c r="Q271" i="6"/>
  <c r="T270" i="6"/>
  <c r="CK159" i="1"/>
  <c r="CN158" i="1"/>
  <c r="CN254" i="6"/>
  <c r="CN255" i="6"/>
  <c r="CK257" i="6"/>
  <c r="HM254" i="6"/>
  <c r="HZ158" i="1"/>
  <c r="DU159" i="1"/>
  <c r="DX158" i="1"/>
  <c r="D158" i="10"/>
  <c r="AC272" i="6"/>
  <c r="AF271" i="6"/>
  <c r="E271" i="6"/>
  <c r="H270" i="6"/>
  <c r="BD159" i="1"/>
  <c r="BA160" i="1"/>
  <c r="F160" i="1"/>
  <c r="HN159" i="1"/>
  <c r="BA271" i="6"/>
  <c r="BD270" i="6"/>
  <c r="DI159" i="1"/>
  <c r="DL158" i="1"/>
  <c r="CW159" i="1"/>
  <c r="CZ158" i="1"/>
  <c r="GR254" i="6"/>
  <c r="GO257" i="6"/>
  <c r="GR255" i="6"/>
  <c r="FQ257" i="6"/>
  <c r="FT255" i="6"/>
  <c r="FT254" i="6"/>
  <c r="BM270" i="6"/>
  <c r="BP269" i="6"/>
  <c r="FE258" i="6"/>
  <c r="FH257" i="6"/>
  <c r="FE159" i="1"/>
  <c r="FH158" i="1"/>
  <c r="H158" i="10"/>
  <c r="DJ349" i="1"/>
  <c r="F348" i="6"/>
  <c r="F158" i="10" l="1"/>
  <c r="GO159" i="1"/>
  <c r="GR158" i="1"/>
  <c r="HP156" i="1"/>
  <c r="HM158" i="1"/>
  <c r="HK166" i="1" s="1"/>
  <c r="CW259" i="6"/>
  <c r="CZ258" i="6"/>
  <c r="C155" i="10"/>
  <c r="AC163" i="1"/>
  <c r="AF162" i="1"/>
  <c r="BM160" i="1"/>
  <c r="BP159" i="1"/>
  <c r="BY159" i="1"/>
  <c r="CB158" i="1"/>
  <c r="DU259" i="6"/>
  <c r="DX258" i="6"/>
  <c r="DI259" i="6"/>
  <c r="DL258" i="6"/>
  <c r="HD257" i="6"/>
  <c r="HA258" i="6"/>
  <c r="GC159" i="1"/>
  <c r="GF158" i="1"/>
  <c r="AO159" i="1"/>
  <c r="AR158" i="1"/>
  <c r="HX158" i="1"/>
  <c r="AO272" i="6"/>
  <c r="AR271" i="6"/>
  <c r="BN277" i="6"/>
  <c r="HN276" i="6"/>
  <c r="EJ257" i="6"/>
  <c r="EG258" i="6"/>
  <c r="ES160" i="1"/>
  <c r="EV159" i="1"/>
  <c r="T159" i="1"/>
  <c r="Q160" i="1"/>
  <c r="FQ161" i="1"/>
  <c r="FT160" i="1"/>
  <c r="BY258" i="6"/>
  <c r="CB257" i="6"/>
  <c r="HA159" i="1"/>
  <c r="J159" i="10" s="1"/>
  <c r="HD158" i="1"/>
  <c r="IA158" i="1"/>
  <c r="CN159" i="1"/>
  <c r="CK160" i="1"/>
  <c r="GC260" i="6"/>
  <c r="GF259" i="6"/>
  <c r="EV258" i="6"/>
  <c r="ES259" i="6"/>
  <c r="T271" i="6"/>
  <c r="Q272" i="6"/>
  <c r="EJ158" i="1"/>
  <c r="EG159" i="1"/>
  <c r="HZ159" i="1" s="1"/>
  <c r="E160" i="1"/>
  <c r="H159" i="1"/>
  <c r="F161" i="1"/>
  <c r="HN160" i="1"/>
  <c r="HP254" i="6"/>
  <c r="HK265" i="6"/>
  <c r="HP255" i="6"/>
  <c r="BA161" i="1"/>
  <c r="BD160" i="1"/>
  <c r="CK258" i="6"/>
  <c r="CN257" i="6"/>
  <c r="HM257" i="6"/>
  <c r="HP257" i="6" s="1"/>
  <c r="GO258" i="6"/>
  <c r="GR257" i="6"/>
  <c r="AC275" i="6"/>
  <c r="AF273" i="6"/>
  <c r="AF272" i="6"/>
  <c r="FT257" i="6"/>
  <c r="FQ258" i="6"/>
  <c r="FE160" i="1"/>
  <c r="FH159" i="1"/>
  <c r="FE259" i="6"/>
  <c r="FH258" i="6"/>
  <c r="CW160" i="1"/>
  <c r="CZ159" i="1"/>
  <c r="BD271" i="6"/>
  <c r="BA272" i="6"/>
  <c r="DU160" i="1"/>
  <c r="DX159" i="1"/>
  <c r="D159" i="10"/>
  <c r="HP158" i="1"/>
  <c r="BP270" i="6"/>
  <c r="BM271" i="6"/>
  <c r="DI160" i="1"/>
  <c r="DL159" i="1"/>
  <c r="E272" i="6"/>
  <c r="H271" i="6"/>
  <c r="DJ350" i="1"/>
  <c r="F349" i="6"/>
  <c r="C158" i="10" l="1"/>
  <c r="HM159" i="1"/>
  <c r="GR159" i="1"/>
  <c r="GO160" i="1"/>
  <c r="D160" i="10" s="1"/>
  <c r="AF163" i="1"/>
  <c r="AC164" i="1"/>
  <c r="CW260" i="6"/>
  <c r="CZ259" i="6"/>
  <c r="DI260" i="6"/>
  <c r="DL259" i="6"/>
  <c r="DU260" i="6"/>
  <c r="DX259" i="6"/>
  <c r="GC160" i="1"/>
  <c r="GF159" i="1"/>
  <c r="BY160" i="1"/>
  <c r="CB159" i="1"/>
  <c r="BM161" i="1"/>
  <c r="BP160" i="1"/>
  <c r="HA259" i="6"/>
  <c r="HD258" i="6"/>
  <c r="HY159" i="1"/>
  <c r="S33" i="11"/>
  <c r="T272" i="6"/>
  <c r="Q275" i="6"/>
  <c r="T273" i="6"/>
  <c r="T160" i="1"/>
  <c r="Q161" i="1"/>
  <c r="BN278" i="6"/>
  <c r="HN277" i="6"/>
  <c r="EV259" i="6"/>
  <c r="ES260" i="6"/>
  <c r="HA160" i="1"/>
  <c r="J160" i="10" s="1"/>
  <c r="HD159" i="1"/>
  <c r="IA159" i="1"/>
  <c r="ES161" i="1"/>
  <c r="EV160" i="1"/>
  <c r="AR273" i="6"/>
  <c r="AO275" i="6"/>
  <c r="AR272" i="6"/>
  <c r="H160" i="1"/>
  <c r="E161" i="1"/>
  <c r="GC261" i="6"/>
  <c r="GF260" i="6"/>
  <c r="CB258" i="6"/>
  <c r="BY259" i="6"/>
  <c r="EG259" i="6"/>
  <c r="EJ258" i="6"/>
  <c r="EJ159" i="1"/>
  <c r="EG160" i="1"/>
  <c r="HZ160" i="1" s="1"/>
  <c r="F159" i="10"/>
  <c r="CK161" i="1"/>
  <c r="CN160" i="1"/>
  <c r="FT161" i="1"/>
  <c r="FQ162" i="1"/>
  <c r="HX159" i="1"/>
  <c r="H159" i="10"/>
  <c r="AO160" i="1"/>
  <c r="HX160" i="1" s="1"/>
  <c r="AR159" i="1"/>
  <c r="FQ259" i="6"/>
  <c r="FT258" i="6"/>
  <c r="AF275" i="6"/>
  <c r="AC276" i="6"/>
  <c r="E275" i="6"/>
  <c r="H272" i="6"/>
  <c r="H273" i="6"/>
  <c r="Q33" i="11"/>
  <c r="FE260" i="6"/>
  <c r="FH259" i="6"/>
  <c r="DI161" i="1"/>
  <c r="DL160" i="1"/>
  <c r="FH160" i="1"/>
  <c r="FE161" i="1"/>
  <c r="CW161" i="1"/>
  <c r="CZ160" i="1"/>
  <c r="CN258" i="6"/>
  <c r="CK259" i="6"/>
  <c r="HM258" i="6"/>
  <c r="HP258" i="6" s="1"/>
  <c r="F162" i="1"/>
  <c r="HN161" i="1"/>
  <c r="C159" i="10"/>
  <c r="HP159" i="1"/>
  <c r="BD273" i="6"/>
  <c r="BD272" i="6"/>
  <c r="BA275" i="6"/>
  <c r="U33" i="11"/>
  <c r="GO259" i="6"/>
  <c r="GR258" i="6"/>
  <c r="BM272" i="6"/>
  <c r="BP271" i="6"/>
  <c r="BD161" i="1"/>
  <c r="BA162" i="1"/>
  <c r="DX160" i="1"/>
  <c r="DU161" i="1"/>
  <c r="HY160" i="1"/>
  <c r="DJ351" i="1"/>
  <c r="F350" i="6"/>
  <c r="H160" i="10" l="1"/>
  <c r="GR160" i="1"/>
  <c r="GO161" i="1"/>
  <c r="CZ260" i="6"/>
  <c r="CW261" i="6"/>
  <c r="AC167" i="1"/>
  <c r="AF164" i="1"/>
  <c r="AF165" i="1"/>
  <c r="BY161" i="1"/>
  <c r="CB160" i="1"/>
  <c r="GF160" i="1"/>
  <c r="GC161" i="1"/>
  <c r="HM160" i="1"/>
  <c r="HP160" i="1" s="1"/>
  <c r="HD259" i="6"/>
  <c r="HA260" i="6"/>
  <c r="DU261" i="6"/>
  <c r="DX260" i="6"/>
  <c r="BP161" i="1"/>
  <c r="BM162" i="1"/>
  <c r="DI261" i="6"/>
  <c r="DL260" i="6"/>
  <c r="GC262" i="6"/>
  <c r="GF261" i="6"/>
  <c r="ES162" i="1"/>
  <c r="EV161" i="1"/>
  <c r="AO161" i="1"/>
  <c r="HX161" i="1" s="1"/>
  <c r="AR160" i="1"/>
  <c r="EG161" i="1"/>
  <c r="HZ161" i="1" s="1"/>
  <c r="EJ160" i="1"/>
  <c r="F160" i="10"/>
  <c r="E162" i="1"/>
  <c r="H161" i="1"/>
  <c r="BN279" i="6"/>
  <c r="HN278" i="6"/>
  <c r="T161" i="1"/>
  <c r="Q162" i="1"/>
  <c r="HA161" i="1"/>
  <c r="HD160" i="1"/>
  <c r="IA160" i="1"/>
  <c r="FT162" i="1"/>
  <c r="FQ163" i="1"/>
  <c r="EG260" i="6"/>
  <c r="EJ259" i="6"/>
  <c r="EV260" i="6"/>
  <c r="ES261" i="6"/>
  <c r="BY260" i="6"/>
  <c r="CB259" i="6"/>
  <c r="AR275" i="6"/>
  <c r="AO276" i="6"/>
  <c r="T275" i="6"/>
  <c r="Q276" i="6"/>
  <c r="CK162" i="1"/>
  <c r="CN161" i="1"/>
  <c r="BA163" i="1"/>
  <c r="BD162" i="1"/>
  <c r="FE261" i="6"/>
  <c r="FH260" i="6"/>
  <c r="CK260" i="6"/>
  <c r="CN259" i="6"/>
  <c r="HM259" i="6"/>
  <c r="HP259" i="6" s="1"/>
  <c r="CW162" i="1"/>
  <c r="CZ161" i="1"/>
  <c r="AF276" i="6"/>
  <c r="AC277" i="6"/>
  <c r="BA276" i="6"/>
  <c r="BD275" i="6"/>
  <c r="GO260" i="6"/>
  <c r="GR259" i="6"/>
  <c r="F163" i="1"/>
  <c r="HN162" i="1"/>
  <c r="FQ260" i="6"/>
  <c r="FT259" i="6"/>
  <c r="DU162" i="1"/>
  <c r="DX161" i="1"/>
  <c r="D161" i="10"/>
  <c r="H275" i="6"/>
  <c r="E276" i="6"/>
  <c r="W33" i="11"/>
  <c r="BP272" i="6"/>
  <c r="BM275" i="6"/>
  <c r="BP273" i="6"/>
  <c r="FH161" i="1"/>
  <c r="FE162" i="1"/>
  <c r="DI162" i="1"/>
  <c r="DL161" i="1"/>
  <c r="HY161" i="1"/>
  <c r="DJ352" i="1"/>
  <c r="F351" i="6"/>
  <c r="C160" i="10" l="1"/>
  <c r="GR161" i="1"/>
  <c r="GO162" i="1"/>
  <c r="HM161" i="1"/>
  <c r="C161" i="10" s="1"/>
  <c r="AC168" i="1"/>
  <c r="AF167" i="1"/>
  <c r="CZ261" i="6"/>
  <c r="CW262" i="6"/>
  <c r="DX261" i="6"/>
  <c r="DU262" i="6"/>
  <c r="DL261" i="6"/>
  <c r="DI262" i="6"/>
  <c r="GC162" i="1"/>
  <c r="GF161" i="1"/>
  <c r="HD260" i="6"/>
  <c r="HA261" i="6"/>
  <c r="BP162" i="1"/>
  <c r="BM163" i="1"/>
  <c r="CB161" i="1"/>
  <c r="BY162" i="1"/>
  <c r="HY162" i="1" s="1"/>
  <c r="Q163" i="1"/>
  <c r="T162" i="1"/>
  <c r="T276" i="6"/>
  <c r="Q277" i="6"/>
  <c r="EG162" i="1"/>
  <c r="HZ162" i="1" s="1"/>
  <c r="EJ161" i="1"/>
  <c r="F161" i="10"/>
  <c r="EG261" i="6"/>
  <c r="EJ260" i="6"/>
  <c r="AR276" i="6"/>
  <c r="AO277" i="6"/>
  <c r="FT163" i="1"/>
  <c r="FQ164" i="1"/>
  <c r="BN280" i="6"/>
  <c r="HN279" i="6"/>
  <c r="H161" i="10"/>
  <c r="AR161" i="1"/>
  <c r="AO162" i="1"/>
  <c r="CK163" i="1"/>
  <c r="CN162" i="1"/>
  <c r="ES163" i="1"/>
  <c r="EV162" i="1"/>
  <c r="BY261" i="6"/>
  <c r="CB260" i="6"/>
  <c r="H162" i="1"/>
  <c r="E163" i="1"/>
  <c r="ES262" i="6"/>
  <c r="EV261" i="6"/>
  <c r="HD161" i="1"/>
  <c r="HA162" i="1"/>
  <c r="J162" i="10" s="1"/>
  <c r="IA161" i="1"/>
  <c r="J161" i="10"/>
  <c r="GF262" i="6"/>
  <c r="GC263" i="6"/>
  <c r="DI163" i="1"/>
  <c r="DL162" i="1"/>
  <c r="FE163" i="1"/>
  <c r="FH162" i="1"/>
  <c r="FT260" i="6"/>
  <c r="FQ261" i="6"/>
  <c r="CW163" i="1"/>
  <c r="CZ162" i="1"/>
  <c r="H276" i="6"/>
  <c r="E277" i="6"/>
  <c r="BA277" i="6"/>
  <c r="FH261" i="6"/>
  <c r="FE262" i="6"/>
  <c r="BP275" i="6"/>
  <c r="BM276" i="6"/>
  <c r="DU163" i="1"/>
  <c r="DX162" i="1"/>
  <c r="D162" i="10"/>
  <c r="F164" i="1"/>
  <c r="HN163" i="1"/>
  <c r="GR260" i="6"/>
  <c r="GO261" i="6"/>
  <c r="CK261" i="6"/>
  <c r="CN260" i="6"/>
  <c r="HM260" i="6"/>
  <c r="HP260" i="6" s="1"/>
  <c r="BD163" i="1"/>
  <c r="BA164" i="1"/>
  <c r="AF277" i="6"/>
  <c r="AC278" i="6"/>
  <c r="DJ353" i="1"/>
  <c r="F352" i="6"/>
  <c r="HP161" i="1" l="1"/>
  <c r="GO163" i="1"/>
  <c r="GR162" i="1"/>
  <c r="CW263" i="6"/>
  <c r="CZ262" i="6"/>
  <c r="HM162" i="1"/>
  <c r="C162" i="10" s="1"/>
  <c r="AC169" i="1"/>
  <c r="AF168" i="1"/>
  <c r="BY163" i="1"/>
  <c r="HY163" i="1" s="1"/>
  <c r="CB162" i="1"/>
  <c r="GC163" i="1"/>
  <c r="GF162" i="1"/>
  <c r="DL262" i="6"/>
  <c r="DI263" i="6"/>
  <c r="BP163" i="1"/>
  <c r="BM164" i="1"/>
  <c r="DX262" i="6"/>
  <c r="DU263" i="6"/>
  <c r="HD261" i="6"/>
  <c r="HA262" i="6"/>
  <c r="HD162" i="1"/>
  <c r="HA163" i="1"/>
  <c r="IA162" i="1"/>
  <c r="EJ261" i="6"/>
  <c r="EG262" i="6"/>
  <c r="BN281" i="6"/>
  <c r="HN280" i="6"/>
  <c r="ES263" i="6"/>
  <c r="EV262" i="6"/>
  <c r="ES164" i="1"/>
  <c r="EV163" i="1"/>
  <c r="FT164" i="1"/>
  <c r="FQ167" i="1"/>
  <c r="FT165" i="1"/>
  <c r="EG163" i="1"/>
  <c r="EJ162" i="1"/>
  <c r="F162" i="10"/>
  <c r="GC266" i="6"/>
  <c r="GF263" i="6"/>
  <c r="GF264" i="6"/>
  <c r="H163" i="1"/>
  <c r="E164" i="1"/>
  <c r="T277" i="6"/>
  <c r="Q278" i="6"/>
  <c r="CN163" i="1"/>
  <c r="CK164" i="1"/>
  <c r="AO278" i="6"/>
  <c r="AR277" i="6"/>
  <c r="H162" i="10"/>
  <c r="HX162" i="1"/>
  <c r="AO163" i="1"/>
  <c r="AR162" i="1"/>
  <c r="CB261" i="6"/>
  <c r="BY262" i="6"/>
  <c r="Q164" i="1"/>
  <c r="T163" i="1"/>
  <c r="FT261" i="6"/>
  <c r="FQ262" i="6"/>
  <c r="DL163" i="1"/>
  <c r="DI164" i="1"/>
  <c r="CN261" i="6"/>
  <c r="CK262" i="6"/>
  <c r="HM261" i="6"/>
  <c r="HP261" i="6" s="1"/>
  <c r="DU164" i="1"/>
  <c r="HZ163" i="1"/>
  <c r="DX163" i="1"/>
  <c r="D163" i="10"/>
  <c r="AC279" i="6"/>
  <c r="AF278" i="6"/>
  <c r="GO262" i="6"/>
  <c r="GR261" i="6"/>
  <c r="FH262" i="6"/>
  <c r="FE263" i="6"/>
  <c r="E278" i="6"/>
  <c r="H277" i="6"/>
  <c r="BD165" i="1"/>
  <c r="BA167" i="1"/>
  <c r="BD164" i="1"/>
  <c r="BM277" i="6"/>
  <c r="BP276" i="6"/>
  <c r="CZ163" i="1"/>
  <c r="CW164" i="1"/>
  <c r="FE164" i="1"/>
  <c r="FH163" i="1"/>
  <c r="F167" i="1"/>
  <c r="HN164" i="1"/>
  <c r="BD277" i="6"/>
  <c r="BA278" i="6"/>
  <c r="F353" i="6"/>
  <c r="HP162" i="1" l="1"/>
  <c r="HM163" i="1"/>
  <c r="HP163" i="1" s="1"/>
  <c r="GO164" i="1"/>
  <c r="D164" i="10" s="1"/>
  <c r="GR163" i="1"/>
  <c r="H163" i="10"/>
  <c r="F163" i="10"/>
  <c r="AF169" i="1"/>
  <c r="AC170" i="1"/>
  <c r="CZ264" i="6"/>
  <c r="CZ263" i="6"/>
  <c r="CW266" i="6"/>
  <c r="BP164" i="1"/>
  <c r="BP165" i="1"/>
  <c r="BM167" i="1"/>
  <c r="HD262" i="6"/>
  <c r="HA263" i="6"/>
  <c r="GF163" i="1"/>
  <c r="GC164" i="1"/>
  <c r="DI266" i="6"/>
  <c r="DL264" i="6"/>
  <c r="DL263" i="6"/>
  <c r="DX264" i="6"/>
  <c r="DX263" i="6"/>
  <c r="DU266" i="6"/>
  <c r="CB163" i="1"/>
  <c r="BY164" i="1"/>
  <c r="FT167" i="1"/>
  <c r="FQ168" i="1"/>
  <c r="T164" i="1"/>
  <c r="T165" i="1"/>
  <c r="Q167" i="1"/>
  <c r="EJ262" i="6"/>
  <c r="EG263" i="6"/>
  <c r="AO279" i="6"/>
  <c r="AR278" i="6"/>
  <c r="BY263" i="6"/>
  <c r="CB262" i="6"/>
  <c r="CN165" i="1"/>
  <c r="CK167" i="1"/>
  <c r="CN164" i="1"/>
  <c r="GC267" i="6"/>
  <c r="GF266" i="6"/>
  <c r="EV164" i="1"/>
  <c r="ES167" i="1"/>
  <c r="EV165" i="1"/>
  <c r="Q279" i="6"/>
  <c r="T278" i="6"/>
  <c r="EV264" i="6"/>
  <c r="EV263" i="6"/>
  <c r="ES266" i="6"/>
  <c r="HX163" i="1"/>
  <c r="AO164" i="1"/>
  <c r="AR163" i="1"/>
  <c r="EG164" i="1"/>
  <c r="HZ164" i="1" s="1"/>
  <c r="EJ163" i="1"/>
  <c r="HD163" i="1"/>
  <c r="HA164" i="1"/>
  <c r="J164" i="10" s="1"/>
  <c r="IA163" i="1"/>
  <c r="J163" i="10"/>
  <c r="H165" i="1"/>
  <c r="E167" i="1"/>
  <c r="H164" i="1"/>
  <c r="BN284" i="6"/>
  <c r="HN281" i="6"/>
  <c r="HL292" i="6" s="1"/>
  <c r="FH164" i="1"/>
  <c r="FE167" i="1"/>
  <c r="FH165" i="1"/>
  <c r="H278" i="6"/>
  <c r="E279" i="6"/>
  <c r="BD278" i="6"/>
  <c r="BA279" i="6"/>
  <c r="BM278" i="6"/>
  <c r="BP277" i="6"/>
  <c r="FH264" i="6"/>
  <c r="FH263" i="6"/>
  <c r="FE266" i="6"/>
  <c r="AF279" i="6"/>
  <c r="AC280" i="6"/>
  <c r="DX164" i="1"/>
  <c r="DX165" i="1"/>
  <c r="DU167" i="1"/>
  <c r="F21" i="11"/>
  <c r="GR262" i="6"/>
  <c r="GO263" i="6"/>
  <c r="CN262" i="6"/>
  <c r="CK263" i="6"/>
  <c r="HM262" i="6"/>
  <c r="HP262" i="6" s="1"/>
  <c r="FQ263" i="6"/>
  <c r="FT262" i="6"/>
  <c r="BA168" i="1"/>
  <c r="BD167" i="1"/>
  <c r="C163" i="10"/>
  <c r="F168" i="1"/>
  <c r="HN167" i="1"/>
  <c r="HL175" i="1" s="1"/>
  <c r="CZ164" i="1"/>
  <c r="CW167" i="1"/>
  <c r="CZ165" i="1"/>
  <c r="DL165" i="1"/>
  <c r="DI167" i="1"/>
  <c r="DL164" i="1"/>
  <c r="HZ165" i="1" l="1"/>
  <c r="GO167" i="1"/>
  <c r="GR165" i="1"/>
  <c r="GR164" i="1"/>
  <c r="F164" i="10"/>
  <c r="CZ266" i="6"/>
  <c r="CW267" i="6"/>
  <c r="AF170" i="1"/>
  <c r="AC171" i="1"/>
  <c r="GF164" i="1"/>
  <c r="GC167" i="1"/>
  <c r="GF165" i="1"/>
  <c r="IH175" i="1"/>
  <c r="IH173" i="1" s="1"/>
  <c r="DL266" i="6"/>
  <c r="DI267" i="6"/>
  <c r="H21" i="11"/>
  <c r="DX266" i="6"/>
  <c r="DU267" i="6"/>
  <c r="HA266" i="6"/>
  <c r="HD264" i="6"/>
  <c r="HD263" i="6"/>
  <c r="HY165" i="1"/>
  <c r="BY167" i="1"/>
  <c r="HY164" i="1"/>
  <c r="CB165" i="1"/>
  <c r="CB164" i="1"/>
  <c r="IG175" i="1"/>
  <c r="IG173" i="1" s="1"/>
  <c r="BM168" i="1"/>
  <c r="BP167" i="1"/>
  <c r="HM164" i="1"/>
  <c r="HP164" i="1" s="1"/>
  <c r="H167" i="1"/>
  <c r="E168" i="1"/>
  <c r="CN167" i="1"/>
  <c r="CK168" i="1"/>
  <c r="AR164" i="1"/>
  <c r="AO167" i="1"/>
  <c r="HX164" i="1"/>
  <c r="H164" i="10"/>
  <c r="AR165" i="1"/>
  <c r="J21" i="11"/>
  <c r="IF175" i="1"/>
  <c r="IF173" i="1" s="1"/>
  <c r="HX165" i="1"/>
  <c r="T167" i="1"/>
  <c r="Q168" i="1"/>
  <c r="EV266" i="6"/>
  <c r="ES267" i="6"/>
  <c r="ES168" i="1"/>
  <c r="EV167" i="1"/>
  <c r="CB263" i="6"/>
  <c r="BY266" i="6"/>
  <c r="CB264" i="6"/>
  <c r="HA167" i="1"/>
  <c r="J167" i="10" s="1"/>
  <c r="HD165" i="1"/>
  <c r="HD164" i="1"/>
  <c r="IA164" i="1"/>
  <c r="II175" i="1"/>
  <c r="II173" i="1" s="1"/>
  <c r="IA165" i="1"/>
  <c r="L21" i="11"/>
  <c r="AO280" i="6"/>
  <c r="AR279" i="6"/>
  <c r="BN285" i="6"/>
  <c r="HN284" i="6"/>
  <c r="GF267" i="6"/>
  <c r="GC268" i="6"/>
  <c r="EJ264" i="6"/>
  <c r="EJ263" i="6"/>
  <c r="EG266" i="6"/>
  <c r="FT168" i="1"/>
  <c r="FQ169" i="1"/>
  <c r="EJ165" i="1"/>
  <c r="EG167" i="1"/>
  <c r="HZ167" i="1" s="1"/>
  <c r="EJ164" i="1"/>
  <c r="T279" i="6"/>
  <c r="Q280" i="6"/>
  <c r="HN168" i="1"/>
  <c r="F169" i="1"/>
  <c r="BD168" i="1"/>
  <c r="BA169" i="1"/>
  <c r="CN264" i="6"/>
  <c r="CN263" i="6"/>
  <c r="CK266" i="6"/>
  <c r="HM263" i="6"/>
  <c r="DL167" i="1"/>
  <c r="DI168" i="1"/>
  <c r="AF280" i="6"/>
  <c r="AC281" i="6"/>
  <c r="AF281" i="6" s="1"/>
  <c r="CW168" i="1"/>
  <c r="CZ167" i="1"/>
  <c r="BP278" i="6"/>
  <c r="BM279" i="6"/>
  <c r="DX167" i="1"/>
  <c r="DU168" i="1"/>
  <c r="D167" i="10"/>
  <c r="BD279" i="6"/>
  <c r="BA280" i="6"/>
  <c r="GR263" i="6"/>
  <c r="GO266" i="6"/>
  <c r="GR264" i="6"/>
  <c r="FH167" i="1"/>
  <c r="FE168" i="1"/>
  <c r="FQ266" i="6"/>
  <c r="FT264" i="6"/>
  <c r="FT263" i="6"/>
  <c r="FE267" i="6"/>
  <c r="FH266" i="6"/>
  <c r="E280" i="6"/>
  <c r="H279" i="6"/>
  <c r="C164" i="10" l="1"/>
  <c r="HP165" i="1"/>
  <c r="GR167" i="1"/>
  <c r="GO168" i="1"/>
  <c r="AC172" i="1"/>
  <c r="AF171" i="1"/>
  <c r="CW268" i="6"/>
  <c r="CZ267" i="6"/>
  <c r="F167" i="10"/>
  <c r="CB167" i="1"/>
  <c r="BY168" i="1"/>
  <c r="DL267" i="6"/>
  <c r="DI268" i="6"/>
  <c r="HM167" i="1"/>
  <c r="HK175" i="1" s="1"/>
  <c r="BP168" i="1"/>
  <c r="BM169" i="1"/>
  <c r="HY167" i="1"/>
  <c r="HA267" i="6"/>
  <c r="HD266" i="6"/>
  <c r="GF167" i="1"/>
  <c r="GC168" i="1"/>
  <c r="DU268" i="6"/>
  <c r="DX267" i="6"/>
  <c r="BY267" i="6"/>
  <c r="CB266" i="6"/>
  <c r="GC269" i="6"/>
  <c r="GF268" i="6"/>
  <c r="AR167" i="1"/>
  <c r="H167" i="10"/>
  <c r="AO168" i="1"/>
  <c r="H168" i="10" s="1"/>
  <c r="EG168" i="1"/>
  <c r="HZ168" i="1" s="1"/>
  <c r="EJ167" i="1"/>
  <c r="ES169" i="1"/>
  <c r="EV168" i="1"/>
  <c r="CN168" i="1"/>
  <c r="CK169" i="1"/>
  <c r="FT169" i="1"/>
  <c r="FQ170" i="1"/>
  <c r="BN286" i="6"/>
  <c r="HN285" i="6"/>
  <c r="ES268" i="6"/>
  <c r="EV267" i="6"/>
  <c r="H168" i="1"/>
  <c r="E169" i="1"/>
  <c r="EJ266" i="6"/>
  <c r="EG267" i="6"/>
  <c r="HA168" i="1"/>
  <c r="HD167" i="1"/>
  <c r="IA167" i="1"/>
  <c r="T168" i="1"/>
  <c r="Q169" i="1"/>
  <c r="Q281" i="6"/>
  <c r="T280" i="6"/>
  <c r="AO281" i="6"/>
  <c r="AR280" i="6"/>
  <c r="HX167" i="1"/>
  <c r="BP279" i="6"/>
  <c r="BM280" i="6"/>
  <c r="CW169" i="1"/>
  <c r="CZ168" i="1"/>
  <c r="E281" i="6"/>
  <c r="H280" i="6"/>
  <c r="HP263" i="6"/>
  <c r="HP264" i="6"/>
  <c r="HK274" i="6"/>
  <c r="FE268" i="6"/>
  <c r="FH267" i="6"/>
  <c r="FT266" i="6"/>
  <c r="FQ267" i="6"/>
  <c r="DI169" i="1"/>
  <c r="DL168" i="1"/>
  <c r="CK267" i="6"/>
  <c r="CN266" i="6"/>
  <c r="HM266" i="6"/>
  <c r="HP266" i="6" s="1"/>
  <c r="BD280" i="6"/>
  <c r="BA281" i="6"/>
  <c r="GO267" i="6"/>
  <c r="GR266" i="6"/>
  <c r="AC284" i="6"/>
  <c r="AF282" i="6"/>
  <c r="BD169" i="1"/>
  <c r="BA170" i="1"/>
  <c r="F170" i="1"/>
  <c r="HN169" i="1"/>
  <c r="FE169" i="1"/>
  <c r="FH168" i="1"/>
  <c r="DX168" i="1"/>
  <c r="DU169" i="1"/>
  <c r="D168" i="10"/>
  <c r="HP167" i="1" l="1"/>
  <c r="C167" i="10"/>
  <c r="GO169" i="1"/>
  <c r="GR168" i="1"/>
  <c r="HM168" i="1"/>
  <c r="CW269" i="6"/>
  <c r="CZ268" i="6"/>
  <c r="AF172" i="1"/>
  <c r="AC173" i="1"/>
  <c r="BM170" i="1"/>
  <c r="BP169" i="1"/>
  <c r="GC169" i="1"/>
  <c r="GF168" i="1"/>
  <c r="DL268" i="6"/>
  <c r="DI269" i="6"/>
  <c r="DX268" i="6"/>
  <c r="DU269" i="6"/>
  <c r="CB168" i="1"/>
  <c r="BY169" i="1"/>
  <c r="HY169" i="1" s="1"/>
  <c r="HY168" i="1"/>
  <c r="HA268" i="6"/>
  <c r="HD267" i="6"/>
  <c r="T281" i="6"/>
  <c r="T282" i="6"/>
  <c r="S34" i="11"/>
  <c r="Q284" i="6"/>
  <c r="H169" i="1"/>
  <c r="E170" i="1"/>
  <c r="CN169" i="1"/>
  <c r="CK170" i="1"/>
  <c r="Q170" i="1"/>
  <c r="T169" i="1"/>
  <c r="ES269" i="6"/>
  <c r="EV268" i="6"/>
  <c r="EV169" i="1"/>
  <c r="ES170" i="1"/>
  <c r="HA169" i="1"/>
  <c r="HD168" i="1"/>
  <c r="J168" i="10"/>
  <c r="IA168" i="1"/>
  <c r="BN287" i="6"/>
  <c r="HN286" i="6"/>
  <c r="EG169" i="1"/>
  <c r="HZ169" i="1" s="1"/>
  <c r="EJ168" i="1"/>
  <c r="F168" i="10"/>
  <c r="GC270" i="6"/>
  <c r="GF269" i="6"/>
  <c r="AO284" i="6"/>
  <c r="AR281" i="6"/>
  <c r="AR282" i="6"/>
  <c r="EJ267" i="6"/>
  <c r="EG268" i="6"/>
  <c r="FT170" i="1"/>
  <c r="FQ171" i="1"/>
  <c r="HX168" i="1"/>
  <c r="AR168" i="1"/>
  <c r="AO169" i="1"/>
  <c r="BY268" i="6"/>
  <c r="CB267" i="6"/>
  <c r="DX169" i="1"/>
  <c r="DU170" i="1"/>
  <c r="D169" i="10"/>
  <c r="GO268" i="6"/>
  <c r="GR267" i="6"/>
  <c r="DL169" i="1"/>
  <c r="DI170" i="1"/>
  <c r="HN170" i="1"/>
  <c r="F171" i="1"/>
  <c r="BA284" i="6"/>
  <c r="BD281" i="6"/>
  <c r="BD282" i="6"/>
  <c r="U34" i="11"/>
  <c r="H282" i="6"/>
  <c r="E284" i="6"/>
  <c r="H281" i="6"/>
  <c r="Q34" i="11"/>
  <c r="CZ169" i="1"/>
  <c r="CW170" i="1"/>
  <c r="AF284" i="6"/>
  <c r="AC285" i="6"/>
  <c r="FQ268" i="6"/>
  <c r="FT267" i="6"/>
  <c r="BP280" i="6"/>
  <c r="BM281" i="6"/>
  <c r="BA171" i="1"/>
  <c r="BD170" i="1"/>
  <c r="FE170" i="1"/>
  <c r="FH169" i="1"/>
  <c r="FE269" i="6"/>
  <c r="FH268" i="6"/>
  <c r="HP168" i="1"/>
  <c r="C168" i="10"/>
  <c r="CK268" i="6"/>
  <c r="CN267" i="6"/>
  <c r="HM267" i="6"/>
  <c r="HP267" i="6" s="1"/>
  <c r="GO170" i="1" l="1"/>
  <c r="GR169" i="1"/>
  <c r="F169" i="10"/>
  <c r="HM169" i="1"/>
  <c r="AF173" i="1"/>
  <c r="AF174" i="1"/>
  <c r="AC176" i="1"/>
  <c r="CZ269" i="6"/>
  <c r="CW270" i="6"/>
  <c r="DX269" i="6"/>
  <c r="DU270" i="6"/>
  <c r="DL269" i="6"/>
  <c r="DI270" i="6"/>
  <c r="HD268" i="6"/>
  <c r="HA269" i="6"/>
  <c r="GC170" i="1"/>
  <c r="GF169" i="1"/>
  <c r="CB169" i="1"/>
  <c r="BY170" i="1"/>
  <c r="BM171" i="1"/>
  <c r="BP170" i="1"/>
  <c r="H169" i="10"/>
  <c r="AR169" i="1"/>
  <c r="AO170" i="1"/>
  <c r="HX169" i="1"/>
  <c r="EG170" i="1"/>
  <c r="HZ170" i="1" s="1"/>
  <c r="EJ169" i="1"/>
  <c r="EV170" i="1"/>
  <c r="ES171" i="1"/>
  <c r="E171" i="1"/>
  <c r="H170" i="1"/>
  <c r="AR284" i="6"/>
  <c r="AO285" i="6"/>
  <c r="BN288" i="6"/>
  <c r="HN287" i="6"/>
  <c r="T284" i="6"/>
  <c r="Q285" i="6"/>
  <c r="FQ172" i="1"/>
  <c r="FT171" i="1"/>
  <c r="ES270" i="6"/>
  <c r="EV269" i="6"/>
  <c r="GF270" i="6"/>
  <c r="GC271" i="6"/>
  <c r="EG269" i="6"/>
  <c r="EJ268" i="6"/>
  <c r="HD169" i="1"/>
  <c r="HA170" i="1"/>
  <c r="J170" i="10" s="1"/>
  <c r="IA169" i="1"/>
  <c r="J169" i="10"/>
  <c r="T170" i="1"/>
  <c r="Q171" i="1"/>
  <c r="CB268" i="6"/>
  <c r="BY269" i="6"/>
  <c r="CN170" i="1"/>
  <c r="CK171" i="1"/>
  <c r="BP281" i="6"/>
  <c r="BM284" i="6"/>
  <c r="W34" i="11"/>
  <c r="BP282" i="6"/>
  <c r="CZ170" i="1"/>
  <c r="CW171" i="1"/>
  <c r="F172" i="1"/>
  <c r="HN171" i="1"/>
  <c r="DX170" i="1"/>
  <c r="DU171" i="1"/>
  <c r="D170" i="10"/>
  <c r="HP169" i="1"/>
  <c r="C169" i="10"/>
  <c r="FE270" i="6"/>
  <c r="FH269" i="6"/>
  <c r="FE171" i="1"/>
  <c r="FH170" i="1"/>
  <c r="FQ269" i="6"/>
  <c r="FT268" i="6"/>
  <c r="H284" i="6"/>
  <c r="E285" i="6"/>
  <c r="BA172" i="1"/>
  <c r="BD171" i="1"/>
  <c r="AF285" i="6"/>
  <c r="AC286" i="6"/>
  <c r="BA285" i="6"/>
  <c r="BD284" i="6"/>
  <c r="DL170" i="1"/>
  <c r="DI171" i="1"/>
  <c r="GO269" i="6"/>
  <c r="GR268" i="6"/>
  <c r="CK269" i="6"/>
  <c r="CN268" i="6"/>
  <c r="HM268" i="6"/>
  <c r="HP268" i="6" s="1"/>
  <c r="GO171" i="1" l="1"/>
  <c r="GR170" i="1"/>
  <c r="CZ270" i="6"/>
  <c r="CW271" i="6"/>
  <c r="HM170" i="1"/>
  <c r="AC177" i="1"/>
  <c r="AF176" i="1"/>
  <c r="GC171" i="1"/>
  <c r="GF170" i="1"/>
  <c r="H170" i="10"/>
  <c r="DI271" i="6"/>
  <c r="DL270" i="6"/>
  <c r="HD269" i="6"/>
  <c r="HA270" i="6"/>
  <c r="BM172" i="1"/>
  <c r="BP171" i="1"/>
  <c r="BY171" i="1"/>
  <c r="HY171" i="1" s="1"/>
  <c r="HY170" i="1"/>
  <c r="CB170" i="1"/>
  <c r="DU271" i="6"/>
  <c r="DX270" i="6"/>
  <c r="AO286" i="6"/>
  <c r="AR285" i="6"/>
  <c r="HA171" i="1"/>
  <c r="HD170" i="1"/>
  <c r="IA170" i="1"/>
  <c r="EJ170" i="1"/>
  <c r="EG171" i="1"/>
  <c r="CB269" i="6"/>
  <c r="BY270" i="6"/>
  <c r="FT172" i="1"/>
  <c r="FQ173" i="1"/>
  <c r="H171" i="1"/>
  <c r="E172" i="1"/>
  <c r="T285" i="6"/>
  <c r="Q286" i="6"/>
  <c r="ES172" i="1"/>
  <c r="EV171" i="1"/>
  <c r="AR170" i="1"/>
  <c r="HX170" i="1"/>
  <c r="AO171" i="1"/>
  <c r="F170" i="10"/>
  <c r="EG270" i="6"/>
  <c r="EJ269" i="6"/>
  <c r="ES271" i="6"/>
  <c r="EV270" i="6"/>
  <c r="Q172" i="1"/>
  <c r="T171" i="1"/>
  <c r="GC272" i="6"/>
  <c r="GF271" i="6"/>
  <c r="CN171" i="1"/>
  <c r="CK172" i="1"/>
  <c r="BN289" i="6"/>
  <c r="HN288" i="6"/>
  <c r="FE271" i="6"/>
  <c r="FH270" i="6"/>
  <c r="F173" i="1"/>
  <c r="HN172" i="1"/>
  <c r="GR269" i="6"/>
  <c r="GO270" i="6"/>
  <c r="E286" i="6"/>
  <c r="H285" i="6"/>
  <c r="CW172" i="1"/>
  <c r="CZ171" i="1"/>
  <c r="DL171" i="1"/>
  <c r="DI172" i="1"/>
  <c r="BA173" i="1"/>
  <c r="BD172" i="1"/>
  <c r="FT269" i="6"/>
  <c r="FQ270" i="6"/>
  <c r="FH171" i="1"/>
  <c r="FE172" i="1"/>
  <c r="DU172" i="1"/>
  <c r="HZ171" i="1"/>
  <c r="DX171" i="1"/>
  <c r="D171" i="10"/>
  <c r="BA286" i="6"/>
  <c r="BD285" i="6"/>
  <c r="BM285" i="6"/>
  <c r="BP284" i="6"/>
  <c r="CK270" i="6"/>
  <c r="CN269" i="6"/>
  <c r="HM269" i="6"/>
  <c r="HP269" i="6" s="1"/>
  <c r="AC287" i="6"/>
  <c r="AF286" i="6"/>
  <c r="HP170" i="1"/>
  <c r="C170" i="10"/>
  <c r="HM171" i="1" l="1"/>
  <c r="GO172" i="1"/>
  <c r="D172" i="10" s="1"/>
  <c r="GR171" i="1"/>
  <c r="AC178" i="1"/>
  <c r="AF177" i="1"/>
  <c r="CW272" i="6"/>
  <c r="CZ271" i="6"/>
  <c r="BP172" i="1"/>
  <c r="BM173" i="1"/>
  <c r="DX271" i="6"/>
  <c r="DU272" i="6"/>
  <c r="DI272" i="6"/>
  <c r="DL271" i="6"/>
  <c r="HA271" i="6"/>
  <c r="HD270" i="6"/>
  <c r="BY172" i="1"/>
  <c r="HY172" i="1" s="1"/>
  <c r="CB171" i="1"/>
  <c r="GF171" i="1"/>
  <c r="GC172" i="1"/>
  <c r="EV271" i="6"/>
  <c r="ES272" i="6"/>
  <c r="ES173" i="1"/>
  <c r="EV172" i="1"/>
  <c r="T286" i="6"/>
  <c r="Q287" i="6"/>
  <c r="EG172" i="1"/>
  <c r="HZ172" i="1" s="1"/>
  <c r="EJ171" i="1"/>
  <c r="F171" i="10"/>
  <c r="EJ270" i="6"/>
  <c r="EG271" i="6"/>
  <c r="H172" i="1"/>
  <c r="E173" i="1"/>
  <c r="GF272" i="6"/>
  <c r="GF273" i="6"/>
  <c r="GC275" i="6"/>
  <c r="HX171" i="1"/>
  <c r="H171" i="10"/>
  <c r="AO172" i="1"/>
  <c r="HX172" i="1" s="1"/>
  <c r="AR171" i="1"/>
  <c r="FQ176" i="1"/>
  <c r="FT174" i="1"/>
  <c r="FT173" i="1"/>
  <c r="HA172" i="1"/>
  <c r="J172" i="10" s="1"/>
  <c r="HD171" i="1"/>
  <c r="IA171" i="1"/>
  <c r="J171" i="10"/>
  <c r="BN290" i="6"/>
  <c r="HN289" i="6"/>
  <c r="Q173" i="1"/>
  <c r="T172" i="1"/>
  <c r="CN172" i="1"/>
  <c r="CK173" i="1"/>
  <c r="BY271" i="6"/>
  <c r="CB270" i="6"/>
  <c r="AO287" i="6"/>
  <c r="AR286" i="6"/>
  <c r="GO271" i="6"/>
  <c r="GR270" i="6"/>
  <c r="DI173" i="1"/>
  <c r="DL172" i="1"/>
  <c r="FE272" i="6"/>
  <c r="FH271" i="6"/>
  <c r="CN270" i="6"/>
  <c r="CK271" i="6"/>
  <c r="HM270" i="6"/>
  <c r="HP270" i="6" s="1"/>
  <c r="BM286" i="6"/>
  <c r="BP285" i="6"/>
  <c r="DX172" i="1"/>
  <c r="DU173" i="1"/>
  <c r="CZ172" i="1"/>
  <c r="CW173" i="1"/>
  <c r="BA287" i="6"/>
  <c r="BD286" i="6"/>
  <c r="FE173" i="1"/>
  <c r="FH172" i="1"/>
  <c r="E287" i="6"/>
  <c r="H286" i="6"/>
  <c r="AC288" i="6"/>
  <c r="AF287" i="6"/>
  <c r="FQ271" i="6"/>
  <c r="FT270" i="6"/>
  <c r="HP171" i="1"/>
  <c r="C171" i="10"/>
  <c r="BD173" i="1"/>
  <c r="BA176" i="1"/>
  <c r="BD174" i="1"/>
  <c r="F176" i="1"/>
  <c r="HN173" i="1"/>
  <c r="GO173" i="1" l="1"/>
  <c r="GR172" i="1"/>
  <c r="F172" i="10"/>
  <c r="CW275" i="6"/>
  <c r="CZ273" i="6"/>
  <c r="CZ272" i="6"/>
  <c r="AF178" i="1"/>
  <c r="AC179" i="1"/>
  <c r="DL273" i="6"/>
  <c r="DL272" i="6"/>
  <c r="DI275" i="6"/>
  <c r="GF172" i="1"/>
  <c r="GC173" i="1"/>
  <c r="DX273" i="6"/>
  <c r="DX272" i="6"/>
  <c r="DU275" i="6"/>
  <c r="HA272" i="6"/>
  <c r="HD271" i="6"/>
  <c r="HM172" i="1"/>
  <c r="BP173" i="1"/>
  <c r="BM176" i="1"/>
  <c r="BP174" i="1"/>
  <c r="BY173" i="1"/>
  <c r="HY173" i="1" s="1"/>
  <c r="CB172" i="1"/>
  <c r="BN293" i="6"/>
  <c r="HN290" i="6"/>
  <c r="HL301" i="6" s="1"/>
  <c r="E176" i="1"/>
  <c r="H173" i="1"/>
  <c r="H174" i="1"/>
  <c r="CN173" i="1"/>
  <c r="CK176" i="1"/>
  <c r="CN174" i="1"/>
  <c r="AO173" i="1"/>
  <c r="H173" i="10" s="1"/>
  <c r="AR172" i="1"/>
  <c r="H172" i="10"/>
  <c r="T287" i="6"/>
  <c r="Q288" i="6"/>
  <c r="BY272" i="6"/>
  <c r="CB271" i="6"/>
  <c r="EJ271" i="6"/>
  <c r="EG272" i="6"/>
  <c r="FQ177" i="1"/>
  <c r="FT176" i="1"/>
  <c r="Q176" i="1"/>
  <c r="T174" i="1"/>
  <c r="T173" i="1"/>
  <c r="HD172" i="1"/>
  <c r="HA173" i="1"/>
  <c r="IA172" i="1"/>
  <c r="GC276" i="6"/>
  <c r="GF275" i="6"/>
  <c r="EV174" i="1"/>
  <c r="EV173" i="1"/>
  <c r="ES176" i="1"/>
  <c r="ES275" i="6"/>
  <c r="EV273" i="6"/>
  <c r="EV272" i="6"/>
  <c r="AO288" i="6"/>
  <c r="AR287" i="6"/>
  <c r="EG173" i="1"/>
  <c r="HZ173" i="1" s="1"/>
  <c r="EJ172" i="1"/>
  <c r="DX174" i="1"/>
  <c r="DU176" i="1"/>
  <c r="DX173" i="1"/>
  <c r="F22" i="11"/>
  <c r="D173" i="10"/>
  <c r="CK272" i="6"/>
  <c r="CN271" i="6"/>
  <c r="HM271" i="6"/>
  <c r="HP271" i="6" s="1"/>
  <c r="DL174" i="1"/>
  <c r="DL173" i="1"/>
  <c r="DI176" i="1"/>
  <c r="E288" i="6"/>
  <c r="H287" i="6"/>
  <c r="FH173" i="1"/>
  <c r="FH174" i="1"/>
  <c r="FE176" i="1"/>
  <c r="BA177" i="1"/>
  <c r="BD176" i="1"/>
  <c r="FE275" i="6"/>
  <c r="FH273" i="6"/>
  <c r="FH272" i="6"/>
  <c r="GO272" i="6"/>
  <c r="GR271" i="6"/>
  <c r="AC289" i="6"/>
  <c r="AF288" i="6"/>
  <c r="BD287" i="6"/>
  <c r="BA288" i="6"/>
  <c r="BM287" i="6"/>
  <c r="BP286" i="6"/>
  <c r="CW176" i="1"/>
  <c r="CZ173" i="1"/>
  <c r="CZ174" i="1"/>
  <c r="HP172" i="1"/>
  <c r="C172" i="10"/>
  <c r="HN176" i="1"/>
  <c r="HL184" i="1" s="1"/>
  <c r="F177" i="1"/>
  <c r="FQ272" i="6"/>
  <c r="FT271" i="6"/>
  <c r="HY174" i="1" l="1"/>
  <c r="IG184" i="1"/>
  <c r="IG182" i="1" s="1"/>
  <c r="GO176" i="1"/>
  <c r="D176" i="10" s="1"/>
  <c r="GR174" i="1"/>
  <c r="GR173" i="1"/>
  <c r="HM173" i="1"/>
  <c r="HP174" i="1" s="1"/>
  <c r="J22" i="11"/>
  <c r="AC180" i="1"/>
  <c r="AF179" i="1"/>
  <c r="HX173" i="1"/>
  <c r="CW276" i="6"/>
  <c r="CZ275" i="6"/>
  <c r="IH184" i="1"/>
  <c r="IH182" i="1" s="1"/>
  <c r="HZ174" i="1"/>
  <c r="BY176" i="1"/>
  <c r="HY176" i="1" s="1"/>
  <c r="CB174" i="1"/>
  <c r="CB173" i="1"/>
  <c r="DX275" i="6"/>
  <c r="DU276" i="6"/>
  <c r="BM177" i="1"/>
  <c r="BP176" i="1"/>
  <c r="GF173" i="1"/>
  <c r="GF174" i="1"/>
  <c r="GC176" i="1"/>
  <c r="DL275" i="6"/>
  <c r="DI276" i="6"/>
  <c r="H22" i="11"/>
  <c r="HA275" i="6"/>
  <c r="HD272" i="6"/>
  <c r="HD273" i="6"/>
  <c r="ES276" i="6"/>
  <c r="EV275" i="6"/>
  <c r="HA176" i="1"/>
  <c r="HD173" i="1"/>
  <c r="HD174" i="1"/>
  <c r="IA173" i="1"/>
  <c r="IA174" i="1"/>
  <c r="II184" i="1"/>
  <c r="II182" i="1" s="1"/>
  <c r="L22" i="11"/>
  <c r="FQ178" i="1"/>
  <c r="FT177" i="1"/>
  <c r="EG275" i="6"/>
  <c r="EJ272" i="6"/>
  <c r="EJ273" i="6"/>
  <c r="EG176" i="1"/>
  <c r="HZ176" i="1" s="1"/>
  <c r="EJ173" i="1"/>
  <c r="EJ174" i="1"/>
  <c r="ES177" i="1"/>
  <c r="EV176" i="1"/>
  <c r="E177" i="1"/>
  <c r="H176" i="1"/>
  <c r="IF184" i="1"/>
  <c r="IF182" i="1" s="1"/>
  <c r="AR173" i="1"/>
  <c r="AO176" i="1"/>
  <c r="AR174" i="1"/>
  <c r="HX174" i="1"/>
  <c r="AO289" i="6"/>
  <c r="AR288" i="6"/>
  <c r="BY275" i="6"/>
  <c r="CB272" i="6"/>
  <c r="CB273" i="6"/>
  <c r="F173" i="10"/>
  <c r="Q289" i="6"/>
  <c r="T288" i="6"/>
  <c r="CN176" i="1"/>
  <c r="CK177" i="1"/>
  <c r="BN294" i="6"/>
  <c r="HN293" i="6"/>
  <c r="GF276" i="6"/>
  <c r="GC277" i="6"/>
  <c r="T176" i="1"/>
  <c r="Q177" i="1"/>
  <c r="J173" i="10"/>
  <c r="BD288" i="6"/>
  <c r="BA289" i="6"/>
  <c r="GO275" i="6"/>
  <c r="GR273" i="6"/>
  <c r="GR272" i="6"/>
  <c r="H288" i="6"/>
  <c r="E289" i="6"/>
  <c r="DU177" i="1"/>
  <c r="DX176" i="1"/>
  <c r="CZ176" i="1"/>
  <c r="CW177" i="1"/>
  <c r="DL176" i="1"/>
  <c r="DI177" i="1"/>
  <c r="FQ275" i="6"/>
  <c r="FT273" i="6"/>
  <c r="FT272" i="6"/>
  <c r="FE276" i="6"/>
  <c r="FH275" i="6"/>
  <c r="BA178" i="1"/>
  <c r="BD177" i="1"/>
  <c r="CK275" i="6"/>
  <c r="CN272" i="6"/>
  <c r="CN273" i="6"/>
  <c r="HM272" i="6"/>
  <c r="F178" i="1"/>
  <c r="HN177" i="1"/>
  <c r="BP287" i="6"/>
  <c r="BM288" i="6"/>
  <c r="AC290" i="6"/>
  <c r="AF289" i="6"/>
  <c r="J176" i="10"/>
  <c r="FE177" i="1"/>
  <c r="FH176" i="1"/>
  <c r="C173" i="10" l="1"/>
  <c r="HP173" i="1"/>
  <c r="GO177" i="1"/>
  <c r="D177" i="10" s="1"/>
  <c r="GR176" i="1"/>
  <c r="CW277" i="6"/>
  <c r="CZ276" i="6"/>
  <c r="AF180" i="1"/>
  <c r="AC181" i="1"/>
  <c r="BP177" i="1"/>
  <c r="BM178" i="1"/>
  <c r="DU277" i="6"/>
  <c r="DX276" i="6"/>
  <c r="DL276" i="6"/>
  <c r="DI277" i="6"/>
  <c r="HA276" i="6"/>
  <c r="HD275" i="6"/>
  <c r="GC177" i="1"/>
  <c r="GF176" i="1"/>
  <c r="CB176" i="1"/>
  <c r="BY177" i="1"/>
  <c r="CN177" i="1"/>
  <c r="CK178" i="1"/>
  <c r="CB275" i="6"/>
  <c r="BY276" i="6"/>
  <c r="E178" i="1"/>
  <c r="H177" i="1"/>
  <c r="EJ275" i="6"/>
  <c r="EG276" i="6"/>
  <c r="Q178" i="1"/>
  <c r="T177" i="1"/>
  <c r="AR289" i="6"/>
  <c r="AO290" i="6"/>
  <c r="T289" i="6"/>
  <c r="Q290" i="6"/>
  <c r="EV177" i="1"/>
  <c r="ES178" i="1"/>
  <c r="GC278" i="6"/>
  <c r="GF277" i="6"/>
  <c r="HD176" i="1"/>
  <c r="HA177" i="1"/>
  <c r="J177" i="10" s="1"/>
  <c r="IA176" i="1"/>
  <c r="HM176" i="1"/>
  <c r="HX176" i="1"/>
  <c r="AO177" i="1"/>
  <c r="H176" i="10"/>
  <c r="AR176" i="1"/>
  <c r="FT178" i="1"/>
  <c r="FQ179" i="1"/>
  <c r="EJ176" i="1"/>
  <c r="EG177" i="1"/>
  <c r="HZ177" i="1" s="1"/>
  <c r="F176" i="10"/>
  <c r="ES277" i="6"/>
  <c r="EV276" i="6"/>
  <c r="BN295" i="6"/>
  <c r="HN294" i="6"/>
  <c r="FH276" i="6"/>
  <c r="FE277" i="6"/>
  <c r="GO276" i="6"/>
  <c r="GR275" i="6"/>
  <c r="DU178" i="1"/>
  <c r="DX177" i="1"/>
  <c r="BD289" i="6"/>
  <c r="BA290" i="6"/>
  <c r="CN275" i="6"/>
  <c r="CK276" i="6"/>
  <c r="HM275" i="6"/>
  <c r="HP275" i="6" s="1"/>
  <c r="AF290" i="6"/>
  <c r="AC293" i="6"/>
  <c r="AF291" i="6"/>
  <c r="FQ276" i="6"/>
  <c r="FT275" i="6"/>
  <c r="DL177" i="1"/>
  <c r="DI178" i="1"/>
  <c r="HK283" i="6"/>
  <c r="HP273" i="6"/>
  <c r="HP272" i="6"/>
  <c r="E290" i="6"/>
  <c r="H289" i="6"/>
  <c r="BM289" i="6"/>
  <c r="BP288" i="6"/>
  <c r="BA179" i="1"/>
  <c r="BD178" i="1"/>
  <c r="FE178" i="1"/>
  <c r="FH177" i="1"/>
  <c r="F179" i="1"/>
  <c r="HN178" i="1"/>
  <c r="CW178" i="1"/>
  <c r="CZ177" i="1"/>
  <c r="GR177" i="1" l="1"/>
  <c r="GO178" i="1"/>
  <c r="HM177" i="1"/>
  <c r="C177" i="10" s="1"/>
  <c r="AF181" i="1"/>
  <c r="AC182" i="1"/>
  <c r="CZ277" i="6"/>
  <c r="CW278" i="6"/>
  <c r="DI278" i="6"/>
  <c r="DL277" i="6"/>
  <c r="CB177" i="1"/>
  <c r="BY178" i="1"/>
  <c r="HY178" i="1" s="1"/>
  <c r="HY177" i="1"/>
  <c r="DX277" i="6"/>
  <c r="DU278" i="6"/>
  <c r="F177" i="10"/>
  <c r="BP178" i="1"/>
  <c r="BM179" i="1"/>
  <c r="HD276" i="6"/>
  <c r="HA277" i="6"/>
  <c r="GF177" i="1"/>
  <c r="GC178" i="1"/>
  <c r="EJ276" i="6"/>
  <c r="EG277" i="6"/>
  <c r="FT179" i="1"/>
  <c r="FQ180" i="1"/>
  <c r="HD177" i="1"/>
  <c r="HA178" i="1"/>
  <c r="J178" i="10" s="1"/>
  <c r="IA177" i="1"/>
  <c r="T290" i="6"/>
  <c r="S35" i="11"/>
  <c r="Q293" i="6"/>
  <c r="T291" i="6"/>
  <c r="BN296" i="6"/>
  <c r="HN295" i="6"/>
  <c r="AO293" i="6"/>
  <c r="AR290" i="6"/>
  <c r="AR291" i="6"/>
  <c r="H178" i="1"/>
  <c r="E179" i="1"/>
  <c r="GC279" i="6"/>
  <c r="GF278" i="6"/>
  <c r="BY277" i="6"/>
  <c r="CB276" i="6"/>
  <c r="ES278" i="6"/>
  <c r="EV277" i="6"/>
  <c r="H177" i="10"/>
  <c r="HX177" i="1"/>
  <c r="AR177" i="1"/>
  <c r="AO178" i="1"/>
  <c r="H178" i="10" s="1"/>
  <c r="Q179" i="1"/>
  <c r="T178" i="1"/>
  <c r="CN178" i="1"/>
  <c r="CK179" i="1"/>
  <c r="EJ177" i="1"/>
  <c r="EG178" i="1"/>
  <c r="HZ178" i="1" s="1"/>
  <c r="HK184" i="1"/>
  <c r="C176" i="10"/>
  <c r="HP176" i="1"/>
  <c r="EV178" i="1"/>
  <c r="ES179" i="1"/>
  <c r="DL178" i="1"/>
  <c r="DI179" i="1"/>
  <c r="GO277" i="6"/>
  <c r="GR276" i="6"/>
  <c r="CW179" i="1"/>
  <c r="CZ178" i="1"/>
  <c r="FQ277" i="6"/>
  <c r="FT276" i="6"/>
  <c r="DU179" i="1"/>
  <c r="DX178" i="1"/>
  <c r="FE278" i="6"/>
  <c r="FH277" i="6"/>
  <c r="BP289" i="6"/>
  <c r="BM290" i="6"/>
  <c r="HP177" i="1"/>
  <c r="H290" i="6"/>
  <c r="H291" i="6"/>
  <c r="E293" i="6"/>
  <c r="Q35" i="11"/>
  <c r="CN276" i="6"/>
  <c r="CK277" i="6"/>
  <c r="HM276" i="6"/>
  <c r="HP276" i="6" s="1"/>
  <c r="AC294" i="6"/>
  <c r="AF293" i="6"/>
  <c r="BA180" i="1"/>
  <c r="BD179" i="1"/>
  <c r="F180" i="1"/>
  <c r="HN179" i="1"/>
  <c r="FH178" i="1"/>
  <c r="FE179" i="1"/>
  <c r="BA293" i="6"/>
  <c r="BD290" i="6"/>
  <c r="BD291" i="6"/>
  <c r="U35" i="11"/>
  <c r="GO179" i="1" l="1"/>
  <c r="D179" i="10" s="1"/>
  <c r="GR178" i="1"/>
  <c r="D178" i="10"/>
  <c r="CW279" i="6"/>
  <c r="CZ278" i="6"/>
  <c r="AF183" i="1"/>
  <c r="AC185" i="1"/>
  <c r="AC186" i="1" s="1"/>
  <c r="AF182" i="1"/>
  <c r="GF178" i="1"/>
  <c r="GC179" i="1"/>
  <c r="HA278" i="6"/>
  <c r="HD277" i="6"/>
  <c r="BY179" i="1"/>
  <c r="CB178" i="1"/>
  <c r="BP179" i="1"/>
  <c r="BM180" i="1"/>
  <c r="DX278" i="6"/>
  <c r="DU279" i="6"/>
  <c r="DI279" i="6"/>
  <c r="DL278" i="6"/>
  <c r="T179" i="1"/>
  <c r="Q180" i="1"/>
  <c r="ES279" i="6"/>
  <c r="EV278" i="6"/>
  <c r="AR293" i="6"/>
  <c r="AO294" i="6"/>
  <c r="HA179" i="1"/>
  <c r="J179" i="10" s="1"/>
  <c r="HD178" i="1"/>
  <c r="IA178" i="1"/>
  <c r="EG179" i="1"/>
  <c r="HZ179" i="1" s="1"/>
  <c r="EJ178" i="1"/>
  <c r="F178" i="10"/>
  <c r="HM178" i="1"/>
  <c r="AR178" i="1"/>
  <c r="AO179" i="1"/>
  <c r="H179" i="10" s="1"/>
  <c r="HX178" i="1"/>
  <c r="CB277" i="6"/>
  <c r="BY278" i="6"/>
  <c r="BN297" i="6"/>
  <c r="HN296" i="6"/>
  <c r="FT180" i="1"/>
  <c r="FQ181" i="1"/>
  <c r="HX179" i="1"/>
  <c r="CN179" i="1"/>
  <c r="CK180" i="1"/>
  <c r="GF279" i="6"/>
  <c r="GC280" i="6"/>
  <c r="EV179" i="1"/>
  <c r="ES180" i="1"/>
  <c r="E180" i="1"/>
  <c r="H179" i="1"/>
  <c r="T293" i="6"/>
  <c r="Q294" i="6"/>
  <c r="EJ277" i="6"/>
  <c r="EG278" i="6"/>
  <c r="GR277" i="6"/>
  <c r="GO278" i="6"/>
  <c r="DI180" i="1"/>
  <c r="DL179" i="1"/>
  <c r="CK278" i="6"/>
  <c r="CN277" i="6"/>
  <c r="HM277" i="6"/>
  <c r="HP277" i="6" s="1"/>
  <c r="FE279" i="6"/>
  <c r="FH278" i="6"/>
  <c r="FT277" i="6"/>
  <c r="FQ278" i="6"/>
  <c r="F181" i="1"/>
  <c r="HN180" i="1"/>
  <c r="H293" i="6"/>
  <c r="E294" i="6"/>
  <c r="AC295" i="6"/>
  <c r="AF294" i="6"/>
  <c r="CW180" i="1"/>
  <c r="CZ179" i="1"/>
  <c r="FE180" i="1"/>
  <c r="FH179" i="1"/>
  <c r="BA181" i="1"/>
  <c r="BD180" i="1"/>
  <c r="BD293" i="6"/>
  <c r="BA294" i="6"/>
  <c r="BP290" i="6"/>
  <c r="BM293" i="6"/>
  <c r="W35" i="11"/>
  <c r="BP291" i="6"/>
  <c r="DU180" i="1"/>
  <c r="DX179" i="1"/>
  <c r="GO180" i="1" l="1"/>
  <c r="GR179" i="1"/>
  <c r="AF186" i="1"/>
  <c r="AC187" i="1"/>
  <c r="CZ279" i="6"/>
  <c r="CW280" i="6"/>
  <c r="CB179" i="1"/>
  <c r="BY180" i="1"/>
  <c r="HM179" i="1"/>
  <c r="C179" i="10" s="1"/>
  <c r="DL279" i="6"/>
  <c r="DI280" i="6"/>
  <c r="HA279" i="6"/>
  <c r="HD278" i="6"/>
  <c r="DU280" i="6"/>
  <c r="DX279" i="6"/>
  <c r="GC180" i="1"/>
  <c r="GF179" i="1"/>
  <c r="BM181" i="1"/>
  <c r="BP180" i="1"/>
  <c r="HY179" i="1"/>
  <c r="EV180" i="1"/>
  <c r="ES181" i="1"/>
  <c r="HP178" i="1"/>
  <c r="C178" i="10"/>
  <c r="EG279" i="6"/>
  <c r="EJ278" i="6"/>
  <c r="GF280" i="6"/>
  <c r="GC281" i="6"/>
  <c r="BN298" i="6"/>
  <c r="HN297" i="6"/>
  <c r="CB278" i="6"/>
  <c r="BY279" i="6"/>
  <c r="EJ179" i="1"/>
  <c r="EG180" i="1"/>
  <c r="HZ180" i="1" s="1"/>
  <c r="F179" i="10"/>
  <c r="Q295" i="6"/>
  <c r="T294" i="6"/>
  <c r="CN180" i="1"/>
  <c r="CK181" i="1"/>
  <c r="ES280" i="6"/>
  <c r="EV279" i="6"/>
  <c r="AO180" i="1"/>
  <c r="AR179" i="1"/>
  <c r="HA180" i="1"/>
  <c r="HD179" i="1"/>
  <c r="IA179" i="1"/>
  <c r="T180" i="1"/>
  <c r="Q181" i="1"/>
  <c r="H180" i="1"/>
  <c r="E181" i="1"/>
  <c r="FQ182" i="1"/>
  <c r="FT181" i="1"/>
  <c r="AO295" i="6"/>
  <c r="AR294" i="6"/>
  <c r="AF295" i="6"/>
  <c r="AC296" i="6"/>
  <c r="HN181" i="1"/>
  <c r="F182" i="1"/>
  <c r="CK279" i="6"/>
  <c r="CN278" i="6"/>
  <c r="HM278" i="6"/>
  <c r="HP278" i="6" s="1"/>
  <c r="BM294" i="6"/>
  <c r="BP293" i="6"/>
  <c r="BD294" i="6"/>
  <c r="BA295" i="6"/>
  <c r="FE181" i="1"/>
  <c r="FH180" i="1"/>
  <c r="FT278" i="6"/>
  <c r="FQ279" i="6"/>
  <c r="DL180" i="1"/>
  <c r="DI181" i="1"/>
  <c r="GR278" i="6"/>
  <c r="GO279" i="6"/>
  <c r="BD181" i="1"/>
  <c r="BA182" i="1"/>
  <c r="H294" i="6"/>
  <c r="E295" i="6"/>
  <c r="FH279" i="6"/>
  <c r="FE280" i="6"/>
  <c r="DX180" i="1"/>
  <c r="DU181" i="1"/>
  <c r="D180" i="10"/>
  <c r="CZ180" i="1"/>
  <c r="CW181" i="1"/>
  <c r="GO181" i="1" l="1"/>
  <c r="GR180" i="1"/>
  <c r="CW281" i="6"/>
  <c r="CZ280" i="6"/>
  <c r="HP179" i="1"/>
  <c r="AF187" i="1"/>
  <c r="AC188" i="1"/>
  <c r="F180" i="10"/>
  <c r="DX280" i="6"/>
  <c r="DU281" i="6"/>
  <c r="HA280" i="6"/>
  <c r="HD279" i="6"/>
  <c r="DI281" i="6"/>
  <c r="DL280" i="6"/>
  <c r="BP181" i="1"/>
  <c r="BM182" i="1"/>
  <c r="GF180" i="1"/>
  <c r="GC181" i="1"/>
  <c r="HY180" i="1"/>
  <c r="CB180" i="1"/>
  <c r="BY181" i="1"/>
  <c r="EJ279" i="6"/>
  <c r="EG280" i="6"/>
  <c r="ES281" i="6"/>
  <c r="EV280" i="6"/>
  <c r="CB279" i="6"/>
  <c r="BY280" i="6"/>
  <c r="AR295" i="6"/>
  <c r="AO296" i="6"/>
  <c r="CK182" i="1"/>
  <c r="CN181" i="1"/>
  <c r="FT183" i="1"/>
  <c r="FT182" i="1"/>
  <c r="FQ185" i="1"/>
  <c r="HD180" i="1"/>
  <c r="HA181" i="1"/>
  <c r="IA180" i="1"/>
  <c r="J180" i="10"/>
  <c r="BN299" i="6"/>
  <c r="HN298" i="6"/>
  <c r="E182" i="1"/>
  <c r="H181" i="1"/>
  <c r="T295" i="6"/>
  <c r="Q296" i="6"/>
  <c r="GC284" i="6"/>
  <c r="GF282" i="6"/>
  <c r="GF281" i="6"/>
  <c r="EV181" i="1"/>
  <c r="ES182" i="1"/>
  <c r="AR180" i="1"/>
  <c r="AO181" i="1"/>
  <c r="H181" i="10" s="1"/>
  <c r="HM180" i="1"/>
  <c r="HX180" i="1"/>
  <c r="T181" i="1"/>
  <c r="Q182" i="1"/>
  <c r="EJ180" i="1"/>
  <c r="EG181" i="1"/>
  <c r="H180" i="10"/>
  <c r="BP294" i="6"/>
  <c r="BM295" i="6"/>
  <c r="GO280" i="6"/>
  <c r="GR279" i="6"/>
  <c r="AC297" i="6"/>
  <c r="AF296" i="6"/>
  <c r="BD183" i="1"/>
  <c r="BD182" i="1"/>
  <c r="BA185" i="1"/>
  <c r="FH181" i="1"/>
  <c r="FE182" i="1"/>
  <c r="HZ181" i="1"/>
  <c r="DX181" i="1"/>
  <c r="DU182" i="1"/>
  <c r="D181" i="10"/>
  <c r="DI182" i="1"/>
  <c r="DL181" i="1"/>
  <c r="BD295" i="6"/>
  <c r="BA296" i="6"/>
  <c r="CN279" i="6"/>
  <c r="CK280" i="6"/>
  <c r="HM279" i="6"/>
  <c r="HP279" i="6" s="1"/>
  <c r="F185" i="1"/>
  <c r="HN182" i="1"/>
  <c r="FE281" i="6"/>
  <c r="FH280" i="6"/>
  <c r="CW182" i="1"/>
  <c r="CZ181" i="1"/>
  <c r="E296" i="6"/>
  <c r="H295" i="6"/>
  <c r="FQ280" i="6"/>
  <c r="FT279" i="6"/>
  <c r="HM181" i="1" l="1"/>
  <c r="C181" i="10" s="1"/>
  <c r="GR181" i="1"/>
  <c r="GO182" i="1"/>
  <c r="AC189" i="1"/>
  <c r="AF188" i="1"/>
  <c r="CW284" i="6"/>
  <c r="CZ281" i="6"/>
  <c r="CZ282" i="6"/>
  <c r="BP183" i="1"/>
  <c r="BP182" i="1"/>
  <c r="BM185" i="1"/>
  <c r="CB181" i="1"/>
  <c r="HY181" i="1"/>
  <c r="BY182" i="1"/>
  <c r="IG193" i="1" s="1"/>
  <c r="IG191" i="1" s="1"/>
  <c r="DL282" i="6"/>
  <c r="DL281" i="6"/>
  <c r="DI284" i="6"/>
  <c r="HD280" i="6"/>
  <c r="HA281" i="6"/>
  <c r="GC182" i="1"/>
  <c r="GF181" i="1"/>
  <c r="DX281" i="6"/>
  <c r="DX282" i="6"/>
  <c r="DU284" i="6"/>
  <c r="EV183" i="1"/>
  <c r="ES185" i="1"/>
  <c r="EV182" i="1"/>
  <c r="T183" i="1"/>
  <c r="T182" i="1"/>
  <c r="Q185" i="1"/>
  <c r="CB280" i="6"/>
  <c r="BY281" i="6"/>
  <c r="BN302" i="6"/>
  <c r="HN299" i="6"/>
  <c r="HL310" i="6" s="1"/>
  <c r="H182" i="1"/>
  <c r="E185" i="1"/>
  <c r="H183" i="1"/>
  <c r="GC285" i="6"/>
  <c r="GF284" i="6"/>
  <c r="CK185" i="1"/>
  <c r="CN182" i="1"/>
  <c r="CN183" i="1"/>
  <c r="EV281" i="6"/>
  <c r="ES284" i="6"/>
  <c r="EV282" i="6"/>
  <c r="HP180" i="1"/>
  <c r="C180" i="10"/>
  <c r="T296" i="6"/>
  <c r="Q297" i="6"/>
  <c r="HD181" i="1"/>
  <c r="HA182" i="1"/>
  <c r="IA181" i="1"/>
  <c r="AR296" i="6"/>
  <c r="AO297" i="6"/>
  <c r="EG281" i="6"/>
  <c r="EJ280" i="6"/>
  <c r="AR181" i="1"/>
  <c r="AO182" i="1"/>
  <c r="HX182" i="1" s="1"/>
  <c r="HX181" i="1"/>
  <c r="EJ181" i="1"/>
  <c r="EG182" i="1"/>
  <c r="IH193" i="1" s="1"/>
  <c r="IH191" i="1" s="1"/>
  <c r="F181" i="10"/>
  <c r="FT185" i="1"/>
  <c r="FQ186" i="1"/>
  <c r="J181" i="10"/>
  <c r="DU185" i="1"/>
  <c r="DX182" i="1"/>
  <c r="DX183" i="1"/>
  <c r="F23" i="11"/>
  <c r="D182" i="10"/>
  <c r="FQ281" i="6"/>
  <c r="FT280" i="6"/>
  <c r="BM296" i="6"/>
  <c r="BP295" i="6"/>
  <c r="CZ183" i="1"/>
  <c r="CW185" i="1"/>
  <c r="CZ182" i="1"/>
  <c r="CN280" i="6"/>
  <c r="CK281" i="6"/>
  <c r="HM280" i="6"/>
  <c r="HP280" i="6" s="1"/>
  <c r="AC298" i="6"/>
  <c r="AF297" i="6"/>
  <c r="FH183" i="1"/>
  <c r="FE185" i="1"/>
  <c r="FH182" i="1"/>
  <c r="BA186" i="1"/>
  <c r="BD185" i="1"/>
  <c r="GO281" i="6"/>
  <c r="GR280" i="6"/>
  <c r="H296" i="6"/>
  <c r="E297" i="6"/>
  <c r="DL183" i="1"/>
  <c r="DI185" i="1"/>
  <c r="DL182" i="1"/>
  <c r="L23" i="11"/>
  <c r="FH282" i="6"/>
  <c r="FH281" i="6"/>
  <c r="FE284" i="6"/>
  <c r="BA297" i="6"/>
  <c r="BD296" i="6"/>
  <c r="F186" i="1"/>
  <c r="HN185" i="1"/>
  <c r="HL193" i="1" s="1"/>
  <c r="HP181" i="1" l="1"/>
  <c r="HY183" i="1"/>
  <c r="HY182" i="1"/>
  <c r="GR182" i="1"/>
  <c r="GR183" i="1"/>
  <c r="GO185" i="1"/>
  <c r="D185" i="10" s="1"/>
  <c r="CW285" i="6"/>
  <c r="CZ284" i="6"/>
  <c r="HX183" i="1"/>
  <c r="H182" i="10"/>
  <c r="AF189" i="1"/>
  <c r="AC190" i="1"/>
  <c r="DU285" i="6"/>
  <c r="DX284" i="6"/>
  <c r="CB183" i="1"/>
  <c r="BY185" i="1"/>
  <c r="HY185" i="1" s="1"/>
  <c r="CB182" i="1"/>
  <c r="GC185" i="1"/>
  <c r="GF183" i="1"/>
  <c r="GF182" i="1"/>
  <c r="HD282" i="6"/>
  <c r="HD281" i="6"/>
  <c r="HA284" i="6"/>
  <c r="BP185" i="1"/>
  <c r="BM186" i="1"/>
  <c r="F182" i="10"/>
  <c r="DL284" i="6"/>
  <c r="DI285" i="6"/>
  <c r="HD182" i="1"/>
  <c r="HD183" i="1"/>
  <c r="HA185" i="1"/>
  <c r="IA183" i="1"/>
  <c r="IA182" i="1"/>
  <c r="II193" i="1"/>
  <c r="II191" i="1" s="1"/>
  <c r="E186" i="1"/>
  <c r="H185" i="1"/>
  <c r="Q186" i="1"/>
  <c r="T185" i="1"/>
  <c r="J185" i="10"/>
  <c r="EJ182" i="1"/>
  <c r="EG185" i="1"/>
  <c r="EJ183" i="1"/>
  <c r="T297" i="6"/>
  <c r="Q298" i="6"/>
  <c r="CN185" i="1"/>
  <c r="CK186" i="1"/>
  <c r="EJ282" i="6"/>
  <c r="EJ281" i="6"/>
  <c r="EG284" i="6"/>
  <c r="BN303" i="6"/>
  <c r="HN302" i="6"/>
  <c r="HZ182" i="1"/>
  <c r="AO298" i="6"/>
  <c r="AR297" i="6"/>
  <c r="GC286" i="6"/>
  <c r="GF285" i="6"/>
  <c r="CB282" i="6"/>
  <c r="CB281" i="6"/>
  <c r="BY284" i="6"/>
  <c r="ES186" i="1"/>
  <c r="EV185" i="1"/>
  <c r="HM182" i="1"/>
  <c r="C182" i="10" s="1"/>
  <c r="J182" i="10"/>
  <c r="HZ183" i="1"/>
  <c r="FT186" i="1"/>
  <c r="FQ187" i="1"/>
  <c r="AO185" i="1"/>
  <c r="H185" i="10" s="1"/>
  <c r="AR183" i="1"/>
  <c r="AR182" i="1"/>
  <c r="EV284" i="6"/>
  <c r="ES285" i="6"/>
  <c r="J23" i="11"/>
  <c r="H23" i="11"/>
  <c r="IF193" i="1"/>
  <c r="IF191" i="1" s="1"/>
  <c r="CW186" i="1"/>
  <c r="CZ185" i="1"/>
  <c r="BA187" i="1"/>
  <c r="BD186" i="1"/>
  <c r="H297" i="6"/>
  <c r="E298" i="6"/>
  <c r="DL185" i="1"/>
  <c r="DI186" i="1"/>
  <c r="FH185" i="1"/>
  <c r="FE186" i="1"/>
  <c r="BP296" i="6"/>
  <c r="BM297" i="6"/>
  <c r="FT281" i="6"/>
  <c r="FQ284" i="6"/>
  <c r="FT282" i="6"/>
  <c r="CN282" i="6"/>
  <c r="CN281" i="6"/>
  <c r="CK284" i="6"/>
  <c r="HM281" i="6"/>
  <c r="BD297" i="6"/>
  <c r="BA298" i="6"/>
  <c r="GR281" i="6"/>
  <c r="GO284" i="6"/>
  <c r="GR282" i="6"/>
  <c r="DU186" i="1"/>
  <c r="DX185" i="1"/>
  <c r="FE285" i="6"/>
  <c r="FH284" i="6"/>
  <c r="AF298" i="6"/>
  <c r="AC299" i="6"/>
  <c r="F187" i="1"/>
  <c r="HN186" i="1"/>
  <c r="GR185" i="1" l="1"/>
  <c r="GO186" i="1"/>
  <c r="D186" i="10" s="1"/>
  <c r="AC191" i="1"/>
  <c r="AF190" i="1"/>
  <c r="CZ285" i="6"/>
  <c r="CW286" i="6"/>
  <c r="HM185" i="1"/>
  <c r="C185" i="10" s="1"/>
  <c r="DI286" i="6"/>
  <c r="DL285" i="6"/>
  <c r="GC186" i="1"/>
  <c r="GF185" i="1"/>
  <c r="BM187" i="1"/>
  <c r="BP186" i="1"/>
  <c r="BY186" i="1"/>
  <c r="HY186" i="1" s="1"/>
  <c r="CB185" i="1"/>
  <c r="HP183" i="1"/>
  <c r="HA285" i="6"/>
  <c r="HD284" i="6"/>
  <c r="HZ185" i="1"/>
  <c r="DX285" i="6"/>
  <c r="DU286" i="6"/>
  <c r="ES286" i="6"/>
  <c r="EV285" i="6"/>
  <c r="GF286" i="6"/>
  <c r="GC287" i="6"/>
  <c r="CN186" i="1"/>
  <c r="CK187" i="1"/>
  <c r="AR298" i="6"/>
  <c r="AO299" i="6"/>
  <c r="Q187" i="1"/>
  <c r="T186" i="1"/>
  <c r="HP182" i="1"/>
  <c r="ES187" i="1"/>
  <c r="EV186" i="1"/>
  <c r="Q299" i="6"/>
  <c r="T298" i="6"/>
  <c r="AO186" i="1"/>
  <c r="AR185" i="1"/>
  <c r="CB284" i="6"/>
  <c r="BY285" i="6"/>
  <c r="H186" i="1"/>
  <c r="E187" i="1"/>
  <c r="HD185" i="1"/>
  <c r="HA186" i="1"/>
  <c r="IA185" i="1"/>
  <c r="FQ188" i="1"/>
  <c r="FT187" i="1"/>
  <c r="BN304" i="6"/>
  <c r="HN303" i="6"/>
  <c r="HX185" i="1"/>
  <c r="EJ284" i="6"/>
  <c r="EG285" i="6"/>
  <c r="EJ185" i="1"/>
  <c r="EG186" i="1"/>
  <c r="HZ186" i="1" s="1"/>
  <c r="F185" i="10"/>
  <c r="CZ186" i="1"/>
  <c r="CW187" i="1"/>
  <c r="BM298" i="6"/>
  <c r="BP297" i="6"/>
  <c r="GR284" i="6"/>
  <c r="GO285" i="6"/>
  <c r="FH186" i="1"/>
  <c r="FE187" i="1"/>
  <c r="HN187" i="1"/>
  <c r="F188" i="1"/>
  <c r="CK285" i="6"/>
  <c r="CN284" i="6"/>
  <c r="HM284" i="6"/>
  <c r="HP284" i="6" s="1"/>
  <c r="DL186" i="1"/>
  <c r="DI187" i="1"/>
  <c r="FE286" i="6"/>
  <c r="FH285" i="6"/>
  <c r="BA188" i="1"/>
  <c r="BD187" i="1"/>
  <c r="AC302" i="6"/>
  <c r="AF299" i="6"/>
  <c r="AF300" i="6"/>
  <c r="HK292" i="6"/>
  <c r="HP282" i="6"/>
  <c r="HP281" i="6"/>
  <c r="DU187" i="1"/>
  <c r="DX186" i="1"/>
  <c r="BA299" i="6"/>
  <c r="BD298" i="6"/>
  <c r="FT284" i="6"/>
  <c r="FQ285" i="6"/>
  <c r="E299" i="6"/>
  <c r="H298" i="6"/>
  <c r="HK193" i="1" l="1"/>
  <c r="HP185" i="1"/>
  <c r="GR186" i="1"/>
  <c r="GO187" i="1"/>
  <c r="CW287" i="6"/>
  <c r="CZ286" i="6"/>
  <c r="AF191" i="1"/>
  <c r="AC194" i="1"/>
  <c r="AF192" i="1"/>
  <c r="HM186" i="1"/>
  <c r="C186" i="10" s="1"/>
  <c r="BP187" i="1"/>
  <c r="BM188" i="1"/>
  <c r="BY187" i="1"/>
  <c r="CB186" i="1"/>
  <c r="GC187" i="1"/>
  <c r="GF186" i="1"/>
  <c r="DU287" i="6"/>
  <c r="DX286" i="6"/>
  <c r="HD285" i="6"/>
  <c r="HA286" i="6"/>
  <c r="DL286" i="6"/>
  <c r="DI287" i="6"/>
  <c r="EG286" i="6"/>
  <c r="EJ285" i="6"/>
  <c r="H186" i="10"/>
  <c r="AO187" i="1"/>
  <c r="HX187" i="1" s="1"/>
  <c r="AR186" i="1"/>
  <c r="HX186" i="1"/>
  <c r="AR299" i="6"/>
  <c r="AO302" i="6"/>
  <c r="AR300" i="6"/>
  <c r="J186" i="10"/>
  <c r="T300" i="6"/>
  <c r="S36" i="11"/>
  <c r="Q302" i="6"/>
  <c r="T299" i="6"/>
  <c r="CN187" i="1"/>
  <c r="CK188" i="1"/>
  <c r="H187" i="1"/>
  <c r="E188" i="1"/>
  <c r="EV187" i="1"/>
  <c r="ES188" i="1"/>
  <c r="GC288" i="6"/>
  <c r="GF287" i="6"/>
  <c r="BN305" i="6"/>
  <c r="HN304" i="6"/>
  <c r="CB285" i="6"/>
  <c r="BY286" i="6"/>
  <c r="EG187" i="1"/>
  <c r="EJ186" i="1"/>
  <c r="F186" i="10"/>
  <c r="HD186" i="1"/>
  <c r="HA187" i="1"/>
  <c r="IA186" i="1"/>
  <c r="FQ189" i="1"/>
  <c r="FT188" i="1"/>
  <c r="Q188" i="1"/>
  <c r="T187" i="1"/>
  <c r="ES287" i="6"/>
  <c r="EV286" i="6"/>
  <c r="FH187" i="1"/>
  <c r="FE188" i="1"/>
  <c r="BM299" i="6"/>
  <c r="BP298" i="6"/>
  <c r="FH286" i="6"/>
  <c r="FE287" i="6"/>
  <c r="CW188" i="1"/>
  <c r="CZ187" i="1"/>
  <c r="CK286" i="6"/>
  <c r="CN285" i="6"/>
  <c r="HM285" i="6"/>
  <c r="HP285" i="6" s="1"/>
  <c r="GR285" i="6"/>
  <c r="GO286" i="6"/>
  <c r="HP186" i="1"/>
  <c r="AC303" i="6"/>
  <c r="AF302" i="6"/>
  <c r="BA189" i="1"/>
  <c r="BD188" i="1"/>
  <c r="F189" i="1"/>
  <c r="HN188" i="1"/>
  <c r="BD300" i="6"/>
  <c r="BA302" i="6"/>
  <c r="BD299" i="6"/>
  <c r="U36" i="11"/>
  <c r="FT285" i="6"/>
  <c r="FQ286" i="6"/>
  <c r="HZ187" i="1"/>
  <c r="DU188" i="1"/>
  <c r="DX187" i="1"/>
  <c r="D187" i="10"/>
  <c r="H299" i="6"/>
  <c r="E302" i="6"/>
  <c r="H300" i="6"/>
  <c r="Q36" i="11"/>
  <c r="DI188" i="1"/>
  <c r="DL187" i="1"/>
  <c r="H187" i="10"/>
  <c r="GO188" i="1" l="1"/>
  <c r="GR187" i="1"/>
  <c r="AC195" i="1"/>
  <c r="AF194" i="1"/>
  <c r="HM187" i="1"/>
  <c r="CZ287" i="6"/>
  <c r="CW288" i="6"/>
  <c r="DX287" i="6"/>
  <c r="DU288" i="6"/>
  <c r="GC188" i="1"/>
  <c r="GF187" i="1"/>
  <c r="DL287" i="6"/>
  <c r="DI288" i="6"/>
  <c r="BY188" i="1"/>
  <c r="CB187" i="1"/>
  <c r="HY187" i="1"/>
  <c r="F187" i="10"/>
  <c r="HA287" i="6"/>
  <c r="HD286" i="6"/>
  <c r="BP188" i="1"/>
  <c r="BM189" i="1"/>
  <c r="HY188" i="1"/>
  <c r="EV287" i="6"/>
  <c r="ES288" i="6"/>
  <c r="EJ286" i="6"/>
  <c r="EG287" i="6"/>
  <c r="GC289" i="6"/>
  <c r="GF288" i="6"/>
  <c r="CK189" i="1"/>
  <c r="CN188" i="1"/>
  <c r="AO303" i="6"/>
  <c r="AR302" i="6"/>
  <c r="ES189" i="1"/>
  <c r="EV188" i="1"/>
  <c r="Q189" i="1"/>
  <c r="T188" i="1"/>
  <c r="EJ187" i="1"/>
  <c r="EG188" i="1"/>
  <c r="HZ188" i="1" s="1"/>
  <c r="CB286" i="6"/>
  <c r="BY287" i="6"/>
  <c r="FT189" i="1"/>
  <c r="FQ190" i="1"/>
  <c r="AR187" i="1"/>
  <c r="AO188" i="1"/>
  <c r="H188" i="10" s="1"/>
  <c r="H188" i="1"/>
  <c r="E189" i="1"/>
  <c r="HX188" i="1"/>
  <c r="Q303" i="6"/>
  <c r="T302" i="6"/>
  <c r="HD187" i="1"/>
  <c r="HA188" i="1"/>
  <c r="IA187" i="1"/>
  <c r="J187" i="10"/>
  <c r="BN306" i="6"/>
  <c r="HN305" i="6"/>
  <c r="F190" i="1"/>
  <c r="HN189" i="1"/>
  <c r="CK287" i="6"/>
  <c r="CN286" i="6"/>
  <c r="HM286" i="6"/>
  <c r="HP286" i="6" s="1"/>
  <c r="FQ287" i="6"/>
  <c r="FT286" i="6"/>
  <c r="HP187" i="1"/>
  <c r="C187" i="10"/>
  <c r="W36" i="11"/>
  <c r="BP300" i="6"/>
  <c r="BP299" i="6"/>
  <c r="BM302" i="6"/>
  <c r="BA190" i="1"/>
  <c r="BD189" i="1"/>
  <c r="GO287" i="6"/>
  <c r="GR286" i="6"/>
  <c r="DU189" i="1"/>
  <c r="DX188" i="1"/>
  <c r="D188" i="10"/>
  <c r="BD302" i="6"/>
  <c r="BA303" i="6"/>
  <c r="CW189" i="1"/>
  <c r="CZ188" i="1"/>
  <c r="E303" i="6"/>
  <c r="H302" i="6"/>
  <c r="FH287" i="6"/>
  <c r="FE288" i="6"/>
  <c r="DL188" i="1"/>
  <c r="DI189" i="1"/>
  <c r="AC304" i="6"/>
  <c r="AF303" i="6"/>
  <c r="FE189" i="1"/>
  <c r="FH188" i="1"/>
  <c r="GO189" i="1" l="1"/>
  <c r="GR188" i="1"/>
  <c r="CZ288" i="6"/>
  <c r="CW289" i="6"/>
  <c r="AF195" i="1"/>
  <c r="AC196" i="1"/>
  <c r="F188" i="10"/>
  <c r="BM190" i="1"/>
  <c r="BP189" i="1"/>
  <c r="DI289" i="6"/>
  <c r="DL288" i="6"/>
  <c r="CB188" i="1"/>
  <c r="BY189" i="1"/>
  <c r="HD287" i="6"/>
  <c r="HA288" i="6"/>
  <c r="GC189" i="1"/>
  <c r="GF188" i="1"/>
  <c r="HM188" i="1"/>
  <c r="HP188" i="1" s="1"/>
  <c r="DU289" i="6"/>
  <c r="DX288" i="6"/>
  <c r="T303" i="6"/>
  <c r="Q304" i="6"/>
  <c r="CK190" i="1"/>
  <c r="CN189" i="1"/>
  <c r="BN307" i="6"/>
  <c r="HN306" i="6"/>
  <c r="H189" i="1"/>
  <c r="E190" i="1"/>
  <c r="FT190" i="1"/>
  <c r="FQ191" i="1"/>
  <c r="T189" i="1"/>
  <c r="Q190" i="1"/>
  <c r="GF289" i="6"/>
  <c r="GC290" i="6"/>
  <c r="CB287" i="6"/>
  <c r="BY288" i="6"/>
  <c r="EJ287" i="6"/>
  <c r="EG288" i="6"/>
  <c r="HD188" i="1"/>
  <c r="HA189" i="1"/>
  <c r="J189" i="10" s="1"/>
  <c r="IA188" i="1"/>
  <c r="AR188" i="1"/>
  <c r="AO189" i="1"/>
  <c r="EV189" i="1"/>
  <c r="ES190" i="1"/>
  <c r="J188" i="10"/>
  <c r="ES289" i="6"/>
  <c r="EV288" i="6"/>
  <c r="EG189" i="1"/>
  <c r="HZ189" i="1" s="1"/>
  <c r="EJ188" i="1"/>
  <c r="AO304" i="6"/>
  <c r="AR303" i="6"/>
  <c r="BD303" i="6"/>
  <c r="BA304" i="6"/>
  <c r="DI190" i="1"/>
  <c r="DL189" i="1"/>
  <c r="FQ288" i="6"/>
  <c r="FT287" i="6"/>
  <c r="CN287" i="6"/>
  <c r="CK288" i="6"/>
  <c r="HM287" i="6"/>
  <c r="HP287" i="6" s="1"/>
  <c r="FE190" i="1"/>
  <c r="FH189" i="1"/>
  <c r="BA191" i="1"/>
  <c r="BD190" i="1"/>
  <c r="BM303" i="6"/>
  <c r="BP302" i="6"/>
  <c r="DX189" i="1"/>
  <c r="DU190" i="1"/>
  <c r="D189" i="10"/>
  <c r="E304" i="6"/>
  <c r="H303" i="6"/>
  <c r="GO288" i="6"/>
  <c r="GR287" i="6"/>
  <c r="FE289" i="6"/>
  <c r="FH288" i="6"/>
  <c r="AC305" i="6"/>
  <c r="AF304" i="6"/>
  <c r="CW190" i="1"/>
  <c r="CZ189" i="1"/>
  <c r="F191" i="1"/>
  <c r="HN190" i="1"/>
  <c r="GO190" i="1" l="1"/>
  <c r="D190" i="10" s="1"/>
  <c r="GR189" i="1"/>
  <c r="HM189" i="1"/>
  <c r="C189" i="10" s="1"/>
  <c r="AF196" i="1"/>
  <c r="AC197" i="1"/>
  <c r="C188" i="10"/>
  <c r="CW290" i="6"/>
  <c r="CZ289" i="6"/>
  <c r="HA289" i="6"/>
  <c r="HD288" i="6"/>
  <c r="CB189" i="1"/>
  <c r="BY190" i="1"/>
  <c r="F189" i="10"/>
  <c r="DU290" i="6"/>
  <c r="DX289" i="6"/>
  <c r="DI290" i="6"/>
  <c r="DL289" i="6"/>
  <c r="HY189" i="1"/>
  <c r="GF189" i="1"/>
  <c r="GC190" i="1"/>
  <c r="BP190" i="1"/>
  <c r="BM191" i="1"/>
  <c r="GF291" i="6"/>
  <c r="GF290" i="6"/>
  <c r="GC293" i="6"/>
  <c r="E191" i="1"/>
  <c r="H190" i="1"/>
  <c r="HA190" i="1"/>
  <c r="J190" i="10" s="1"/>
  <c r="HD189" i="1"/>
  <c r="IA189" i="1"/>
  <c r="T190" i="1"/>
  <c r="Q191" i="1"/>
  <c r="EV289" i="6"/>
  <c r="ES290" i="6"/>
  <c r="BN308" i="6"/>
  <c r="HN307" i="6"/>
  <c r="EJ288" i="6"/>
  <c r="EG289" i="6"/>
  <c r="AO305" i="6"/>
  <c r="AR304" i="6"/>
  <c r="EV190" i="1"/>
  <c r="ES191" i="1"/>
  <c r="FQ194" i="1"/>
  <c r="FT192" i="1"/>
  <c r="FT191" i="1"/>
  <c r="CK191" i="1"/>
  <c r="CN190" i="1"/>
  <c r="CB288" i="6"/>
  <c r="BY289" i="6"/>
  <c r="Q305" i="6"/>
  <c r="T304" i="6"/>
  <c r="EJ189" i="1"/>
  <c r="EG190" i="1"/>
  <c r="HZ190" i="1" s="1"/>
  <c r="AO190" i="1"/>
  <c r="H190" i="10" s="1"/>
  <c r="H189" i="10"/>
  <c r="AR189" i="1"/>
  <c r="HX189" i="1"/>
  <c r="BA305" i="6"/>
  <c r="BD304" i="6"/>
  <c r="BA194" i="1"/>
  <c r="BD191" i="1"/>
  <c r="BD192" i="1"/>
  <c r="FH190" i="1"/>
  <c r="FE191" i="1"/>
  <c r="FE290" i="6"/>
  <c r="FH289" i="6"/>
  <c r="DX190" i="1"/>
  <c r="DU191" i="1"/>
  <c r="CW191" i="1"/>
  <c r="CZ190" i="1"/>
  <c r="HY190" i="1"/>
  <c r="CK289" i="6"/>
  <c r="CN288" i="6"/>
  <c r="HM288" i="6"/>
  <c r="HP288" i="6" s="1"/>
  <c r="DL190" i="1"/>
  <c r="DI191" i="1"/>
  <c r="H304" i="6"/>
  <c r="E305" i="6"/>
  <c r="AC306" i="6"/>
  <c r="AF305" i="6"/>
  <c r="FT288" i="6"/>
  <c r="FQ289" i="6"/>
  <c r="BP303" i="6"/>
  <c r="BM304" i="6"/>
  <c r="GR288" i="6"/>
  <c r="GO289" i="6"/>
  <c r="F194" i="1"/>
  <c r="HN191" i="1"/>
  <c r="HP189" i="1" l="1"/>
  <c r="GR190" i="1"/>
  <c r="GO191" i="1"/>
  <c r="CZ291" i="6"/>
  <c r="CW293" i="6"/>
  <c r="CZ290" i="6"/>
  <c r="AF197" i="1"/>
  <c r="AC198" i="1"/>
  <c r="DI293" i="6"/>
  <c r="DL291" i="6"/>
  <c r="DL290" i="6"/>
  <c r="BP192" i="1"/>
  <c r="BP191" i="1"/>
  <c r="BM194" i="1"/>
  <c r="DX290" i="6"/>
  <c r="DU293" i="6"/>
  <c r="DX291" i="6"/>
  <c r="HM190" i="1"/>
  <c r="HP190" i="1" s="1"/>
  <c r="GC191" i="1"/>
  <c r="GF190" i="1"/>
  <c r="BY191" i="1"/>
  <c r="CB190" i="1"/>
  <c r="HA290" i="6"/>
  <c r="HD289" i="6"/>
  <c r="EV290" i="6"/>
  <c r="ES293" i="6"/>
  <c r="EV291" i="6"/>
  <c r="HX190" i="1"/>
  <c r="AR190" i="1"/>
  <c r="AO191" i="1"/>
  <c r="HX192" i="1" s="1"/>
  <c r="AO306" i="6"/>
  <c r="AR305" i="6"/>
  <c r="H191" i="1"/>
  <c r="E194" i="1"/>
  <c r="H192" i="1"/>
  <c r="EG191" i="1"/>
  <c r="EJ190" i="1"/>
  <c r="CN192" i="1"/>
  <c r="CN191" i="1"/>
  <c r="CK194" i="1"/>
  <c r="Q194" i="1"/>
  <c r="T192" i="1"/>
  <c r="T191" i="1"/>
  <c r="GF293" i="6"/>
  <c r="GC294" i="6"/>
  <c r="EG290" i="6"/>
  <c r="EJ289" i="6"/>
  <c r="F190" i="10"/>
  <c r="Q306" i="6"/>
  <c r="T305" i="6"/>
  <c r="FQ195" i="1"/>
  <c r="FT194" i="1"/>
  <c r="BY290" i="6"/>
  <c r="CB289" i="6"/>
  <c r="EV191" i="1"/>
  <c r="ES194" i="1"/>
  <c r="EV192" i="1"/>
  <c r="BN311" i="6"/>
  <c r="HN308" i="6"/>
  <c r="HL319" i="6" s="1"/>
  <c r="HD190" i="1"/>
  <c r="HA191" i="1"/>
  <c r="J191" i="10" s="1"/>
  <c r="IA190" i="1"/>
  <c r="FH291" i="6"/>
  <c r="FE293" i="6"/>
  <c r="FH290" i="6"/>
  <c r="FH192" i="1"/>
  <c r="FH191" i="1"/>
  <c r="FE194" i="1"/>
  <c r="BD305" i="6"/>
  <c r="BA306" i="6"/>
  <c r="FQ290" i="6"/>
  <c r="FT289" i="6"/>
  <c r="H305" i="6"/>
  <c r="E306" i="6"/>
  <c r="CK290" i="6"/>
  <c r="CN289" i="6"/>
  <c r="HM289" i="6"/>
  <c r="HP289" i="6" s="1"/>
  <c r="CW194" i="1"/>
  <c r="CZ191" i="1"/>
  <c r="CZ192" i="1"/>
  <c r="BP304" i="6"/>
  <c r="BM305" i="6"/>
  <c r="DL191" i="1"/>
  <c r="DL192" i="1"/>
  <c r="DI194" i="1"/>
  <c r="BD194" i="1"/>
  <c r="BA195" i="1"/>
  <c r="F195" i="1"/>
  <c r="HN194" i="1"/>
  <c r="HL202" i="1" s="1"/>
  <c r="DX191" i="1"/>
  <c r="DX192" i="1"/>
  <c r="DU194" i="1"/>
  <c r="HZ191" i="1"/>
  <c r="HZ192" i="1"/>
  <c r="D191" i="10"/>
  <c r="F24" i="11"/>
  <c r="AF306" i="6"/>
  <c r="AC307" i="6"/>
  <c r="GO290" i="6"/>
  <c r="GR289" i="6"/>
  <c r="L24" i="11"/>
  <c r="HM191" i="1" l="1"/>
  <c r="C191" i="10" s="1"/>
  <c r="J24" i="11"/>
  <c r="IH202" i="1"/>
  <c r="IH200" i="1" s="1"/>
  <c r="GR191" i="1"/>
  <c r="GO194" i="1"/>
  <c r="GR192" i="1"/>
  <c r="AC199" i="1"/>
  <c r="AF198" i="1"/>
  <c r="C190" i="10"/>
  <c r="H24" i="11"/>
  <c r="CW294" i="6"/>
  <c r="CZ293" i="6"/>
  <c r="DU294" i="6"/>
  <c r="DX293" i="6"/>
  <c r="BP194" i="1"/>
  <c r="BM195" i="1"/>
  <c r="CB191" i="1"/>
  <c r="HY191" i="1"/>
  <c r="IG202" i="1"/>
  <c r="IG200" i="1" s="1"/>
  <c r="HY192" i="1"/>
  <c r="BY194" i="1"/>
  <c r="CB192" i="1"/>
  <c r="GF192" i="1"/>
  <c r="GF191" i="1"/>
  <c r="GC194" i="1"/>
  <c r="HA293" i="6"/>
  <c r="HD291" i="6"/>
  <c r="HD290" i="6"/>
  <c r="DL293" i="6"/>
  <c r="DI294" i="6"/>
  <c r="BN312" i="6"/>
  <c r="HN311" i="6"/>
  <c r="AO307" i="6"/>
  <c r="AR306" i="6"/>
  <c r="FQ196" i="1"/>
  <c r="FT195" i="1"/>
  <c r="HX191" i="1"/>
  <c r="H191" i="10"/>
  <c r="IF202" i="1"/>
  <c r="IF200" i="1" s="1"/>
  <c r="AR191" i="1"/>
  <c r="AO194" i="1"/>
  <c r="HX194" i="1" s="1"/>
  <c r="AR192" i="1"/>
  <c r="ES195" i="1"/>
  <c r="EV194" i="1"/>
  <c r="EJ191" i="1"/>
  <c r="EG194" i="1"/>
  <c r="EJ192" i="1"/>
  <c r="Q307" i="6"/>
  <c r="T306" i="6"/>
  <c r="T194" i="1"/>
  <c r="Q195" i="1"/>
  <c r="HD191" i="1"/>
  <c r="HA194" i="1"/>
  <c r="HD192" i="1"/>
  <c r="IA191" i="1"/>
  <c r="II202" i="1"/>
  <c r="II200" i="1" s="1"/>
  <c r="IA192" i="1"/>
  <c r="CB291" i="6"/>
  <c r="BY293" i="6"/>
  <c r="CB290" i="6"/>
  <c r="F191" i="10"/>
  <c r="E195" i="1"/>
  <c r="H194" i="1"/>
  <c r="EV293" i="6"/>
  <c r="ES294" i="6"/>
  <c r="EJ290" i="6"/>
  <c r="EJ291" i="6"/>
  <c r="EG293" i="6"/>
  <c r="CK195" i="1"/>
  <c r="CN194" i="1"/>
  <c r="GF294" i="6"/>
  <c r="GC295" i="6"/>
  <c r="FQ293" i="6"/>
  <c r="FT290" i="6"/>
  <c r="FT291" i="6"/>
  <c r="FE294" i="6"/>
  <c r="FH293" i="6"/>
  <c r="BP305" i="6"/>
  <c r="BM306" i="6"/>
  <c r="CK293" i="6"/>
  <c r="CN291" i="6"/>
  <c r="CN290" i="6"/>
  <c r="HM290" i="6"/>
  <c r="BA196" i="1"/>
  <c r="BD195" i="1"/>
  <c r="BA307" i="6"/>
  <c r="BD306" i="6"/>
  <c r="E307" i="6"/>
  <c r="H306" i="6"/>
  <c r="FH194" i="1"/>
  <c r="FE195" i="1"/>
  <c r="AF307" i="6"/>
  <c r="AC308" i="6"/>
  <c r="F196" i="1"/>
  <c r="HN195" i="1"/>
  <c r="GO293" i="6"/>
  <c r="GR290" i="6"/>
  <c r="GR291" i="6"/>
  <c r="DI195" i="1"/>
  <c r="DL194" i="1"/>
  <c r="CW195" i="1"/>
  <c r="CZ194" i="1"/>
  <c r="HP191" i="1"/>
  <c r="DU195" i="1"/>
  <c r="DX194" i="1"/>
  <c r="D194" i="10"/>
  <c r="HP192" i="1" l="1"/>
  <c r="GR194" i="1"/>
  <c r="GO195" i="1"/>
  <c r="HM194" i="1"/>
  <c r="CW295" i="6"/>
  <c r="CZ294" i="6"/>
  <c r="AC200" i="1"/>
  <c r="AF199" i="1"/>
  <c r="GF194" i="1"/>
  <c r="GC195" i="1"/>
  <c r="HA294" i="6"/>
  <c r="HD293" i="6"/>
  <c r="BP195" i="1"/>
  <c r="BM196" i="1"/>
  <c r="DL294" i="6"/>
  <c r="DI295" i="6"/>
  <c r="BY195" i="1"/>
  <c r="HY195" i="1" s="1"/>
  <c r="CB194" i="1"/>
  <c r="HY194" i="1"/>
  <c r="DU295" i="6"/>
  <c r="DX294" i="6"/>
  <c r="EG294" i="6"/>
  <c r="EJ293" i="6"/>
  <c r="HA195" i="1"/>
  <c r="J195" i="10" s="1"/>
  <c r="HD194" i="1"/>
  <c r="IA194" i="1"/>
  <c r="J194" i="10"/>
  <c r="EJ194" i="1"/>
  <c r="EG195" i="1"/>
  <c r="F194" i="10"/>
  <c r="GC296" i="6"/>
  <c r="GF295" i="6"/>
  <c r="CB293" i="6"/>
  <c r="BY294" i="6"/>
  <c r="Q196" i="1"/>
  <c r="T195" i="1"/>
  <c r="ES196" i="1"/>
  <c r="EV195" i="1"/>
  <c r="FT196" i="1"/>
  <c r="FQ197" i="1"/>
  <c r="ES295" i="6"/>
  <c r="EV294" i="6"/>
  <c r="CN195" i="1"/>
  <c r="CK196" i="1"/>
  <c r="HZ194" i="1"/>
  <c r="H194" i="10"/>
  <c r="AO195" i="1"/>
  <c r="AR194" i="1"/>
  <c r="AO308" i="6"/>
  <c r="AR307" i="6"/>
  <c r="Q308" i="6"/>
  <c r="T307" i="6"/>
  <c r="E196" i="1"/>
  <c r="H195" i="1"/>
  <c r="HX195" i="1"/>
  <c r="BN313" i="6"/>
  <c r="HN312" i="6"/>
  <c r="CK294" i="6"/>
  <c r="CN293" i="6"/>
  <c r="HM293" i="6"/>
  <c r="HP293" i="6" s="1"/>
  <c r="DU196" i="1"/>
  <c r="DX195" i="1"/>
  <c r="D195" i="10"/>
  <c r="BD307" i="6"/>
  <c r="BA308" i="6"/>
  <c r="BA197" i="1"/>
  <c r="BD196" i="1"/>
  <c r="BM307" i="6"/>
  <c r="BP306" i="6"/>
  <c r="FE196" i="1"/>
  <c r="FH195" i="1"/>
  <c r="E308" i="6"/>
  <c r="H307" i="6"/>
  <c r="C194" i="10"/>
  <c r="HP194" i="1"/>
  <c r="HK202" i="1"/>
  <c r="GR293" i="6"/>
  <c r="GO294" i="6"/>
  <c r="F197" i="1"/>
  <c r="HN196" i="1"/>
  <c r="FE295" i="6"/>
  <c r="FH294" i="6"/>
  <c r="AC311" i="6"/>
  <c r="AF308" i="6"/>
  <c r="AF309" i="6"/>
  <c r="HP291" i="6"/>
  <c r="HP290" i="6"/>
  <c r="HK301" i="6"/>
  <c r="FT293" i="6"/>
  <c r="FQ294" i="6"/>
  <c r="CW196" i="1"/>
  <c r="CZ195" i="1"/>
  <c r="DL195" i="1"/>
  <c r="DI196" i="1"/>
  <c r="GR195" i="1" l="1"/>
  <c r="GO196" i="1"/>
  <c r="D196" i="10" s="1"/>
  <c r="HM195" i="1"/>
  <c r="HP195" i="1" s="1"/>
  <c r="H195" i="10"/>
  <c r="AF201" i="1"/>
  <c r="AF200" i="1"/>
  <c r="AC203" i="1"/>
  <c r="CZ295" i="6"/>
  <c r="CW296" i="6"/>
  <c r="BP196" i="1"/>
  <c r="BM197" i="1"/>
  <c r="DX295" i="6"/>
  <c r="DU296" i="6"/>
  <c r="HD294" i="6"/>
  <c r="HA295" i="6"/>
  <c r="BY196" i="1"/>
  <c r="CB195" i="1"/>
  <c r="GC196" i="1"/>
  <c r="GF195" i="1"/>
  <c r="DI296" i="6"/>
  <c r="DL295" i="6"/>
  <c r="BN314" i="6"/>
  <c r="HN313" i="6"/>
  <c r="EG196" i="1"/>
  <c r="HZ196" i="1" s="1"/>
  <c r="EJ195" i="1"/>
  <c r="F195" i="10"/>
  <c r="AO311" i="6"/>
  <c r="AR308" i="6"/>
  <c r="AR309" i="6"/>
  <c r="EV295" i="6"/>
  <c r="ES296" i="6"/>
  <c r="T196" i="1"/>
  <c r="Q197" i="1"/>
  <c r="H196" i="1"/>
  <c r="E197" i="1"/>
  <c r="BY295" i="6"/>
  <c r="CB294" i="6"/>
  <c r="AO196" i="1"/>
  <c r="AR195" i="1"/>
  <c r="FT197" i="1"/>
  <c r="FQ198" i="1"/>
  <c r="HZ195" i="1"/>
  <c r="Q311" i="6"/>
  <c r="T309" i="6"/>
  <c r="T308" i="6"/>
  <c r="S37" i="11"/>
  <c r="HD195" i="1"/>
  <c r="HA196" i="1"/>
  <c r="IA195" i="1"/>
  <c r="GC297" i="6"/>
  <c r="GF296" i="6"/>
  <c r="CK197" i="1"/>
  <c r="CN196" i="1"/>
  <c r="ES197" i="1"/>
  <c r="EV196" i="1"/>
  <c r="EJ294" i="6"/>
  <c r="EG295" i="6"/>
  <c r="BD309" i="6"/>
  <c r="BD308" i="6"/>
  <c r="BA311" i="6"/>
  <c r="U37" i="11"/>
  <c r="AF311" i="6"/>
  <c r="AC312" i="6"/>
  <c r="FH295" i="6"/>
  <c r="FE296" i="6"/>
  <c r="FQ295" i="6"/>
  <c r="FT294" i="6"/>
  <c r="F198" i="1"/>
  <c r="HN197" i="1"/>
  <c r="H308" i="6"/>
  <c r="H309" i="6"/>
  <c r="E311" i="6"/>
  <c r="Q37" i="11"/>
  <c r="GO295" i="6"/>
  <c r="GR294" i="6"/>
  <c r="BP307" i="6"/>
  <c r="BM308" i="6"/>
  <c r="CW197" i="1"/>
  <c r="CZ196" i="1"/>
  <c r="DX196" i="1"/>
  <c r="DU197" i="1"/>
  <c r="CN294" i="6"/>
  <c r="CK295" i="6"/>
  <c r="HM294" i="6"/>
  <c r="HP294" i="6" s="1"/>
  <c r="DL196" i="1"/>
  <c r="DI197" i="1"/>
  <c r="FH196" i="1"/>
  <c r="FE197" i="1"/>
  <c r="BA198" i="1"/>
  <c r="BD197" i="1"/>
  <c r="GR196" i="1" l="1"/>
  <c r="GO197" i="1"/>
  <c r="C195" i="10"/>
  <c r="CW297" i="6"/>
  <c r="CZ296" i="6"/>
  <c r="HM196" i="1"/>
  <c r="C196" i="10" s="1"/>
  <c r="F196" i="10"/>
  <c r="AC204" i="1"/>
  <c r="AF203" i="1"/>
  <c r="BY197" i="1"/>
  <c r="HY197" i="1" s="1"/>
  <c r="CB196" i="1"/>
  <c r="HD295" i="6"/>
  <c r="HA296" i="6"/>
  <c r="DU297" i="6"/>
  <c r="DX296" i="6"/>
  <c r="DI297" i="6"/>
  <c r="DL296" i="6"/>
  <c r="HY196" i="1"/>
  <c r="BP197" i="1"/>
  <c r="BM198" i="1"/>
  <c r="GC197" i="1"/>
  <c r="GF196" i="1"/>
  <c r="Q312" i="6"/>
  <c r="T311" i="6"/>
  <c r="BY296" i="6"/>
  <c r="CB295" i="6"/>
  <c r="GF297" i="6"/>
  <c r="GC298" i="6"/>
  <c r="H197" i="1"/>
  <c r="E198" i="1"/>
  <c r="ES198" i="1"/>
  <c r="EV197" i="1"/>
  <c r="FT198" i="1"/>
  <c r="FQ199" i="1"/>
  <c r="AO312" i="6"/>
  <c r="AR311" i="6"/>
  <c r="HD196" i="1"/>
  <c r="HA197" i="1"/>
  <c r="IA196" i="1"/>
  <c r="Q198" i="1"/>
  <c r="T197" i="1"/>
  <c r="CN197" i="1"/>
  <c r="CK198" i="1"/>
  <c r="HX196" i="1"/>
  <c r="AR196" i="1"/>
  <c r="AO197" i="1"/>
  <c r="EJ196" i="1"/>
  <c r="EG197" i="1"/>
  <c r="HZ197" i="1" s="1"/>
  <c r="J196" i="10"/>
  <c r="EV296" i="6"/>
  <c r="ES297" i="6"/>
  <c r="EJ295" i="6"/>
  <c r="EG296" i="6"/>
  <c r="H196" i="10"/>
  <c r="BN315" i="6"/>
  <c r="HN314" i="6"/>
  <c r="CW198" i="1"/>
  <c r="CZ197" i="1"/>
  <c r="BP309" i="6"/>
  <c r="BM311" i="6"/>
  <c r="BP308" i="6"/>
  <c r="W37" i="11"/>
  <c r="H311" i="6"/>
  <c r="E312" i="6"/>
  <c r="BA312" i="6"/>
  <c r="BD311" i="6"/>
  <c r="FE297" i="6"/>
  <c r="FH296" i="6"/>
  <c r="GO296" i="6"/>
  <c r="GR295" i="6"/>
  <c r="DU198" i="1"/>
  <c r="DX197" i="1"/>
  <c r="D197" i="10"/>
  <c r="FQ296" i="6"/>
  <c r="FT295" i="6"/>
  <c r="AC313" i="6"/>
  <c r="AF312" i="6"/>
  <c r="BA199" i="1"/>
  <c r="BD198" i="1"/>
  <c r="HN198" i="1"/>
  <c r="CN295" i="6"/>
  <c r="CK296" i="6"/>
  <c r="HM295" i="6"/>
  <c r="HP295" i="6" s="1"/>
  <c r="FH197" i="1"/>
  <c r="FE198" i="1"/>
  <c r="DL197" i="1"/>
  <c r="DI198" i="1"/>
  <c r="HP196" i="1"/>
  <c r="GR197" i="1" l="1"/>
  <c r="GO198" i="1"/>
  <c r="D198" i="10" s="1"/>
  <c r="AC205" i="1"/>
  <c r="AF204" i="1"/>
  <c r="CZ297" i="6"/>
  <c r="CW298" i="6"/>
  <c r="HM197" i="1"/>
  <c r="C197" i="10" s="1"/>
  <c r="DX297" i="6"/>
  <c r="DU298" i="6"/>
  <c r="DI298" i="6"/>
  <c r="DL297" i="6"/>
  <c r="GF197" i="1"/>
  <c r="GC198" i="1"/>
  <c r="HA297" i="6"/>
  <c r="HD296" i="6"/>
  <c r="BM199" i="1"/>
  <c r="BP198" i="1"/>
  <c r="H197" i="10"/>
  <c r="CB197" i="1"/>
  <c r="BY198" i="1"/>
  <c r="EG198" i="1"/>
  <c r="EJ197" i="1"/>
  <c r="F197" i="10"/>
  <c r="CN198" i="1"/>
  <c r="CK199" i="1"/>
  <c r="AR312" i="6"/>
  <c r="AO313" i="6"/>
  <c r="GF298" i="6"/>
  <c r="GC299" i="6"/>
  <c r="BN316" i="6"/>
  <c r="HN315" i="6"/>
  <c r="FQ200" i="1"/>
  <c r="FT199" i="1"/>
  <c r="AR197" i="1"/>
  <c r="AO198" i="1"/>
  <c r="EG297" i="6"/>
  <c r="EJ296" i="6"/>
  <c r="Q199" i="1"/>
  <c r="T198" i="1"/>
  <c r="CB296" i="6"/>
  <c r="BY297" i="6"/>
  <c r="ES199" i="1"/>
  <c r="EV198" i="1"/>
  <c r="EV297" i="6"/>
  <c r="ES298" i="6"/>
  <c r="HD197" i="1"/>
  <c r="HA198" i="1"/>
  <c r="J198" i="10" s="1"/>
  <c r="IA197" i="1"/>
  <c r="H198" i="1"/>
  <c r="E199" i="1"/>
  <c r="T312" i="6"/>
  <c r="Q313" i="6"/>
  <c r="HX197" i="1"/>
  <c r="J197" i="10"/>
  <c r="AF313" i="6"/>
  <c r="AC314" i="6"/>
  <c r="DU199" i="1"/>
  <c r="DX198" i="1"/>
  <c r="HZ198" i="1"/>
  <c r="BD199" i="1"/>
  <c r="BA200" i="1"/>
  <c r="FT296" i="6"/>
  <c r="FQ297" i="6"/>
  <c r="DI199" i="1"/>
  <c r="DL198" i="1"/>
  <c r="BA313" i="6"/>
  <c r="BD312" i="6"/>
  <c r="BM312" i="6"/>
  <c r="BP311" i="6"/>
  <c r="GR296" i="6"/>
  <c r="GO297" i="6"/>
  <c r="CK297" i="6"/>
  <c r="CN296" i="6"/>
  <c r="HM296" i="6"/>
  <c r="HP296" i="6" s="1"/>
  <c r="E313" i="6"/>
  <c r="H312" i="6"/>
  <c r="FE199" i="1"/>
  <c r="FH198" i="1"/>
  <c r="F200" i="1"/>
  <c r="HN199" i="1"/>
  <c r="FE298" i="6"/>
  <c r="FH297" i="6"/>
  <c r="CZ198" i="1"/>
  <c r="CW199" i="1"/>
  <c r="HP197" i="1" l="1"/>
  <c r="F198" i="10"/>
  <c r="GR198" i="1"/>
  <c r="GO199" i="1"/>
  <c r="CW299" i="6"/>
  <c r="CZ298" i="6"/>
  <c r="AC206" i="1"/>
  <c r="AF205" i="1"/>
  <c r="GF198" i="1"/>
  <c r="GC199" i="1"/>
  <c r="HA298" i="6"/>
  <c r="HD297" i="6"/>
  <c r="BY199" i="1"/>
  <c r="HY199" i="1" s="1"/>
  <c r="CB198" i="1"/>
  <c r="DL298" i="6"/>
  <c r="DI299" i="6"/>
  <c r="BM200" i="1"/>
  <c r="BP199" i="1"/>
  <c r="DU299" i="6"/>
  <c r="DX298" i="6"/>
  <c r="HY198" i="1"/>
  <c r="EJ297" i="6"/>
  <c r="EG298" i="6"/>
  <c r="EV199" i="1"/>
  <c r="ES200" i="1"/>
  <c r="HX198" i="1"/>
  <c r="H198" i="10"/>
  <c r="AR198" i="1"/>
  <c r="AO199" i="1"/>
  <c r="HM198" i="1"/>
  <c r="AO314" i="6"/>
  <c r="AR313" i="6"/>
  <c r="HD198" i="1"/>
  <c r="HA199" i="1"/>
  <c r="J199" i="10" s="1"/>
  <c r="IA198" i="1"/>
  <c r="BY298" i="6"/>
  <c r="CB297" i="6"/>
  <c r="CN199" i="1"/>
  <c r="CK200" i="1"/>
  <c r="FQ203" i="1"/>
  <c r="FT200" i="1"/>
  <c r="FT201" i="1"/>
  <c r="Q314" i="6"/>
  <c r="T313" i="6"/>
  <c r="Q200" i="1"/>
  <c r="T199" i="1"/>
  <c r="EV298" i="6"/>
  <c r="ES299" i="6"/>
  <c r="BN317" i="6"/>
  <c r="HN316" i="6"/>
  <c r="E200" i="1"/>
  <c r="H199" i="1"/>
  <c r="GF299" i="6"/>
  <c r="GF300" i="6"/>
  <c r="GC302" i="6"/>
  <c r="EJ198" i="1"/>
  <c r="EG199" i="1"/>
  <c r="HZ199" i="1" s="1"/>
  <c r="FH298" i="6"/>
  <c r="FE299" i="6"/>
  <c r="CK298" i="6"/>
  <c r="CN297" i="6"/>
  <c r="HM297" i="6"/>
  <c r="HP297" i="6" s="1"/>
  <c r="FT297" i="6"/>
  <c r="FQ298" i="6"/>
  <c r="DU200" i="1"/>
  <c r="DX199" i="1"/>
  <c r="D199" i="10"/>
  <c r="FH199" i="1"/>
  <c r="FE200" i="1"/>
  <c r="AC315" i="6"/>
  <c r="AF314" i="6"/>
  <c r="BP312" i="6"/>
  <c r="BM313" i="6"/>
  <c r="GO298" i="6"/>
  <c r="GR297" i="6"/>
  <c r="BD313" i="6"/>
  <c r="BA314" i="6"/>
  <c r="BD200" i="1"/>
  <c r="BA203" i="1"/>
  <c r="BD201" i="1"/>
  <c r="CW200" i="1"/>
  <c r="CZ199" i="1"/>
  <c r="DL199" i="1"/>
  <c r="DI200" i="1"/>
  <c r="F203" i="1"/>
  <c r="HN200" i="1"/>
  <c r="H313" i="6"/>
  <c r="E314" i="6"/>
  <c r="GO200" i="1" l="1"/>
  <c r="GR199" i="1"/>
  <c r="AF206" i="1"/>
  <c r="AC207" i="1"/>
  <c r="CW302" i="6"/>
  <c r="CZ299" i="6"/>
  <c r="CZ300" i="6"/>
  <c r="HM199" i="1"/>
  <c r="C199" i="10" s="1"/>
  <c r="BY200" i="1"/>
  <c r="HY200" i="1" s="1"/>
  <c r="CB199" i="1"/>
  <c r="HD298" i="6"/>
  <c r="HA299" i="6"/>
  <c r="DU302" i="6"/>
  <c r="DX300" i="6"/>
  <c r="DX299" i="6"/>
  <c r="GC200" i="1"/>
  <c r="GF199" i="1"/>
  <c r="DL299" i="6"/>
  <c r="DL300" i="6"/>
  <c r="DI302" i="6"/>
  <c r="BM203" i="1"/>
  <c r="BP200" i="1"/>
  <c r="BP201" i="1"/>
  <c r="BN320" i="6"/>
  <c r="HN317" i="6"/>
  <c r="HL328" i="6" s="1"/>
  <c r="GC303" i="6"/>
  <c r="GF302" i="6"/>
  <c r="EV299" i="6"/>
  <c r="ES302" i="6"/>
  <c r="EV300" i="6"/>
  <c r="CB298" i="6"/>
  <c r="BY299" i="6"/>
  <c r="AR199" i="1"/>
  <c r="AO200" i="1"/>
  <c r="FQ204" i="1"/>
  <c r="FT203" i="1"/>
  <c r="HD199" i="1"/>
  <c r="HA200" i="1"/>
  <c r="J200" i="10" s="1"/>
  <c r="IA199" i="1"/>
  <c r="HX199" i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AO315" i="6"/>
  <c r="AR314" i="6"/>
  <c r="EJ298" i="6"/>
  <c r="EG299" i="6"/>
  <c r="EJ199" i="1"/>
  <c r="EG200" i="1"/>
  <c r="HZ201" i="1" s="1"/>
  <c r="F199" i="10"/>
  <c r="Q315" i="6"/>
  <c r="T314" i="6"/>
  <c r="HP198" i="1"/>
  <c r="C198" i="10"/>
  <c r="CW203" i="1"/>
  <c r="CZ201" i="1"/>
  <c r="CZ200" i="1"/>
  <c r="AC316" i="6"/>
  <c r="AF315" i="6"/>
  <c r="BP313" i="6"/>
  <c r="BM314" i="6"/>
  <c r="BD314" i="6"/>
  <c r="BA315" i="6"/>
  <c r="DX200" i="1"/>
  <c r="DU203" i="1"/>
  <c r="DX201" i="1"/>
  <c r="F25" i="11"/>
  <c r="D200" i="10"/>
  <c r="DI203" i="1"/>
  <c r="DL200" i="1"/>
  <c r="DL201" i="1"/>
  <c r="BA204" i="1"/>
  <c r="BD203" i="1"/>
  <c r="H200" i="10"/>
  <c r="FQ299" i="6"/>
  <c r="FT298" i="6"/>
  <c r="F204" i="1"/>
  <c r="HN203" i="1"/>
  <c r="HL211" i="1" s="1"/>
  <c r="E315" i="6"/>
  <c r="H314" i="6"/>
  <c r="J25" i="11"/>
  <c r="FE302" i="6"/>
  <c r="FH299" i="6"/>
  <c r="FH300" i="6"/>
  <c r="GO299" i="6"/>
  <c r="GR298" i="6"/>
  <c r="FE203" i="1"/>
  <c r="FH200" i="1"/>
  <c r="FH201" i="1"/>
  <c r="CN298" i="6"/>
  <c r="CK299" i="6"/>
  <c r="HM298" i="6"/>
  <c r="HP298" i="6" s="1"/>
  <c r="GR201" i="1" l="1"/>
  <c r="GO203" i="1"/>
  <c r="GR200" i="1"/>
  <c r="IG211" i="1"/>
  <c r="IG209" i="1" s="1"/>
  <c r="HY201" i="1"/>
  <c r="CW303" i="6"/>
  <c r="CZ302" i="6"/>
  <c r="AC208" i="1"/>
  <c r="AF207" i="1"/>
  <c r="HP199" i="1"/>
  <c r="L25" i="11"/>
  <c r="F200" i="10"/>
  <c r="BM204" i="1"/>
  <c r="BP203" i="1"/>
  <c r="DU303" i="6"/>
  <c r="DX302" i="6"/>
  <c r="IH211" i="1"/>
  <c r="IH209" i="1" s="1"/>
  <c r="DL302" i="6"/>
  <c r="DI303" i="6"/>
  <c r="HD299" i="6"/>
  <c r="HD300" i="6"/>
  <c r="HA302" i="6"/>
  <c r="HZ200" i="1"/>
  <c r="GF200" i="1"/>
  <c r="GC203" i="1"/>
  <c r="GF201" i="1"/>
  <c r="CB201" i="1"/>
  <c r="CB200" i="1"/>
  <c r="BY203" i="1"/>
  <c r="H203" i="1"/>
  <c r="E204" i="1"/>
  <c r="HD200" i="1"/>
  <c r="HD201" i="1"/>
  <c r="HA203" i="1"/>
  <c r="J203" i="10" s="1"/>
  <c r="IA201" i="1"/>
  <c r="IA200" i="1"/>
  <c r="II211" i="1"/>
  <c r="II209" i="1" s="1"/>
  <c r="AR315" i="6"/>
  <c r="AO316" i="6"/>
  <c r="HM200" i="1"/>
  <c r="Q204" i="1"/>
  <c r="T203" i="1"/>
  <c r="ES303" i="6"/>
  <c r="EV302" i="6"/>
  <c r="T315" i="6"/>
  <c r="Q316" i="6"/>
  <c r="CK204" i="1"/>
  <c r="CN203" i="1"/>
  <c r="FQ205" i="1"/>
  <c r="FT204" i="1"/>
  <c r="EG203" i="1"/>
  <c r="HZ203" i="1" s="1"/>
  <c r="EJ200" i="1"/>
  <c r="EJ201" i="1"/>
  <c r="EV203" i="1"/>
  <c r="ES204" i="1"/>
  <c r="H25" i="11"/>
  <c r="HX201" i="1"/>
  <c r="IF211" i="1"/>
  <c r="IF209" i="1" s="1"/>
  <c r="AR201" i="1"/>
  <c r="HX200" i="1"/>
  <c r="AR200" i="1"/>
  <c r="AO203" i="1"/>
  <c r="GC304" i="6"/>
  <c r="GF303" i="6"/>
  <c r="EJ299" i="6"/>
  <c r="EJ300" i="6"/>
  <c r="EG302" i="6"/>
  <c r="BY302" i="6"/>
  <c r="CB299" i="6"/>
  <c r="CB300" i="6"/>
  <c r="BN321" i="6"/>
  <c r="HN320" i="6"/>
  <c r="H315" i="6"/>
  <c r="E316" i="6"/>
  <c r="FQ302" i="6"/>
  <c r="FT299" i="6"/>
  <c r="FT300" i="6"/>
  <c r="FE303" i="6"/>
  <c r="FH302" i="6"/>
  <c r="BD315" i="6"/>
  <c r="BA316" i="6"/>
  <c r="BM315" i="6"/>
  <c r="BP314" i="6"/>
  <c r="AC317" i="6"/>
  <c r="AF316" i="6"/>
  <c r="CW204" i="1"/>
  <c r="CZ203" i="1"/>
  <c r="CK302" i="6"/>
  <c r="CN299" i="6"/>
  <c r="CN300" i="6"/>
  <c r="HM299" i="6"/>
  <c r="GR299" i="6"/>
  <c r="GR300" i="6"/>
  <c r="GO302" i="6"/>
  <c r="BD204" i="1"/>
  <c r="BA205" i="1"/>
  <c r="DX203" i="1"/>
  <c r="DU204" i="1"/>
  <c r="D203" i="10"/>
  <c r="F205" i="1"/>
  <c r="HN204" i="1"/>
  <c r="FE204" i="1"/>
  <c r="FH203" i="1"/>
  <c r="DL203" i="1"/>
  <c r="DI204" i="1"/>
  <c r="GR203" i="1" l="1"/>
  <c r="GO204" i="1"/>
  <c r="D204" i="10" s="1"/>
  <c r="AF208" i="1"/>
  <c r="AC209" i="1"/>
  <c r="CZ303" i="6"/>
  <c r="CW304" i="6"/>
  <c r="HM203" i="1"/>
  <c r="HK211" i="1" s="1"/>
  <c r="F203" i="10"/>
  <c r="DX303" i="6"/>
  <c r="DU304" i="6"/>
  <c r="HA303" i="6"/>
  <c r="HD302" i="6"/>
  <c r="CB203" i="1"/>
  <c r="HY203" i="1"/>
  <c r="BY204" i="1"/>
  <c r="BM205" i="1"/>
  <c r="BP204" i="1"/>
  <c r="GC204" i="1"/>
  <c r="GF203" i="1"/>
  <c r="DL303" i="6"/>
  <c r="DI304" i="6"/>
  <c r="BN322" i="6"/>
  <c r="HN321" i="6"/>
  <c r="FQ206" i="1"/>
  <c r="FT205" i="1"/>
  <c r="HD203" i="1"/>
  <c r="HA204" i="1"/>
  <c r="IA203" i="1"/>
  <c r="GC305" i="6"/>
  <c r="GF304" i="6"/>
  <c r="ES205" i="1"/>
  <c r="EV204" i="1"/>
  <c r="Q205" i="1"/>
  <c r="T204" i="1"/>
  <c r="CB302" i="6"/>
  <c r="BY303" i="6"/>
  <c r="AO204" i="1"/>
  <c r="HX203" i="1"/>
  <c r="AR203" i="1"/>
  <c r="H203" i="10"/>
  <c r="CN204" i="1"/>
  <c r="CK205" i="1"/>
  <c r="C200" i="10"/>
  <c r="HP200" i="1"/>
  <c r="HP201" i="1"/>
  <c r="EG303" i="6"/>
  <c r="EJ302" i="6"/>
  <c r="T316" i="6"/>
  <c r="Q317" i="6"/>
  <c r="AR316" i="6"/>
  <c r="AO317" i="6"/>
  <c r="EG204" i="1"/>
  <c r="HZ204" i="1" s="1"/>
  <c r="EJ203" i="1"/>
  <c r="E205" i="1"/>
  <c r="H204" i="1"/>
  <c r="ES304" i="6"/>
  <c r="EV303" i="6"/>
  <c r="CZ204" i="1"/>
  <c r="CW205" i="1"/>
  <c r="HP299" i="6"/>
  <c r="HK310" i="6"/>
  <c r="HP300" i="6"/>
  <c r="AC320" i="6"/>
  <c r="AF318" i="6"/>
  <c r="AF317" i="6"/>
  <c r="FE304" i="6"/>
  <c r="FH303" i="6"/>
  <c r="DU205" i="1"/>
  <c r="DX204" i="1"/>
  <c r="BA206" i="1"/>
  <c r="BD205" i="1"/>
  <c r="CK303" i="6"/>
  <c r="CN302" i="6"/>
  <c r="HM302" i="6"/>
  <c r="HP302" i="6" s="1"/>
  <c r="BM316" i="6"/>
  <c r="BP315" i="6"/>
  <c r="FQ303" i="6"/>
  <c r="FT302" i="6"/>
  <c r="FE205" i="1"/>
  <c r="FH204" i="1"/>
  <c r="DI205" i="1"/>
  <c r="DL204" i="1"/>
  <c r="F206" i="1"/>
  <c r="HN205" i="1"/>
  <c r="BD316" i="6"/>
  <c r="BA317" i="6"/>
  <c r="J204" i="10"/>
  <c r="GR302" i="6"/>
  <c r="GO303" i="6"/>
  <c r="E317" i="6"/>
  <c r="H316" i="6"/>
  <c r="HP203" i="1" l="1"/>
  <c r="C203" i="10"/>
  <c r="GR204" i="1"/>
  <c r="GO205" i="1"/>
  <c r="CZ304" i="6"/>
  <c r="CW305" i="6"/>
  <c r="AF210" i="1"/>
  <c r="AC212" i="1"/>
  <c r="AF209" i="1"/>
  <c r="DL304" i="6"/>
  <c r="DI305" i="6"/>
  <c r="BM206" i="1"/>
  <c r="BP205" i="1"/>
  <c r="CB204" i="1"/>
  <c r="BY205" i="1"/>
  <c r="HY205" i="1" s="1"/>
  <c r="HY204" i="1"/>
  <c r="HD303" i="6"/>
  <c r="HA304" i="6"/>
  <c r="F204" i="10"/>
  <c r="GC205" i="1"/>
  <c r="GF204" i="1"/>
  <c r="DU305" i="6"/>
  <c r="DX304" i="6"/>
  <c r="ES305" i="6"/>
  <c r="EV304" i="6"/>
  <c r="CB303" i="6"/>
  <c r="BY304" i="6"/>
  <c r="AR317" i="6"/>
  <c r="AO320" i="6"/>
  <c r="AR318" i="6"/>
  <c r="HA205" i="1"/>
  <c r="J205" i="10" s="1"/>
  <c r="HD204" i="1"/>
  <c r="IA204" i="1"/>
  <c r="CK206" i="1"/>
  <c r="CN205" i="1"/>
  <c r="E206" i="1"/>
  <c r="H205" i="1"/>
  <c r="T318" i="6"/>
  <c r="S38" i="11"/>
  <c r="Q320" i="6"/>
  <c r="T317" i="6"/>
  <c r="Q206" i="1"/>
  <c r="T205" i="1"/>
  <c r="FT206" i="1"/>
  <c r="FQ207" i="1"/>
  <c r="EJ204" i="1"/>
  <c r="EG205" i="1"/>
  <c r="HZ205" i="1" s="1"/>
  <c r="ES206" i="1"/>
  <c r="EV205" i="1"/>
  <c r="EJ303" i="6"/>
  <c r="EG304" i="6"/>
  <c r="BN323" i="6"/>
  <c r="HN322" i="6"/>
  <c r="H204" i="10"/>
  <c r="HX204" i="1"/>
  <c r="AO205" i="1"/>
  <c r="H205" i="10" s="1"/>
  <c r="AR204" i="1"/>
  <c r="GC306" i="6"/>
  <c r="GF305" i="6"/>
  <c r="HM204" i="1"/>
  <c r="BP316" i="6"/>
  <c r="BM317" i="6"/>
  <c r="FE305" i="6"/>
  <c r="FH304" i="6"/>
  <c r="CZ205" i="1"/>
  <c r="CW206" i="1"/>
  <c r="H318" i="6"/>
  <c r="H317" i="6"/>
  <c r="E320" i="6"/>
  <c r="E321" i="6" s="1"/>
  <c r="Q38" i="11"/>
  <c r="DL205" i="1"/>
  <c r="DI206" i="1"/>
  <c r="GO304" i="6"/>
  <c r="GR303" i="6"/>
  <c r="F207" i="1"/>
  <c r="HN206" i="1"/>
  <c r="CK304" i="6"/>
  <c r="CN303" i="6"/>
  <c r="HM303" i="6"/>
  <c r="HP303" i="6" s="1"/>
  <c r="FH205" i="1"/>
  <c r="FE206" i="1"/>
  <c r="AC321" i="6"/>
  <c r="AF320" i="6"/>
  <c r="DU206" i="1"/>
  <c r="DX205" i="1"/>
  <c r="D205" i="10"/>
  <c r="BD317" i="6"/>
  <c r="BA320" i="6"/>
  <c r="BD318" i="6"/>
  <c r="U38" i="11"/>
  <c r="FQ304" i="6"/>
  <c r="FT303" i="6"/>
  <c r="BD206" i="1"/>
  <c r="BA207" i="1"/>
  <c r="GR205" i="1" l="1"/>
  <c r="GO206" i="1"/>
  <c r="AF212" i="1"/>
  <c r="AC213" i="1"/>
  <c r="CZ305" i="6"/>
  <c r="CW306" i="6"/>
  <c r="CB205" i="1"/>
  <c r="BY206" i="1"/>
  <c r="HY206" i="1" s="1"/>
  <c r="DX305" i="6"/>
  <c r="DU306" i="6"/>
  <c r="GC206" i="1"/>
  <c r="GF205" i="1"/>
  <c r="BP206" i="1"/>
  <c r="BM207" i="1"/>
  <c r="F205" i="10"/>
  <c r="DL305" i="6"/>
  <c r="DI306" i="6"/>
  <c r="HA305" i="6"/>
  <c r="HD304" i="6"/>
  <c r="GC307" i="6"/>
  <c r="GF306" i="6"/>
  <c r="AR320" i="6"/>
  <c r="AO321" i="6"/>
  <c r="E207" i="1"/>
  <c r="H206" i="1"/>
  <c r="HM205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HZ206" i="1" s="1"/>
  <c r="T320" i="6"/>
  <c r="Q321" i="6"/>
  <c r="C204" i="10"/>
  <c r="HP204" i="1"/>
  <c r="BN324" i="6"/>
  <c r="HN323" i="6"/>
  <c r="FQ208" i="1"/>
  <c r="FT207" i="1"/>
  <c r="HD205" i="1"/>
  <c r="HA206" i="1"/>
  <c r="J206" i="10" s="1"/>
  <c r="IA205" i="1"/>
  <c r="EG305" i="6"/>
  <c r="EJ304" i="6"/>
  <c r="HX205" i="1"/>
  <c r="ES306" i="6"/>
  <c r="EV305" i="6"/>
  <c r="GO305" i="6"/>
  <c r="GR304" i="6"/>
  <c r="H320" i="6"/>
  <c r="DL206" i="1"/>
  <c r="DI207" i="1"/>
  <c r="FQ305" i="6"/>
  <c r="FT304" i="6"/>
  <c r="BM320" i="6"/>
  <c r="BP318" i="6"/>
  <c r="BP317" i="6"/>
  <c r="W38" i="11"/>
  <c r="BA321" i="6"/>
  <c r="BD320" i="6"/>
  <c r="AC322" i="6"/>
  <c r="AF321" i="6"/>
  <c r="CW207" i="1"/>
  <c r="CZ206" i="1"/>
  <c r="CK305" i="6"/>
  <c r="CN304" i="6"/>
  <c r="HM304" i="6"/>
  <c r="HP304" i="6" s="1"/>
  <c r="FE207" i="1"/>
  <c r="FH206" i="1"/>
  <c r="FE306" i="6"/>
  <c r="FH305" i="6"/>
  <c r="DX206" i="1"/>
  <c r="DU207" i="1"/>
  <c r="D206" i="10"/>
  <c r="BA208" i="1"/>
  <c r="BD207" i="1"/>
  <c r="F208" i="1"/>
  <c r="HN207" i="1"/>
  <c r="GR206" i="1" l="1"/>
  <c r="GO207" i="1"/>
  <c r="CZ306" i="6"/>
  <c r="CW307" i="6"/>
  <c r="HM206" i="1"/>
  <c r="HP206" i="1" s="1"/>
  <c r="AC214" i="1"/>
  <c r="AF213" i="1"/>
  <c r="GC207" i="1"/>
  <c r="GF206" i="1"/>
  <c r="HX206" i="1"/>
  <c r="HD305" i="6"/>
  <c r="HA306" i="6"/>
  <c r="DL306" i="6"/>
  <c r="DI307" i="6"/>
  <c r="DU307" i="6"/>
  <c r="DX306" i="6"/>
  <c r="BY207" i="1"/>
  <c r="HY207" i="1" s="1"/>
  <c r="CB206" i="1"/>
  <c r="BM208" i="1"/>
  <c r="BP207" i="1"/>
  <c r="EV306" i="6"/>
  <c r="ES307" i="6"/>
  <c r="FT208" i="1"/>
  <c r="FQ209" i="1"/>
  <c r="Q322" i="6"/>
  <c r="T321" i="6"/>
  <c r="HP205" i="1"/>
  <c r="C205" i="10"/>
  <c r="BY306" i="6"/>
  <c r="CB305" i="6"/>
  <c r="BN325" i="6"/>
  <c r="HN324" i="6"/>
  <c r="EG207" i="1"/>
  <c r="HZ207" i="1" s="1"/>
  <c r="EJ206" i="1"/>
  <c r="EJ305" i="6"/>
  <c r="EG306" i="6"/>
  <c r="F206" i="10"/>
  <c r="E208" i="1"/>
  <c r="H207" i="1"/>
  <c r="Q208" i="1"/>
  <c r="T207" i="1"/>
  <c r="AO322" i="6"/>
  <c r="AR321" i="6"/>
  <c r="HD206" i="1"/>
  <c r="HA207" i="1"/>
  <c r="IA206" i="1"/>
  <c r="CN207" i="1"/>
  <c r="CK208" i="1"/>
  <c r="AR206" i="1"/>
  <c r="AO207" i="1"/>
  <c r="H207" i="10" s="1"/>
  <c r="H206" i="10"/>
  <c r="EV207" i="1"/>
  <c r="ES208" i="1"/>
  <c r="GC308" i="6"/>
  <c r="GF307" i="6"/>
  <c r="BM321" i="6"/>
  <c r="BP320" i="6"/>
  <c r="F209" i="1"/>
  <c r="HN208" i="1"/>
  <c r="CW208" i="1"/>
  <c r="CZ207" i="1"/>
  <c r="AC323" i="6"/>
  <c r="AF322" i="6"/>
  <c r="FQ306" i="6"/>
  <c r="FT305" i="6"/>
  <c r="BD208" i="1"/>
  <c r="BA209" i="1"/>
  <c r="FH306" i="6"/>
  <c r="FE307" i="6"/>
  <c r="BD321" i="6"/>
  <c r="BA322" i="6"/>
  <c r="C206" i="10"/>
  <c r="CK306" i="6"/>
  <c r="CN305" i="6"/>
  <c r="HM305" i="6"/>
  <c r="HP305" i="6" s="1"/>
  <c r="H321" i="6"/>
  <c r="E322" i="6"/>
  <c r="DX207" i="1"/>
  <c r="DU208" i="1"/>
  <c r="D207" i="10"/>
  <c r="FE208" i="1"/>
  <c r="FH207" i="1"/>
  <c r="DL207" i="1"/>
  <c r="DI208" i="1"/>
  <c r="GO306" i="6"/>
  <c r="GR305" i="6"/>
  <c r="HM207" i="1" l="1"/>
  <c r="GR207" i="1"/>
  <c r="GO208" i="1"/>
  <c r="AC215" i="1"/>
  <c r="AF214" i="1"/>
  <c r="CZ307" i="6"/>
  <c r="CW308" i="6"/>
  <c r="DU308" i="6"/>
  <c r="DX307" i="6"/>
  <c r="DL307" i="6"/>
  <c r="DI308" i="6"/>
  <c r="HA307" i="6"/>
  <c r="HD306" i="6"/>
  <c r="BM209" i="1"/>
  <c r="BP208" i="1"/>
  <c r="CB207" i="1"/>
  <c r="BY208" i="1"/>
  <c r="GF207" i="1"/>
  <c r="GC208" i="1"/>
  <c r="AR207" i="1"/>
  <c r="HX207" i="1"/>
  <c r="AO208" i="1"/>
  <c r="AO323" i="6"/>
  <c r="AR322" i="6"/>
  <c r="GC311" i="6"/>
  <c r="GF309" i="6"/>
  <c r="GF308" i="6"/>
  <c r="CN208" i="1"/>
  <c r="CK209" i="1"/>
  <c r="T208" i="1"/>
  <c r="Q209" i="1"/>
  <c r="EJ207" i="1"/>
  <c r="EG208" i="1"/>
  <c r="HZ208" i="1" s="1"/>
  <c r="F207" i="10"/>
  <c r="EV208" i="1"/>
  <c r="ES209" i="1"/>
  <c r="Q323" i="6"/>
  <c r="T322" i="6"/>
  <c r="BN326" i="6"/>
  <c r="HN325" i="6"/>
  <c r="FQ212" i="1"/>
  <c r="FT210" i="1"/>
  <c r="FT209" i="1"/>
  <c r="HD207" i="1"/>
  <c r="HA208" i="1"/>
  <c r="IA207" i="1"/>
  <c r="H208" i="1"/>
  <c r="E209" i="1"/>
  <c r="BY307" i="6"/>
  <c r="CB306" i="6"/>
  <c r="ES308" i="6"/>
  <c r="EV307" i="6"/>
  <c r="EG307" i="6"/>
  <c r="EJ306" i="6"/>
  <c r="J207" i="10"/>
  <c r="DU209" i="1"/>
  <c r="DX208" i="1"/>
  <c r="D208" i="10"/>
  <c r="CK307" i="6"/>
  <c r="CN306" i="6"/>
  <c r="HM306" i="6"/>
  <c r="HP306" i="6" s="1"/>
  <c r="C207" i="10"/>
  <c r="HP207" i="1"/>
  <c r="E323" i="6"/>
  <c r="H322" i="6"/>
  <c r="AC324" i="6"/>
  <c r="AF323" i="6"/>
  <c r="BP321" i="6"/>
  <c r="BM322" i="6"/>
  <c r="FE209" i="1"/>
  <c r="FH208" i="1"/>
  <c r="CZ208" i="1"/>
  <c r="CW209" i="1"/>
  <c r="FH307" i="6"/>
  <c r="FE308" i="6"/>
  <c r="DL208" i="1"/>
  <c r="DI209" i="1"/>
  <c r="FT306" i="6"/>
  <c r="FQ307" i="6"/>
  <c r="BD210" i="1"/>
  <c r="BA212" i="1"/>
  <c r="BD209" i="1"/>
  <c r="GR306" i="6"/>
  <c r="GO307" i="6"/>
  <c r="BA323" i="6"/>
  <c r="BD322" i="6"/>
  <c r="F212" i="1"/>
  <c r="HN209" i="1"/>
  <c r="GO209" i="1" l="1"/>
  <c r="GR208" i="1"/>
  <c r="CZ309" i="6"/>
  <c r="CZ308" i="6"/>
  <c r="CW311" i="6"/>
  <c r="AF215" i="1"/>
  <c r="AC216" i="1"/>
  <c r="HM208" i="1"/>
  <c r="BP209" i="1"/>
  <c r="BM212" i="1"/>
  <c r="BP210" i="1"/>
  <c r="GF208" i="1"/>
  <c r="GC209" i="1"/>
  <c r="HD307" i="6"/>
  <c r="HA308" i="6"/>
  <c r="DL309" i="6"/>
  <c r="DI311" i="6"/>
  <c r="DL308" i="6"/>
  <c r="J208" i="10"/>
  <c r="CB208" i="1"/>
  <c r="BY209" i="1"/>
  <c r="IG220" i="1" s="1"/>
  <c r="IG218" i="1" s="1"/>
  <c r="HY208" i="1"/>
  <c r="DU311" i="6"/>
  <c r="DX308" i="6"/>
  <c r="DX309" i="6"/>
  <c r="BY308" i="6"/>
  <c r="CB307" i="6"/>
  <c r="FQ213" i="1"/>
  <c r="FT212" i="1"/>
  <c r="EG209" i="1"/>
  <c r="HZ210" i="1" s="1"/>
  <c r="EJ208" i="1"/>
  <c r="F208" i="10"/>
  <c r="GC312" i="6"/>
  <c r="GF311" i="6"/>
  <c r="H209" i="1"/>
  <c r="E212" i="1"/>
  <c r="H210" i="1"/>
  <c r="EJ307" i="6"/>
  <c r="EG308" i="6"/>
  <c r="BN329" i="6"/>
  <c r="HN326" i="6"/>
  <c r="HL337" i="6" s="1"/>
  <c r="T209" i="1"/>
  <c r="T210" i="1"/>
  <c r="Q212" i="1"/>
  <c r="AO324" i="6"/>
  <c r="AR323" i="6"/>
  <c r="AO209" i="1"/>
  <c r="J26" i="11" s="1"/>
  <c r="AR208" i="1"/>
  <c r="H208" i="10"/>
  <c r="HX208" i="1"/>
  <c r="ES311" i="6"/>
  <c r="EV308" i="6"/>
  <c r="EV309" i="6"/>
  <c r="HD208" i="1"/>
  <c r="HA209" i="1"/>
  <c r="J209" i="10" s="1"/>
  <c r="IA208" i="1"/>
  <c r="Q324" i="6"/>
  <c r="T323" i="6"/>
  <c r="CK212" i="1"/>
  <c r="CN209" i="1"/>
  <c r="CN210" i="1"/>
  <c r="ES212" i="1"/>
  <c r="EV209" i="1"/>
  <c r="EV210" i="1"/>
  <c r="F213" i="1"/>
  <c r="HN212" i="1"/>
  <c r="HL220" i="1" s="1"/>
  <c r="FH309" i="6"/>
  <c r="FH308" i="6"/>
  <c r="FE311" i="6"/>
  <c r="AF324" i="6"/>
  <c r="AC325" i="6"/>
  <c r="DL209" i="1"/>
  <c r="DI212" i="1"/>
  <c r="DL210" i="1"/>
  <c r="CW212" i="1"/>
  <c r="CZ210" i="1"/>
  <c r="CZ209" i="1"/>
  <c r="FQ308" i="6"/>
  <c r="FT307" i="6"/>
  <c r="HY209" i="1"/>
  <c r="H323" i="6"/>
  <c r="E324" i="6"/>
  <c r="CN307" i="6"/>
  <c r="CK308" i="6"/>
  <c r="HM307" i="6"/>
  <c r="HP307" i="6" s="1"/>
  <c r="GR307" i="6"/>
  <c r="GO308" i="6"/>
  <c r="HY210" i="1"/>
  <c r="BP322" i="6"/>
  <c r="BM323" i="6"/>
  <c r="HP208" i="1"/>
  <c r="C208" i="10"/>
  <c r="BD323" i="6"/>
  <c r="BA324" i="6"/>
  <c r="BA213" i="1"/>
  <c r="BD212" i="1"/>
  <c r="FH209" i="1"/>
  <c r="FE212" i="1"/>
  <c r="FH210" i="1"/>
  <c r="DX209" i="1"/>
  <c r="DX210" i="1"/>
  <c r="DU212" i="1"/>
  <c r="HZ209" i="1"/>
  <c r="D209" i="10"/>
  <c r="F26" i="11"/>
  <c r="IH220" i="1" l="1"/>
  <c r="IH218" i="1" s="1"/>
  <c r="GR210" i="1"/>
  <c r="GR209" i="1"/>
  <c r="GO212" i="1"/>
  <c r="AF216" i="1"/>
  <c r="AC217" i="1"/>
  <c r="CW312" i="6"/>
  <c r="CZ311" i="6"/>
  <c r="HM209" i="1"/>
  <c r="HP210" i="1" s="1"/>
  <c r="H209" i="10"/>
  <c r="HA311" i="6"/>
  <c r="HD309" i="6"/>
  <c r="HD308" i="6"/>
  <c r="CB210" i="1"/>
  <c r="CB209" i="1"/>
  <c r="BY212" i="1"/>
  <c r="DU312" i="6"/>
  <c r="DX311" i="6"/>
  <c r="GF210" i="1"/>
  <c r="GF209" i="1"/>
  <c r="GC212" i="1"/>
  <c r="DI312" i="6"/>
  <c r="DL311" i="6"/>
  <c r="BP212" i="1"/>
  <c r="BM213" i="1"/>
  <c r="H212" i="1"/>
  <c r="E213" i="1"/>
  <c r="FT213" i="1"/>
  <c r="FQ214" i="1"/>
  <c r="T324" i="6"/>
  <c r="Q325" i="6"/>
  <c r="HD210" i="1"/>
  <c r="HD209" i="1"/>
  <c r="HA212" i="1"/>
  <c r="IA210" i="1"/>
  <c r="IA209" i="1"/>
  <c r="II220" i="1"/>
  <c r="II218" i="1" s="1"/>
  <c r="L26" i="11"/>
  <c r="HX209" i="1"/>
  <c r="HX210" i="1"/>
  <c r="AR209" i="1"/>
  <c r="AR210" i="1"/>
  <c r="AO212" i="1"/>
  <c r="HX212" i="1" s="1"/>
  <c r="BN330" i="6"/>
  <c r="HN329" i="6"/>
  <c r="GF312" i="6"/>
  <c r="GC313" i="6"/>
  <c r="EV212" i="1"/>
  <c r="ES213" i="1"/>
  <c r="EJ309" i="6"/>
  <c r="EJ308" i="6"/>
  <c r="EG311" i="6"/>
  <c r="AO325" i="6"/>
  <c r="AR324" i="6"/>
  <c r="CB309" i="6"/>
  <c r="CB308" i="6"/>
  <c r="BY311" i="6"/>
  <c r="T212" i="1"/>
  <c r="Q213" i="1"/>
  <c r="EJ209" i="1"/>
  <c r="EJ210" i="1"/>
  <c r="EG212" i="1"/>
  <c r="HZ212" i="1" s="1"/>
  <c r="H26" i="11"/>
  <c r="IF220" i="1"/>
  <c r="IF218" i="1" s="1"/>
  <c r="CK213" i="1"/>
  <c r="CN212" i="1"/>
  <c r="ES312" i="6"/>
  <c r="EV311" i="6"/>
  <c r="F209" i="10"/>
  <c r="CN309" i="6"/>
  <c r="CN308" i="6"/>
  <c r="CK311" i="6"/>
  <c r="HM308" i="6"/>
  <c r="DL212" i="1"/>
  <c r="DI213" i="1"/>
  <c r="FE312" i="6"/>
  <c r="FH311" i="6"/>
  <c r="BA214" i="1"/>
  <c r="BD213" i="1"/>
  <c r="GR309" i="6"/>
  <c r="GO311" i="6"/>
  <c r="GR308" i="6"/>
  <c r="AC326" i="6"/>
  <c r="AF325" i="6"/>
  <c r="E325" i="6"/>
  <c r="H324" i="6"/>
  <c r="BA325" i="6"/>
  <c r="BD324" i="6"/>
  <c r="DU213" i="1"/>
  <c r="DX212" i="1"/>
  <c r="D212" i="10"/>
  <c r="BM324" i="6"/>
  <c r="BP323" i="6"/>
  <c r="FT309" i="6"/>
  <c r="FQ311" i="6"/>
  <c r="FT308" i="6"/>
  <c r="FH212" i="1"/>
  <c r="FE213" i="1"/>
  <c r="CW213" i="1"/>
  <c r="CZ212" i="1"/>
  <c r="F214" i="1"/>
  <c r="HN213" i="1"/>
  <c r="HP209" i="1" l="1"/>
  <c r="C209" i="10"/>
  <c r="GO213" i="1"/>
  <c r="GR212" i="1"/>
  <c r="CW313" i="6"/>
  <c r="CZ312" i="6"/>
  <c r="AC218" i="1"/>
  <c r="AF217" i="1"/>
  <c r="HM212" i="1"/>
  <c r="HK220" i="1" s="1"/>
  <c r="BP213" i="1"/>
  <c r="BM214" i="1"/>
  <c r="DX312" i="6"/>
  <c r="DU313" i="6"/>
  <c r="CB212" i="1"/>
  <c r="BY213" i="1"/>
  <c r="HY212" i="1"/>
  <c r="DI313" i="6"/>
  <c r="DL312" i="6"/>
  <c r="GC213" i="1"/>
  <c r="GF212" i="1"/>
  <c r="HA312" i="6"/>
  <c r="HD311" i="6"/>
  <c r="EV312" i="6"/>
  <c r="ES313" i="6"/>
  <c r="EJ311" i="6"/>
  <c r="EG312" i="6"/>
  <c r="CN213" i="1"/>
  <c r="CK214" i="1"/>
  <c r="BN331" i="6"/>
  <c r="HN330" i="6"/>
  <c r="T325" i="6"/>
  <c r="Q326" i="6"/>
  <c r="CB311" i="6"/>
  <c r="BY312" i="6"/>
  <c r="EV213" i="1"/>
  <c r="ES214" i="1"/>
  <c r="H212" i="10"/>
  <c r="AR212" i="1"/>
  <c r="AO213" i="1"/>
  <c r="HX213" i="1" s="1"/>
  <c r="Q214" i="1"/>
  <c r="T213" i="1"/>
  <c r="HD212" i="1"/>
  <c r="HA213" i="1"/>
  <c r="J213" i="10" s="1"/>
  <c r="IA212" i="1"/>
  <c r="FQ215" i="1"/>
  <c r="FT214" i="1"/>
  <c r="EJ212" i="1"/>
  <c r="EG213" i="1"/>
  <c r="F212" i="10"/>
  <c r="J212" i="10"/>
  <c r="E214" i="1"/>
  <c r="H213" i="1"/>
  <c r="AO326" i="6"/>
  <c r="AR325" i="6"/>
  <c r="GC314" i="6"/>
  <c r="GF313" i="6"/>
  <c r="HP309" i="6"/>
  <c r="HK319" i="6"/>
  <c r="HP308" i="6"/>
  <c r="CN311" i="6"/>
  <c r="CK312" i="6"/>
  <c r="HM311" i="6"/>
  <c r="HP311" i="6" s="1"/>
  <c r="F215" i="1"/>
  <c r="HN214" i="1"/>
  <c r="CZ213" i="1"/>
  <c r="CW214" i="1"/>
  <c r="FQ312" i="6"/>
  <c r="FT311" i="6"/>
  <c r="BM325" i="6"/>
  <c r="BP324" i="6"/>
  <c r="GO312" i="6"/>
  <c r="GR311" i="6"/>
  <c r="FH312" i="6"/>
  <c r="FE313" i="6"/>
  <c r="H325" i="6"/>
  <c r="E326" i="6"/>
  <c r="AC329" i="6"/>
  <c r="AF327" i="6"/>
  <c r="AF326" i="6"/>
  <c r="DL213" i="1"/>
  <c r="DI214" i="1"/>
  <c r="FH213" i="1"/>
  <c r="FE214" i="1"/>
  <c r="BD325" i="6"/>
  <c r="BA326" i="6"/>
  <c r="DX213" i="1"/>
  <c r="DU214" i="1"/>
  <c r="HZ213" i="1"/>
  <c r="D213" i="10"/>
  <c r="BD214" i="1"/>
  <c r="BA215" i="1"/>
  <c r="GO214" i="1" l="1"/>
  <c r="GR213" i="1"/>
  <c r="HP212" i="1"/>
  <c r="C212" i="10"/>
  <c r="AC221" i="1"/>
  <c r="AF219" i="1"/>
  <c r="AF218" i="1"/>
  <c r="CW314" i="6"/>
  <c r="CZ313" i="6"/>
  <c r="HM213" i="1"/>
  <c r="C213" i="10" s="1"/>
  <c r="H213" i="10"/>
  <c r="BY214" i="1"/>
  <c r="HY214" i="1" s="1"/>
  <c r="CB213" i="1"/>
  <c r="HD312" i="6"/>
  <c r="HA313" i="6"/>
  <c r="HY213" i="1"/>
  <c r="DX313" i="6"/>
  <c r="DU314" i="6"/>
  <c r="DI314" i="6"/>
  <c r="DL313" i="6"/>
  <c r="GC214" i="1"/>
  <c r="GF213" i="1"/>
  <c r="BP214" i="1"/>
  <c r="BM215" i="1"/>
  <c r="EV214" i="1"/>
  <c r="ES215" i="1"/>
  <c r="CK215" i="1"/>
  <c r="CN214" i="1"/>
  <c r="GC315" i="6"/>
  <c r="GF314" i="6"/>
  <c r="EG214" i="1"/>
  <c r="HZ214" i="1" s="1"/>
  <c r="EJ213" i="1"/>
  <c r="HA214" i="1"/>
  <c r="J214" i="10" s="1"/>
  <c r="HD213" i="1"/>
  <c r="IA213" i="1"/>
  <c r="CB312" i="6"/>
  <c r="BY313" i="6"/>
  <c r="EJ312" i="6"/>
  <c r="EG313" i="6"/>
  <c r="BN332" i="6"/>
  <c r="HN331" i="6"/>
  <c r="AR326" i="6"/>
  <c r="AR327" i="6"/>
  <c r="AO329" i="6"/>
  <c r="F213" i="10"/>
  <c r="FQ216" i="1"/>
  <c r="FT215" i="1"/>
  <c r="T214" i="1"/>
  <c r="Q215" i="1"/>
  <c r="T327" i="6"/>
  <c r="Q329" i="6"/>
  <c r="T326" i="6"/>
  <c r="S39" i="11"/>
  <c r="EV313" i="6"/>
  <c r="ES314" i="6"/>
  <c r="E215" i="1"/>
  <c r="H214" i="1"/>
  <c r="AR213" i="1"/>
  <c r="AO214" i="1"/>
  <c r="DX214" i="1"/>
  <c r="DU215" i="1"/>
  <c r="D214" i="10"/>
  <c r="BP325" i="6"/>
  <c r="BM326" i="6"/>
  <c r="F216" i="1"/>
  <c r="HN215" i="1"/>
  <c r="FE215" i="1"/>
  <c r="FH214" i="1"/>
  <c r="FQ313" i="6"/>
  <c r="FT312" i="6"/>
  <c r="BD215" i="1"/>
  <c r="BA216" i="1"/>
  <c r="AC330" i="6"/>
  <c r="AF329" i="6"/>
  <c r="CK313" i="6"/>
  <c r="CN312" i="6"/>
  <c r="HM312" i="6"/>
  <c r="HP312" i="6" s="1"/>
  <c r="GO313" i="6"/>
  <c r="GR312" i="6"/>
  <c r="CZ214" i="1"/>
  <c r="CW215" i="1"/>
  <c r="H326" i="6"/>
  <c r="H327" i="6"/>
  <c r="E329" i="6"/>
  <c r="Q39" i="11"/>
  <c r="BD327" i="6"/>
  <c r="BA329" i="6"/>
  <c r="BD326" i="6"/>
  <c r="U39" i="11"/>
  <c r="DI215" i="1"/>
  <c r="DL214" i="1"/>
  <c r="FH313" i="6"/>
  <c r="FE314" i="6"/>
  <c r="GO215" i="1" l="1"/>
  <c r="GR214" i="1"/>
  <c r="HM214" i="1"/>
  <c r="C214" i="10" s="1"/>
  <c r="CZ314" i="6"/>
  <c r="CW315" i="6"/>
  <c r="HP213" i="1"/>
  <c r="AF221" i="1"/>
  <c r="AC222" i="1"/>
  <c r="DI315" i="6"/>
  <c r="DL314" i="6"/>
  <c r="DU315" i="6"/>
  <c r="DX314" i="6"/>
  <c r="BM216" i="1"/>
  <c r="BP215" i="1"/>
  <c r="HD313" i="6"/>
  <c r="HA314" i="6"/>
  <c r="GF214" i="1"/>
  <c r="GC215" i="1"/>
  <c r="CB214" i="1"/>
  <c r="BY215" i="1"/>
  <c r="H214" i="10"/>
  <c r="AO215" i="1"/>
  <c r="H215" i="10" s="1"/>
  <c r="AR214" i="1"/>
  <c r="ES315" i="6"/>
  <c r="EV314" i="6"/>
  <c r="BN333" i="6"/>
  <c r="HN332" i="6"/>
  <c r="EG314" i="6"/>
  <c r="EJ313" i="6"/>
  <c r="FQ217" i="1"/>
  <c r="FT216" i="1"/>
  <c r="BY314" i="6"/>
  <c r="CB313" i="6"/>
  <c r="GC316" i="6"/>
  <c r="GF315" i="6"/>
  <c r="AR329" i="6"/>
  <c r="AO330" i="6"/>
  <c r="EG215" i="1"/>
  <c r="HZ215" i="1" s="1"/>
  <c r="EJ214" i="1"/>
  <c r="HX214" i="1"/>
  <c r="CK216" i="1"/>
  <c r="CN215" i="1"/>
  <c r="E216" i="1"/>
  <c r="H215" i="1"/>
  <c r="F214" i="10"/>
  <c r="ES216" i="1"/>
  <c r="EV215" i="1"/>
  <c r="Q330" i="6"/>
  <c r="T329" i="6"/>
  <c r="T215" i="1"/>
  <c r="Q216" i="1"/>
  <c r="HD214" i="1"/>
  <c r="HA215" i="1"/>
  <c r="J215" i="10" s="1"/>
  <c r="IA214" i="1"/>
  <c r="FT313" i="6"/>
  <c r="FQ314" i="6"/>
  <c r="HP214" i="1"/>
  <c r="AC331" i="6"/>
  <c r="AF330" i="6"/>
  <c r="GR313" i="6"/>
  <c r="GO314" i="6"/>
  <c r="H329" i="6"/>
  <c r="E330" i="6"/>
  <c r="CK314" i="6"/>
  <c r="CN313" i="6"/>
  <c r="HM313" i="6"/>
  <c r="HP313" i="6" s="1"/>
  <c r="BA217" i="1"/>
  <c r="BD216" i="1"/>
  <c r="F217" i="1"/>
  <c r="HN216" i="1"/>
  <c r="DU216" i="1"/>
  <c r="DX215" i="1"/>
  <c r="D215" i="10"/>
  <c r="BP326" i="6"/>
  <c r="BP327" i="6"/>
  <c r="W39" i="11"/>
  <c r="BM329" i="6"/>
  <c r="CZ215" i="1"/>
  <c r="CW216" i="1"/>
  <c r="BD329" i="6"/>
  <c r="BA330" i="6"/>
  <c r="FE216" i="1"/>
  <c r="FH215" i="1"/>
  <c r="HY215" i="1"/>
  <c r="DI216" i="1"/>
  <c r="DL215" i="1"/>
  <c r="FE315" i="6"/>
  <c r="FH314" i="6"/>
  <c r="GR215" i="1" l="1"/>
  <c r="GO216" i="1"/>
  <c r="F215" i="10"/>
  <c r="AF222" i="1"/>
  <c r="AC223" i="1"/>
  <c r="CW316" i="6"/>
  <c r="CZ315" i="6"/>
  <c r="HA315" i="6"/>
  <c r="HD314" i="6"/>
  <c r="BM217" i="1"/>
  <c r="BP216" i="1"/>
  <c r="CB215" i="1"/>
  <c r="BY216" i="1"/>
  <c r="HY216" i="1" s="1"/>
  <c r="DU316" i="6"/>
  <c r="DX315" i="6"/>
  <c r="GF215" i="1"/>
  <c r="GC216" i="1"/>
  <c r="DL315" i="6"/>
  <c r="DI316" i="6"/>
  <c r="BY315" i="6"/>
  <c r="CB314" i="6"/>
  <c r="EG315" i="6"/>
  <c r="EJ314" i="6"/>
  <c r="EJ215" i="1"/>
  <c r="EG216" i="1"/>
  <c r="BN334" i="6"/>
  <c r="HN333" i="6"/>
  <c r="T216" i="1"/>
  <c r="Q217" i="1"/>
  <c r="AR330" i="6"/>
  <c r="AO331" i="6"/>
  <c r="ES217" i="1"/>
  <c r="EV216" i="1"/>
  <c r="H216" i="1"/>
  <c r="E217" i="1"/>
  <c r="ES316" i="6"/>
  <c r="EV315" i="6"/>
  <c r="HA216" i="1"/>
  <c r="J216" i="10" s="1"/>
  <c r="HD215" i="1"/>
  <c r="IA215" i="1"/>
  <c r="HM215" i="1"/>
  <c r="HP215" i="1" s="1"/>
  <c r="FT217" i="1"/>
  <c r="FQ218" i="1"/>
  <c r="CK217" i="1"/>
  <c r="CN216" i="1"/>
  <c r="GC317" i="6"/>
  <c r="GF316" i="6"/>
  <c r="AO216" i="1"/>
  <c r="AR215" i="1"/>
  <c r="HX215" i="1"/>
  <c r="T330" i="6"/>
  <c r="Q331" i="6"/>
  <c r="F218" i="1"/>
  <c r="HN217" i="1"/>
  <c r="GO315" i="6"/>
  <c r="GR314" i="6"/>
  <c r="FQ315" i="6"/>
  <c r="FT314" i="6"/>
  <c r="FE217" i="1"/>
  <c r="FH216" i="1"/>
  <c r="CN314" i="6"/>
  <c r="CK315" i="6"/>
  <c r="HM314" i="6"/>
  <c r="HP314" i="6" s="1"/>
  <c r="DI217" i="1"/>
  <c r="DL216" i="1"/>
  <c r="BA331" i="6"/>
  <c r="BD330" i="6"/>
  <c r="FH315" i="6"/>
  <c r="FE316" i="6"/>
  <c r="E331" i="6"/>
  <c r="H330" i="6"/>
  <c r="CW217" i="1"/>
  <c r="CZ216" i="1"/>
  <c r="BP329" i="6"/>
  <c r="BM330" i="6"/>
  <c r="AF331" i="6"/>
  <c r="AC332" i="6"/>
  <c r="DX216" i="1"/>
  <c r="DU217" i="1"/>
  <c r="HZ216" i="1"/>
  <c r="D216" i="10"/>
  <c r="BD217" i="1"/>
  <c r="BA218" i="1"/>
  <c r="GO217" i="1" l="1"/>
  <c r="D217" i="10" s="1"/>
  <c r="GR216" i="1"/>
  <c r="CW317" i="6"/>
  <c r="CZ316" i="6"/>
  <c r="AC224" i="1"/>
  <c r="AF223" i="1"/>
  <c r="DU317" i="6"/>
  <c r="DX316" i="6"/>
  <c r="BY217" i="1"/>
  <c r="CB216" i="1"/>
  <c r="DL316" i="6"/>
  <c r="DI317" i="6"/>
  <c r="BP217" i="1"/>
  <c r="BM218" i="1"/>
  <c r="GC217" i="1"/>
  <c r="GF216" i="1"/>
  <c r="HM216" i="1"/>
  <c r="C216" i="10" s="1"/>
  <c r="HA316" i="6"/>
  <c r="HD315" i="6"/>
  <c r="BN335" i="6"/>
  <c r="HN334" i="6"/>
  <c r="T331" i="6"/>
  <c r="Q332" i="6"/>
  <c r="GF318" i="6"/>
  <c r="GC320" i="6"/>
  <c r="GF317" i="6"/>
  <c r="EV217" i="1"/>
  <c r="ES218" i="1"/>
  <c r="EG217" i="1"/>
  <c r="HZ217" i="1" s="1"/>
  <c r="EJ216" i="1"/>
  <c r="HA217" i="1"/>
  <c r="HD216" i="1"/>
  <c r="IA216" i="1"/>
  <c r="AO332" i="6"/>
  <c r="AR331" i="6"/>
  <c r="CN217" i="1"/>
  <c r="CK218" i="1"/>
  <c r="C215" i="10"/>
  <c r="FQ221" i="1"/>
  <c r="FT218" i="1"/>
  <c r="FT219" i="1"/>
  <c r="EV316" i="6"/>
  <c r="ES317" i="6"/>
  <c r="F216" i="10"/>
  <c r="EJ315" i="6"/>
  <c r="EG316" i="6"/>
  <c r="AR216" i="1"/>
  <c r="AO217" i="1"/>
  <c r="H217" i="1"/>
  <c r="E218" i="1"/>
  <c r="Q218" i="1"/>
  <c r="T217" i="1"/>
  <c r="H216" i="10"/>
  <c r="HX216" i="1"/>
  <c r="CB315" i="6"/>
  <c r="BY316" i="6"/>
  <c r="HY217" i="1"/>
  <c r="BM331" i="6"/>
  <c r="BP330" i="6"/>
  <c r="GR315" i="6"/>
  <c r="GO316" i="6"/>
  <c r="AF332" i="6"/>
  <c r="AC333" i="6"/>
  <c r="BA332" i="6"/>
  <c r="BD331" i="6"/>
  <c r="E332" i="6"/>
  <c r="H331" i="6"/>
  <c r="F221" i="1"/>
  <c r="HN218" i="1"/>
  <c r="CW218" i="1"/>
  <c r="CZ217" i="1"/>
  <c r="FE317" i="6"/>
  <c r="FH316" i="6"/>
  <c r="DL217" i="1"/>
  <c r="DI218" i="1"/>
  <c r="FH217" i="1"/>
  <c r="FE218" i="1"/>
  <c r="DU218" i="1"/>
  <c r="DX217" i="1"/>
  <c r="BA221" i="1"/>
  <c r="BD221" i="1" s="1"/>
  <c r="BD219" i="1"/>
  <c r="BD218" i="1"/>
  <c r="CK316" i="6"/>
  <c r="CN315" i="6"/>
  <c r="HM315" i="6"/>
  <c r="HP315" i="6" s="1"/>
  <c r="FT315" i="6"/>
  <c r="FQ316" i="6"/>
  <c r="GR217" i="1" l="1"/>
  <c r="GO218" i="1"/>
  <c r="AC225" i="1"/>
  <c r="AF224" i="1"/>
  <c r="HP216" i="1"/>
  <c r="CZ317" i="6"/>
  <c r="CW320" i="6"/>
  <c r="CZ318" i="6"/>
  <c r="F217" i="10"/>
  <c r="HM217" i="1"/>
  <c r="HP217" i="1" s="1"/>
  <c r="BP218" i="1"/>
  <c r="BM221" i="1"/>
  <c r="BP219" i="1"/>
  <c r="DL318" i="6"/>
  <c r="DL317" i="6"/>
  <c r="DI320" i="6"/>
  <c r="HA317" i="6"/>
  <c r="HD316" i="6"/>
  <c r="CB217" i="1"/>
  <c r="BY218" i="1"/>
  <c r="GC218" i="1"/>
  <c r="GF217" i="1"/>
  <c r="DX318" i="6"/>
  <c r="DU320" i="6"/>
  <c r="DX317" i="6"/>
  <c r="H217" i="10"/>
  <c r="AR217" i="1"/>
  <c r="AO218" i="1"/>
  <c r="AR332" i="6"/>
  <c r="AO333" i="6"/>
  <c r="FQ222" i="1"/>
  <c r="FT221" i="1"/>
  <c r="GF320" i="6"/>
  <c r="GC321" i="6"/>
  <c r="EG317" i="6"/>
  <c r="EJ316" i="6"/>
  <c r="Q221" i="1"/>
  <c r="T219" i="1"/>
  <c r="T218" i="1"/>
  <c r="CN218" i="1"/>
  <c r="CN219" i="1"/>
  <c r="CK221" i="1"/>
  <c r="HD217" i="1"/>
  <c r="HA218" i="1"/>
  <c r="J218" i="10" s="1"/>
  <c r="IA217" i="1"/>
  <c r="T332" i="6"/>
  <c r="Q333" i="6"/>
  <c r="CB316" i="6"/>
  <c r="BY317" i="6"/>
  <c r="E221" i="1"/>
  <c r="H218" i="1"/>
  <c r="H219" i="1"/>
  <c r="ES320" i="6"/>
  <c r="EV317" i="6"/>
  <c r="EV318" i="6"/>
  <c r="EG218" i="1"/>
  <c r="EJ217" i="1"/>
  <c r="J217" i="10"/>
  <c r="HX217" i="1"/>
  <c r="EV219" i="1"/>
  <c r="EV218" i="1"/>
  <c r="ES221" i="1"/>
  <c r="BN338" i="6"/>
  <c r="HN335" i="6"/>
  <c r="HL346" i="6" s="1"/>
  <c r="BD332" i="6"/>
  <c r="BA333" i="6"/>
  <c r="FT316" i="6"/>
  <c r="FQ317" i="6"/>
  <c r="FH317" i="6"/>
  <c r="FE320" i="6"/>
  <c r="FH318" i="6"/>
  <c r="CZ218" i="1"/>
  <c r="CW221" i="1"/>
  <c r="CZ219" i="1"/>
  <c r="F222" i="1"/>
  <c r="HN221" i="1"/>
  <c r="HL229" i="1" s="1"/>
  <c r="AC334" i="6"/>
  <c r="AF333" i="6"/>
  <c r="FH219" i="1"/>
  <c r="FE221" i="1"/>
  <c r="FH218" i="1"/>
  <c r="GR316" i="6"/>
  <c r="GO317" i="6"/>
  <c r="CK317" i="6"/>
  <c r="CN316" i="6"/>
  <c r="HM316" i="6"/>
  <c r="HP316" i="6" s="1"/>
  <c r="H218" i="10"/>
  <c r="DX218" i="1"/>
  <c r="DU221" i="1"/>
  <c r="DX219" i="1"/>
  <c r="D218" i="10"/>
  <c r="F27" i="11"/>
  <c r="DL218" i="1"/>
  <c r="DL219" i="1"/>
  <c r="DI221" i="1"/>
  <c r="BA222" i="1"/>
  <c r="HY219" i="1"/>
  <c r="L27" i="11"/>
  <c r="J27" i="11"/>
  <c r="E333" i="6"/>
  <c r="H332" i="6"/>
  <c r="BM332" i="6"/>
  <c r="BP331" i="6"/>
  <c r="HY218" i="1"/>
  <c r="F218" i="10" l="1"/>
  <c r="HZ218" i="1"/>
  <c r="GO221" i="1"/>
  <c r="GR218" i="1"/>
  <c r="GR219" i="1"/>
  <c r="IH229" i="1"/>
  <c r="IH227" i="1" s="1"/>
  <c r="C217" i="10"/>
  <c r="CZ320" i="6"/>
  <c r="CW321" i="6"/>
  <c r="HZ219" i="1"/>
  <c r="AC226" i="1"/>
  <c r="AF225" i="1"/>
  <c r="HM218" i="1"/>
  <c r="HP219" i="1" s="1"/>
  <c r="HA320" i="6"/>
  <c r="HD318" i="6"/>
  <c r="HD317" i="6"/>
  <c r="DX320" i="6"/>
  <c r="DU321" i="6"/>
  <c r="DL320" i="6"/>
  <c r="DI321" i="6"/>
  <c r="GC221" i="1"/>
  <c r="GF219" i="1"/>
  <c r="GF218" i="1"/>
  <c r="BY221" i="1"/>
  <c r="HY221" i="1" s="1"/>
  <c r="CB219" i="1"/>
  <c r="CB218" i="1"/>
  <c r="IG229" i="1"/>
  <c r="IG227" i="1" s="1"/>
  <c r="BP221" i="1"/>
  <c r="BM222" i="1"/>
  <c r="T333" i="6"/>
  <c r="Q334" i="6"/>
  <c r="ES321" i="6"/>
  <c r="EV320" i="6"/>
  <c r="FT222" i="1"/>
  <c r="FQ223" i="1"/>
  <c r="AR333" i="6"/>
  <c r="AO334" i="6"/>
  <c r="HD218" i="1"/>
  <c r="HD219" i="1"/>
  <c r="HA221" i="1"/>
  <c r="II229" i="1"/>
  <c r="II227" i="1" s="1"/>
  <c r="IA218" i="1"/>
  <c r="IA219" i="1"/>
  <c r="Q222" i="1"/>
  <c r="T221" i="1"/>
  <c r="BN339" i="6"/>
  <c r="HN338" i="6"/>
  <c r="E222" i="1"/>
  <c r="H221" i="1"/>
  <c r="HX219" i="1"/>
  <c r="IF229" i="1"/>
  <c r="IF227" i="1" s="1"/>
  <c r="HX218" i="1"/>
  <c r="AR218" i="1"/>
  <c r="AO221" i="1"/>
  <c r="AR219" i="1"/>
  <c r="EV221" i="1"/>
  <c r="ES222" i="1"/>
  <c r="CB317" i="6"/>
  <c r="BY320" i="6"/>
  <c r="CB318" i="6"/>
  <c r="CK222" i="1"/>
  <c r="CN221" i="1"/>
  <c r="EJ318" i="6"/>
  <c r="EJ317" i="6"/>
  <c r="EG320" i="6"/>
  <c r="EJ219" i="1"/>
  <c r="EG221" i="1"/>
  <c r="HZ221" i="1" s="1"/>
  <c r="EJ218" i="1"/>
  <c r="H27" i="11"/>
  <c r="GC322" i="6"/>
  <c r="GF321" i="6"/>
  <c r="DL221" i="1"/>
  <c r="DI222" i="1"/>
  <c r="DU222" i="1"/>
  <c r="DX221" i="1"/>
  <c r="D221" i="10"/>
  <c r="CW222" i="1"/>
  <c r="CZ221" i="1"/>
  <c r="BA334" i="6"/>
  <c r="BD333" i="6"/>
  <c r="BP332" i="6"/>
  <c r="BM333" i="6"/>
  <c r="AC335" i="6"/>
  <c r="AF334" i="6"/>
  <c r="FE321" i="6"/>
  <c r="FH320" i="6"/>
  <c r="GR317" i="6"/>
  <c r="GO320" i="6"/>
  <c r="GR318" i="6"/>
  <c r="BA223" i="1"/>
  <c r="BD222" i="1"/>
  <c r="CN317" i="6"/>
  <c r="CK320" i="6"/>
  <c r="CN318" i="6"/>
  <c r="HM317" i="6"/>
  <c r="F223" i="1"/>
  <c r="HN222" i="1"/>
  <c r="FQ320" i="6"/>
  <c r="FT318" i="6"/>
  <c r="FT317" i="6"/>
  <c r="H333" i="6"/>
  <c r="E334" i="6"/>
  <c r="J221" i="10"/>
  <c r="FE222" i="1"/>
  <c r="FH221" i="1"/>
  <c r="GR221" i="1" l="1"/>
  <c r="GO222" i="1"/>
  <c r="HP218" i="1"/>
  <c r="C218" i="10"/>
  <c r="AC227" i="1"/>
  <c r="AF226" i="1"/>
  <c r="CZ321" i="6"/>
  <c r="CW322" i="6"/>
  <c r="HM221" i="1"/>
  <c r="HP221" i="1" s="1"/>
  <c r="BP222" i="1"/>
  <c r="BM223" i="1"/>
  <c r="GC222" i="1"/>
  <c r="GF221" i="1"/>
  <c r="DI322" i="6"/>
  <c r="DL321" i="6"/>
  <c r="DU322" i="6"/>
  <c r="DX321" i="6"/>
  <c r="BY222" i="1"/>
  <c r="CB221" i="1"/>
  <c r="HA321" i="6"/>
  <c r="HD320" i="6"/>
  <c r="EG321" i="6"/>
  <c r="EJ320" i="6"/>
  <c r="ES223" i="1"/>
  <c r="EV222" i="1"/>
  <c r="E223" i="1"/>
  <c r="H222" i="1"/>
  <c r="HA222" i="1"/>
  <c r="J222" i="10" s="1"/>
  <c r="HD221" i="1"/>
  <c r="IA221" i="1"/>
  <c r="EV321" i="6"/>
  <c r="ES322" i="6"/>
  <c r="GC323" i="6"/>
  <c r="GF322" i="6"/>
  <c r="AO222" i="1"/>
  <c r="H221" i="10"/>
  <c r="AR221" i="1"/>
  <c r="HX221" i="1"/>
  <c r="HN339" i="6"/>
  <c r="T334" i="6"/>
  <c r="Q335" i="6"/>
  <c r="CN222" i="1"/>
  <c r="CK223" i="1"/>
  <c r="AR334" i="6"/>
  <c r="AO335" i="6"/>
  <c r="Q223" i="1"/>
  <c r="T222" i="1"/>
  <c r="EG222" i="1"/>
  <c r="HZ222" i="1" s="1"/>
  <c r="EJ221" i="1"/>
  <c r="F221" i="10"/>
  <c r="BY321" i="6"/>
  <c r="CB320" i="6"/>
  <c r="FT223" i="1"/>
  <c r="FQ224" i="1"/>
  <c r="FT320" i="6"/>
  <c r="FQ321" i="6"/>
  <c r="GR320" i="6"/>
  <c r="GO321" i="6"/>
  <c r="BA335" i="6"/>
  <c r="BD334" i="6"/>
  <c r="DX222" i="1"/>
  <c r="DU223" i="1"/>
  <c r="D222" i="10"/>
  <c r="DI223" i="1"/>
  <c r="DL222" i="1"/>
  <c r="FH222" i="1"/>
  <c r="FE223" i="1"/>
  <c r="HK328" i="6"/>
  <c r="HP318" i="6"/>
  <c r="HP317" i="6"/>
  <c r="BD223" i="1"/>
  <c r="BA224" i="1"/>
  <c r="FE322" i="6"/>
  <c r="FH321" i="6"/>
  <c r="CW223" i="1"/>
  <c r="CZ222" i="1"/>
  <c r="AC338" i="6"/>
  <c r="AF336" i="6"/>
  <c r="AF335" i="6"/>
  <c r="CK321" i="6"/>
  <c r="CN320" i="6"/>
  <c r="HM320" i="6"/>
  <c r="HP320" i="6" s="1"/>
  <c r="H334" i="6"/>
  <c r="E335" i="6"/>
  <c r="F224" i="1"/>
  <c r="HN223" i="1"/>
  <c r="BM334" i="6"/>
  <c r="BP333" i="6"/>
  <c r="GO223" i="1" l="1"/>
  <c r="D223" i="10" s="1"/>
  <c r="GR222" i="1"/>
  <c r="CZ322" i="6"/>
  <c r="CW323" i="6"/>
  <c r="AF228" i="1"/>
  <c r="AC230" i="1"/>
  <c r="AF227" i="1"/>
  <c r="C221" i="10"/>
  <c r="HK229" i="1"/>
  <c r="DU323" i="6"/>
  <c r="DX322" i="6"/>
  <c r="DL322" i="6"/>
  <c r="DI323" i="6"/>
  <c r="HA322" i="6"/>
  <c r="HD321" i="6"/>
  <c r="GC223" i="1"/>
  <c r="GF222" i="1"/>
  <c r="BP223" i="1"/>
  <c r="BM224" i="1"/>
  <c r="CB222" i="1"/>
  <c r="BY223" i="1"/>
  <c r="HY222" i="1"/>
  <c r="EJ222" i="1"/>
  <c r="EG223" i="1"/>
  <c r="HZ223" i="1" s="1"/>
  <c r="CK224" i="1"/>
  <c r="CN223" i="1"/>
  <c r="HD222" i="1"/>
  <c r="HA223" i="1"/>
  <c r="J223" i="10" s="1"/>
  <c r="IA222" i="1"/>
  <c r="FT224" i="1"/>
  <c r="FQ225" i="1"/>
  <c r="AO223" i="1"/>
  <c r="H223" i="10" s="1"/>
  <c r="HM222" i="1"/>
  <c r="HX222" i="1"/>
  <c r="AR222" i="1"/>
  <c r="H222" i="10"/>
  <c r="F222" i="10"/>
  <c r="Q338" i="6"/>
  <c r="T335" i="6"/>
  <c r="T336" i="6"/>
  <c r="S40" i="11"/>
  <c r="E224" i="1"/>
  <c r="H223" i="1"/>
  <c r="GF323" i="6"/>
  <c r="GC324" i="6"/>
  <c r="BY322" i="6"/>
  <c r="CB321" i="6"/>
  <c r="T223" i="1"/>
  <c r="Q224" i="1"/>
  <c r="EV322" i="6"/>
  <c r="ES323" i="6"/>
  <c r="ES224" i="1"/>
  <c r="EV223" i="1"/>
  <c r="AR335" i="6"/>
  <c r="AR336" i="6"/>
  <c r="AO338" i="6"/>
  <c r="BN341" i="6"/>
  <c r="HN340" i="6"/>
  <c r="EJ321" i="6"/>
  <c r="EG322" i="6"/>
  <c r="BA225" i="1"/>
  <c r="BD224" i="1"/>
  <c r="FE224" i="1"/>
  <c r="FH223" i="1"/>
  <c r="DL223" i="1"/>
  <c r="DI224" i="1"/>
  <c r="DU224" i="1"/>
  <c r="DX224" i="1" s="1"/>
  <c r="DX223" i="1"/>
  <c r="GO322" i="6"/>
  <c r="GR321" i="6"/>
  <c r="CK322" i="6"/>
  <c r="CN321" i="6"/>
  <c r="HM321" i="6"/>
  <c r="HP321" i="6" s="1"/>
  <c r="BM335" i="6"/>
  <c r="BP334" i="6"/>
  <c r="FQ322" i="6"/>
  <c r="FT321" i="6"/>
  <c r="F225" i="1"/>
  <c r="HN224" i="1"/>
  <c r="CW224" i="1"/>
  <c r="CZ223" i="1"/>
  <c r="AF338" i="6"/>
  <c r="AC339" i="6"/>
  <c r="H335" i="6"/>
  <c r="E338" i="6"/>
  <c r="H336" i="6"/>
  <c r="Q40" i="11"/>
  <c r="FH322" i="6"/>
  <c r="FE323" i="6"/>
  <c r="BD336" i="6"/>
  <c r="BA338" i="6"/>
  <c r="BD335" i="6"/>
  <c r="U40" i="11"/>
  <c r="GR223" i="1" l="1"/>
  <c r="GO224" i="1"/>
  <c r="D224" i="10" s="1"/>
  <c r="AF230" i="1"/>
  <c r="AC231" i="1"/>
  <c r="CW324" i="6"/>
  <c r="CZ323" i="6"/>
  <c r="GF223" i="1"/>
  <c r="GC224" i="1"/>
  <c r="HA323" i="6"/>
  <c r="HD322" i="6"/>
  <c r="BY224" i="1"/>
  <c r="HY223" i="1"/>
  <c r="CB223" i="1"/>
  <c r="DL323" i="6"/>
  <c r="DI324" i="6"/>
  <c r="BM225" i="1"/>
  <c r="BP224" i="1"/>
  <c r="DX323" i="6"/>
  <c r="DU324" i="6"/>
  <c r="BN342" i="6"/>
  <c r="HN341" i="6"/>
  <c r="Q225" i="1"/>
  <c r="T224" i="1"/>
  <c r="H224" i="1"/>
  <c r="E225" i="1"/>
  <c r="AO339" i="6"/>
  <c r="AR338" i="6"/>
  <c r="HD223" i="1"/>
  <c r="HA224" i="1"/>
  <c r="J224" i="10" s="1"/>
  <c r="IA223" i="1"/>
  <c r="HP222" i="1"/>
  <c r="C222" i="10"/>
  <c r="BY323" i="6"/>
  <c r="CB322" i="6"/>
  <c r="AO224" i="1"/>
  <c r="AR223" i="1"/>
  <c r="EG323" i="6"/>
  <c r="EJ322" i="6"/>
  <c r="GC325" i="6"/>
  <c r="GF324" i="6"/>
  <c r="T338" i="6"/>
  <c r="Q339" i="6"/>
  <c r="CN224" i="1"/>
  <c r="CK225" i="1"/>
  <c r="EV224" i="1"/>
  <c r="ES225" i="1"/>
  <c r="EJ223" i="1"/>
  <c r="EG224" i="1"/>
  <c r="HZ224" i="1" s="1"/>
  <c r="F223" i="10"/>
  <c r="ES324" i="6"/>
  <c r="EV323" i="6"/>
  <c r="HX223" i="1"/>
  <c r="FT225" i="1"/>
  <c r="FQ226" i="1"/>
  <c r="HM223" i="1"/>
  <c r="CZ224" i="1"/>
  <c r="CW225" i="1"/>
  <c r="BP336" i="6"/>
  <c r="BP335" i="6"/>
  <c r="BM338" i="6"/>
  <c r="W40" i="11"/>
  <c r="E339" i="6"/>
  <c r="H338" i="6"/>
  <c r="DU225" i="1"/>
  <c r="FH224" i="1"/>
  <c r="FE225" i="1"/>
  <c r="FT322" i="6"/>
  <c r="FQ323" i="6"/>
  <c r="F226" i="1"/>
  <c r="HN225" i="1"/>
  <c r="AF339" i="6"/>
  <c r="BA226" i="1"/>
  <c r="BD225" i="1"/>
  <c r="CK323" i="6"/>
  <c r="CN322" i="6"/>
  <c r="HM322" i="6"/>
  <c r="HP322" i="6" s="1"/>
  <c r="BD338" i="6"/>
  <c r="BA339" i="6"/>
  <c r="GO323" i="6"/>
  <c r="GR322" i="6"/>
  <c r="FH323" i="6"/>
  <c r="FE324" i="6"/>
  <c r="DI225" i="1"/>
  <c r="DL224" i="1"/>
  <c r="GR224" i="1" l="1"/>
  <c r="GO225" i="1"/>
  <c r="CZ324" i="6"/>
  <c r="CW325" i="6"/>
  <c r="AC232" i="1"/>
  <c r="AF231" i="1"/>
  <c r="HM224" i="1"/>
  <c r="HP224" i="1" s="1"/>
  <c r="DX324" i="6"/>
  <c r="DU325" i="6"/>
  <c r="BY225" i="1"/>
  <c r="HY225" i="1" s="1"/>
  <c r="CB224" i="1"/>
  <c r="HY224" i="1"/>
  <c r="HD323" i="6"/>
  <c r="HA324" i="6"/>
  <c r="F224" i="10"/>
  <c r="BM226" i="1"/>
  <c r="BP225" i="1"/>
  <c r="GF224" i="1"/>
  <c r="GC225" i="1"/>
  <c r="DL324" i="6"/>
  <c r="DI325" i="6"/>
  <c r="C223" i="10"/>
  <c r="HP223" i="1"/>
  <c r="T339" i="6"/>
  <c r="AR339" i="6"/>
  <c r="FT226" i="1"/>
  <c r="FQ227" i="1"/>
  <c r="BY324" i="6"/>
  <c r="CB323" i="6"/>
  <c r="E226" i="1"/>
  <c r="H225" i="1"/>
  <c r="GC326" i="6"/>
  <c r="GF325" i="6"/>
  <c r="EV225" i="1"/>
  <c r="ES226" i="1"/>
  <c r="EV324" i="6"/>
  <c r="ES325" i="6"/>
  <c r="EJ323" i="6"/>
  <c r="EG324" i="6"/>
  <c r="HA225" i="1"/>
  <c r="J225" i="10" s="1"/>
  <c r="HD224" i="1"/>
  <c r="IA224" i="1"/>
  <c r="Q226" i="1"/>
  <c r="T225" i="1"/>
  <c r="CK226" i="1"/>
  <c r="CN225" i="1"/>
  <c r="EG225" i="1"/>
  <c r="EJ224" i="1"/>
  <c r="AR224" i="1"/>
  <c r="AO225" i="1"/>
  <c r="HX224" i="1"/>
  <c r="H224" i="10"/>
  <c r="BN343" i="6"/>
  <c r="HN342" i="6"/>
  <c r="BM339" i="6"/>
  <c r="BP338" i="6"/>
  <c r="FE325" i="6"/>
  <c r="FH324" i="6"/>
  <c r="DX225" i="1"/>
  <c r="DU226" i="1"/>
  <c r="D225" i="10"/>
  <c r="AC341" i="6"/>
  <c r="AF340" i="6"/>
  <c r="FQ324" i="6"/>
  <c r="FT323" i="6"/>
  <c r="FE226" i="1"/>
  <c r="FH225" i="1"/>
  <c r="CW226" i="1"/>
  <c r="CZ225" i="1"/>
  <c r="DI226" i="1"/>
  <c r="DL225" i="1"/>
  <c r="BD339" i="6"/>
  <c r="BD226" i="1"/>
  <c r="BA227" i="1"/>
  <c r="GR323" i="6"/>
  <c r="GO324" i="6"/>
  <c r="CN323" i="6"/>
  <c r="CK324" i="6"/>
  <c r="HM323" i="6"/>
  <c r="HP323" i="6" s="1"/>
  <c r="H339" i="6"/>
  <c r="F227" i="1"/>
  <c r="HN226" i="1"/>
  <c r="GR225" i="1" l="1"/>
  <c r="GO226" i="1"/>
  <c r="C224" i="10"/>
  <c r="AC233" i="1"/>
  <c r="AF232" i="1"/>
  <c r="CW326" i="6"/>
  <c r="CZ325" i="6"/>
  <c r="DL325" i="6"/>
  <c r="DI326" i="6"/>
  <c r="HA325" i="6"/>
  <c r="HD324" i="6"/>
  <c r="HM225" i="1"/>
  <c r="HP225" i="1" s="1"/>
  <c r="GC226" i="1"/>
  <c r="GF225" i="1"/>
  <c r="CB225" i="1"/>
  <c r="BY226" i="1"/>
  <c r="HY226" i="1" s="1"/>
  <c r="BP226" i="1"/>
  <c r="BM227" i="1"/>
  <c r="DX325" i="6"/>
  <c r="DU326" i="6"/>
  <c r="EG325" i="6"/>
  <c r="EJ324" i="6"/>
  <c r="GF326" i="6"/>
  <c r="GC329" i="6"/>
  <c r="GF327" i="6"/>
  <c r="BN344" i="6"/>
  <c r="HN343" i="6"/>
  <c r="CK227" i="1"/>
  <c r="CN226" i="1"/>
  <c r="AO341" i="6"/>
  <c r="AR340" i="6"/>
  <c r="FT228" i="1"/>
  <c r="FQ230" i="1"/>
  <c r="FT227" i="1"/>
  <c r="F225" i="10"/>
  <c r="ES326" i="6"/>
  <c r="EV325" i="6"/>
  <c r="H226" i="1"/>
  <c r="E227" i="1"/>
  <c r="E230" i="1" s="1"/>
  <c r="HA226" i="1"/>
  <c r="J226" i="10" s="1"/>
  <c r="HD225" i="1"/>
  <c r="IA225" i="1"/>
  <c r="T340" i="6"/>
  <c r="Q341" i="6"/>
  <c r="EG226" i="1"/>
  <c r="HZ226" i="1" s="1"/>
  <c r="EJ225" i="1"/>
  <c r="HX225" i="1"/>
  <c r="H225" i="10"/>
  <c r="AR225" i="1"/>
  <c r="AO226" i="1"/>
  <c r="H226" i="10" s="1"/>
  <c r="T226" i="1"/>
  <c r="Q227" i="1"/>
  <c r="CB324" i="6"/>
  <c r="BY325" i="6"/>
  <c r="EV226" i="1"/>
  <c r="ES227" i="1"/>
  <c r="HZ225" i="1"/>
  <c r="BD227" i="1"/>
  <c r="BA230" i="1"/>
  <c r="BD228" i="1"/>
  <c r="DI227" i="1"/>
  <c r="DL226" i="1"/>
  <c r="FH226" i="1"/>
  <c r="FE227" i="1"/>
  <c r="CK325" i="6"/>
  <c r="CN324" i="6"/>
  <c r="HM324" i="6"/>
  <c r="HP324" i="6" s="1"/>
  <c r="BA341" i="6"/>
  <c r="BD340" i="6"/>
  <c r="AC342" i="6"/>
  <c r="AF341" i="6"/>
  <c r="E341" i="6"/>
  <c r="H340" i="6"/>
  <c r="DU227" i="1"/>
  <c r="DX226" i="1"/>
  <c r="D226" i="10"/>
  <c r="FE326" i="6"/>
  <c r="FH325" i="6"/>
  <c r="CZ226" i="1"/>
  <c r="CW227" i="1"/>
  <c r="F230" i="1"/>
  <c r="HN227" i="1"/>
  <c r="GR324" i="6"/>
  <c r="GO325" i="6"/>
  <c r="FT324" i="6"/>
  <c r="FQ325" i="6"/>
  <c r="BP339" i="6"/>
  <c r="GR226" i="1" l="1"/>
  <c r="GO227" i="1"/>
  <c r="D227" i="10" s="1"/>
  <c r="F226" i="10"/>
  <c r="CW329" i="6"/>
  <c r="CZ327" i="6"/>
  <c r="CZ326" i="6"/>
  <c r="AC234" i="1"/>
  <c r="AF233" i="1"/>
  <c r="C225" i="10"/>
  <c r="GC227" i="1"/>
  <c r="GF226" i="1"/>
  <c r="DX327" i="6"/>
  <c r="DX326" i="6"/>
  <c r="DU329" i="6"/>
  <c r="BP227" i="1"/>
  <c r="BP228" i="1"/>
  <c r="BM230" i="1"/>
  <c r="HA326" i="6"/>
  <c r="HD325" i="6"/>
  <c r="DL327" i="6"/>
  <c r="DL326" i="6"/>
  <c r="DI329" i="6"/>
  <c r="BY227" i="1"/>
  <c r="HY227" i="1" s="1"/>
  <c r="CB226" i="1"/>
  <c r="AO227" i="1"/>
  <c r="AR226" i="1"/>
  <c r="HX226" i="1"/>
  <c r="BN347" i="6"/>
  <c r="HN344" i="6"/>
  <c r="HL355" i="6" s="1"/>
  <c r="EV228" i="1"/>
  <c r="ES230" i="1"/>
  <c r="EV227" i="1"/>
  <c r="FQ231" i="1"/>
  <c r="FT230" i="1"/>
  <c r="HA227" i="1"/>
  <c r="L28" i="11" s="1"/>
  <c r="HD226" i="1"/>
  <c r="IA226" i="1"/>
  <c r="BY326" i="6"/>
  <c r="CB325" i="6"/>
  <c r="H227" i="1"/>
  <c r="H228" i="1"/>
  <c r="HX227" i="1"/>
  <c r="GF329" i="6"/>
  <c r="GC330" i="6"/>
  <c r="HM226" i="1"/>
  <c r="HP226" i="1" s="1"/>
  <c r="AO342" i="6"/>
  <c r="AR341" i="6"/>
  <c r="EG227" i="1"/>
  <c r="HZ227" i="1" s="1"/>
  <c r="EJ226" i="1"/>
  <c r="T227" i="1"/>
  <c r="Q230" i="1"/>
  <c r="T228" i="1"/>
  <c r="Q342" i="6"/>
  <c r="T341" i="6"/>
  <c r="ES329" i="6"/>
  <c r="EV326" i="6"/>
  <c r="EV327" i="6"/>
  <c r="CN228" i="1"/>
  <c r="CN227" i="1"/>
  <c r="CK230" i="1"/>
  <c r="EG326" i="6"/>
  <c r="EJ325" i="6"/>
  <c r="DI230" i="1"/>
  <c r="DL228" i="1"/>
  <c r="DL227" i="1"/>
  <c r="F231" i="1"/>
  <c r="HN230" i="1"/>
  <c r="HL238" i="1" s="1"/>
  <c r="BP340" i="6"/>
  <c r="BM341" i="6"/>
  <c r="AC343" i="6"/>
  <c r="AF342" i="6"/>
  <c r="DX227" i="1"/>
  <c r="DU230" i="1"/>
  <c r="DX228" i="1"/>
  <c r="F28" i="11"/>
  <c r="E342" i="6"/>
  <c r="H341" i="6"/>
  <c r="BA231" i="1"/>
  <c r="BD230" i="1"/>
  <c r="FH326" i="6"/>
  <c r="FE329" i="6"/>
  <c r="FH327" i="6"/>
  <c r="FT325" i="6"/>
  <c r="FQ326" i="6"/>
  <c r="H227" i="10"/>
  <c r="BA342" i="6"/>
  <c r="BD341" i="6"/>
  <c r="GR325" i="6"/>
  <c r="GO326" i="6"/>
  <c r="CZ228" i="1"/>
  <c r="CW230" i="1"/>
  <c r="CZ227" i="1"/>
  <c r="CK326" i="6"/>
  <c r="CN325" i="6"/>
  <c r="HM325" i="6"/>
  <c r="HP325" i="6" s="1"/>
  <c r="HY228" i="1"/>
  <c r="FH227" i="1"/>
  <c r="FE230" i="1"/>
  <c r="FH228" i="1"/>
  <c r="GR228" i="1" l="1"/>
  <c r="GR227" i="1"/>
  <c r="GO230" i="1"/>
  <c r="HZ228" i="1"/>
  <c r="IH238" i="1"/>
  <c r="IH236" i="1" s="1"/>
  <c r="J227" i="10"/>
  <c r="AF234" i="1"/>
  <c r="AC235" i="1"/>
  <c r="CZ329" i="6"/>
  <c r="CW330" i="6"/>
  <c r="IG238" i="1"/>
  <c r="IG236" i="1" s="1"/>
  <c r="BP230" i="1"/>
  <c r="BM231" i="1"/>
  <c r="CB227" i="1"/>
  <c r="BY230" i="1"/>
  <c r="HY230" i="1" s="1"/>
  <c r="CB228" i="1"/>
  <c r="DL329" i="6"/>
  <c r="DI330" i="6"/>
  <c r="DU330" i="6"/>
  <c r="DX329" i="6"/>
  <c r="HD327" i="6"/>
  <c r="HA329" i="6"/>
  <c r="HD326" i="6"/>
  <c r="GF227" i="1"/>
  <c r="GF228" i="1"/>
  <c r="GC230" i="1"/>
  <c r="C226" i="10"/>
  <c r="EJ326" i="6"/>
  <c r="EG329" i="6"/>
  <c r="EJ327" i="6"/>
  <c r="T342" i="6"/>
  <c r="Q343" i="6"/>
  <c r="E231" i="1"/>
  <c r="H230" i="1"/>
  <c r="CN230" i="1"/>
  <c r="CK231" i="1"/>
  <c r="AO343" i="6"/>
  <c r="AR342" i="6"/>
  <c r="ES231" i="1"/>
  <c r="EV230" i="1"/>
  <c r="T230" i="1"/>
  <c r="Q231" i="1"/>
  <c r="BY329" i="6"/>
  <c r="CB326" i="6"/>
  <c r="CB327" i="6"/>
  <c r="GF330" i="6"/>
  <c r="GC331" i="6"/>
  <c r="BN348" i="6"/>
  <c r="HN347" i="6"/>
  <c r="HA230" i="1"/>
  <c r="HD228" i="1"/>
  <c r="HD227" i="1"/>
  <c r="IA228" i="1"/>
  <c r="II238" i="1"/>
  <c r="II236" i="1" s="1"/>
  <c r="IA227" i="1"/>
  <c r="ES330" i="6"/>
  <c r="EV329" i="6"/>
  <c r="EJ227" i="1"/>
  <c r="EG230" i="1"/>
  <c r="EJ228" i="1"/>
  <c r="F227" i="10"/>
  <c r="H28" i="11"/>
  <c r="FT231" i="1"/>
  <c r="FQ232" i="1"/>
  <c r="AO230" i="1"/>
  <c r="AR230" i="1" s="1"/>
  <c r="AR228" i="1"/>
  <c r="HM227" i="1"/>
  <c r="IF238" i="1"/>
  <c r="IF236" i="1" s="1"/>
  <c r="J28" i="11"/>
  <c r="AR227" i="1"/>
  <c r="HX228" i="1"/>
  <c r="FH329" i="6"/>
  <c r="FE330" i="6"/>
  <c r="DL230" i="1"/>
  <c r="DI231" i="1"/>
  <c r="CZ230" i="1"/>
  <c r="CW231" i="1"/>
  <c r="CK329" i="6"/>
  <c r="CN327" i="6"/>
  <c r="CN326" i="6"/>
  <c r="HM326" i="6"/>
  <c r="BM342" i="6"/>
  <c r="BP341" i="6"/>
  <c r="BA232" i="1"/>
  <c r="BD231" i="1"/>
  <c r="GR326" i="6"/>
  <c r="GR327" i="6"/>
  <c r="GO329" i="6"/>
  <c r="FH230" i="1"/>
  <c r="FE231" i="1"/>
  <c r="FQ329" i="6"/>
  <c r="FT326" i="6"/>
  <c r="FT327" i="6"/>
  <c r="DU231" i="1"/>
  <c r="DX230" i="1"/>
  <c r="HZ230" i="1"/>
  <c r="D230" i="10"/>
  <c r="AC344" i="6"/>
  <c r="AF343" i="6"/>
  <c r="BA343" i="6"/>
  <c r="BD342" i="6"/>
  <c r="H342" i="6"/>
  <c r="E343" i="6"/>
  <c r="F232" i="1"/>
  <c r="HN231" i="1"/>
  <c r="GO231" i="1" l="1"/>
  <c r="GR230" i="1"/>
  <c r="CW331" i="6"/>
  <c r="CZ330" i="6"/>
  <c r="AC236" i="1"/>
  <c r="AF235" i="1"/>
  <c r="HM230" i="1"/>
  <c r="HK238" i="1" s="1"/>
  <c r="H230" i="10"/>
  <c r="DU331" i="6"/>
  <c r="DX330" i="6"/>
  <c r="GC231" i="1"/>
  <c r="GF230" i="1"/>
  <c r="DI331" i="6"/>
  <c r="DL330" i="6"/>
  <c r="BY231" i="1"/>
  <c r="HY231" i="1" s="1"/>
  <c r="HA330" i="6"/>
  <c r="HD329" i="6"/>
  <c r="BM232" i="1"/>
  <c r="BP231" i="1"/>
  <c r="E232" i="1"/>
  <c r="H231" i="1"/>
  <c r="GC332" i="6"/>
  <c r="GF331" i="6"/>
  <c r="EV231" i="1"/>
  <c r="ES232" i="1"/>
  <c r="Q344" i="6"/>
  <c r="T343" i="6"/>
  <c r="HP227" i="1"/>
  <c r="C227" i="10"/>
  <c r="HP228" i="1"/>
  <c r="EJ230" i="1"/>
  <c r="EG231" i="1"/>
  <c r="HZ231" i="1" s="1"/>
  <c r="F230" i="10"/>
  <c r="AR343" i="6"/>
  <c r="AO344" i="6"/>
  <c r="HD230" i="1"/>
  <c r="HA231" i="1"/>
  <c r="IA230" i="1"/>
  <c r="CN231" i="1"/>
  <c r="CK232" i="1"/>
  <c r="EG330" i="6"/>
  <c r="EJ329" i="6"/>
  <c r="AO231" i="1"/>
  <c r="BY330" i="6"/>
  <c r="CB329" i="6"/>
  <c r="FT232" i="1"/>
  <c r="FQ233" i="1"/>
  <c r="ES331" i="6"/>
  <c r="EV330" i="6"/>
  <c r="BN349" i="6"/>
  <c r="HN348" i="6"/>
  <c r="Q232" i="1"/>
  <c r="T231" i="1"/>
  <c r="HX230" i="1"/>
  <c r="J230" i="10"/>
  <c r="F233" i="1"/>
  <c r="HN232" i="1"/>
  <c r="FQ330" i="6"/>
  <c r="FT329" i="6"/>
  <c r="BA233" i="1"/>
  <c r="BD232" i="1"/>
  <c r="HP327" i="6"/>
  <c r="HK337" i="6"/>
  <c r="HP326" i="6"/>
  <c r="BD343" i="6"/>
  <c r="BA344" i="6"/>
  <c r="FH231" i="1"/>
  <c r="FE232" i="1"/>
  <c r="CK330" i="6"/>
  <c r="CN329" i="6"/>
  <c r="HM329" i="6"/>
  <c r="HP329" i="6" s="1"/>
  <c r="FE331" i="6"/>
  <c r="FH330" i="6"/>
  <c r="AC347" i="6"/>
  <c r="AF345" i="6"/>
  <c r="AF344" i="6"/>
  <c r="DU232" i="1"/>
  <c r="DX231" i="1"/>
  <c r="D231" i="10"/>
  <c r="GO330" i="6"/>
  <c r="GR329" i="6"/>
  <c r="BP342" i="6"/>
  <c r="BM343" i="6"/>
  <c r="DL231" i="1"/>
  <c r="DI232" i="1"/>
  <c r="H343" i="6"/>
  <c r="E344" i="6"/>
  <c r="CZ231" i="1"/>
  <c r="CW232" i="1"/>
  <c r="GR231" i="1" l="1"/>
  <c r="GO232" i="1"/>
  <c r="HP230" i="1"/>
  <c r="C230" i="10"/>
  <c r="AF237" i="1"/>
  <c r="AC239" i="1"/>
  <c r="AF236" i="1"/>
  <c r="CW332" i="6"/>
  <c r="CZ331" i="6"/>
  <c r="HM231" i="1"/>
  <c r="C231" i="10" s="1"/>
  <c r="CB231" i="1"/>
  <c r="BY232" i="1"/>
  <c r="HY232" i="1" s="1"/>
  <c r="DL331" i="6"/>
  <c r="DI332" i="6"/>
  <c r="BM233" i="1"/>
  <c r="BP232" i="1"/>
  <c r="GC232" i="1"/>
  <c r="GF231" i="1"/>
  <c r="HD330" i="6"/>
  <c r="HA331" i="6"/>
  <c r="DU332" i="6"/>
  <c r="DX331" i="6"/>
  <c r="FQ234" i="1"/>
  <c r="FT233" i="1"/>
  <c r="CK233" i="1"/>
  <c r="CN232" i="1"/>
  <c r="EG232" i="1"/>
  <c r="EJ231" i="1"/>
  <c r="F231" i="10"/>
  <c r="GF332" i="6"/>
  <c r="GC333" i="6"/>
  <c r="Q233" i="1"/>
  <c r="T232" i="1"/>
  <c r="CB330" i="6"/>
  <c r="BY331" i="6"/>
  <c r="HD231" i="1"/>
  <c r="HA232" i="1"/>
  <c r="J232" i="10" s="1"/>
  <c r="IA231" i="1"/>
  <c r="J231" i="10"/>
  <c r="AO232" i="1"/>
  <c r="H232" i="10" s="1"/>
  <c r="AR231" i="1"/>
  <c r="HX231" i="1"/>
  <c r="H231" i="10"/>
  <c r="BN350" i="6"/>
  <c r="HN349" i="6"/>
  <c r="AR344" i="6"/>
  <c r="AO347" i="6"/>
  <c r="AR345" i="6"/>
  <c r="E233" i="1"/>
  <c r="H232" i="1"/>
  <c r="T345" i="6"/>
  <c r="Q347" i="6"/>
  <c r="S41" i="11"/>
  <c r="T344" i="6"/>
  <c r="ES332" i="6"/>
  <c r="EV331" i="6"/>
  <c r="EJ330" i="6"/>
  <c r="EG331" i="6"/>
  <c r="EV232" i="1"/>
  <c r="ES233" i="1"/>
  <c r="DL232" i="1"/>
  <c r="DI233" i="1"/>
  <c r="GR330" i="6"/>
  <c r="GO331" i="6"/>
  <c r="CK331" i="6"/>
  <c r="CN330" i="6"/>
  <c r="HM330" i="6"/>
  <c r="HP330" i="6" s="1"/>
  <c r="FH331" i="6"/>
  <c r="FE332" i="6"/>
  <c r="FH232" i="1"/>
  <c r="FE233" i="1"/>
  <c r="BD233" i="1"/>
  <c r="BA234" i="1"/>
  <c r="FT330" i="6"/>
  <c r="FQ331" i="6"/>
  <c r="DU233" i="1"/>
  <c r="DX232" i="1"/>
  <c r="HZ232" i="1"/>
  <c r="D232" i="10"/>
  <c r="BA347" i="6"/>
  <c r="BD345" i="6"/>
  <c r="BD344" i="6"/>
  <c r="U41" i="11"/>
  <c r="BM344" i="6"/>
  <c r="BP343" i="6"/>
  <c r="F234" i="1"/>
  <c r="HN233" i="1"/>
  <c r="CZ232" i="1"/>
  <c r="CW233" i="1"/>
  <c r="E347" i="6"/>
  <c r="H345" i="6"/>
  <c r="H344" i="6"/>
  <c r="Q41" i="11"/>
  <c r="AF347" i="6"/>
  <c r="AC348" i="6"/>
  <c r="GR232" i="1" l="1"/>
  <c r="GO233" i="1"/>
  <c r="HP231" i="1"/>
  <c r="HM232" i="1"/>
  <c r="HP232" i="1" s="1"/>
  <c r="CW333" i="6"/>
  <c r="CZ332" i="6"/>
  <c r="AC240" i="1"/>
  <c r="AF239" i="1"/>
  <c r="GC233" i="1"/>
  <c r="GF232" i="1"/>
  <c r="BP233" i="1"/>
  <c r="BM234" i="1"/>
  <c r="DL332" i="6"/>
  <c r="DI333" i="6"/>
  <c r="DX332" i="6"/>
  <c r="DU333" i="6"/>
  <c r="HD331" i="6"/>
  <c r="HA332" i="6"/>
  <c r="BY233" i="1"/>
  <c r="CB232" i="1"/>
  <c r="EJ331" i="6"/>
  <c r="EG332" i="6"/>
  <c r="T347" i="6"/>
  <c r="Q348" i="6"/>
  <c r="HA233" i="1"/>
  <c r="HD232" i="1"/>
  <c r="IA232" i="1"/>
  <c r="BN351" i="6"/>
  <c r="HN350" i="6"/>
  <c r="BY332" i="6"/>
  <c r="CB331" i="6"/>
  <c r="EJ232" i="1"/>
  <c r="EG233" i="1"/>
  <c r="HZ233" i="1" s="1"/>
  <c r="F232" i="10"/>
  <c r="ES333" i="6"/>
  <c r="EV332" i="6"/>
  <c r="H233" i="1"/>
  <c r="E234" i="1"/>
  <c r="CN233" i="1"/>
  <c r="CK234" i="1"/>
  <c r="HX232" i="1"/>
  <c r="AR232" i="1"/>
  <c r="AO233" i="1"/>
  <c r="Q234" i="1"/>
  <c r="T233" i="1"/>
  <c r="EV233" i="1"/>
  <c r="ES234" i="1"/>
  <c r="AO348" i="6"/>
  <c r="AR347" i="6"/>
  <c r="GC334" i="6"/>
  <c r="GF333" i="6"/>
  <c r="FQ235" i="1"/>
  <c r="FT234" i="1"/>
  <c r="DU234" i="1"/>
  <c r="DX233" i="1"/>
  <c r="D233" i="10"/>
  <c r="E348" i="6"/>
  <c r="H347" i="6"/>
  <c r="BM347" i="6"/>
  <c r="BP344" i="6"/>
  <c r="W41" i="11"/>
  <c r="BP345" i="6"/>
  <c r="F235" i="1"/>
  <c r="HN234" i="1"/>
  <c r="FT331" i="6"/>
  <c r="FQ332" i="6"/>
  <c r="CN331" i="6"/>
  <c r="CK332" i="6"/>
  <c r="HM331" i="6"/>
  <c r="HP331" i="6" s="1"/>
  <c r="GO332" i="6"/>
  <c r="GR331" i="6"/>
  <c r="BA235" i="1"/>
  <c r="BD234" i="1"/>
  <c r="FH332" i="6"/>
  <c r="FE333" i="6"/>
  <c r="AF348" i="6"/>
  <c r="AC349" i="6"/>
  <c r="FH233" i="1"/>
  <c r="FE234" i="1"/>
  <c r="DL233" i="1"/>
  <c r="DI234" i="1"/>
  <c r="CZ233" i="1"/>
  <c r="CW234" i="1"/>
  <c r="BA348" i="6"/>
  <c r="BD347" i="6"/>
  <c r="GR233" i="1" l="1"/>
  <c r="GO234" i="1"/>
  <c r="D234" i="10" s="1"/>
  <c r="F233" i="10"/>
  <c r="C232" i="10"/>
  <c r="HM233" i="1"/>
  <c r="C233" i="10" s="1"/>
  <c r="AF240" i="1"/>
  <c r="AC241" i="1"/>
  <c r="CW334" i="6"/>
  <c r="CZ333" i="6"/>
  <c r="DL333" i="6"/>
  <c r="DI334" i="6"/>
  <c r="BM235" i="1"/>
  <c r="BP234" i="1"/>
  <c r="DX333" i="6"/>
  <c r="DU334" i="6"/>
  <c r="HY233" i="1"/>
  <c r="BY234" i="1"/>
  <c r="CB233" i="1"/>
  <c r="HA333" i="6"/>
  <c r="HD332" i="6"/>
  <c r="GF233" i="1"/>
  <c r="GC234" i="1"/>
  <c r="ES235" i="1"/>
  <c r="EV234" i="1"/>
  <c r="EV333" i="6"/>
  <c r="ES334" i="6"/>
  <c r="CN234" i="1"/>
  <c r="CK235" i="1"/>
  <c r="CK236" i="1" s="1"/>
  <c r="EJ233" i="1"/>
  <c r="EG234" i="1"/>
  <c r="HZ234" i="1" s="1"/>
  <c r="HA234" i="1"/>
  <c r="J234" i="10" s="1"/>
  <c r="HD233" i="1"/>
  <c r="IA233" i="1"/>
  <c r="FQ236" i="1"/>
  <c r="FT235" i="1"/>
  <c r="T234" i="1"/>
  <c r="Q235" i="1"/>
  <c r="Q349" i="6"/>
  <c r="T348" i="6"/>
  <c r="AO234" i="1"/>
  <c r="H233" i="10"/>
  <c r="AR233" i="1"/>
  <c r="HX233" i="1"/>
  <c r="GC335" i="6"/>
  <c r="GF334" i="6"/>
  <c r="H234" i="1"/>
  <c r="E235" i="1"/>
  <c r="BY333" i="6"/>
  <c r="CB332" i="6"/>
  <c r="EJ332" i="6"/>
  <c r="EG333" i="6"/>
  <c r="AO349" i="6"/>
  <c r="AR348" i="6"/>
  <c r="BN352" i="6"/>
  <c r="HN351" i="6"/>
  <c r="J233" i="10"/>
  <c r="GO333" i="6"/>
  <c r="GR332" i="6"/>
  <c r="FQ333" i="6"/>
  <c r="FT332" i="6"/>
  <c r="BP347" i="6"/>
  <c r="BM348" i="6"/>
  <c r="BA236" i="1"/>
  <c r="BD235" i="1"/>
  <c r="E349" i="6"/>
  <c r="H348" i="6"/>
  <c r="DU235" i="1"/>
  <c r="DX234" i="1"/>
  <c r="BA349" i="6"/>
  <c r="BD348" i="6"/>
  <c r="AC350" i="6"/>
  <c r="AF349" i="6"/>
  <c r="CK333" i="6"/>
  <c r="CN332" i="6"/>
  <c r="HM332" i="6"/>
  <c r="HP332" i="6" s="1"/>
  <c r="DL234" i="1"/>
  <c r="DI235" i="1"/>
  <c r="CZ234" i="1"/>
  <c r="CW235" i="1"/>
  <c r="FH234" i="1"/>
  <c r="FE235" i="1"/>
  <c r="F236" i="1"/>
  <c r="HN235" i="1"/>
  <c r="FE334" i="6"/>
  <c r="FH333" i="6"/>
  <c r="GR234" i="1" l="1"/>
  <c r="GO235" i="1"/>
  <c r="HP233" i="1"/>
  <c r="CZ334" i="6"/>
  <c r="CW335" i="6"/>
  <c r="AF241" i="1"/>
  <c r="AC242" i="1"/>
  <c r="HM234" i="1"/>
  <c r="HP234" i="1" s="1"/>
  <c r="BY235" i="1"/>
  <c r="HY235" i="1" s="1"/>
  <c r="CB234" i="1"/>
  <c r="GC235" i="1"/>
  <c r="GF234" i="1"/>
  <c r="DU335" i="6"/>
  <c r="DX334" i="6"/>
  <c r="HY234" i="1"/>
  <c r="BM236" i="1"/>
  <c r="BP235" i="1"/>
  <c r="HA334" i="6"/>
  <c r="HD333" i="6"/>
  <c r="DI335" i="6"/>
  <c r="DL334" i="6"/>
  <c r="EG334" i="6"/>
  <c r="EJ333" i="6"/>
  <c r="CN235" i="1"/>
  <c r="FT237" i="1"/>
  <c r="FT236" i="1"/>
  <c r="FQ239" i="1"/>
  <c r="ES335" i="6"/>
  <c r="EV334" i="6"/>
  <c r="CB333" i="6"/>
  <c r="BY334" i="6"/>
  <c r="E236" i="1"/>
  <c r="H235" i="1"/>
  <c r="HX234" i="1"/>
  <c r="AO235" i="1"/>
  <c r="H235" i="10" s="1"/>
  <c r="H234" i="10"/>
  <c r="AR234" i="1"/>
  <c r="BN353" i="6"/>
  <c r="HN353" i="6" s="1"/>
  <c r="HL364" i="6" s="1"/>
  <c r="HN352" i="6"/>
  <c r="HA235" i="1"/>
  <c r="J235" i="10" s="1"/>
  <c r="HD234" i="1"/>
  <c r="IA234" i="1"/>
  <c r="Q350" i="6"/>
  <c r="T349" i="6"/>
  <c r="EJ234" i="1"/>
  <c r="EG235" i="1"/>
  <c r="HZ235" i="1" s="1"/>
  <c r="F234" i="10"/>
  <c r="AR349" i="6"/>
  <c r="AO350" i="6"/>
  <c r="GF336" i="6"/>
  <c r="GF335" i="6"/>
  <c r="GC338" i="6"/>
  <c r="Q236" i="1"/>
  <c r="T235" i="1"/>
  <c r="ES236" i="1"/>
  <c r="EV235" i="1"/>
  <c r="CZ235" i="1"/>
  <c r="CW236" i="1"/>
  <c r="BP348" i="6"/>
  <c r="BM349" i="6"/>
  <c r="CK334" i="6"/>
  <c r="CN333" i="6"/>
  <c r="HM333" i="6"/>
  <c r="HP333" i="6" s="1"/>
  <c r="DX235" i="1"/>
  <c r="DU236" i="1"/>
  <c r="D235" i="10"/>
  <c r="FE335" i="6"/>
  <c r="FH334" i="6"/>
  <c r="DI236" i="1"/>
  <c r="DL235" i="1"/>
  <c r="AC351" i="6"/>
  <c r="AF350" i="6"/>
  <c r="BA239" i="1"/>
  <c r="BD236" i="1"/>
  <c r="BD237" i="1"/>
  <c r="GR333" i="6"/>
  <c r="GO334" i="6"/>
  <c r="E350" i="6"/>
  <c r="H349" i="6"/>
  <c r="F239" i="1"/>
  <c r="HN236" i="1"/>
  <c r="BD349" i="6"/>
  <c r="BA350" i="6"/>
  <c r="FT333" i="6"/>
  <c r="FQ334" i="6"/>
  <c r="FE236" i="1"/>
  <c r="FH235" i="1"/>
  <c r="GR235" i="1" l="1"/>
  <c r="GO236" i="1"/>
  <c r="D236" i="10" s="1"/>
  <c r="HM235" i="1"/>
  <c r="C235" i="10" s="1"/>
  <c r="C234" i="10"/>
  <c r="AF242" i="1"/>
  <c r="AC243" i="1"/>
  <c r="CZ336" i="6"/>
  <c r="CZ335" i="6"/>
  <c r="CW338" i="6"/>
  <c r="F235" i="10"/>
  <c r="DX336" i="6"/>
  <c r="DU338" i="6"/>
  <c r="DX335" i="6"/>
  <c r="DL335" i="6"/>
  <c r="DI338" i="6"/>
  <c r="DL336" i="6"/>
  <c r="GC236" i="1"/>
  <c r="GF235" i="1"/>
  <c r="HA335" i="6"/>
  <c r="HD334" i="6"/>
  <c r="BP237" i="1"/>
  <c r="BM239" i="1"/>
  <c r="BP236" i="1"/>
  <c r="CB235" i="1"/>
  <c r="BY236" i="1"/>
  <c r="IG247" i="1" s="1"/>
  <c r="IG245" i="1" s="1"/>
  <c r="AR350" i="6"/>
  <c r="AO351" i="6"/>
  <c r="AR235" i="1"/>
  <c r="AO236" i="1"/>
  <c r="HX236" i="1" s="1"/>
  <c r="EV336" i="6"/>
  <c r="EV335" i="6"/>
  <c r="ES338" i="6"/>
  <c r="EV236" i="1"/>
  <c r="ES239" i="1"/>
  <c r="EV237" i="1"/>
  <c r="FQ240" i="1"/>
  <c r="FT239" i="1"/>
  <c r="HX235" i="1"/>
  <c r="EG236" i="1"/>
  <c r="IH247" i="1" s="1"/>
  <c r="IH245" i="1" s="1"/>
  <c r="EJ235" i="1"/>
  <c r="HD235" i="1"/>
  <c r="HA236" i="1"/>
  <c r="L29" i="11" s="1"/>
  <c r="IA235" i="1"/>
  <c r="T237" i="1"/>
  <c r="Q239" i="1"/>
  <c r="T236" i="1"/>
  <c r="H236" i="1"/>
  <c r="H237" i="1"/>
  <c r="E239" i="1"/>
  <c r="GC339" i="6"/>
  <c r="GF338" i="6"/>
  <c r="CB334" i="6"/>
  <c r="BY335" i="6"/>
  <c r="CK239" i="1"/>
  <c r="CN237" i="1"/>
  <c r="CN236" i="1"/>
  <c r="T350" i="6"/>
  <c r="Q351" i="6"/>
  <c r="EG335" i="6"/>
  <c r="EJ334" i="6"/>
  <c r="CW239" i="1"/>
  <c r="CZ236" i="1"/>
  <c r="CZ237" i="1"/>
  <c r="CK335" i="6"/>
  <c r="CN334" i="6"/>
  <c r="HM334" i="6"/>
  <c r="HP334" i="6" s="1"/>
  <c r="FH236" i="1"/>
  <c r="FE239" i="1"/>
  <c r="FH237" i="1"/>
  <c r="FT334" i="6"/>
  <c r="FQ335" i="6"/>
  <c r="DU239" i="1"/>
  <c r="DX237" i="1"/>
  <c r="DX236" i="1"/>
  <c r="BD350" i="6"/>
  <c r="BA351" i="6"/>
  <c r="AC352" i="6"/>
  <c r="AF351" i="6"/>
  <c r="F240" i="1"/>
  <c r="HN239" i="1"/>
  <c r="HL247" i="1" s="1"/>
  <c r="DL236" i="1"/>
  <c r="DL237" i="1"/>
  <c r="DI239" i="1"/>
  <c r="E351" i="6"/>
  <c r="H350" i="6"/>
  <c r="BM350" i="6"/>
  <c r="BP349" i="6"/>
  <c r="GO335" i="6"/>
  <c r="GR334" i="6"/>
  <c r="BA240" i="1"/>
  <c r="BD239" i="1"/>
  <c r="FH336" i="6"/>
  <c r="FH335" i="6"/>
  <c r="FE338" i="6"/>
  <c r="HZ236" i="1" l="1"/>
  <c r="HZ237" i="1"/>
  <c r="F29" i="11"/>
  <c r="IF247" i="1"/>
  <c r="IF245" i="1" s="1"/>
  <c r="GR237" i="1"/>
  <c r="GR236" i="1"/>
  <c r="GO239" i="1"/>
  <c r="D239" i="10" s="1"/>
  <c r="J236" i="10"/>
  <c r="HP235" i="1"/>
  <c r="HY236" i="1"/>
  <c r="CZ338" i="6"/>
  <c r="CW339" i="6"/>
  <c r="AF243" i="1"/>
  <c r="AC244" i="1"/>
  <c r="HM236" i="1"/>
  <c r="HP236" i="1" s="1"/>
  <c r="HY237" i="1"/>
  <c r="BY239" i="1"/>
  <c r="CB236" i="1"/>
  <c r="CB237" i="1"/>
  <c r="GC239" i="1"/>
  <c r="GF237" i="1"/>
  <c r="GF236" i="1"/>
  <c r="DI339" i="6"/>
  <c r="DL338" i="6"/>
  <c r="HY239" i="1"/>
  <c r="BM240" i="1"/>
  <c r="BP239" i="1"/>
  <c r="DX338" i="6"/>
  <c r="DU339" i="6"/>
  <c r="HA338" i="6"/>
  <c r="HD335" i="6"/>
  <c r="HD336" i="6"/>
  <c r="T351" i="6"/>
  <c r="Q352" i="6"/>
  <c r="EG239" i="1"/>
  <c r="EJ236" i="1"/>
  <c r="EJ237" i="1"/>
  <c r="F236" i="10"/>
  <c r="H29" i="11"/>
  <c r="ES339" i="6"/>
  <c r="EV338" i="6"/>
  <c r="GC340" i="6"/>
  <c r="GF339" i="6"/>
  <c r="Q240" i="1"/>
  <c r="T239" i="1"/>
  <c r="J29" i="11"/>
  <c r="H236" i="10"/>
  <c r="AO239" i="1"/>
  <c r="AR237" i="1"/>
  <c r="AR236" i="1"/>
  <c r="EJ335" i="6"/>
  <c r="EG338" i="6"/>
  <c r="EJ336" i="6"/>
  <c r="H239" i="1"/>
  <c r="E240" i="1"/>
  <c r="FT240" i="1"/>
  <c r="FQ241" i="1"/>
  <c r="HD237" i="1"/>
  <c r="HA239" i="1"/>
  <c r="J239" i="10" s="1"/>
  <c r="HD236" i="1"/>
  <c r="IA237" i="1"/>
  <c r="II247" i="1"/>
  <c r="II245" i="1" s="1"/>
  <c r="IA236" i="1"/>
  <c r="AO352" i="6"/>
  <c r="AR351" i="6"/>
  <c r="CK240" i="1"/>
  <c r="CN239" i="1"/>
  <c r="ES240" i="1"/>
  <c r="EV239" i="1"/>
  <c r="CB336" i="6"/>
  <c r="BY338" i="6"/>
  <c r="CB335" i="6"/>
  <c r="HX237" i="1"/>
  <c r="BA241" i="1"/>
  <c r="BD240" i="1"/>
  <c r="FT335" i="6"/>
  <c r="FT336" i="6"/>
  <c r="FQ338" i="6"/>
  <c r="FE240" i="1"/>
  <c r="FH239" i="1"/>
  <c r="DI240" i="1"/>
  <c r="DL239" i="1"/>
  <c r="CK338" i="6"/>
  <c r="CN336" i="6"/>
  <c r="CN335" i="6"/>
  <c r="HM335" i="6"/>
  <c r="FH338" i="6"/>
  <c r="FE339" i="6"/>
  <c r="AC353" i="6"/>
  <c r="AF352" i="6"/>
  <c r="CW240" i="1"/>
  <c r="CZ239" i="1"/>
  <c r="H351" i="6"/>
  <c r="E352" i="6"/>
  <c r="F241" i="1"/>
  <c r="HN240" i="1"/>
  <c r="BD351" i="6"/>
  <c r="BA352" i="6"/>
  <c r="BP350" i="6"/>
  <c r="BM351" i="6"/>
  <c r="GR335" i="6"/>
  <c r="GO338" i="6"/>
  <c r="GR336" i="6"/>
  <c r="DU240" i="1"/>
  <c r="DX239" i="1"/>
  <c r="HZ239" i="1"/>
  <c r="GO240" i="1" l="1"/>
  <c r="D240" i="10" s="1"/>
  <c r="GR239" i="1"/>
  <c r="AC245" i="1"/>
  <c r="AF244" i="1"/>
  <c r="CZ339" i="6"/>
  <c r="CW340" i="6"/>
  <c r="HM239" i="1"/>
  <c r="C239" i="10" s="1"/>
  <c r="C236" i="10"/>
  <c r="HP237" i="1"/>
  <c r="DL339" i="6"/>
  <c r="DI340" i="6"/>
  <c r="HA339" i="6"/>
  <c r="HD338" i="6"/>
  <c r="DU340" i="6"/>
  <c r="DX339" i="6"/>
  <c r="GF239" i="1"/>
  <c r="GC240" i="1"/>
  <c r="BM241" i="1"/>
  <c r="BP240" i="1"/>
  <c r="BY240" i="1"/>
  <c r="HY240" i="1" s="1"/>
  <c r="CB239" i="1"/>
  <c r="AO353" i="6"/>
  <c r="AR352" i="6"/>
  <c r="H239" i="10"/>
  <c r="AO240" i="1"/>
  <c r="AR239" i="1"/>
  <c r="HX239" i="1"/>
  <c r="ES340" i="6"/>
  <c r="EV339" i="6"/>
  <c r="H240" i="1"/>
  <c r="E241" i="1"/>
  <c r="ES241" i="1"/>
  <c r="EV240" i="1"/>
  <c r="CK241" i="1"/>
  <c r="CN240" i="1"/>
  <c r="EG339" i="6"/>
  <c r="EJ338" i="6"/>
  <c r="Q241" i="1"/>
  <c r="T240" i="1"/>
  <c r="HA240" i="1"/>
  <c r="J240" i="10" s="1"/>
  <c r="HD239" i="1"/>
  <c r="IA239" i="1"/>
  <c r="EG240" i="1"/>
  <c r="HZ240" i="1" s="1"/>
  <c r="EJ239" i="1"/>
  <c r="F239" i="10"/>
  <c r="GF340" i="6"/>
  <c r="GC341" i="6"/>
  <c r="T352" i="6"/>
  <c r="Q353" i="6"/>
  <c r="BY339" i="6"/>
  <c r="CB338" i="6"/>
  <c r="FQ242" i="1"/>
  <c r="FT241" i="1"/>
  <c r="H352" i="6"/>
  <c r="E353" i="6"/>
  <c r="FE340" i="6"/>
  <c r="FH339" i="6"/>
  <c r="HK346" i="6"/>
  <c r="HP335" i="6"/>
  <c r="HP336" i="6"/>
  <c r="AF353" i="6"/>
  <c r="AF354" i="6"/>
  <c r="FT338" i="6"/>
  <c r="FQ339" i="6"/>
  <c r="FE241" i="1"/>
  <c r="FH240" i="1"/>
  <c r="DX240" i="1"/>
  <c r="DU241" i="1"/>
  <c r="F242" i="1"/>
  <c r="HN241" i="1"/>
  <c r="CK339" i="6"/>
  <c r="CN338" i="6"/>
  <c r="HM338" i="6"/>
  <c r="HP338" i="6" s="1"/>
  <c r="BM352" i="6"/>
  <c r="BP351" i="6"/>
  <c r="CZ240" i="1"/>
  <c r="CW241" i="1"/>
  <c r="DI241" i="1"/>
  <c r="DL240" i="1"/>
  <c r="BD241" i="1"/>
  <c r="BA242" i="1"/>
  <c r="BD352" i="6"/>
  <c r="BA353" i="6"/>
  <c r="GR338" i="6"/>
  <c r="GO339" i="6"/>
  <c r="GR240" i="1" l="1"/>
  <c r="GO241" i="1"/>
  <c r="HP239" i="1"/>
  <c r="HK247" i="1"/>
  <c r="CW341" i="6"/>
  <c r="CZ340" i="6"/>
  <c r="AF246" i="1"/>
  <c r="AF245" i="1"/>
  <c r="AC248" i="1"/>
  <c r="HM240" i="1"/>
  <c r="HP240" i="1" s="1"/>
  <c r="GC241" i="1"/>
  <c r="GF240" i="1"/>
  <c r="DX340" i="6"/>
  <c r="DU341" i="6"/>
  <c r="CB240" i="1"/>
  <c r="BY241" i="1"/>
  <c r="HD339" i="6"/>
  <c r="HA340" i="6"/>
  <c r="DI341" i="6"/>
  <c r="DL340" i="6"/>
  <c r="BM242" i="1"/>
  <c r="BP241" i="1"/>
  <c r="BY340" i="6"/>
  <c r="CB339" i="6"/>
  <c r="EJ339" i="6"/>
  <c r="EG340" i="6"/>
  <c r="ES341" i="6"/>
  <c r="EV340" i="6"/>
  <c r="S42" i="11"/>
  <c r="T354" i="6"/>
  <c r="T353" i="6"/>
  <c r="EG241" i="1"/>
  <c r="HZ241" i="1" s="1"/>
  <c r="EJ240" i="1"/>
  <c r="F240" i="10"/>
  <c r="CK242" i="1"/>
  <c r="CN241" i="1"/>
  <c r="GC342" i="6"/>
  <c r="GF341" i="6"/>
  <c r="H240" i="10"/>
  <c r="HX240" i="1"/>
  <c r="AO241" i="1"/>
  <c r="HX241" i="1" s="1"/>
  <c r="AR240" i="1"/>
  <c r="HD240" i="1"/>
  <c r="HA241" i="1"/>
  <c r="J241" i="10" s="1"/>
  <c r="IA240" i="1"/>
  <c r="EV241" i="1"/>
  <c r="ES242" i="1"/>
  <c r="H241" i="1"/>
  <c r="E242" i="1"/>
  <c r="FT242" i="1"/>
  <c r="FQ243" i="1"/>
  <c r="Q242" i="1"/>
  <c r="T241" i="1"/>
  <c r="AR354" i="6"/>
  <c r="AR353" i="6"/>
  <c r="DL241" i="1"/>
  <c r="DI242" i="1"/>
  <c r="FQ340" i="6"/>
  <c r="FT339" i="6"/>
  <c r="BM353" i="6"/>
  <c r="BP352" i="6"/>
  <c r="BA243" i="1"/>
  <c r="BD242" i="1"/>
  <c r="DU242" i="1"/>
  <c r="DX241" i="1"/>
  <c r="D241" i="10"/>
  <c r="FH340" i="6"/>
  <c r="FE341" i="6"/>
  <c r="CK340" i="6"/>
  <c r="CN339" i="6"/>
  <c r="HM339" i="6"/>
  <c r="HP339" i="6" s="1"/>
  <c r="H353" i="6"/>
  <c r="H354" i="6"/>
  <c r="Q42" i="11"/>
  <c r="CZ241" i="1"/>
  <c r="CW242" i="1"/>
  <c r="GR339" i="6"/>
  <c r="GO340" i="6"/>
  <c r="BD354" i="6"/>
  <c r="BD353" i="6"/>
  <c r="U42" i="11"/>
  <c r="F243" i="1"/>
  <c r="HN242" i="1"/>
  <c r="FH241" i="1"/>
  <c r="FE242" i="1"/>
  <c r="GR241" i="1" l="1"/>
  <c r="GO242" i="1"/>
  <c r="C240" i="10"/>
  <c r="CW342" i="6"/>
  <c r="CZ341" i="6"/>
  <c r="AC249" i="1"/>
  <c r="AF248" i="1"/>
  <c r="BY242" i="1"/>
  <c r="HY242" i="1" s="1"/>
  <c r="CB241" i="1"/>
  <c r="HM241" i="1"/>
  <c r="C241" i="10" s="1"/>
  <c r="H241" i="10"/>
  <c r="DX341" i="6"/>
  <c r="DU342" i="6"/>
  <c r="BP242" i="1"/>
  <c r="BM243" i="1"/>
  <c r="HY241" i="1"/>
  <c r="DI342" i="6"/>
  <c r="DL341" i="6"/>
  <c r="HD340" i="6"/>
  <c r="HA341" i="6"/>
  <c r="GF241" i="1"/>
  <c r="GC242" i="1"/>
  <c r="FT243" i="1"/>
  <c r="FQ244" i="1"/>
  <c r="GF342" i="6"/>
  <c r="GC343" i="6"/>
  <c r="HA242" i="1"/>
  <c r="J242" i="10" s="1"/>
  <c r="HD241" i="1"/>
  <c r="IA241" i="1"/>
  <c r="H242" i="1"/>
  <c r="E243" i="1"/>
  <c r="CK243" i="1"/>
  <c r="CN242" i="1"/>
  <c r="ES342" i="6"/>
  <c r="EV341" i="6"/>
  <c r="EJ340" i="6"/>
  <c r="EG341" i="6"/>
  <c r="AR241" i="1"/>
  <c r="AO242" i="1"/>
  <c r="EG242" i="1"/>
  <c r="HZ242" i="1" s="1"/>
  <c r="EJ241" i="1"/>
  <c r="F241" i="10"/>
  <c r="T242" i="1"/>
  <c r="Q243" i="1"/>
  <c r="ES243" i="1"/>
  <c r="EV242" i="1"/>
  <c r="CB340" i="6"/>
  <c r="BY341" i="6"/>
  <c r="FH341" i="6"/>
  <c r="FE342" i="6"/>
  <c r="BA244" i="1"/>
  <c r="BD243" i="1"/>
  <c r="GO341" i="6"/>
  <c r="GR340" i="6"/>
  <c r="CZ242" i="1"/>
  <c r="CW243" i="1"/>
  <c r="BP353" i="6"/>
  <c r="BP354" i="6"/>
  <c r="W42" i="11"/>
  <c r="F244" i="1"/>
  <c r="HN243" i="1"/>
  <c r="CN340" i="6"/>
  <c r="CK341" i="6"/>
  <c r="HM340" i="6"/>
  <c r="HP340" i="6" s="1"/>
  <c r="DX242" i="1"/>
  <c r="DU243" i="1"/>
  <c r="D242" i="10"/>
  <c r="FQ341" i="6"/>
  <c r="FT340" i="6"/>
  <c r="DL242" i="1"/>
  <c r="DI243" i="1"/>
  <c r="FE243" i="1"/>
  <c r="FH242" i="1"/>
  <c r="GR242" i="1" l="1"/>
  <c r="GO243" i="1"/>
  <c r="AC250" i="1"/>
  <c r="AF249" i="1"/>
  <c r="CZ342" i="6"/>
  <c r="CW343" i="6"/>
  <c r="HM242" i="1"/>
  <c r="HP242" i="1" s="1"/>
  <c r="HP241" i="1"/>
  <c r="GF242" i="1"/>
  <c r="GC243" i="1"/>
  <c r="BM244" i="1"/>
  <c r="BP243" i="1"/>
  <c r="DU343" i="6"/>
  <c r="DX342" i="6"/>
  <c r="HD341" i="6"/>
  <c r="HA342" i="6"/>
  <c r="DL342" i="6"/>
  <c r="DI343" i="6"/>
  <c r="CB242" i="1"/>
  <c r="BY243" i="1"/>
  <c r="EG342" i="6"/>
  <c r="EJ341" i="6"/>
  <c r="CB341" i="6"/>
  <c r="BY342" i="6"/>
  <c r="EJ242" i="1"/>
  <c r="EG243" i="1"/>
  <c r="HA243" i="1"/>
  <c r="J243" i="10" s="1"/>
  <c r="HD242" i="1"/>
  <c r="IA242" i="1"/>
  <c r="AO243" i="1"/>
  <c r="AR242" i="1"/>
  <c r="HX242" i="1"/>
  <c r="ES343" i="6"/>
  <c r="EV342" i="6"/>
  <c r="ES244" i="1"/>
  <c r="EV243" i="1"/>
  <c r="GF343" i="6"/>
  <c r="GC344" i="6"/>
  <c r="F242" i="10"/>
  <c r="CK244" i="1"/>
  <c r="CN243" i="1"/>
  <c r="T243" i="1"/>
  <c r="Q244" i="1"/>
  <c r="E244" i="1"/>
  <c r="H243" i="1"/>
  <c r="FQ245" i="1"/>
  <c r="FT244" i="1"/>
  <c r="H242" i="10"/>
  <c r="DL243" i="1"/>
  <c r="DI244" i="1"/>
  <c r="DX243" i="1"/>
  <c r="DU244" i="1"/>
  <c r="D243" i="10"/>
  <c r="GR341" i="6"/>
  <c r="GO342" i="6"/>
  <c r="BA245" i="1"/>
  <c r="BD244" i="1"/>
  <c r="FQ342" i="6"/>
  <c r="FT341" i="6"/>
  <c r="F245" i="1"/>
  <c r="HN244" i="1"/>
  <c r="FH342" i="6"/>
  <c r="FE343" i="6"/>
  <c r="FE244" i="1"/>
  <c r="FH243" i="1"/>
  <c r="HY243" i="1"/>
  <c r="CZ243" i="1"/>
  <c r="CW244" i="1"/>
  <c r="CN341" i="6"/>
  <c r="CK342" i="6"/>
  <c r="HM341" i="6"/>
  <c r="HP341" i="6" s="1"/>
  <c r="F243" i="10" l="1"/>
  <c r="GR243" i="1"/>
  <c r="GO244" i="1"/>
  <c r="HZ243" i="1"/>
  <c r="CZ343" i="6"/>
  <c r="CW344" i="6"/>
  <c r="C242" i="10"/>
  <c r="AF250" i="1"/>
  <c r="AC251" i="1"/>
  <c r="HD342" i="6"/>
  <c r="HA343" i="6"/>
  <c r="DX343" i="6"/>
  <c r="DU344" i="6"/>
  <c r="CB243" i="1"/>
  <c r="BY244" i="1"/>
  <c r="BP244" i="1"/>
  <c r="BM245" i="1"/>
  <c r="DL343" i="6"/>
  <c r="DI344" i="6"/>
  <c r="GC244" i="1"/>
  <c r="GF243" i="1"/>
  <c r="EJ243" i="1"/>
  <c r="EG244" i="1"/>
  <c r="FT246" i="1"/>
  <c r="FT245" i="1"/>
  <c r="FQ248" i="1"/>
  <c r="E245" i="1"/>
  <c r="H244" i="1"/>
  <c r="EV343" i="6"/>
  <c r="ES344" i="6"/>
  <c r="CN244" i="1"/>
  <c r="CK245" i="1"/>
  <c r="BY343" i="6"/>
  <c r="CB342" i="6"/>
  <c r="ES245" i="1"/>
  <c r="EV244" i="1"/>
  <c r="T244" i="1"/>
  <c r="Q245" i="1"/>
  <c r="GF344" i="6"/>
  <c r="GC347" i="6"/>
  <c r="GF345" i="6"/>
  <c r="HX243" i="1"/>
  <c r="AO244" i="1"/>
  <c r="H244" i="10" s="1"/>
  <c r="AR243" i="1"/>
  <c r="H243" i="10"/>
  <c r="EG343" i="6"/>
  <c r="EJ342" i="6"/>
  <c r="HD243" i="1"/>
  <c r="HA244" i="1"/>
  <c r="J244" i="10" s="1"/>
  <c r="IA243" i="1"/>
  <c r="HM243" i="1"/>
  <c r="C243" i="10" s="1"/>
  <c r="GO343" i="6"/>
  <c r="GR342" i="6"/>
  <c r="CZ244" i="1"/>
  <c r="CW245" i="1"/>
  <c r="CK343" i="6"/>
  <c r="CN342" i="6"/>
  <c r="HM342" i="6"/>
  <c r="HP342" i="6" s="1"/>
  <c r="FE245" i="1"/>
  <c r="FH244" i="1"/>
  <c r="DX244" i="1"/>
  <c r="DU245" i="1"/>
  <c r="HZ244" i="1"/>
  <c r="D244" i="10"/>
  <c r="FH343" i="6"/>
  <c r="FE344" i="6"/>
  <c r="F248" i="1"/>
  <c r="HN245" i="1"/>
  <c r="BA248" i="1"/>
  <c r="BD245" i="1"/>
  <c r="BD246" i="1"/>
  <c r="DL244" i="1"/>
  <c r="DI245" i="1"/>
  <c r="FQ343" i="6"/>
  <c r="FT342" i="6"/>
  <c r="GR244" i="1" l="1"/>
  <c r="GO245" i="1"/>
  <c r="HM244" i="1"/>
  <c r="C244" i="10" s="1"/>
  <c r="AC252" i="1"/>
  <c r="AF251" i="1"/>
  <c r="CZ344" i="6"/>
  <c r="CW347" i="6"/>
  <c r="CZ345" i="6"/>
  <c r="BY245" i="1"/>
  <c r="HY245" i="1" s="1"/>
  <c r="CB244" i="1"/>
  <c r="BP246" i="1"/>
  <c r="BM248" i="1"/>
  <c r="BP245" i="1"/>
  <c r="GF244" i="1"/>
  <c r="GC245" i="1"/>
  <c r="DX344" i="6"/>
  <c r="DU347" i="6"/>
  <c r="DX345" i="6"/>
  <c r="DL345" i="6"/>
  <c r="DL344" i="6"/>
  <c r="DI347" i="6"/>
  <c r="HD343" i="6"/>
  <c r="HA344" i="6"/>
  <c r="F244" i="10"/>
  <c r="HY244" i="1"/>
  <c r="HP243" i="1"/>
  <c r="EV246" i="1"/>
  <c r="ES248" i="1"/>
  <c r="EV245" i="1"/>
  <c r="HD244" i="1"/>
  <c r="HA245" i="1"/>
  <c r="L30" i="11" s="1"/>
  <c r="IA244" i="1"/>
  <c r="GF347" i="6"/>
  <c r="GC348" i="6"/>
  <c r="CB343" i="6"/>
  <c r="BY344" i="6"/>
  <c r="H245" i="1"/>
  <c r="H246" i="1"/>
  <c r="E248" i="1"/>
  <c r="CN245" i="1"/>
  <c r="CN246" i="1"/>
  <c r="CK248" i="1"/>
  <c r="FT248" i="1"/>
  <c r="FQ249" i="1"/>
  <c r="EJ343" i="6"/>
  <c r="EG344" i="6"/>
  <c r="T246" i="1"/>
  <c r="Q248" i="1"/>
  <c r="T245" i="1"/>
  <c r="ES347" i="6"/>
  <c r="EV345" i="6"/>
  <c r="EV344" i="6"/>
  <c r="EG245" i="1"/>
  <c r="HZ245" i="1" s="1"/>
  <c r="EJ244" i="1"/>
  <c r="HX244" i="1"/>
  <c r="AR244" i="1"/>
  <c r="AO245" i="1"/>
  <c r="FH245" i="1"/>
  <c r="FE248" i="1"/>
  <c r="FH246" i="1"/>
  <c r="DL245" i="1"/>
  <c r="DI248" i="1"/>
  <c r="DL246" i="1"/>
  <c r="FQ344" i="6"/>
  <c r="FT343" i="6"/>
  <c r="DU248" i="1"/>
  <c r="DX246" i="1"/>
  <c r="DX245" i="1"/>
  <c r="IH256" i="1"/>
  <c r="IH254" i="1" s="1"/>
  <c r="HZ246" i="1"/>
  <c r="D245" i="10"/>
  <c r="F30" i="11"/>
  <c r="GO344" i="6"/>
  <c r="GR343" i="6"/>
  <c r="F249" i="1"/>
  <c r="HN248" i="1"/>
  <c r="HL256" i="1" s="1"/>
  <c r="BA249" i="1"/>
  <c r="BD248" i="1"/>
  <c r="FH344" i="6"/>
  <c r="FH345" i="6"/>
  <c r="FE347" i="6"/>
  <c r="CN343" i="6"/>
  <c r="CK344" i="6"/>
  <c r="HM343" i="6"/>
  <c r="HP343" i="6" s="1"/>
  <c r="CW248" i="1"/>
  <c r="CZ246" i="1"/>
  <c r="CZ245" i="1"/>
  <c r="GR245" i="1" l="1"/>
  <c r="GO248" i="1"/>
  <c r="GR246" i="1"/>
  <c r="HP244" i="1"/>
  <c r="IG256" i="1"/>
  <c r="IG254" i="1" s="1"/>
  <c r="HM245" i="1"/>
  <c r="HP245" i="1" s="1"/>
  <c r="CW348" i="6"/>
  <c r="CZ347" i="6"/>
  <c r="HY246" i="1"/>
  <c r="AC253" i="1"/>
  <c r="AF252" i="1"/>
  <c r="HA347" i="6"/>
  <c r="HD344" i="6"/>
  <c r="HD345" i="6"/>
  <c r="GC248" i="1"/>
  <c r="GF246" i="1"/>
  <c r="GF245" i="1"/>
  <c r="DL347" i="6"/>
  <c r="DI348" i="6"/>
  <c r="BM249" i="1"/>
  <c r="BP248" i="1"/>
  <c r="DX347" i="6"/>
  <c r="DU348" i="6"/>
  <c r="CB246" i="1"/>
  <c r="CB245" i="1"/>
  <c r="BY248" i="1"/>
  <c r="J30" i="11"/>
  <c r="AR246" i="1"/>
  <c r="H245" i="10"/>
  <c r="AR245" i="1"/>
  <c r="IF256" i="1"/>
  <c r="IF254" i="1" s="1"/>
  <c r="AO248" i="1"/>
  <c r="HX248" i="1" s="1"/>
  <c r="HX246" i="1"/>
  <c r="HX245" i="1"/>
  <c r="CK249" i="1"/>
  <c r="CN248" i="1"/>
  <c r="GC349" i="6"/>
  <c r="GF348" i="6"/>
  <c r="Q249" i="1"/>
  <c r="T248" i="1"/>
  <c r="EJ345" i="6"/>
  <c r="EG347" i="6"/>
  <c r="EJ344" i="6"/>
  <c r="E249" i="1"/>
  <c r="H248" i="1"/>
  <c r="HD245" i="1"/>
  <c r="HA248" i="1"/>
  <c r="HD246" i="1"/>
  <c r="II256" i="1"/>
  <c r="II254" i="1" s="1"/>
  <c r="IA245" i="1"/>
  <c r="IA246" i="1"/>
  <c r="EG248" i="1"/>
  <c r="HZ248" i="1" s="1"/>
  <c r="EJ245" i="1"/>
  <c r="EJ246" i="1"/>
  <c r="F245" i="10"/>
  <c r="H30" i="11"/>
  <c r="J245" i="10"/>
  <c r="FQ250" i="1"/>
  <c r="FT249" i="1"/>
  <c r="CB345" i="6"/>
  <c r="CB344" i="6"/>
  <c r="BY347" i="6"/>
  <c r="EV248" i="1"/>
  <c r="ES249" i="1"/>
  <c r="ES348" i="6"/>
  <c r="EV347" i="6"/>
  <c r="FH347" i="6"/>
  <c r="FE348" i="6"/>
  <c r="FT344" i="6"/>
  <c r="FQ347" i="6"/>
  <c r="FT345" i="6"/>
  <c r="CK347" i="6"/>
  <c r="CN344" i="6"/>
  <c r="CN345" i="6"/>
  <c r="HM344" i="6"/>
  <c r="CW249" i="1"/>
  <c r="CZ248" i="1"/>
  <c r="BD249" i="1"/>
  <c r="BA250" i="1"/>
  <c r="F250" i="1"/>
  <c r="HN249" i="1"/>
  <c r="DI249" i="1"/>
  <c r="DL248" i="1"/>
  <c r="FH248" i="1"/>
  <c r="FE249" i="1"/>
  <c r="GR344" i="6"/>
  <c r="GO347" i="6"/>
  <c r="GR345" i="6"/>
  <c r="DU249" i="1"/>
  <c r="DX248" i="1"/>
  <c r="D248" i="10"/>
  <c r="GR248" i="1" l="1"/>
  <c r="GO249" i="1"/>
  <c r="HP246" i="1"/>
  <c r="C245" i="10"/>
  <c r="HM248" i="1"/>
  <c r="HK256" i="1" s="1"/>
  <c r="AC254" i="1"/>
  <c r="AF253" i="1"/>
  <c r="CZ348" i="6"/>
  <c r="CW349" i="6"/>
  <c r="DL348" i="6"/>
  <c r="DI349" i="6"/>
  <c r="BY249" i="1"/>
  <c r="HY249" i="1" s="1"/>
  <c r="CB248" i="1"/>
  <c r="HY248" i="1"/>
  <c r="DX348" i="6"/>
  <c r="DU349" i="6"/>
  <c r="GC249" i="1"/>
  <c r="GF248" i="1"/>
  <c r="F248" i="10"/>
  <c r="BP249" i="1"/>
  <c r="BM250" i="1"/>
  <c r="HD347" i="6"/>
  <c r="HA348" i="6"/>
  <c r="HD248" i="1"/>
  <c r="HA249" i="1"/>
  <c r="J249" i="10" s="1"/>
  <c r="IA248" i="1"/>
  <c r="J248" i="10"/>
  <c r="AO249" i="1"/>
  <c r="H249" i="10" s="1"/>
  <c r="AR248" i="1"/>
  <c r="H248" i="10"/>
  <c r="FT250" i="1"/>
  <c r="FQ251" i="1"/>
  <c r="EJ248" i="1"/>
  <c r="EG249" i="1"/>
  <c r="HZ249" i="1" s="1"/>
  <c r="Q250" i="1"/>
  <c r="T249" i="1"/>
  <c r="EV348" i="6"/>
  <c r="ES349" i="6"/>
  <c r="EV249" i="1"/>
  <c r="ES250" i="1"/>
  <c r="H249" i="1"/>
  <c r="E250" i="1"/>
  <c r="GC350" i="6"/>
  <c r="GF349" i="6"/>
  <c r="BY348" i="6"/>
  <c r="CB347" i="6"/>
  <c r="EJ347" i="6"/>
  <c r="EG348" i="6"/>
  <c r="CK250" i="1"/>
  <c r="CN249" i="1"/>
  <c r="F251" i="1"/>
  <c r="HN250" i="1"/>
  <c r="CW250" i="1"/>
  <c r="CZ249" i="1"/>
  <c r="BA251" i="1"/>
  <c r="BD250" i="1"/>
  <c r="HP344" i="6"/>
  <c r="HP345" i="6"/>
  <c r="HK355" i="6"/>
  <c r="FH249" i="1"/>
  <c r="FE250" i="1"/>
  <c r="FT347" i="6"/>
  <c r="FQ348" i="6"/>
  <c r="DX249" i="1"/>
  <c r="DU250" i="1"/>
  <c r="D249" i="10"/>
  <c r="GO348" i="6"/>
  <c r="GR347" i="6"/>
  <c r="CN347" i="6"/>
  <c r="CK348" i="6"/>
  <c r="HM347" i="6"/>
  <c r="HP347" i="6" s="1"/>
  <c r="FH348" i="6"/>
  <c r="FE349" i="6"/>
  <c r="DI250" i="1"/>
  <c r="DL249" i="1"/>
  <c r="GR249" i="1" l="1"/>
  <c r="GO250" i="1"/>
  <c r="HP248" i="1"/>
  <c r="C248" i="10"/>
  <c r="CZ349" i="6"/>
  <c r="CW350" i="6"/>
  <c r="AF255" i="1"/>
  <c r="AC257" i="1"/>
  <c r="AF254" i="1"/>
  <c r="HM249" i="1"/>
  <c r="HP249" i="1" s="1"/>
  <c r="GC250" i="1"/>
  <c r="GF249" i="1"/>
  <c r="DX349" i="6"/>
  <c r="DU350" i="6"/>
  <c r="HA349" i="6"/>
  <c r="HD348" i="6"/>
  <c r="BM251" i="1"/>
  <c r="BP250" i="1"/>
  <c r="CB249" i="1"/>
  <c r="BY250" i="1"/>
  <c r="DL349" i="6"/>
  <c r="DI350" i="6"/>
  <c r="CB348" i="6"/>
  <c r="BY349" i="6"/>
  <c r="ES350" i="6"/>
  <c r="EV349" i="6"/>
  <c r="GC351" i="6"/>
  <c r="GF350" i="6"/>
  <c r="H250" i="1"/>
  <c r="E251" i="1"/>
  <c r="HX249" i="1"/>
  <c r="AR249" i="1"/>
  <c r="AO250" i="1"/>
  <c r="CN250" i="1"/>
  <c r="CK251" i="1"/>
  <c r="T250" i="1"/>
  <c r="Q251" i="1"/>
  <c r="EJ348" i="6"/>
  <c r="EG349" i="6"/>
  <c r="EV250" i="1"/>
  <c r="ES251" i="1"/>
  <c r="EJ249" i="1"/>
  <c r="EG250" i="1"/>
  <c r="HZ250" i="1" s="1"/>
  <c r="F249" i="10"/>
  <c r="HA250" i="1"/>
  <c r="J250" i="10" s="1"/>
  <c r="HD249" i="1"/>
  <c r="IA249" i="1"/>
  <c r="FT251" i="1"/>
  <c r="FQ252" i="1"/>
  <c r="FQ349" i="6"/>
  <c r="FT348" i="6"/>
  <c r="DI251" i="1"/>
  <c r="DL250" i="1"/>
  <c r="DU251" i="1"/>
  <c r="DX250" i="1"/>
  <c r="D250" i="10"/>
  <c r="FH250" i="1"/>
  <c r="FE251" i="1"/>
  <c r="CW251" i="1"/>
  <c r="CZ250" i="1"/>
  <c r="CK349" i="6"/>
  <c r="CN348" i="6"/>
  <c r="HM348" i="6"/>
  <c r="HP348" i="6" s="1"/>
  <c r="BD251" i="1"/>
  <c r="BA252" i="1"/>
  <c r="F252" i="1"/>
  <c r="HN251" i="1"/>
  <c r="FE350" i="6"/>
  <c r="FH349" i="6"/>
  <c r="GR348" i="6"/>
  <c r="GO349" i="6"/>
  <c r="GR250" i="1" l="1"/>
  <c r="GO251" i="1"/>
  <c r="F250" i="10"/>
  <c r="HY250" i="1"/>
  <c r="C249" i="10"/>
  <c r="AF257" i="1"/>
  <c r="AC258" i="1"/>
  <c r="CW351" i="6"/>
  <c r="CZ350" i="6"/>
  <c r="BP251" i="1"/>
  <c r="BM252" i="1"/>
  <c r="HD349" i="6"/>
  <c r="HA350" i="6"/>
  <c r="DI351" i="6"/>
  <c r="DL350" i="6"/>
  <c r="DU351" i="6"/>
  <c r="DX350" i="6"/>
  <c r="BY251" i="1"/>
  <c r="CB250" i="1"/>
  <c r="GC251" i="1"/>
  <c r="GF250" i="1"/>
  <c r="HA251" i="1"/>
  <c r="HD250" i="1"/>
  <c r="IA250" i="1"/>
  <c r="E252" i="1"/>
  <c r="H251" i="1"/>
  <c r="HM250" i="1"/>
  <c r="C250" i="10" s="1"/>
  <c r="T251" i="1"/>
  <c r="Q252" i="1"/>
  <c r="FQ253" i="1"/>
  <c r="FT252" i="1"/>
  <c r="EJ250" i="1"/>
  <c r="EG251" i="1"/>
  <c r="HZ251" i="1" s="1"/>
  <c r="CN251" i="1"/>
  <c r="CK252" i="1"/>
  <c r="GF351" i="6"/>
  <c r="GC352" i="6"/>
  <c r="ES252" i="1"/>
  <c r="EV251" i="1"/>
  <c r="HX250" i="1"/>
  <c r="AO251" i="1"/>
  <c r="AR250" i="1"/>
  <c r="H250" i="10"/>
  <c r="EV350" i="6"/>
  <c r="ES351" i="6"/>
  <c r="EG350" i="6"/>
  <c r="EJ349" i="6"/>
  <c r="CB349" i="6"/>
  <c r="BY350" i="6"/>
  <c r="CW252" i="1"/>
  <c r="CZ251" i="1"/>
  <c r="GO350" i="6"/>
  <c r="GR349" i="6"/>
  <c r="DL251" i="1"/>
  <c r="DI252" i="1"/>
  <c r="HY251" i="1"/>
  <c r="FE252" i="1"/>
  <c r="FH251" i="1"/>
  <c r="F253" i="1"/>
  <c r="HN252" i="1"/>
  <c r="CK350" i="6"/>
  <c r="CN349" i="6"/>
  <c r="HM349" i="6"/>
  <c r="HP349" i="6" s="1"/>
  <c r="FQ350" i="6"/>
  <c r="FT349" i="6"/>
  <c r="FH350" i="6"/>
  <c r="FE351" i="6"/>
  <c r="BA253" i="1"/>
  <c r="BD252" i="1"/>
  <c r="DU252" i="1"/>
  <c r="DX251" i="1"/>
  <c r="D251" i="10"/>
  <c r="GR251" i="1" l="1"/>
  <c r="GO252" i="1"/>
  <c r="HP250" i="1"/>
  <c r="HM251" i="1"/>
  <c r="HP251" i="1" s="1"/>
  <c r="CW352" i="6"/>
  <c r="CZ351" i="6"/>
  <c r="AF258" i="1"/>
  <c r="AC259" i="1"/>
  <c r="DU352" i="6"/>
  <c r="DX351" i="6"/>
  <c r="DL351" i="6"/>
  <c r="DI352" i="6"/>
  <c r="HA351" i="6"/>
  <c r="HD350" i="6"/>
  <c r="GF251" i="1"/>
  <c r="GC252" i="1"/>
  <c r="BM253" i="1"/>
  <c r="BP252" i="1"/>
  <c r="BY252" i="1"/>
  <c r="HY252" i="1" s="1"/>
  <c r="CB251" i="1"/>
  <c r="GF352" i="6"/>
  <c r="GC353" i="6"/>
  <c r="Q253" i="1"/>
  <c r="T252" i="1"/>
  <c r="BY351" i="6"/>
  <c r="CB350" i="6"/>
  <c r="AO252" i="1"/>
  <c r="H251" i="10"/>
  <c r="AR251" i="1"/>
  <c r="HX251" i="1"/>
  <c r="CN252" i="1"/>
  <c r="CK253" i="1"/>
  <c r="EG252" i="1"/>
  <c r="HZ252" i="1" s="1"/>
  <c r="EJ251" i="1"/>
  <c r="F251" i="10"/>
  <c r="E253" i="1"/>
  <c r="H252" i="1"/>
  <c r="EJ350" i="6"/>
  <c r="EG351" i="6"/>
  <c r="EV351" i="6"/>
  <c r="ES352" i="6"/>
  <c r="ES253" i="1"/>
  <c r="EV252" i="1"/>
  <c r="FQ254" i="1"/>
  <c r="FT253" i="1"/>
  <c r="HD251" i="1"/>
  <c r="HA252" i="1"/>
  <c r="IA251" i="1"/>
  <c r="J251" i="10"/>
  <c r="FH252" i="1"/>
  <c r="FE253" i="1"/>
  <c r="DL252" i="1"/>
  <c r="DI253" i="1"/>
  <c r="FH351" i="6"/>
  <c r="FE352" i="6"/>
  <c r="DU253" i="1"/>
  <c r="DX252" i="1"/>
  <c r="D252" i="10"/>
  <c r="FQ351" i="6"/>
  <c r="FT350" i="6"/>
  <c r="CN350" i="6"/>
  <c r="CK351" i="6"/>
  <c r="HM350" i="6"/>
  <c r="HP350" i="6" s="1"/>
  <c r="GO351" i="6"/>
  <c r="GR350" i="6"/>
  <c r="CW253" i="1"/>
  <c r="CZ252" i="1"/>
  <c r="F254" i="1"/>
  <c r="HN253" i="1"/>
  <c r="BA254" i="1"/>
  <c r="BD253" i="1"/>
  <c r="GR252" i="1" l="1"/>
  <c r="GO253" i="1"/>
  <c r="C251" i="10"/>
  <c r="HM252" i="1"/>
  <c r="HP252" i="1" s="1"/>
  <c r="AF259" i="1"/>
  <c r="AC260" i="1"/>
  <c r="CZ352" i="6"/>
  <c r="CW353" i="6"/>
  <c r="J252" i="10"/>
  <c r="GF252" i="1"/>
  <c r="GC253" i="1"/>
  <c r="HD351" i="6"/>
  <c r="HA352" i="6"/>
  <c r="DI353" i="6"/>
  <c r="DL352" i="6"/>
  <c r="CB252" i="1"/>
  <c r="BY253" i="1"/>
  <c r="BM254" i="1"/>
  <c r="BP253" i="1"/>
  <c r="DU353" i="6"/>
  <c r="DX352" i="6"/>
  <c r="HX252" i="1"/>
  <c r="AR252" i="1"/>
  <c r="AO253" i="1"/>
  <c r="H253" i="10" s="1"/>
  <c r="H252" i="10"/>
  <c r="ES254" i="1"/>
  <c r="EV253" i="1"/>
  <c r="ES353" i="6"/>
  <c r="EV352" i="6"/>
  <c r="EG253" i="1"/>
  <c r="HZ253" i="1" s="1"/>
  <c r="EJ252" i="1"/>
  <c r="F252" i="10"/>
  <c r="CB351" i="6"/>
  <c r="BY352" i="6"/>
  <c r="CN253" i="1"/>
  <c r="CK254" i="1"/>
  <c r="HA253" i="1"/>
  <c r="J253" i="10" s="1"/>
  <c r="HD252" i="1"/>
  <c r="IA252" i="1"/>
  <c r="EG352" i="6"/>
  <c r="EJ351" i="6"/>
  <c r="T253" i="1"/>
  <c r="Q254" i="1"/>
  <c r="GF354" i="6"/>
  <c r="GF353" i="6"/>
  <c r="FT255" i="1"/>
  <c r="FQ257" i="1"/>
  <c r="FT254" i="1"/>
  <c r="H253" i="1"/>
  <c r="E254" i="1"/>
  <c r="DU254" i="1"/>
  <c r="DX253" i="1"/>
  <c r="D253" i="10"/>
  <c r="CN351" i="6"/>
  <c r="CK352" i="6"/>
  <c r="HM351" i="6"/>
  <c r="HP351" i="6" s="1"/>
  <c r="GO352" i="6"/>
  <c r="GR351" i="6"/>
  <c r="DI254" i="1"/>
  <c r="DL253" i="1"/>
  <c r="FH253" i="1"/>
  <c r="FE254" i="1"/>
  <c r="FE353" i="6"/>
  <c r="FH352" i="6"/>
  <c r="FQ352" i="6"/>
  <c r="FT351" i="6"/>
  <c r="BA257" i="1"/>
  <c r="BD254" i="1"/>
  <c r="BD255" i="1"/>
  <c r="CZ253" i="1"/>
  <c r="CW254" i="1"/>
  <c r="F257" i="1"/>
  <c r="HN254" i="1"/>
  <c r="GO254" i="1" l="1"/>
  <c r="GR253" i="1"/>
  <c r="C252" i="10"/>
  <c r="CZ353" i="6"/>
  <c r="CZ354" i="6"/>
  <c r="AF260" i="1"/>
  <c r="AC261" i="1"/>
  <c r="HY253" i="1"/>
  <c r="BY254" i="1"/>
  <c r="IG265" i="1" s="1"/>
  <c r="IG263" i="1" s="1"/>
  <c r="CB253" i="1"/>
  <c r="DL353" i="6"/>
  <c r="DL354" i="6"/>
  <c r="HA353" i="6"/>
  <c r="HD352" i="6"/>
  <c r="DX353" i="6"/>
  <c r="DX354" i="6"/>
  <c r="GF253" i="1"/>
  <c r="GC254" i="1"/>
  <c r="BM257" i="1"/>
  <c r="BP255" i="1"/>
  <c r="BP254" i="1"/>
  <c r="HA254" i="1"/>
  <c r="J254" i="10" s="1"/>
  <c r="HD253" i="1"/>
  <c r="IA253" i="1"/>
  <c r="H255" i="1"/>
  <c r="E257" i="1"/>
  <c r="H254" i="1"/>
  <c r="T254" i="1"/>
  <c r="T255" i="1"/>
  <c r="Q257" i="1"/>
  <c r="CN255" i="1"/>
  <c r="CK257" i="1"/>
  <c r="CN254" i="1"/>
  <c r="EV353" i="6"/>
  <c r="EV354" i="6"/>
  <c r="EJ253" i="1"/>
  <c r="EG254" i="1"/>
  <c r="HZ254" i="1" s="1"/>
  <c r="HM253" i="1"/>
  <c r="HP253" i="1" s="1"/>
  <c r="F253" i="10"/>
  <c r="FQ258" i="1"/>
  <c r="FT257" i="1"/>
  <c r="ES257" i="1"/>
  <c r="EV255" i="1"/>
  <c r="EV254" i="1"/>
  <c r="EG353" i="6"/>
  <c r="EJ352" i="6"/>
  <c r="HX253" i="1"/>
  <c r="AO254" i="1"/>
  <c r="H254" i="10" s="1"/>
  <c r="AR253" i="1"/>
  <c r="CB352" i="6"/>
  <c r="BY353" i="6"/>
  <c r="GR352" i="6"/>
  <c r="GO353" i="6"/>
  <c r="BD257" i="1"/>
  <c r="BA258" i="1"/>
  <c r="CK353" i="6"/>
  <c r="CN352" i="6"/>
  <c r="HM352" i="6"/>
  <c r="HP352" i="6" s="1"/>
  <c r="DU257" i="1"/>
  <c r="DX254" i="1"/>
  <c r="DX255" i="1"/>
  <c r="HZ255" i="1"/>
  <c r="D254" i="10"/>
  <c r="F31" i="11"/>
  <c r="FE257" i="1"/>
  <c r="FH255" i="1"/>
  <c r="FH254" i="1"/>
  <c r="CZ254" i="1"/>
  <c r="CZ255" i="1"/>
  <c r="CW257" i="1"/>
  <c r="F258" i="1"/>
  <c r="HN257" i="1"/>
  <c r="HL265" i="1" s="1"/>
  <c r="FH354" i="6"/>
  <c r="FH353" i="6"/>
  <c r="DL254" i="1"/>
  <c r="DL255" i="1"/>
  <c r="DI257" i="1"/>
  <c r="FT352" i="6"/>
  <c r="FQ353" i="6"/>
  <c r="HY254" i="1" l="1"/>
  <c r="HY255" i="1"/>
  <c r="GR254" i="1"/>
  <c r="GR255" i="1"/>
  <c r="GO257" i="1"/>
  <c r="GR257" i="1" s="1"/>
  <c r="AF261" i="1"/>
  <c r="AC262" i="1"/>
  <c r="J31" i="11"/>
  <c r="HM254" i="1"/>
  <c r="C254" i="10" s="1"/>
  <c r="IH265" i="1"/>
  <c r="IH263" i="1" s="1"/>
  <c r="C253" i="10"/>
  <c r="HD353" i="6"/>
  <c r="HD354" i="6"/>
  <c r="BP257" i="1"/>
  <c r="BM258" i="1"/>
  <c r="GC257" i="1"/>
  <c r="GF254" i="1"/>
  <c r="GF255" i="1"/>
  <c r="BY257" i="1"/>
  <c r="HY257" i="1" s="1"/>
  <c r="CB254" i="1"/>
  <c r="CB255" i="1"/>
  <c r="CB353" i="6"/>
  <c r="CB354" i="6"/>
  <c r="ES258" i="1"/>
  <c r="EV257" i="1"/>
  <c r="H257" i="1"/>
  <c r="E258" i="1"/>
  <c r="HX255" i="1"/>
  <c r="AO257" i="1"/>
  <c r="IF265" i="1"/>
  <c r="IF263" i="1" s="1"/>
  <c r="AR255" i="1"/>
  <c r="HX254" i="1"/>
  <c r="AR254" i="1"/>
  <c r="FQ259" i="1"/>
  <c r="FT258" i="1"/>
  <c r="CK258" i="1"/>
  <c r="CN257" i="1"/>
  <c r="Q258" i="1"/>
  <c r="T257" i="1"/>
  <c r="EJ354" i="6"/>
  <c r="EJ353" i="6"/>
  <c r="EJ255" i="1"/>
  <c r="EJ254" i="1"/>
  <c r="EG257" i="1"/>
  <c r="HZ257" i="1" s="1"/>
  <c r="H31" i="11"/>
  <c r="F254" i="10"/>
  <c r="HD254" i="1"/>
  <c r="HD255" i="1"/>
  <c r="HA257" i="1"/>
  <c r="IA255" i="1"/>
  <c r="II265" i="1"/>
  <c r="II263" i="1" s="1"/>
  <c r="IA254" i="1"/>
  <c r="L31" i="11"/>
  <c r="CN353" i="6"/>
  <c r="CN354" i="6"/>
  <c r="HM353" i="6"/>
  <c r="GR354" i="6"/>
  <c r="GR353" i="6"/>
  <c r="DI258" i="1"/>
  <c r="DL257" i="1"/>
  <c r="CZ257" i="1"/>
  <c r="CW258" i="1"/>
  <c r="FH257" i="1"/>
  <c r="FE258" i="1"/>
  <c r="BD258" i="1"/>
  <c r="BA259" i="1"/>
  <c r="F259" i="1"/>
  <c r="HN258" i="1"/>
  <c r="FT353" i="6"/>
  <c r="FT354" i="6"/>
  <c r="DU258" i="1"/>
  <c r="DX257" i="1"/>
  <c r="D257" i="10"/>
  <c r="GO258" i="1" l="1"/>
  <c r="D258" i="10" s="1"/>
  <c r="HP255" i="1"/>
  <c r="HP254" i="1"/>
  <c r="AC263" i="1"/>
  <c r="AF262" i="1"/>
  <c r="HM257" i="1"/>
  <c r="HP257" i="1" s="1"/>
  <c r="CB257" i="1"/>
  <c r="BY258" i="1"/>
  <c r="HY258" i="1" s="1"/>
  <c r="GF257" i="1"/>
  <c r="GC258" i="1"/>
  <c r="BP258" i="1"/>
  <c r="BM259" i="1"/>
  <c r="EG258" i="1"/>
  <c r="EJ257" i="1"/>
  <c r="F257" i="10"/>
  <c r="H257" i="10"/>
  <c r="AR257" i="1"/>
  <c r="HX257" i="1"/>
  <c r="AO258" i="1"/>
  <c r="H258" i="10" s="1"/>
  <c r="CK259" i="1"/>
  <c r="CN258" i="1"/>
  <c r="E259" i="1"/>
  <c r="H258" i="1"/>
  <c r="HA258" i="1"/>
  <c r="HD257" i="1"/>
  <c r="IA257" i="1"/>
  <c r="FT259" i="1"/>
  <c r="FQ260" i="1"/>
  <c r="ES259" i="1"/>
  <c r="EV258" i="1"/>
  <c r="Q259" i="1"/>
  <c r="T258" i="1"/>
  <c r="J257" i="10"/>
  <c r="F260" i="1"/>
  <c r="HN259" i="1"/>
  <c r="CZ258" i="1"/>
  <c r="CW259" i="1"/>
  <c r="BA260" i="1"/>
  <c r="BD259" i="1"/>
  <c r="FE259" i="1"/>
  <c r="FH258" i="1"/>
  <c r="DL258" i="1"/>
  <c r="DI259" i="1"/>
  <c r="DX258" i="1"/>
  <c r="DU259" i="1"/>
  <c r="HZ258" i="1"/>
  <c r="HP354" i="6"/>
  <c r="HP353" i="6"/>
  <c r="GR258" i="1" l="1"/>
  <c r="GO259" i="1"/>
  <c r="HK265" i="1"/>
  <c r="C257" i="10"/>
  <c r="AC266" i="1"/>
  <c r="AF264" i="1"/>
  <c r="AF263" i="1"/>
  <c r="F258" i="10"/>
  <c r="BM260" i="1"/>
  <c r="BP259" i="1"/>
  <c r="GF258" i="1"/>
  <c r="GC259" i="1"/>
  <c r="CB258" i="1"/>
  <c r="BY259" i="1"/>
  <c r="HY259" i="1" s="1"/>
  <c r="FQ261" i="1"/>
  <c r="FT260" i="1"/>
  <c r="CK260" i="1"/>
  <c r="CN259" i="1"/>
  <c r="HX258" i="1"/>
  <c r="AO259" i="1"/>
  <c r="AR258" i="1"/>
  <c r="T259" i="1"/>
  <c r="Q260" i="1"/>
  <c r="HA259" i="1"/>
  <c r="HD258" i="1"/>
  <c r="IA258" i="1"/>
  <c r="J258" i="10"/>
  <c r="EV259" i="1"/>
  <c r="ES260" i="1"/>
  <c r="H259" i="1"/>
  <c r="E260" i="1"/>
  <c r="HM258" i="1"/>
  <c r="HP258" i="1" s="1"/>
  <c r="EG259" i="1"/>
  <c r="HZ259" i="1" s="1"/>
  <c r="EJ258" i="1"/>
  <c r="F261" i="1"/>
  <c r="HN260" i="1"/>
  <c r="DI260" i="1"/>
  <c r="DL259" i="1"/>
  <c r="CZ259" i="1"/>
  <c r="CW260" i="1"/>
  <c r="BD260" i="1"/>
  <c r="BA261" i="1"/>
  <c r="FE260" i="1"/>
  <c r="FH259" i="1"/>
  <c r="DU260" i="1"/>
  <c r="DX259" i="1"/>
  <c r="D259" i="10"/>
  <c r="GO260" i="1" l="1"/>
  <c r="GR259" i="1"/>
  <c r="AF266" i="1"/>
  <c r="AC267" i="1"/>
  <c r="GC260" i="1"/>
  <c r="GF259" i="1"/>
  <c r="BY260" i="1"/>
  <c r="HY260" i="1" s="1"/>
  <c r="CB259" i="1"/>
  <c r="BP260" i="1"/>
  <c r="BM261" i="1"/>
  <c r="EG260" i="1"/>
  <c r="HZ260" i="1" s="1"/>
  <c r="EJ259" i="1"/>
  <c r="F259" i="10"/>
  <c r="AO260" i="1"/>
  <c r="H260" i="10" s="1"/>
  <c r="AR259" i="1"/>
  <c r="H259" i="10"/>
  <c r="C258" i="10"/>
  <c r="HM259" i="1"/>
  <c r="HP259" i="1" s="1"/>
  <c r="H260" i="1"/>
  <c r="E261" i="1"/>
  <c r="HX259" i="1"/>
  <c r="HA260" i="1"/>
  <c r="J260" i="10" s="1"/>
  <c r="HD259" i="1"/>
  <c r="IA259" i="1"/>
  <c r="CK261" i="1"/>
  <c r="CN260" i="1"/>
  <c r="J259" i="10"/>
  <c r="ES261" i="1"/>
  <c r="EV260" i="1"/>
  <c r="Q261" i="1"/>
  <c r="T260" i="1"/>
  <c r="FQ262" i="1"/>
  <c r="FT261" i="1"/>
  <c r="FE261" i="1"/>
  <c r="FH260" i="1"/>
  <c r="DI261" i="1"/>
  <c r="DL260" i="1"/>
  <c r="DU261" i="1"/>
  <c r="DX260" i="1"/>
  <c r="D260" i="10"/>
  <c r="BA262" i="1"/>
  <c r="BD261" i="1"/>
  <c r="CW261" i="1"/>
  <c r="CZ260" i="1"/>
  <c r="F262" i="1"/>
  <c r="HN261" i="1"/>
  <c r="GR260" i="1" l="1"/>
  <c r="GO261" i="1"/>
  <c r="AF267" i="1"/>
  <c r="AC268" i="1"/>
  <c r="C259" i="10"/>
  <c r="BM262" i="1"/>
  <c r="BP261" i="1"/>
  <c r="BY261" i="1"/>
  <c r="CB260" i="1"/>
  <c r="GC261" i="1"/>
  <c r="GF260" i="1"/>
  <c r="Q262" i="1"/>
  <c r="T261" i="1"/>
  <c r="CN261" i="1"/>
  <c r="CK262" i="1"/>
  <c r="HA261" i="1"/>
  <c r="HD260" i="1"/>
  <c r="IA260" i="1"/>
  <c r="EV261" i="1"/>
  <c r="ES262" i="1"/>
  <c r="HX260" i="1"/>
  <c r="AO261" i="1"/>
  <c r="H261" i="10" s="1"/>
  <c r="AR260" i="1"/>
  <c r="E262" i="1"/>
  <c r="H261" i="1"/>
  <c r="FQ263" i="1"/>
  <c r="FT262" i="1"/>
  <c r="HM260" i="1"/>
  <c r="C260" i="10" s="1"/>
  <c r="EJ260" i="1"/>
  <c r="EG261" i="1"/>
  <c r="HZ261" i="1" s="1"/>
  <c r="F260" i="10"/>
  <c r="CW262" i="1"/>
  <c r="CZ261" i="1"/>
  <c r="DU262" i="1"/>
  <c r="DX261" i="1"/>
  <c r="D261" i="10"/>
  <c r="DL261" i="1"/>
  <c r="DI262" i="1"/>
  <c r="BD262" i="1"/>
  <c r="BA263" i="1"/>
  <c r="FE262" i="1"/>
  <c r="FH261" i="1"/>
  <c r="F263" i="1"/>
  <c r="HN262" i="1"/>
  <c r="GO262" i="1" l="1"/>
  <c r="GR261" i="1"/>
  <c r="F261" i="10"/>
  <c r="HM261" i="1"/>
  <c r="HP261" i="1" s="1"/>
  <c r="AC269" i="1"/>
  <c r="AF268" i="1"/>
  <c r="HP260" i="1"/>
  <c r="GF261" i="1"/>
  <c r="GC262" i="1"/>
  <c r="BY262" i="1"/>
  <c r="CB261" i="1"/>
  <c r="HY261" i="1"/>
  <c r="BP262" i="1"/>
  <c r="BM263" i="1"/>
  <c r="E263" i="1"/>
  <c r="H262" i="1"/>
  <c r="EJ261" i="1"/>
  <c r="EG262" i="1"/>
  <c r="HD261" i="1"/>
  <c r="HA262" i="1"/>
  <c r="J262" i="10" s="1"/>
  <c r="IA261" i="1"/>
  <c r="AO262" i="1"/>
  <c r="AR261" i="1"/>
  <c r="HX261" i="1"/>
  <c r="EV262" i="1"/>
  <c r="ES263" i="1"/>
  <c r="CK263" i="1"/>
  <c r="CN262" i="1"/>
  <c r="J261" i="10"/>
  <c r="FT264" i="1"/>
  <c r="FQ266" i="1"/>
  <c r="FT263" i="1"/>
  <c r="Q263" i="1"/>
  <c r="T262" i="1"/>
  <c r="BA266" i="1"/>
  <c r="BD263" i="1"/>
  <c r="BD264" i="1"/>
  <c r="DU263" i="1"/>
  <c r="DX262" i="1"/>
  <c r="HZ262" i="1"/>
  <c r="D262" i="10"/>
  <c r="FH262" i="1"/>
  <c r="FE263" i="1"/>
  <c r="F266" i="1"/>
  <c r="HN263" i="1"/>
  <c r="DL262" i="1"/>
  <c r="DI263" i="1"/>
  <c r="CW263" i="1"/>
  <c r="CZ262" i="1"/>
  <c r="GO263" i="1" l="1"/>
  <c r="GR262" i="1"/>
  <c r="C261" i="10"/>
  <c r="HM262" i="1"/>
  <c r="HP262" i="1" s="1"/>
  <c r="AF269" i="1"/>
  <c r="AC270" i="1"/>
  <c r="BP264" i="1"/>
  <c r="BM266" i="1"/>
  <c r="BP263" i="1"/>
  <c r="HY262" i="1"/>
  <c r="CB262" i="1"/>
  <c r="BY263" i="1"/>
  <c r="HY263" i="1" s="1"/>
  <c r="GF262" i="1"/>
  <c r="GC263" i="1"/>
  <c r="CN263" i="1"/>
  <c r="CN264" i="1"/>
  <c r="CK266" i="1"/>
  <c r="ES266" i="1"/>
  <c r="EV264" i="1"/>
  <c r="EV263" i="1"/>
  <c r="HA263" i="1"/>
  <c r="J263" i="10" s="1"/>
  <c r="HD262" i="1"/>
  <c r="IA262" i="1"/>
  <c r="Q266" i="1"/>
  <c r="T264" i="1"/>
  <c r="T263" i="1"/>
  <c r="EG263" i="1"/>
  <c r="EJ262" i="1"/>
  <c r="F262" i="10"/>
  <c r="FQ267" i="1"/>
  <c r="FT266" i="1"/>
  <c r="AO263" i="1"/>
  <c r="HX264" i="1" s="1"/>
  <c r="HX262" i="1"/>
  <c r="H262" i="10"/>
  <c r="AR262" i="1"/>
  <c r="E266" i="1"/>
  <c r="H263" i="1"/>
  <c r="H264" i="1"/>
  <c r="CW266" i="1"/>
  <c r="CZ263" i="1"/>
  <c r="CZ264" i="1"/>
  <c r="F267" i="1"/>
  <c r="HN266" i="1"/>
  <c r="HL274" i="1" s="1"/>
  <c r="FH263" i="1"/>
  <c r="FE266" i="1"/>
  <c r="FH264" i="1"/>
  <c r="IG274" i="1"/>
  <c r="IG272" i="1" s="1"/>
  <c r="BA267" i="1"/>
  <c r="BD266" i="1"/>
  <c r="DL264" i="1"/>
  <c r="DL263" i="1"/>
  <c r="DI266" i="1"/>
  <c r="DX263" i="1"/>
  <c r="DX264" i="1"/>
  <c r="DU266" i="1"/>
  <c r="IH274" i="1"/>
  <c r="IH272" i="1" s="1"/>
  <c r="HZ263" i="1"/>
  <c r="HZ264" i="1"/>
  <c r="F32" i="11"/>
  <c r="D263" i="10"/>
  <c r="HY264" i="1" l="1"/>
  <c r="GO266" i="1"/>
  <c r="GR264" i="1"/>
  <c r="GR263" i="1"/>
  <c r="H263" i="10"/>
  <c r="J32" i="11"/>
  <c r="C262" i="10"/>
  <c r="AC271" i="1"/>
  <c r="AF270" i="1"/>
  <c r="GC266" i="1"/>
  <c r="GF264" i="1"/>
  <c r="GF263" i="1"/>
  <c r="CB264" i="1"/>
  <c r="BY266" i="1"/>
  <c r="CB263" i="1"/>
  <c r="HM263" i="1"/>
  <c r="C263" i="10" s="1"/>
  <c r="L32" i="11"/>
  <c r="BM267" i="1"/>
  <c r="BP266" i="1"/>
  <c r="EJ263" i="1"/>
  <c r="EG266" i="1"/>
  <c r="HZ266" i="1" s="1"/>
  <c r="EJ264" i="1"/>
  <c r="HD264" i="1"/>
  <c r="HA266" i="1"/>
  <c r="J266" i="10" s="1"/>
  <c r="HD263" i="1"/>
  <c r="II274" i="1"/>
  <c r="II272" i="1" s="1"/>
  <c r="IA264" i="1"/>
  <c r="IA263" i="1"/>
  <c r="H32" i="11"/>
  <c r="F263" i="10"/>
  <c r="AO266" i="1"/>
  <c r="HX266" i="1" s="1"/>
  <c r="HX263" i="1"/>
  <c r="AR263" i="1"/>
  <c r="AR264" i="1"/>
  <c r="IF274" i="1"/>
  <c r="IF272" i="1" s="1"/>
  <c r="ES267" i="1"/>
  <c r="EV266" i="1"/>
  <c r="CK267" i="1"/>
  <c r="CN266" i="1"/>
  <c r="FT267" i="1"/>
  <c r="FQ268" i="1"/>
  <c r="T266" i="1"/>
  <c r="Q267" i="1"/>
  <c r="H266" i="1"/>
  <c r="E267" i="1"/>
  <c r="DU267" i="1"/>
  <c r="DX266" i="1"/>
  <c r="D266" i="10"/>
  <c r="DL266" i="1"/>
  <c r="DI267" i="1"/>
  <c r="FE267" i="1"/>
  <c r="FH266" i="1"/>
  <c r="F268" i="1"/>
  <c r="HN267" i="1"/>
  <c r="BA268" i="1"/>
  <c r="BD267" i="1"/>
  <c r="CZ266" i="1"/>
  <c r="CW267" i="1"/>
  <c r="GO267" i="1" l="1"/>
  <c r="GR266" i="1"/>
  <c r="AF271" i="1"/>
  <c r="AC272" i="1"/>
  <c r="HM266" i="1"/>
  <c r="HP266" i="1" s="1"/>
  <c r="HP264" i="1"/>
  <c r="HP263" i="1"/>
  <c r="CB266" i="1"/>
  <c r="HY266" i="1"/>
  <c r="BY267" i="1"/>
  <c r="BM268" i="1"/>
  <c r="BP267" i="1"/>
  <c r="GC267" i="1"/>
  <c r="GF266" i="1"/>
  <c r="FQ269" i="1"/>
  <c r="FT268" i="1"/>
  <c r="AO267" i="1"/>
  <c r="H266" i="10"/>
  <c r="AR266" i="1"/>
  <c r="HA267" i="1"/>
  <c r="J267" i="10" s="1"/>
  <c r="HD266" i="1"/>
  <c r="IA266" i="1"/>
  <c r="E268" i="1"/>
  <c r="H267" i="1"/>
  <c r="CN267" i="1"/>
  <c r="CK268" i="1"/>
  <c r="EV267" i="1"/>
  <c r="ES268" i="1"/>
  <c r="EG267" i="1"/>
  <c r="HZ267" i="1" s="1"/>
  <c r="EJ266" i="1"/>
  <c r="F266" i="10"/>
  <c r="T267" i="1"/>
  <c r="Q268" i="1"/>
  <c r="HY267" i="1"/>
  <c r="F269" i="1"/>
  <c r="HN268" i="1"/>
  <c r="CZ267" i="1"/>
  <c r="CW268" i="1"/>
  <c r="FE268" i="1"/>
  <c r="FH267" i="1"/>
  <c r="DU268" i="1"/>
  <c r="DX267" i="1"/>
  <c r="D267" i="10"/>
  <c r="DL267" i="1"/>
  <c r="DI268" i="1"/>
  <c r="BD268" i="1"/>
  <c r="BA269" i="1"/>
  <c r="GR267" i="1" l="1"/>
  <c r="GO268" i="1"/>
  <c r="AF272" i="1"/>
  <c r="AC275" i="1"/>
  <c r="AF273" i="1"/>
  <c r="HM267" i="1"/>
  <c r="C267" i="10" s="1"/>
  <c r="C266" i="10"/>
  <c r="HK274" i="1"/>
  <c r="GC268" i="1"/>
  <c r="GF267" i="1"/>
  <c r="BP268" i="1"/>
  <c r="BM269" i="1"/>
  <c r="BY268" i="1"/>
  <c r="HY268" i="1" s="1"/>
  <c r="CB267" i="1"/>
  <c r="CK269" i="1"/>
  <c r="CN268" i="1"/>
  <c r="HX267" i="1"/>
  <c r="AO268" i="1"/>
  <c r="HX268" i="1" s="1"/>
  <c r="AR267" i="1"/>
  <c r="Q269" i="1"/>
  <c r="T268" i="1"/>
  <c r="H267" i="10"/>
  <c r="E269" i="1"/>
  <c r="H268" i="1"/>
  <c r="FT269" i="1"/>
  <c r="FQ270" i="1"/>
  <c r="EG268" i="1"/>
  <c r="EJ267" i="1"/>
  <c r="F267" i="10"/>
  <c r="ES269" i="1"/>
  <c r="EV268" i="1"/>
  <c r="HD267" i="1"/>
  <c r="HA268" i="1"/>
  <c r="J268" i="10" s="1"/>
  <c r="IA267" i="1"/>
  <c r="DU269" i="1"/>
  <c r="DX268" i="1"/>
  <c r="HZ268" i="1"/>
  <c r="D268" i="10"/>
  <c r="F270" i="1"/>
  <c r="HN269" i="1"/>
  <c r="DL268" i="1"/>
  <c r="DI269" i="1"/>
  <c r="FH268" i="1"/>
  <c r="FE269" i="1"/>
  <c r="BA270" i="1"/>
  <c r="BD269" i="1"/>
  <c r="CW269" i="1"/>
  <c r="CZ268" i="1"/>
  <c r="GO269" i="1" l="1"/>
  <c r="GR268" i="1"/>
  <c r="AF275" i="1"/>
  <c r="AC276" i="1"/>
  <c r="HM268" i="1"/>
  <c r="HP268" i="1" s="1"/>
  <c r="HP267" i="1"/>
  <c r="F268" i="10"/>
  <c r="CB268" i="1"/>
  <c r="BY269" i="1"/>
  <c r="HY269" i="1" s="1"/>
  <c r="BP269" i="1"/>
  <c r="BM270" i="1"/>
  <c r="GF268" i="1"/>
  <c r="GC269" i="1"/>
  <c r="HD268" i="1"/>
  <c r="HA269" i="1"/>
  <c r="J269" i="10" s="1"/>
  <c r="IA268" i="1"/>
  <c r="EJ268" i="1"/>
  <c r="EG269" i="1"/>
  <c r="FQ271" i="1"/>
  <c r="FT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HN270" i="1"/>
  <c r="BA271" i="1"/>
  <c r="BD270" i="1"/>
  <c r="DL269" i="1"/>
  <c r="DI270" i="1"/>
  <c r="DX269" i="1"/>
  <c r="DU270" i="1"/>
  <c r="D269" i="10"/>
  <c r="CW270" i="1"/>
  <c r="CZ269" i="1"/>
  <c r="FH269" i="1"/>
  <c r="FE270" i="1"/>
  <c r="GO270" i="1" l="1"/>
  <c r="GR269" i="1"/>
  <c r="C268" i="10"/>
  <c r="AC277" i="1"/>
  <c r="AF276" i="1"/>
  <c r="HX269" i="1"/>
  <c r="HM269" i="1"/>
  <c r="HP269" i="1" s="1"/>
  <c r="GF269" i="1"/>
  <c r="GC270" i="1"/>
  <c r="BP270" i="1"/>
  <c r="BM271" i="1"/>
  <c r="BY270" i="1"/>
  <c r="CB269" i="1"/>
  <c r="FT271" i="1"/>
  <c r="FQ272" i="1"/>
  <c r="AR269" i="1"/>
  <c r="AO270" i="1"/>
  <c r="H270" i="10" s="1"/>
  <c r="EG270" i="1"/>
  <c r="EJ269" i="1"/>
  <c r="CK271" i="1"/>
  <c r="CN270" i="1"/>
  <c r="EV270" i="1"/>
  <c r="ES271" i="1"/>
  <c r="HZ269" i="1"/>
  <c r="T270" i="1"/>
  <c r="Q271" i="1"/>
  <c r="HA270" i="1"/>
  <c r="HD269" i="1"/>
  <c r="IA269" i="1"/>
  <c r="E271" i="1"/>
  <c r="H270" i="1"/>
  <c r="F269" i="10"/>
  <c r="BA272" i="1"/>
  <c r="BD271" i="1"/>
  <c r="DI271" i="1"/>
  <c r="DL270" i="1"/>
  <c r="DX270" i="1"/>
  <c r="DU271" i="1"/>
  <c r="D270" i="10"/>
  <c r="CW271" i="1"/>
  <c r="CZ270" i="1"/>
  <c r="FE271" i="1"/>
  <c r="FH270" i="1"/>
  <c r="F272" i="1"/>
  <c r="HN271" i="1"/>
  <c r="HY270" i="1"/>
  <c r="GO271" i="1" l="1"/>
  <c r="GR270" i="1"/>
  <c r="AC278" i="1"/>
  <c r="AF277" i="1"/>
  <c r="C269" i="10"/>
  <c r="CB270" i="1"/>
  <c r="BY271" i="1"/>
  <c r="HY271" i="1" s="1"/>
  <c r="BM272" i="1"/>
  <c r="BP271" i="1"/>
  <c r="GF270" i="1"/>
  <c r="GC271" i="1"/>
  <c r="CN271" i="1"/>
  <c r="CK272" i="1"/>
  <c r="HD270" i="1"/>
  <c r="HA271" i="1"/>
  <c r="IA270" i="1"/>
  <c r="Q272" i="1"/>
  <c r="T271" i="1"/>
  <c r="EG271" i="1"/>
  <c r="EJ270" i="1"/>
  <c r="F270" i="10"/>
  <c r="HX270" i="1"/>
  <c r="AR270" i="1"/>
  <c r="AO271" i="1"/>
  <c r="ES272" i="1"/>
  <c r="EV271" i="1"/>
  <c r="FQ275" i="1"/>
  <c r="FT272" i="1"/>
  <c r="FT273" i="1"/>
  <c r="E272" i="1"/>
  <c r="H271" i="1"/>
  <c r="HZ270" i="1"/>
  <c r="J270" i="10"/>
  <c r="HM270" i="1"/>
  <c r="BA275" i="1"/>
  <c r="BD272" i="1"/>
  <c r="BD273" i="1"/>
  <c r="CW272" i="1"/>
  <c r="CZ271" i="1"/>
  <c r="FE272" i="1"/>
  <c r="FH271" i="1"/>
  <c r="F275" i="1"/>
  <c r="HN272" i="1"/>
  <c r="DX271" i="1"/>
  <c r="DU272" i="1"/>
  <c r="HZ271" i="1"/>
  <c r="D271" i="10"/>
  <c r="DI272" i="1"/>
  <c r="DL271" i="1"/>
  <c r="GO272" i="1" l="1"/>
  <c r="GR271" i="1"/>
  <c r="HM271" i="1"/>
  <c r="HP271" i="1" s="1"/>
  <c r="AC279" i="1"/>
  <c r="AF278" i="1"/>
  <c r="GF271" i="1"/>
  <c r="GC272" i="1"/>
  <c r="F271" i="10"/>
  <c r="BP273" i="1"/>
  <c r="BP272" i="1"/>
  <c r="BM275" i="1"/>
  <c r="BY272" i="1"/>
  <c r="IG283" i="1" s="1"/>
  <c r="IG281" i="1" s="1"/>
  <c r="CB271" i="1"/>
  <c r="HX271" i="1"/>
  <c r="AO272" i="1"/>
  <c r="IF283" i="1" s="1"/>
  <c r="IF281" i="1" s="1"/>
  <c r="AR271" i="1"/>
  <c r="T272" i="1"/>
  <c r="Q275" i="1"/>
  <c r="T273" i="1"/>
  <c r="H273" i="1"/>
  <c r="E275" i="1"/>
  <c r="H272" i="1"/>
  <c r="HD271" i="1"/>
  <c r="HA272" i="1"/>
  <c r="L33" i="11" s="1"/>
  <c r="IA271" i="1"/>
  <c r="FT275" i="1"/>
  <c r="FQ276" i="1"/>
  <c r="CN273" i="1"/>
  <c r="CN272" i="1"/>
  <c r="CK275" i="1"/>
  <c r="H271" i="10"/>
  <c r="HP270" i="1"/>
  <c r="C270" i="10"/>
  <c r="EJ271" i="1"/>
  <c r="EG272" i="1"/>
  <c r="IH283" i="1" s="1"/>
  <c r="IH281" i="1" s="1"/>
  <c r="EV272" i="1"/>
  <c r="ES275" i="1"/>
  <c r="EV273" i="1"/>
  <c r="J271" i="10"/>
  <c r="DI275" i="1"/>
  <c r="DL272" i="1"/>
  <c r="DL273" i="1"/>
  <c r="DU275" i="1"/>
  <c r="DX272" i="1"/>
  <c r="DX273" i="1"/>
  <c r="D272" i="10"/>
  <c r="F33" i="11"/>
  <c r="BD275" i="1"/>
  <c r="BA276" i="1"/>
  <c r="F276" i="1"/>
  <c r="HN275" i="1"/>
  <c r="HL283" i="1" s="1"/>
  <c r="CZ273" i="1"/>
  <c r="CZ272" i="1"/>
  <c r="CW275" i="1"/>
  <c r="FE275" i="1"/>
  <c r="FH272" i="1"/>
  <c r="FH273" i="1"/>
  <c r="GO275" i="1" l="1"/>
  <c r="D275" i="10" s="1"/>
  <c r="GR272" i="1"/>
  <c r="GR273" i="1"/>
  <c r="J272" i="10"/>
  <c r="AF279" i="1"/>
  <c r="AC280" i="1"/>
  <c r="HY273" i="1"/>
  <c r="C271" i="10"/>
  <c r="HZ272" i="1"/>
  <c r="HZ273" i="1"/>
  <c r="HY272" i="1"/>
  <c r="CB273" i="1"/>
  <c r="BY275" i="1"/>
  <c r="HY275" i="1" s="1"/>
  <c r="CB272" i="1"/>
  <c r="BM276" i="1"/>
  <c r="BP275" i="1"/>
  <c r="H33" i="11"/>
  <c r="F272" i="10"/>
  <c r="GF273" i="1"/>
  <c r="GC275" i="1"/>
  <c r="GF272" i="1"/>
  <c r="Q276" i="1"/>
  <c r="T275" i="1"/>
  <c r="HD272" i="1"/>
  <c r="HD273" i="1"/>
  <c r="HA275" i="1"/>
  <c r="J275" i="10" s="1"/>
  <c r="IA273" i="1"/>
  <c r="II283" i="1"/>
  <c r="II281" i="1" s="1"/>
  <c r="IA272" i="1"/>
  <c r="ES276" i="1"/>
  <c r="EV275" i="1"/>
  <c r="E276" i="1"/>
  <c r="H275" i="1"/>
  <c r="CK276" i="1"/>
  <c r="CN275" i="1"/>
  <c r="EJ273" i="1"/>
  <c r="EG275" i="1"/>
  <c r="HZ275" i="1" s="1"/>
  <c r="EJ272" i="1"/>
  <c r="FT276" i="1"/>
  <c r="FQ277" i="1"/>
  <c r="HX272" i="1"/>
  <c r="HX273" i="1"/>
  <c r="AO275" i="1"/>
  <c r="HX275" i="1" s="1"/>
  <c r="HM272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HN276" i="1"/>
  <c r="GO276" i="1" l="1"/>
  <c r="GR275" i="1"/>
  <c r="H275" i="10"/>
  <c r="AF280" i="1"/>
  <c r="AC281" i="1"/>
  <c r="HM275" i="1"/>
  <c r="C275" i="10" s="1"/>
  <c r="BP276" i="1"/>
  <c r="BM277" i="1"/>
  <c r="BY276" i="1"/>
  <c r="HY276" i="1" s="1"/>
  <c r="CB275" i="1"/>
  <c r="GC276" i="1"/>
  <c r="GF275" i="1"/>
  <c r="Q277" i="1"/>
  <c r="T276" i="1"/>
  <c r="HD275" i="1"/>
  <c r="HA276" i="1"/>
  <c r="J276" i="10" s="1"/>
  <c r="IA275" i="1"/>
  <c r="FQ278" i="1"/>
  <c r="FT277" i="1"/>
  <c r="C272" i="10"/>
  <c r="HP273" i="1"/>
  <c r="HP272" i="1"/>
  <c r="H276" i="1"/>
  <c r="E277" i="1"/>
  <c r="EG276" i="1"/>
  <c r="HZ276" i="1" s="1"/>
  <c r="EJ275" i="1"/>
  <c r="AO276" i="1"/>
  <c r="HX276" i="1" s="1"/>
  <c r="AR275" i="1"/>
  <c r="F275" i="10"/>
  <c r="CK277" i="1"/>
  <c r="CN276" i="1"/>
  <c r="EV276" i="1"/>
  <c r="ES277" i="1"/>
  <c r="DL276" i="1"/>
  <c r="DI277" i="1"/>
  <c r="F278" i="1"/>
  <c r="HN277" i="1"/>
  <c r="BA278" i="1"/>
  <c r="BD277" i="1"/>
  <c r="FE277" i="1"/>
  <c r="FH276" i="1"/>
  <c r="DU277" i="1"/>
  <c r="DX276" i="1"/>
  <c r="D276" i="10"/>
  <c r="CW277" i="1"/>
  <c r="CZ276" i="1"/>
  <c r="GR276" i="1" l="1"/>
  <c r="GO277" i="1"/>
  <c r="D277" i="10" s="1"/>
  <c r="AF281" i="1"/>
  <c r="AF282" i="1"/>
  <c r="AC284" i="1"/>
  <c r="HP275" i="1"/>
  <c r="HK283" i="1"/>
  <c r="GC277" i="1"/>
  <c r="GF276" i="1"/>
  <c r="CB276" i="1"/>
  <c r="BY277" i="1"/>
  <c r="BP277" i="1"/>
  <c r="BM278" i="1"/>
  <c r="ES278" i="1"/>
  <c r="EV277" i="1"/>
  <c r="EJ276" i="1"/>
  <c r="EG277" i="1"/>
  <c r="HZ277" i="1" s="1"/>
  <c r="FQ279" i="1"/>
  <c r="FT278" i="1"/>
  <c r="E278" i="1"/>
  <c r="H277" i="1"/>
  <c r="CK278" i="1"/>
  <c r="CN277" i="1"/>
  <c r="HD276" i="1"/>
  <c r="HA277" i="1"/>
  <c r="IA276" i="1"/>
  <c r="HM276" i="1"/>
  <c r="C276" i="10" s="1"/>
  <c r="F276" i="10"/>
  <c r="H276" i="10"/>
  <c r="AR276" i="1"/>
  <c r="AO277" i="1"/>
  <c r="Q278" i="1"/>
  <c r="T277" i="1"/>
  <c r="DL277" i="1"/>
  <c r="DI278" i="1"/>
  <c r="BA279" i="1"/>
  <c r="BD278" i="1"/>
  <c r="HY277" i="1"/>
  <c r="FH277" i="1"/>
  <c r="FE278" i="1"/>
  <c r="F279" i="1"/>
  <c r="HN278" i="1"/>
  <c r="DU278" i="1"/>
  <c r="DX277" i="1"/>
  <c r="CZ277" i="1"/>
  <c r="CW278" i="1"/>
  <c r="GR277" i="1" l="1"/>
  <c r="GO278" i="1"/>
  <c r="AC285" i="1"/>
  <c r="AF284" i="1"/>
  <c r="HM277" i="1"/>
  <c r="HP277" i="1" s="1"/>
  <c r="BM279" i="1"/>
  <c r="BP278" i="1"/>
  <c r="BY278" i="1"/>
  <c r="CB277" i="1"/>
  <c r="GC278" i="1"/>
  <c r="GF277" i="1"/>
  <c r="E279" i="1"/>
  <c r="H278" i="1"/>
  <c r="HP276" i="1"/>
  <c r="Q279" i="1"/>
  <c r="T278" i="1"/>
  <c r="HA278" i="1"/>
  <c r="J278" i="10" s="1"/>
  <c r="HD277" i="1"/>
  <c r="IA277" i="1"/>
  <c r="FQ280" i="1"/>
  <c r="FT279" i="1"/>
  <c r="H277" i="10"/>
  <c r="AO278" i="1"/>
  <c r="AR277" i="1"/>
  <c r="EG278" i="1"/>
  <c r="HZ278" i="1" s="1"/>
  <c r="EJ277" i="1"/>
  <c r="F277" i="10"/>
  <c r="CN278" i="1"/>
  <c r="HX277" i="1"/>
  <c r="EV278" i="1"/>
  <c r="ES279" i="1"/>
  <c r="J277" i="10"/>
  <c r="BA280" i="1"/>
  <c r="BD279" i="1"/>
  <c r="F280" i="1"/>
  <c r="HN279" i="1"/>
  <c r="FH278" i="1"/>
  <c r="FE279" i="1"/>
  <c r="CW279" i="1"/>
  <c r="CZ278" i="1"/>
  <c r="DU279" i="1"/>
  <c r="DX278" i="1"/>
  <c r="D278" i="10"/>
  <c r="DI279" i="1"/>
  <c r="DL278" i="1"/>
  <c r="GR278" i="1" l="1"/>
  <c r="GO279" i="1"/>
  <c r="D279" i="10" s="1"/>
  <c r="HM278" i="1"/>
  <c r="HP278" i="1" s="1"/>
  <c r="C277" i="10"/>
  <c r="AC286" i="1"/>
  <c r="AF285" i="1"/>
  <c r="GF278" i="1"/>
  <c r="GC279" i="1"/>
  <c r="HY278" i="1"/>
  <c r="BY279" i="1"/>
  <c r="CB278" i="1"/>
  <c r="BM280" i="1"/>
  <c r="BP279" i="1"/>
  <c r="EG279" i="1"/>
  <c r="EJ278" i="1"/>
  <c r="F278" i="10"/>
  <c r="HD278" i="1"/>
  <c r="HA279" i="1"/>
  <c r="J279" i="10" s="1"/>
  <c r="IA278" i="1"/>
  <c r="EV279" i="1"/>
  <c r="ES280" i="1"/>
  <c r="HX278" i="1"/>
  <c r="AO279" i="1"/>
  <c r="H279" i="10" s="1"/>
  <c r="AR278" i="1"/>
  <c r="Q280" i="1"/>
  <c r="T279" i="1"/>
  <c r="H278" i="10"/>
  <c r="CN279" i="1"/>
  <c r="CK280" i="1"/>
  <c r="FQ281" i="1"/>
  <c r="FT280" i="1"/>
  <c r="H279" i="1"/>
  <c r="E280" i="1"/>
  <c r="CW280" i="1"/>
  <c r="CZ279" i="1"/>
  <c r="BA281" i="1"/>
  <c r="BD280" i="1"/>
  <c r="DL279" i="1"/>
  <c r="DI280" i="1"/>
  <c r="FH279" i="1"/>
  <c r="FE280" i="1"/>
  <c r="F281" i="1"/>
  <c r="HN280" i="1"/>
  <c r="DU280" i="1"/>
  <c r="DX279" i="1"/>
  <c r="HZ279" i="1"/>
  <c r="GO280" i="1" l="1"/>
  <c r="D280" i="10" s="1"/>
  <c r="GR279" i="1"/>
  <c r="C278" i="10"/>
  <c r="F279" i="10"/>
  <c r="AF286" i="1"/>
  <c r="AC287" i="1"/>
  <c r="HM279" i="1"/>
  <c r="C279" i="10" s="1"/>
  <c r="BM281" i="1"/>
  <c r="BP280" i="1"/>
  <c r="BY280" i="1"/>
  <c r="HY280" i="1" s="1"/>
  <c r="CB279" i="1"/>
  <c r="HY279" i="1"/>
  <c r="GC280" i="1"/>
  <c r="GF279" i="1"/>
  <c r="E281" i="1"/>
  <c r="H281" i="1" s="1"/>
  <c r="H280" i="1"/>
  <c r="HA280" i="1"/>
  <c r="J280" i="10" s="1"/>
  <c r="HD279" i="1"/>
  <c r="IA279" i="1"/>
  <c r="Q281" i="1"/>
  <c r="T280" i="1"/>
  <c r="FQ284" i="1"/>
  <c r="FT282" i="1"/>
  <c r="FT281" i="1"/>
  <c r="HX279" i="1"/>
  <c r="AR279" i="1"/>
  <c r="AO280" i="1"/>
  <c r="EV280" i="1"/>
  <c r="ES281" i="1"/>
  <c r="CN280" i="1"/>
  <c r="CK281" i="1"/>
  <c r="EG280" i="1"/>
  <c r="HZ280" i="1" s="1"/>
  <c r="EJ279" i="1"/>
  <c r="CW281" i="1"/>
  <c r="CZ280" i="1"/>
  <c r="DU281" i="1"/>
  <c r="DX280" i="1"/>
  <c r="BD282" i="1"/>
  <c r="BA284" i="1"/>
  <c r="BD281" i="1"/>
  <c r="F284" i="1"/>
  <c r="HN281" i="1"/>
  <c r="FE281" i="1"/>
  <c r="FH280" i="1"/>
  <c r="DL280" i="1"/>
  <c r="DI281" i="1"/>
  <c r="GO281" i="1" l="1"/>
  <c r="GR280" i="1"/>
  <c r="AF287" i="1"/>
  <c r="AC288" i="1"/>
  <c r="HM280" i="1"/>
  <c r="HP280" i="1" s="1"/>
  <c r="HP279" i="1"/>
  <c r="GC281" i="1"/>
  <c r="GF280" i="1"/>
  <c r="CB280" i="1"/>
  <c r="BY281" i="1"/>
  <c r="HY281" i="1" s="1"/>
  <c r="BP281" i="1"/>
  <c r="BP282" i="1"/>
  <c r="BM284" i="1"/>
  <c r="ES284" i="1"/>
  <c r="EV281" i="1"/>
  <c r="EV282" i="1"/>
  <c r="T281" i="1"/>
  <c r="T282" i="1"/>
  <c r="Q284" i="1"/>
  <c r="AR280" i="1"/>
  <c r="H280" i="10"/>
  <c r="HX280" i="1"/>
  <c r="AO281" i="1"/>
  <c r="HA281" i="1"/>
  <c r="J281" i="10" s="1"/>
  <c r="HD280" i="1"/>
  <c r="IA280" i="1"/>
  <c r="EG281" i="1"/>
  <c r="HZ282" i="1" s="1"/>
  <c r="EJ280" i="1"/>
  <c r="F280" i="10"/>
  <c r="CN281" i="1"/>
  <c r="CK284" i="1"/>
  <c r="CN282" i="1"/>
  <c r="H282" i="1"/>
  <c r="E284" i="1"/>
  <c r="FT284" i="1"/>
  <c r="FQ285" i="1"/>
  <c r="CZ281" i="1"/>
  <c r="CW284" i="1"/>
  <c r="CZ282" i="1"/>
  <c r="BD284" i="1"/>
  <c r="BA285" i="1"/>
  <c r="F285" i="1"/>
  <c r="HN284" i="1"/>
  <c r="HL292" i="1" s="1"/>
  <c r="DU284" i="1"/>
  <c r="DX281" i="1"/>
  <c r="DX282" i="1"/>
  <c r="F34" i="11"/>
  <c r="D281" i="10"/>
  <c r="DI284" i="1"/>
  <c r="DL281" i="1"/>
  <c r="DL282" i="1"/>
  <c r="FH282" i="1"/>
  <c r="FE284" i="1"/>
  <c r="FH281" i="1"/>
  <c r="GR281" i="1" l="1"/>
  <c r="GO284" i="1"/>
  <c r="GR282" i="1"/>
  <c r="C280" i="10"/>
  <c r="IG292" i="1"/>
  <c r="IG290" i="1" s="1"/>
  <c r="HY282" i="1"/>
  <c r="AC289" i="1"/>
  <c r="AF288" i="1"/>
  <c r="HZ281" i="1"/>
  <c r="IH292" i="1"/>
  <c r="IH290" i="1" s="1"/>
  <c r="BP284" i="1"/>
  <c r="BM285" i="1"/>
  <c r="H34" i="11"/>
  <c r="F281" i="10"/>
  <c r="CB282" i="1"/>
  <c r="BY284" i="1"/>
  <c r="CB281" i="1"/>
  <c r="GF281" i="1"/>
  <c r="GC284" i="1"/>
  <c r="GF282" i="1"/>
  <c r="CN284" i="1"/>
  <c r="CK285" i="1"/>
  <c r="HD281" i="1"/>
  <c r="HD282" i="1"/>
  <c r="HA284" i="1"/>
  <c r="J284" i="10" s="1"/>
  <c r="II292" i="1"/>
  <c r="II290" i="1" s="1"/>
  <c r="IA282" i="1"/>
  <c r="IA281" i="1"/>
  <c r="FT285" i="1"/>
  <c r="FQ286" i="1"/>
  <c r="HX282" i="1"/>
  <c r="AR282" i="1"/>
  <c r="AR281" i="1"/>
  <c r="J34" i="11"/>
  <c r="H281" i="10"/>
  <c r="IF292" i="1"/>
  <c r="IF290" i="1" s="1"/>
  <c r="AO284" i="1"/>
  <c r="H284" i="10" s="1"/>
  <c r="HM281" i="1"/>
  <c r="E285" i="1"/>
  <c r="H284" i="1"/>
  <c r="HX281" i="1"/>
  <c r="EG284" i="1"/>
  <c r="HZ284" i="1" s="1"/>
  <c r="EJ281" i="1"/>
  <c r="EJ282" i="1"/>
  <c r="L34" i="11"/>
  <c r="Q285" i="1"/>
  <c r="T284" i="1"/>
  <c r="EV284" i="1"/>
  <c r="ES285" i="1"/>
  <c r="HN285" i="1"/>
  <c r="DI285" i="1"/>
  <c r="DL284" i="1"/>
  <c r="CW285" i="1"/>
  <c r="CZ284" i="1"/>
  <c r="DU285" i="1"/>
  <c r="DX284" i="1"/>
  <c r="D284" i="10"/>
  <c r="FE285" i="1"/>
  <c r="FH284" i="1"/>
  <c r="BD285" i="1"/>
  <c r="BA286" i="1"/>
  <c r="GR284" i="1" l="1"/>
  <c r="GO285" i="1"/>
  <c r="AF289" i="1"/>
  <c r="AC290" i="1"/>
  <c r="CB284" i="1"/>
  <c r="HY284" i="1"/>
  <c r="BY285" i="1"/>
  <c r="HY285" i="1" s="1"/>
  <c r="HM284" i="1"/>
  <c r="HK292" i="1" s="1"/>
  <c r="BP285" i="1"/>
  <c r="BM286" i="1"/>
  <c r="GF284" i="1"/>
  <c r="GC285" i="1"/>
  <c r="EV285" i="1"/>
  <c r="ES286" i="1"/>
  <c r="EG285" i="1"/>
  <c r="HZ285" i="1" s="1"/>
  <c r="EJ284" i="1"/>
  <c r="HA285" i="1"/>
  <c r="J285" i="10" s="1"/>
  <c r="HD284" i="1"/>
  <c r="IA284" i="1"/>
  <c r="F284" i="10"/>
  <c r="Q286" i="1"/>
  <c r="T285" i="1"/>
  <c r="E286" i="1"/>
  <c r="H285" i="1"/>
  <c r="HP281" i="1"/>
  <c r="HP282" i="1"/>
  <c r="C281" i="10"/>
  <c r="FT286" i="1"/>
  <c r="FQ287" i="1"/>
  <c r="CK286" i="1"/>
  <c r="CN285" i="1"/>
  <c r="AO285" i="1"/>
  <c r="H285" i="10" s="1"/>
  <c r="AR284" i="1"/>
  <c r="HX284" i="1"/>
  <c r="F287" i="1"/>
  <c r="HN286" i="1"/>
  <c r="CW286" i="1"/>
  <c r="CZ285" i="1"/>
  <c r="BA287" i="1"/>
  <c r="BD286" i="1"/>
  <c r="FE286" i="1"/>
  <c r="FH285" i="1"/>
  <c r="DU286" i="1"/>
  <c r="DX285" i="1"/>
  <c r="D285" i="10"/>
  <c r="DL285" i="1"/>
  <c r="DI286" i="1"/>
  <c r="GO286" i="1" l="1"/>
  <c r="GR285" i="1"/>
  <c r="AF291" i="1"/>
  <c r="AC293" i="1"/>
  <c r="AF290" i="1"/>
  <c r="HP284" i="1"/>
  <c r="C284" i="10"/>
  <c r="GF285" i="1"/>
  <c r="GC286" i="1"/>
  <c r="BM287" i="1"/>
  <c r="BP286" i="1"/>
  <c r="HM285" i="1"/>
  <c r="C285" i="10" s="1"/>
  <c r="F285" i="10"/>
  <c r="CB285" i="1"/>
  <c r="BY286" i="1"/>
  <c r="AO286" i="1"/>
  <c r="HX286" i="1" s="1"/>
  <c r="AR285" i="1"/>
  <c r="HX285" i="1"/>
  <c r="HD285" i="1"/>
  <c r="HA286" i="1"/>
  <c r="IA285" i="1"/>
  <c r="CK287" i="1"/>
  <c r="CN286" i="1"/>
  <c r="E287" i="1"/>
  <c r="H286" i="1"/>
  <c r="FT287" i="1"/>
  <c r="FQ288" i="1"/>
  <c r="EG286" i="1"/>
  <c r="HZ286" i="1" s="1"/>
  <c r="EJ285" i="1"/>
  <c r="EV286" i="1"/>
  <c r="ES287" i="1"/>
  <c r="Q287" i="1"/>
  <c r="T286" i="1"/>
  <c r="BD287" i="1"/>
  <c r="BA288" i="1"/>
  <c r="CW287" i="1"/>
  <c r="CZ286" i="1"/>
  <c r="F288" i="1"/>
  <c r="HN287" i="1"/>
  <c r="DU287" i="1"/>
  <c r="DX286" i="1"/>
  <c r="D286" i="10"/>
  <c r="DI287" i="1"/>
  <c r="DL286" i="1"/>
  <c r="FH286" i="1"/>
  <c r="FE287" i="1"/>
  <c r="GR286" i="1" l="1"/>
  <c r="GO287" i="1"/>
  <c r="AF293" i="1"/>
  <c r="AC294" i="1"/>
  <c r="HP285" i="1"/>
  <c r="CB286" i="1"/>
  <c r="BY287" i="1"/>
  <c r="HY287" i="1" s="1"/>
  <c r="HY286" i="1"/>
  <c r="BP287" i="1"/>
  <c r="BM288" i="1"/>
  <c r="GF286" i="1"/>
  <c r="GC287" i="1"/>
  <c r="EG287" i="1"/>
  <c r="HZ287" i="1" s="1"/>
  <c r="EJ286" i="1"/>
  <c r="F286" i="10"/>
  <c r="CN287" i="1"/>
  <c r="CK288" i="1"/>
  <c r="Q288" i="1"/>
  <c r="T287" i="1"/>
  <c r="HD286" i="1"/>
  <c r="HA287" i="1"/>
  <c r="J287" i="10" s="1"/>
  <c r="IA286" i="1"/>
  <c r="FQ289" i="1"/>
  <c r="FT288" i="1"/>
  <c r="HM286" i="1"/>
  <c r="EV287" i="1"/>
  <c r="ES288" i="1"/>
  <c r="J286" i="10"/>
  <c r="E288" i="1"/>
  <c r="H287" i="1"/>
  <c r="AR286" i="1"/>
  <c r="AO287" i="1"/>
  <c r="H286" i="10"/>
  <c r="F289" i="1"/>
  <c r="HN288" i="1"/>
  <c r="BD288" i="1"/>
  <c r="BA289" i="1"/>
  <c r="DL287" i="1"/>
  <c r="DI288" i="1"/>
  <c r="FH287" i="1"/>
  <c r="FE288" i="1"/>
  <c r="DX287" i="1"/>
  <c r="DU288" i="1"/>
  <c r="D287" i="10"/>
  <c r="CZ287" i="1"/>
  <c r="CW288" i="1"/>
  <c r="GR287" i="1" l="1"/>
  <c r="GO288" i="1"/>
  <c r="D288" i="10" s="1"/>
  <c r="F287" i="10"/>
  <c r="AF294" i="1"/>
  <c r="AC295" i="1"/>
  <c r="HM287" i="1"/>
  <c r="C287" i="10" s="1"/>
  <c r="GF287" i="1"/>
  <c r="GC288" i="1"/>
  <c r="BP288" i="1"/>
  <c r="BM289" i="1"/>
  <c r="HX287" i="1"/>
  <c r="BY288" i="1"/>
  <c r="HY288" i="1" s="1"/>
  <c r="CB287" i="1"/>
  <c r="C286" i="10"/>
  <c r="HP286" i="1"/>
  <c r="Q289" i="1"/>
  <c r="T288" i="1"/>
  <c r="H288" i="1"/>
  <c r="E289" i="1"/>
  <c r="FQ290" i="1"/>
  <c r="FT289" i="1"/>
  <c r="CK289" i="1"/>
  <c r="CN288" i="1"/>
  <c r="EV288" i="1"/>
  <c r="ES289" i="1"/>
  <c r="HD287" i="1"/>
  <c r="HA288" i="1"/>
  <c r="J288" i="10" s="1"/>
  <c r="IA287" i="1"/>
  <c r="H287" i="10"/>
  <c r="AR287" i="1"/>
  <c r="AO288" i="1"/>
  <c r="H288" i="10" s="1"/>
  <c r="EJ287" i="1"/>
  <c r="EG288" i="1"/>
  <c r="BA290" i="1"/>
  <c r="BD289" i="1"/>
  <c r="DL288" i="1"/>
  <c r="DI289" i="1"/>
  <c r="DU289" i="1"/>
  <c r="DX288" i="1"/>
  <c r="HZ288" i="1"/>
  <c r="FH288" i="1"/>
  <c r="FE289" i="1"/>
  <c r="CZ288" i="1"/>
  <c r="CW289" i="1"/>
  <c r="F290" i="1"/>
  <c r="HN289" i="1"/>
  <c r="GR288" i="1" l="1"/>
  <c r="GO289" i="1"/>
  <c r="HP287" i="1"/>
  <c r="AF295" i="1"/>
  <c r="AC296" i="1"/>
  <c r="BY289" i="1"/>
  <c r="HY289" i="1" s="1"/>
  <c r="CB288" i="1"/>
  <c r="BP289" i="1"/>
  <c r="BM290" i="1"/>
  <c r="GF288" i="1"/>
  <c r="GC289" i="1"/>
  <c r="HM288" i="1"/>
  <c r="HP288" i="1" s="1"/>
  <c r="FQ293" i="1"/>
  <c r="FT290" i="1"/>
  <c r="FT291" i="1"/>
  <c r="HA289" i="1"/>
  <c r="J289" i="10" s="1"/>
  <c r="HD288" i="1"/>
  <c r="IA288" i="1"/>
  <c r="H289" i="1"/>
  <c r="E290" i="1"/>
  <c r="EG289" i="1"/>
  <c r="HZ289" i="1" s="1"/>
  <c r="EJ288" i="1"/>
  <c r="F288" i="10"/>
  <c r="ES290" i="1"/>
  <c r="EV289" i="1"/>
  <c r="Q290" i="1"/>
  <c r="T289" i="1"/>
  <c r="AO289" i="1"/>
  <c r="HX288" i="1"/>
  <c r="AR288" i="1"/>
  <c r="CN289" i="1"/>
  <c r="CK290" i="1"/>
  <c r="CW290" i="1"/>
  <c r="CZ289" i="1"/>
  <c r="BD290" i="1"/>
  <c r="BA293" i="1"/>
  <c r="BD291" i="1"/>
  <c r="DU290" i="1"/>
  <c r="DX289" i="1"/>
  <c r="D289" i="10"/>
  <c r="F293" i="1"/>
  <c r="HN290" i="1"/>
  <c r="FH289" i="1"/>
  <c r="FE290" i="1"/>
  <c r="DL289" i="1"/>
  <c r="DI290" i="1"/>
  <c r="GO290" i="1" l="1"/>
  <c r="GR289" i="1"/>
  <c r="F289" i="10"/>
  <c r="AF296" i="1"/>
  <c r="AC297" i="1"/>
  <c r="HM289" i="1"/>
  <c r="C289" i="10" s="1"/>
  <c r="H289" i="10"/>
  <c r="C288" i="10"/>
  <c r="GC290" i="1"/>
  <c r="GF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A290" i="1"/>
  <c r="J290" i="10" s="1"/>
  <c r="HD289" i="1"/>
  <c r="IA289" i="1"/>
  <c r="HX289" i="1"/>
  <c r="AO290" i="1"/>
  <c r="AR289" i="1"/>
  <c r="EJ289" i="1"/>
  <c r="EG290" i="1"/>
  <c r="IH301" i="1" s="1"/>
  <c r="IH299" i="1" s="1"/>
  <c r="E293" i="1"/>
  <c r="H290" i="1"/>
  <c r="H291" i="1"/>
  <c r="FQ294" i="1"/>
  <c r="FT293" i="1"/>
  <c r="FE293" i="1"/>
  <c r="FH291" i="1"/>
  <c r="FH290" i="1"/>
  <c r="F294" i="1"/>
  <c r="HN293" i="1"/>
  <c r="HL301" i="1" s="1"/>
  <c r="BA294" i="1"/>
  <c r="BD293" i="1"/>
  <c r="DL290" i="1"/>
  <c r="DI293" i="1"/>
  <c r="DL291" i="1"/>
  <c r="DX290" i="1"/>
  <c r="DU293" i="1"/>
  <c r="DX291" i="1"/>
  <c r="F35" i="11"/>
  <c r="D290" i="10"/>
  <c r="CZ291" i="1"/>
  <c r="CZ290" i="1"/>
  <c r="CW293" i="1"/>
  <c r="GR290" i="1" l="1"/>
  <c r="GR291" i="1"/>
  <c r="GO293" i="1"/>
  <c r="HZ290" i="1"/>
  <c r="L35" i="11"/>
  <c r="HP289" i="1"/>
  <c r="HM290" i="1"/>
  <c r="HP290" i="1" s="1"/>
  <c r="AF297" i="1"/>
  <c r="AC298" i="1"/>
  <c r="F290" i="10"/>
  <c r="HX290" i="1"/>
  <c r="IG301" i="1"/>
  <c r="IG299" i="1" s="1"/>
  <c r="BP293" i="1"/>
  <c r="BM294" i="1"/>
  <c r="CB290" i="1"/>
  <c r="BY293" i="1"/>
  <c r="CB291" i="1"/>
  <c r="HY290" i="1"/>
  <c r="HY291" i="1"/>
  <c r="GF290" i="1"/>
  <c r="GF291" i="1"/>
  <c r="GC293" i="1"/>
  <c r="CK294" i="1"/>
  <c r="CN293" i="1"/>
  <c r="H293" i="1"/>
  <c r="E294" i="1"/>
  <c r="EJ291" i="1"/>
  <c r="EG293" i="1"/>
  <c r="HZ293" i="1" s="1"/>
  <c r="EJ290" i="1"/>
  <c r="HD291" i="1"/>
  <c r="HD290" i="1"/>
  <c r="HA293" i="1"/>
  <c r="IA290" i="1"/>
  <c r="II301" i="1"/>
  <c r="II299" i="1" s="1"/>
  <c r="IA291" i="1"/>
  <c r="H35" i="11"/>
  <c r="EV293" i="1"/>
  <c r="ES294" i="1"/>
  <c r="HZ291" i="1"/>
  <c r="FQ295" i="1"/>
  <c r="FT294" i="1"/>
  <c r="HX291" i="1"/>
  <c r="AO293" i="1"/>
  <c r="H293" i="10" s="1"/>
  <c r="IF301" i="1"/>
  <c r="IF299" i="1" s="1"/>
  <c r="J35" i="11"/>
  <c r="H290" i="10"/>
  <c r="AR291" i="1"/>
  <c r="AR290" i="1"/>
  <c r="Q294" i="1"/>
  <c r="T293" i="1"/>
  <c r="F295" i="1"/>
  <c r="HN294" i="1"/>
  <c r="BA295" i="1"/>
  <c r="BD294" i="1"/>
  <c r="DI294" i="1"/>
  <c r="DL293" i="1"/>
  <c r="CW294" i="1"/>
  <c r="CZ293" i="1"/>
  <c r="FE294" i="1"/>
  <c r="FH293" i="1"/>
  <c r="DX293" i="1"/>
  <c r="DU294" i="1"/>
  <c r="D293" i="10"/>
  <c r="GO294" i="1" l="1"/>
  <c r="GR293" i="1"/>
  <c r="HP291" i="1"/>
  <c r="C290" i="10"/>
  <c r="AC299" i="1"/>
  <c r="AF298" i="1"/>
  <c r="CB293" i="1"/>
  <c r="BY294" i="1"/>
  <c r="HY294" i="1" s="1"/>
  <c r="GC294" i="1"/>
  <c r="GF293" i="1"/>
  <c r="BP294" i="1"/>
  <c r="BM295" i="1"/>
  <c r="HY293" i="1"/>
  <c r="ES295" i="1"/>
  <c r="EV294" i="1"/>
  <c r="T294" i="1"/>
  <c r="Q295" i="1"/>
  <c r="EG294" i="1"/>
  <c r="HZ294" i="1" s="1"/>
  <c r="EJ293" i="1"/>
  <c r="F293" i="10"/>
  <c r="CK295" i="1"/>
  <c r="CN294" i="1"/>
  <c r="HM293" i="1"/>
  <c r="HK301" i="1" s="1"/>
  <c r="FQ296" i="1"/>
  <c r="FT295" i="1"/>
  <c r="H294" i="1"/>
  <c r="E295" i="1"/>
  <c r="HX293" i="1"/>
  <c r="AR293" i="1"/>
  <c r="AO294" i="1"/>
  <c r="H294" i="10" s="1"/>
  <c r="HD293" i="1"/>
  <c r="HA294" i="1"/>
  <c r="IA293" i="1"/>
  <c r="J293" i="10"/>
  <c r="DU295" i="1"/>
  <c r="DX294" i="1"/>
  <c r="D294" i="10"/>
  <c r="F296" i="1"/>
  <c r="HN295" i="1"/>
  <c r="DL294" i="1"/>
  <c r="DI295" i="1"/>
  <c r="FH294" i="1"/>
  <c r="FE295" i="1"/>
  <c r="CW295" i="1"/>
  <c r="CZ294" i="1"/>
  <c r="BA296" i="1"/>
  <c r="BD295" i="1"/>
  <c r="GO295" i="1" l="1"/>
  <c r="GR294" i="1"/>
  <c r="HM294" i="1"/>
  <c r="HP294" i="1" s="1"/>
  <c r="HX294" i="1"/>
  <c r="AF300" i="1"/>
  <c r="AF299" i="1"/>
  <c r="AC302" i="1"/>
  <c r="C293" i="10"/>
  <c r="HP293" i="1"/>
  <c r="BP295" i="1"/>
  <c r="BM296" i="1"/>
  <c r="GF294" i="1"/>
  <c r="GC295" i="1"/>
  <c r="CB294" i="1"/>
  <c r="BY295" i="1"/>
  <c r="H295" i="1"/>
  <c r="E296" i="1"/>
  <c r="HA295" i="1"/>
  <c r="HD294" i="1"/>
  <c r="IA294" i="1"/>
  <c r="EJ294" i="1"/>
  <c r="EG295" i="1"/>
  <c r="HZ295" i="1" s="1"/>
  <c r="T295" i="1"/>
  <c r="Q296" i="1"/>
  <c r="F294" i="10"/>
  <c r="FT296" i="1"/>
  <c r="FQ297" i="1"/>
  <c r="AR294" i="1"/>
  <c r="AO295" i="1"/>
  <c r="HX295" i="1" s="1"/>
  <c r="EV295" i="1"/>
  <c r="ES296" i="1"/>
  <c r="CK296" i="1"/>
  <c r="CN295" i="1"/>
  <c r="J294" i="10"/>
  <c r="F297" i="1"/>
  <c r="HN296" i="1"/>
  <c r="BD296" i="1"/>
  <c r="BA297" i="1"/>
  <c r="FH295" i="1"/>
  <c r="FE296" i="1"/>
  <c r="DU296" i="1"/>
  <c r="DX295" i="1"/>
  <c r="D295" i="10"/>
  <c r="DL295" i="1"/>
  <c r="DI296" i="1"/>
  <c r="HY295" i="1"/>
  <c r="CW296" i="1"/>
  <c r="CZ295" i="1"/>
  <c r="C294" i="10" l="1"/>
  <c r="GO296" i="1"/>
  <c r="GR295" i="1"/>
  <c r="AF302" i="1"/>
  <c r="AC303" i="1"/>
  <c r="HM295" i="1"/>
  <c r="HP295" i="1" s="1"/>
  <c r="CB295" i="1"/>
  <c r="BY296" i="1"/>
  <c r="HY296" i="1" s="1"/>
  <c r="GF295" i="1"/>
  <c r="GC296" i="1"/>
  <c r="BP296" i="1"/>
  <c r="BM297" i="1"/>
  <c r="FT297" i="1"/>
  <c r="FQ298" i="1"/>
  <c r="HA296" i="1"/>
  <c r="HD295" i="1"/>
  <c r="IA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HZ296" i="1" s="1"/>
  <c r="EJ295" i="1"/>
  <c r="F295" i="10"/>
  <c r="J295" i="10"/>
  <c r="DL296" i="1"/>
  <c r="DI297" i="1"/>
  <c r="F298" i="1"/>
  <c r="HN297" i="1"/>
  <c r="DU297" i="1"/>
  <c r="DX296" i="1"/>
  <c r="D296" i="10"/>
  <c r="CW297" i="1"/>
  <c r="CZ296" i="1"/>
  <c r="FH296" i="1"/>
  <c r="FE297" i="1"/>
  <c r="BA298" i="1"/>
  <c r="BD297" i="1"/>
  <c r="GO297" i="1" l="1"/>
  <c r="GR296" i="1"/>
  <c r="C295" i="10"/>
  <c r="AC304" i="1"/>
  <c r="AF303" i="1"/>
  <c r="BP297" i="1"/>
  <c r="BM298" i="1"/>
  <c r="GC297" i="1"/>
  <c r="GF296" i="1"/>
  <c r="BY297" i="1"/>
  <c r="HY297" i="1" s="1"/>
  <c r="CB296" i="1"/>
  <c r="CK298" i="1"/>
  <c r="CN297" i="1"/>
  <c r="E298" i="1"/>
  <c r="H297" i="1"/>
  <c r="EJ296" i="1"/>
  <c r="EG297" i="1"/>
  <c r="HZ297" i="1" s="1"/>
  <c r="F296" i="10"/>
  <c r="HD296" i="1"/>
  <c r="HA297" i="1"/>
  <c r="IA296" i="1"/>
  <c r="AR296" i="1"/>
  <c r="HX296" i="1"/>
  <c r="AO297" i="1"/>
  <c r="HX297" i="1" s="1"/>
  <c r="HM296" i="1"/>
  <c r="T297" i="1"/>
  <c r="Q298" i="1"/>
  <c r="FQ299" i="1"/>
  <c r="FT298" i="1"/>
  <c r="EV297" i="1"/>
  <c r="ES298" i="1"/>
  <c r="J296" i="10"/>
  <c r="DU298" i="1"/>
  <c r="DX297" i="1"/>
  <c r="D297" i="10"/>
  <c r="DI298" i="1"/>
  <c r="DL297" i="1"/>
  <c r="F299" i="1"/>
  <c r="HN298" i="1"/>
  <c r="FH297" i="1"/>
  <c r="FE298" i="1"/>
  <c r="BA299" i="1"/>
  <c r="BD298" i="1"/>
  <c r="CZ297" i="1"/>
  <c r="CW298" i="1"/>
  <c r="GR297" i="1" l="1"/>
  <c r="GO298" i="1"/>
  <c r="D298" i="10" s="1"/>
  <c r="HM297" i="1"/>
  <c r="C297" i="10" s="1"/>
  <c r="AF304" i="1"/>
  <c r="AC305" i="1"/>
  <c r="J297" i="10"/>
  <c r="CB297" i="1"/>
  <c r="BY298" i="1"/>
  <c r="HY298" i="1" s="1"/>
  <c r="GF297" i="1"/>
  <c r="GC298" i="1"/>
  <c r="BP298" i="1"/>
  <c r="BM299" i="1"/>
  <c r="EV298" i="1"/>
  <c r="ES299" i="1"/>
  <c r="C296" i="10"/>
  <c r="HP296" i="1"/>
  <c r="EJ297" i="1"/>
  <c r="EG298" i="1"/>
  <c r="HZ298" i="1" s="1"/>
  <c r="AO298" i="1"/>
  <c r="AR297" i="1"/>
  <c r="H297" i="10"/>
  <c r="FT300" i="1"/>
  <c r="FQ302" i="1"/>
  <c r="FT299" i="1"/>
  <c r="E299" i="1"/>
  <c r="H298" i="1"/>
  <c r="F297" i="10"/>
  <c r="HD297" i="1"/>
  <c r="HA298" i="1"/>
  <c r="J298" i="10" s="1"/>
  <c r="IA297" i="1"/>
  <c r="T298" i="1"/>
  <c r="Q299" i="1"/>
  <c r="CK299" i="1"/>
  <c r="CN298" i="1"/>
  <c r="FE299" i="1"/>
  <c r="FH298" i="1"/>
  <c r="F302" i="1"/>
  <c r="HN299" i="1"/>
  <c r="DX298" i="1"/>
  <c r="DU299" i="1"/>
  <c r="DX299" i="1" s="1"/>
  <c r="BA302" i="1"/>
  <c r="BD300" i="1"/>
  <c r="BD299" i="1"/>
  <c r="DI299" i="1"/>
  <c r="DL298" i="1"/>
  <c r="CZ298" i="1"/>
  <c r="CW299" i="1"/>
  <c r="GO299" i="1" l="1"/>
  <c r="GR298" i="1"/>
  <c r="HP297" i="1"/>
  <c r="AF305" i="1"/>
  <c r="AC306" i="1"/>
  <c r="HM298" i="1"/>
  <c r="C298" i="10" s="1"/>
  <c r="BM302" i="1"/>
  <c r="BP299" i="1"/>
  <c r="BP300" i="1"/>
  <c r="GF298" i="1"/>
  <c r="GC299" i="1"/>
  <c r="BY299" i="1"/>
  <c r="HY300" i="1" s="1"/>
  <c r="CB298" i="1"/>
  <c r="EJ298" i="1"/>
  <c r="EG299" i="1"/>
  <c r="HZ299" i="1" s="1"/>
  <c r="F298" i="10"/>
  <c r="CN299" i="1"/>
  <c r="CK302" i="1"/>
  <c r="CN300" i="1"/>
  <c r="E302" i="1"/>
  <c r="H299" i="1"/>
  <c r="H300" i="1"/>
  <c r="T300" i="1"/>
  <c r="Q302" i="1"/>
  <c r="T299" i="1"/>
  <c r="AO299" i="1"/>
  <c r="HX299" i="1" s="1"/>
  <c r="AR298" i="1"/>
  <c r="HX298" i="1"/>
  <c r="H298" i="10"/>
  <c r="FQ303" i="1"/>
  <c r="FT302" i="1"/>
  <c r="EV300" i="1"/>
  <c r="EV299" i="1"/>
  <c r="ES302" i="1"/>
  <c r="HD298" i="1"/>
  <c r="HA299" i="1"/>
  <c r="J299" i="10" s="1"/>
  <c r="IA298" i="1"/>
  <c r="CZ300" i="1"/>
  <c r="CZ299" i="1"/>
  <c r="CW302" i="1"/>
  <c r="DU302" i="1"/>
  <c r="DX300" i="1"/>
  <c r="F36" i="11"/>
  <c r="D299" i="10"/>
  <c r="FH299" i="1"/>
  <c r="FH300" i="1"/>
  <c r="FE302" i="1"/>
  <c r="BA303" i="1"/>
  <c r="BD302" i="1"/>
  <c r="DL299" i="1"/>
  <c r="DI302" i="1"/>
  <c r="DL300" i="1"/>
  <c r="F303" i="1"/>
  <c r="HN302" i="1"/>
  <c r="HL310" i="1" s="1"/>
  <c r="HZ300" i="1" l="1"/>
  <c r="IH310" i="1"/>
  <c r="IH308" i="1" s="1"/>
  <c r="GR300" i="1"/>
  <c r="GR299" i="1"/>
  <c r="GO302" i="1"/>
  <c r="HP298" i="1"/>
  <c r="AF306" i="1"/>
  <c r="AC307" i="1"/>
  <c r="HM299" i="1"/>
  <c r="HP299" i="1" s="1"/>
  <c r="BY302" i="1"/>
  <c r="HY302" i="1" s="1"/>
  <c r="CB300" i="1"/>
  <c r="IG310" i="1"/>
  <c r="IG308" i="1" s="1"/>
  <c r="CB299" i="1"/>
  <c r="H36" i="11"/>
  <c r="GF299" i="1"/>
  <c r="GC302" i="1"/>
  <c r="GF300" i="1"/>
  <c r="F299" i="10"/>
  <c r="HY299" i="1"/>
  <c r="H299" i="10"/>
  <c r="BM303" i="1"/>
  <c r="BP302" i="1"/>
  <c r="E303" i="1"/>
  <c r="H302" i="1"/>
  <c r="FQ304" i="1"/>
  <c r="FT303" i="1"/>
  <c r="T302" i="1"/>
  <c r="Q303" i="1"/>
  <c r="CN302" i="1"/>
  <c r="CK303" i="1"/>
  <c r="CN303" i="1" s="1"/>
  <c r="HD300" i="1"/>
  <c r="HA302" i="1"/>
  <c r="J302" i="10" s="1"/>
  <c r="HD299" i="1"/>
  <c r="IA299" i="1"/>
  <c r="II310" i="1"/>
  <c r="II308" i="1" s="1"/>
  <c r="IA300" i="1"/>
  <c r="L36" i="11"/>
  <c r="EV302" i="1"/>
  <c r="ES303" i="1"/>
  <c r="EJ299" i="1"/>
  <c r="EJ300" i="1"/>
  <c r="EG302" i="1"/>
  <c r="AR299" i="1"/>
  <c r="J36" i="11"/>
  <c r="AO302" i="1"/>
  <c r="AR300" i="1"/>
  <c r="HX300" i="1"/>
  <c r="IF310" i="1"/>
  <c r="IF308" i="1" s="1"/>
  <c r="CW303" i="1"/>
  <c r="CZ302" i="1"/>
  <c r="DX302" i="1"/>
  <c r="DU303" i="1"/>
  <c r="D302" i="10"/>
  <c r="DI303" i="1"/>
  <c r="DL302" i="1"/>
  <c r="BD303" i="1"/>
  <c r="BA304" i="1"/>
  <c r="F304" i="1"/>
  <c r="HN303" i="1"/>
  <c r="FE303" i="1"/>
  <c r="FH302" i="1"/>
  <c r="GO303" i="1" l="1"/>
  <c r="GR302" i="1"/>
  <c r="HP300" i="1"/>
  <c r="C299" i="10"/>
  <c r="AC308" i="1"/>
  <c r="AF307" i="1"/>
  <c r="HM302" i="1"/>
  <c r="HP302" i="1" s="1"/>
  <c r="GC303" i="1"/>
  <c r="GF302" i="1"/>
  <c r="BP303" i="1"/>
  <c r="BM304" i="1"/>
  <c r="BY303" i="1"/>
  <c r="CB302" i="1"/>
  <c r="H302" i="10"/>
  <c r="AO303" i="1"/>
  <c r="AR302" i="1"/>
  <c r="T303" i="1"/>
  <c r="Q304" i="1"/>
  <c r="EJ302" i="1"/>
  <c r="EG303" i="1"/>
  <c r="HZ303" i="1" s="1"/>
  <c r="F302" i="10"/>
  <c r="FT304" i="1"/>
  <c r="FQ305" i="1"/>
  <c r="HD302" i="1"/>
  <c r="HA303" i="1"/>
  <c r="J303" i="10" s="1"/>
  <c r="IA302" i="1"/>
  <c r="HX302" i="1"/>
  <c r="HZ302" i="1"/>
  <c r="EV303" i="1"/>
  <c r="ES304" i="1"/>
  <c r="CK304" i="1"/>
  <c r="H303" i="1"/>
  <c r="E304" i="1"/>
  <c r="DI304" i="1"/>
  <c r="DL303" i="1"/>
  <c r="DX303" i="1"/>
  <c r="DU304" i="1"/>
  <c r="D303" i="10"/>
  <c r="BA305" i="1"/>
  <c r="BD304" i="1"/>
  <c r="F305" i="1"/>
  <c r="HN304" i="1"/>
  <c r="FH303" i="1"/>
  <c r="FE304" i="1"/>
  <c r="CW304" i="1"/>
  <c r="CZ303" i="1"/>
  <c r="GR303" i="1" l="1"/>
  <c r="GO304" i="1"/>
  <c r="HK310" i="1"/>
  <c r="C302" i="10"/>
  <c r="AF309" i="1"/>
  <c r="AC311" i="1"/>
  <c r="AF308" i="1"/>
  <c r="HM303" i="1"/>
  <c r="HP303" i="1" s="1"/>
  <c r="BY304" i="1"/>
  <c r="CB303" i="1"/>
  <c r="BM305" i="1"/>
  <c r="BP304" i="1"/>
  <c r="HY303" i="1"/>
  <c r="GF303" i="1"/>
  <c r="GC304" i="1"/>
  <c r="EG304" i="1"/>
  <c r="HZ304" i="1" s="1"/>
  <c r="EJ303" i="1"/>
  <c r="F303" i="10"/>
  <c r="E305" i="1"/>
  <c r="H304" i="1"/>
  <c r="Q305" i="1"/>
  <c r="T304" i="1"/>
  <c r="HD303" i="1"/>
  <c r="HA304" i="1"/>
  <c r="J304" i="10" s="1"/>
  <c r="IA303" i="1"/>
  <c r="CK305" i="1"/>
  <c r="CN304" i="1"/>
  <c r="FQ306" i="1"/>
  <c r="FT305" i="1"/>
  <c r="HX303" i="1"/>
  <c r="AO304" i="1"/>
  <c r="H303" i="10"/>
  <c r="AR303" i="1"/>
  <c r="ES305" i="1"/>
  <c r="EV304" i="1"/>
  <c r="CW305" i="1"/>
  <c r="CZ304" i="1"/>
  <c r="F306" i="1"/>
  <c r="HN305" i="1"/>
  <c r="DU305" i="1"/>
  <c r="DX304" i="1"/>
  <c r="D304" i="10"/>
  <c r="HY304" i="1"/>
  <c r="BA306" i="1"/>
  <c r="BD305" i="1"/>
  <c r="FE305" i="1"/>
  <c r="FH304" i="1"/>
  <c r="DL304" i="1"/>
  <c r="DI305" i="1"/>
  <c r="GR304" i="1" l="1"/>
  <c r="GO305" i="1"/>
  <c r="C303" i="10"/>
  <c r="AF311" i="1"/>
  <c r="AC312" i="1"/>
  <c r="HM304" i="1"/>
  <c r="HP304" i="1" s="1"/>
  <c r="H304" i="10"/>
  <c r="F304" i="10"/>
  <c r="BM306" i="1"/>
  <c r="BP305" i="1"/>
  <c r="GC305" i="1"/>
  <c r="GF304" i="1"/>
  <c r="BY305" i="1"/>
  <c r="CB304" i="1"/>
  <c r="FQ307" i="1"/>
  <c r="FT306" i="1"/>
  <c r="T305" i="1"/>
  <c r="Q306" i="1"/>
  <c r="ES306" i="1"/>
  <c r="EV305" i="1"/>
  <c r="CN305" i="1"/>
  <c r="CK306" i="1"/>
  <c r="H305" i="1"/>
  <c r="E306" i="1"/>
  <c r="HA305" i="1"/>
  <c r="HD304" i="1"/>
  <c r="IA304" i="1"/>
  <c r="HX304" i="1"/>
  <c r="AO305" i="1"/>
  <c r="AR304" i="1"/>
  <c r="EG305" i="1"/>
  <c r="HZ305" i="1" s="1"/>
  <c r="EJ304" i="1"/>
  <c r="F307" i="1"/>
  <c r="HN306" i="1"/>
  <c r="DU306" i="1"/>
  <c r="DX305" i="1"/>
  <c r="D305" i="10"/>
  <c r="FH305" i="1"/>
  <c r="FE306" i="1"/>
  <c r="BA307" i="1"/>
  <c r="BD306" i="1"/>
  <c r="DL305" i="1"/>
  <c r="DI306" i="1"/>
  <c r="CW306" i="1"/>
  <c r="CZ305" i="1"/>
  <c r="GO306" i="1" l="1"/>
  <c r="GR305" i="1"/>
  <c r="C304" i="10"/>
  <c r="AC313" i="1"/>
  <c r="AF312" i="1"/>
  <c r="HM305" i="1"/>
  <c r="C305" i="10" s="1"/>
  <c r="HY305" i="1"/>
  <c r="BY306" i="1"/>
  <c r="HY306" i="1" s="1"/>
  <c r="CB305" i="1"/>
  <c r="GF305" i="1"/>
  <c r="GC306" i="1"/>
  <c r="BM307" i="1"/>
  <c r="BP306" i="1"/>
  <c r="EV306" i="1"/>
  <c r="ES307" i="1"/>
  <c r="HD305" i="1"/>
  <c r="HA306" i="1"/>
  <c r="IA305" i="1"/>
  <c r="J305" i="10"/>
  <c r="Q307" i="1"/>
  <c r="T306" i="1"/>
  <c r="EG306" i="1"/>
  <c r="HZ306" i="1" s="1"/>
  <c r="EJ305" i="1"/>
  <c r="E307" i="1"/>
  <c r="H306" i="1"/>
  <c r="F305" i="10"/>
  <c r="HX305" i="1"/>
  <c r="H305" i="10"/>
  <c r="AO306" i="1"/>
  <c r="H306" i="10" s="1"/>
  <c r="AR305" i="1"/>
  <c r="CN306" i="1"/>
  <c r="CK307" i="1"/>
  <c r="FT307" i="1"/>
  <c r="FQ308" i="1"/>
  <c r="DU307" i="1"/>
  <c r="DX306" i="1"/>
  <c r="D306" i="10"/>
  <c r="F308" i="1"/>
  <c r="HN307" i="1"/>
  <c r="BD307" i="1"/>
  <c r="BA308" i="1"/>
  <c r="CW307" i="1"/>
  <c r="CZ306" i="1"/>
  <c r="DL306" i="1"/>
  <c r="DI307" i="1"/>
  <c r="FE307" i="1"/>
  <c r="FH306" i="1"/>
  <c r="GO307" i="1" l="1"/>
  <c r="GR306" i="1"/>
  <c r="HP305" i="1"/>
  <c r="AC314" i="1"/>
  <c r="AF313" i="1"/>
  <c r="BP307" i="1"/>
  <c r="BM308" i="1"/>
  <c r="GC307" i="1"/>
  <c r="GF306" i="1"/>
  <c r="CB306" i="1"/>
  <c r="BY307" i="1"/>
  <c r="T307" i="1"/>
  <c r="Q308" i="1"/>
  <c r="CK308" i="1"/>
  <c r="CN307" i="1"/>
  <c r="H307" i="1"/>
  <c r="E308" i="1"/>
  <c r="AR306" i="1"/>
  <c r="AO307" i="1"/>
  <c r="HX307" i="1" s="1"/>
  <c r="HX306" i="1"/>
  <c r="HM306" i="1"/>
  <c r="HP306" i="1" s="1"/>
  <c r="HA307" i="1"/>
  <c r="HD306" i="1"/>
  <c r="IA306" i="1"/>
  <c r="EG307" i="1"/>
  <c r="EJ306" i="1"/>
  <c r="FT309" i="1"/>
  <c r="FQ311" i="1"/>
  <c r="FT308" i="1"/>
  <c r="J306" i="10"/>
  <c r="ES308" i="1"/>
  <c r="EV307" i="1"/>
  <c r="F306" i="10"/>
  <c r="BD308" i="1"/>
  <c r="BD309" i="1"/>
  <c r="BA311" i="1"/>
  <c r="CW308" i="1"/>
  <c r="CZ307" i="1"/>
  <c r="DX307" i="1"/>
  <c r="DU308" i="1"/>
  <c r="HZ307" i="1"/>
  <c r="D307" i="10"/>
  <c r="FH307" i="1"/>
  <c r="FE308" i="1"/>
  <c r="DI308" i="1"/>
  <c r="DL307" i="1"/>
  <c r="F311" i="1"/>
  <c r="HN308" i="1"/>
  <c r="GR307" i="1" l="1"/>
  <c r="GO308" i="1"/>
  <c r="AC315" i="1"/>
  <c r="AF314" i="1"/>
  <c r="H307" i="10"/>
  <c r="BY308" i="1"/>
  <c r="IG319" i="1" s="1"/>
  <c r="IG317" i="1" s="1"/>
  <c r="CB307" i="1"/>
  <c r="HM307" i="1"/>
  <c r="HP307" i="1" s="1"/>
  <c r="F307" i="10"/>
  <c r="GF307" i="1"/>
  <c r="GC308" i="1"/>
  <c r="BP309" i="1"/>
  <c r="BP308" i="1"/>
  <c r="BM311" i="1"/>
  <c r="HY307" i="1"/>
  <c r="H308" i="1"/>
  <c r="H309" i="1"/>
  <c r="E311" i="1"/>
  <c r="HA308" i="1"/>
  <c r="L37" i="11" s="1"/>
  <c r="HD307" i="1"/>
  <c r="IA307" i="1"/>
  <c r="FQ312" i="1"/>
  <c r="FT311" i="1"/>
  <c r="CK311" i="1"/>
  <c r="CN309" i="1"/>
  <c r="CN308" i="1"/>
  <c r="C306" i="10"/>
  <c r="J307" i="10"/>
  <c r="AO308" i="1"/>
  <c r="HX309" i="1" s="1"/>
  <c r="AR307" i="1"/>
  <c r="T309" i="1"/>
  <c r="Q311" i="1"/>
  <c r="T308" i="1"/>
  <c r="EV308" i="1"/>
  <c r="EV309" i="1"/>
  <c r="ES311" i="1"/>
  <c r="EJ307" i="1"/>
  <c r="EG308" i="1"/>
  <c r="IH319" i="1" s="1"/>
  <c r="IH317" i="1" s="1"/>
  <c r="DX309" i="1"/>
  <c r="DU311" i="1"/>
  <c r="DX308" i="1"/>
  <c r="F37" i="11"/>
  <c r="D308" i="10"/>
  <c r="CZ309" i="1"/>
  <c r="CW311" i="1"/>
  <c r="CZ308" i="1"/>
  <c r="BA312" i="1"/>
  <c r="BD311" i="1"/>
  <c r="DI311" i="1"/>
  <c r="DL308" i="1"/>
  <c r="DL309" i="1"/>
  <c r="FH309" i="1"/>
  <c r="FH308" i="1"/>
  <c r="FE311" i="1"/>
  <c r="J308" i="10"/>
  <c r="F312" i="1"/>
  <c r="HN311" i="1"/>
  <c r="HL319" i="1" s="1"/>
  <c r="GR309" i="1" l="1"/>
  <c r="GO311" i="1"/>
  <c r="D311" i="10" s="1"/>
  <c r="GR308" i="1"/>
  <c r="HZ308" i="1"/>
  <c r="AF315" i="1"/>
  <c r="AC316" i="1"/>
  <c r="HM308" i="1"/>
  <c r="C308" i="10" s="1"/>
  <c r="C307" i="10"/>
  <c r="GC311" i="1"/>
  <c r="GF309" i="1"/>
  <c r="GF308" i="1"/>
  <c r="BM312" i="1"/>
  <c r="BP311" i="1"/>
  <c r="CB309" i="1"/>
  <c r="HY309" i="1"/>
  <c r="HY308" i="1"/>
  <c r="BY311" i="1"/>
  <c r="HY311" i="1" s="1"/>
  <c r="CB308" i="1"/>
  <c r="FT312" i="1"/>
  <c r="FQ313" i="1"/>
  <c r="H308" i="10"/>
  <c r="AO311" i="1"/>
  <c r="IF319" i="1"/>
  <c r="IF317" i="1" s="1"/>
  <c r="AR308" i="1"/>
  <c r="J37" i="11"/>
  <c r="AR309" i="1"/>
  <c r="HD308" i="1"/>
  <c r="HA311" i="1"/>
  <c r="J311" i="10" s="1"/>
  <c r="HD309" i="1"/>
  <c r="IA308" i="1"/>
  <c r="IA309" i="1"/>
  <c r="II319" i="1"/>
  <c r="II317" i="1" s="1"/>
  <c r="EJ309" i="1"/>
  <c r="EJ308" i="1"/>
  <c r="EG311" i="1"/>
  <c r="HZ311" i="1" s="1"/>
  <c r="T311" i="1"/>
  <c r="Q312" i="1"/>
  <c r="E312" i="1"/>
  <c r="H311" i="1"/>
  <c r="F308" i="10"/>
  <c r="HZ309" i="1"/>
  <c r="ES312" i="1"/>
  <c r="EV311" i="1"/>
  <c r="H37" i="11"/>
  <c r="CN311" i="1"/>
  <c r="CK312" i="1"/>
  <c r="HX308" i="1"/>
  <c r="DU312" i="1"/>
  <c r="DX311" i="1"/>
  <c r="FH311" i="1"/>
  <c r="FE312" i="1"/>
  <c r="BA313" i="1"/>
  <c r="BD312" i="1"/>
  <c r="F313" i="1"/>
  <c r="HN312" i="1"/>
  <c r="DI312" i="1"/>
  <c r="DL311" i="1"/>
  <c r="CW312" i="1"/>
  <c r="CZ311" i="1"/>
  <c r="GO312" i="1" l="1"/>
  <c r="GR311" i="1"/>
  <c r="HP308" i="1"/>
  <c r="HP309" i="1"/>
  <c r="AC317" i="1"/>
  <c r="AF317" i="1" s="1"/>
  <c r="AF316" i="1"/>
  <c r="BP312" i="1"/>
  <c r="BM313" i="1"/>
  <c r="BY312" i="1"/>
  <c r="CB311" i="1"/>
  <c r="GC312" i="1"/>
  <c r="GF311" i="1"/>
  <c r="CN312" i="1"/>
  <c r="CK313" i="1"/>
  <c r="H312" i="1"/>
  <c r="E313" i="1"/>
  <c r="T312" i="1"/>
  <c r="Q313" i="1"/>
  <c r="HX311" i="1"/>
  <c r="H311" i="10"/>
  <c r="AR311" i="1"/>
  <c r="AO312" i="1"/>
  <c r="HA312" i="1"/>
  <c r="HD311" i="1"/>
  <c r="IA311" i="1"/>
  <c r="EG312" i="1"/>
  <c r="HZ312" i="1" s="1"/>
  <c r="EJ311" i="1"/>
  <c r="F311" i="10"/>
  <c r="FT313" i="1"/>
  <c r="FQ314" i="1"/>
  <c r="ES313" i="1"/>
  <c r="EV312" i="1"/>
  <c r="HM311" i="1"/>
  <c r="F314" i="1"/>
  <c r="HN313" i="1"/>
  <c r="BD313" i="1"/>
  <c r="BA314" i="1"/>
  <c r="CZ312" i="1"/>
  <c r="CW313" i="1"/>
  <c r="DI313" i="1"/>
  <c r="DL312" i="1"/>
  <c r="FH312" i="1"/>
  <c r="FE313" i="1"/>
  <c r="DU313" i="1"/>
  <c r="DX312" i="1"/>
  <c r="D312" i="10"/>
  <c r="GR312" i="1" l="1"/>
  <c r="GO313" i="1"/>
  <c r="HM312" i="1"/>
  <c r="C312" i="10" s="1"/>
  <c r="AC320" i="1"/>
  <c r="AF318" i="1"/>
  <c r="GF312" i="1"/>
  <c r="GC313" i="1"/>
  <c r="BY313" i="1"/>
  <c r="CB312" i="1"/>
  <c r="HY312" i="1"/>
  <c r="BP313" i="1"/>
  <c r="BM314" i="1"/>
  <c r="EG313" i="1"/>
  <c r="EJ312" i="1"/>
  <c r="F312" i="10"/>
  <c r="C311" i="10"/>
  <c r="HP311" i="1"/>
  <c r="HK319" i="1"/>
  <c r="Q314" i="1"/>
  <c r="T313" i="1"/>
  <c r="ES314" i="1"/>
  <c r="EV313" i="1"/>
  <c r="HA313" i="1"/>
  <c r="HD312" i="1"/>
  <c r="IA312" i="1"/>
  <c r="J312" i="10"/>
  <c r="E314" i="1"/>
  <c r="H313" i="1"/>
  <c r="FQ315" i="1"/>
  <c r="FT315" i="1" s="1"/>
  <c r="FT314" i="1"/>
  <c r="HX312" i="1"/>
  <c r="H312" i="10"/>
  <c r="AR312" i="1"/>
  <c r="AO313" i="1"/>
  <c r="H313" i="10" s="1"/>
  <c r="CN313" i="1"/>
  <c r="CK314" i="1"/>
  <c r="F315" i="1"/>
  <c r="HN314" i="1"/>
  <c r="BA315" i="1"/>
  <c r="BD314" i="1"/>
  <c r="CZ313" i="1"/>
  <c r="CW314" i="1"/>
  <c r="DU314" i="1"/>
  <c r="DX313" i="1"/>
  <c r="D313" i="10"/>
  <c r="HY313" i="1"/>
  <c r="FE314" i="1"/>
  <c r="FH313" i="1"/>
  <c r="DL313" i="1"/>
  <c r="DI314" i="1"/>
  <c r="HP312" i="1" l="1"/>
  <c r="GR313" i="1"/>
  <c r="GO314" i="1"/>
  <c r="D314" i="10" s="1"/>
  <c r="AC321" i="1"/>
  <c r="AF320" i="1"/>
  <c r="F313" i="10"/>
  <c r="BM315" i="1"/>
  <c r="BP314" i="1"/>
  <c r="HM313" i="1"/>
  <c r="C313" i="10" s="1"/>
  <c r="BY314" i="1"/>
  <c r="HY314" i="1" s="1"/>
  <c r="CB313" i="1"/>
  <c r="GC314" i="1"/>
  <c r="GF313" i="1"/>
  <c r="AO314" i="1"/>
  <c r="HX314" i="1" s="1"/>
  <c r="AR313" i="1"/>
  <c r="EJ313" i="1"/>
  <c r="EG314" i="1"/>
  <c r="HZ314" i="1" s="1"/>
  <c r="H314" i="1"/>
  <c r="E315" i="1"/>
  <c r="Q315" i="1"/>
  <c r="T314" i="1"/>
  <c r="HZ313" i="1"/>
  <c r="FQ316" i="1"/>
  <c r="CN314" i="1"/>
  <c r="CK315" i="1"/>
  <c r="HX313" i="1"/>
  <c r="EV314" i="1"/>
  <c r="ES315" i="1"/>
  <c r="HD313" i="1"/>
  <c r="HA314" i="1"/>
  <c r="J314" i="10" s="1"/>
  <c r="IA313" i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HN315" i="1"/>
  <c r="GO315" i="1" l="1"/>
  <c r="GR314" i="1"/>
  <c r="AF321" i="1"/>
  <c r="AC322" i="1"/>
  <c r="HP313" i="1"/>
  <c r="GC315" i="1"/>
  <c r="GF314" i="1"/>
  <c r="CB314" i="1"/>
  <c r="BY315" i="1"/>
  <c r="HY315" i="1" s="1"/>
  <c r="BP315" i="1"/>
  <c r="BM316" i="1"/>
  <c r="T315" i="1"/>
  <c r="Q316" i="1"/>
  <c r="CK316" i="1"/>
  <c r="CN316" i="1" s="1"/>
  <c r="CN315" i="1"/>
  <c r="AO315" i="1"/>
  <c r="HX315" i="1" s="1"/>
  <c r="H314" i="10"/>
  <c r="AR314" i="1"/>
  <c r="HM314" i="1"/>
  <c r="C314" i="10" s="1"/>
  <c r="E316" i="1"/>
  <c r="H315" i="1"/>
  <c r="FQ317" i="1"/>
  <c r="FT316" i="1"/>
  <c r="HD314" i="1"/>
  <c r="HA315" i="1"/>
  <c r="J315" i="10" s="1"/>
  <c r="IA314" i="1"/>
  <c r="EJ314" i="1"/>
  <c r="EG315" i="1"/>
  <c r="ES316" i="1"/>
  <c r="EV315" i="1"/>
  <c r="F314" i="10"/>
  <c r="BA317" i="1"/>
  <c r="BD316" i="1"/>
  <c r="DI316" i="1"/>
  <c r="DL315" i="1"/>
  <c r="CZ315" i="1"/>
  <c r="CW316" i="1"/>
  <c r="F317" i="1"/>
  <c r="HN316" i="1"/>
  <c r="FE316" i="1"/>
  <c r="FH315" i="1"/>
  <c r="DU316" i="1"/>
  <c r="DX315" i="1"/>
  <c r="D315" i="10"/>
  <c r="GR315" i="1" l="1"/>
  <c r="GO316" i="1"/>
  <c r="AF322" i="1"/>
  <c r="AC323" i="1"/>
  <c r="HM315" i="1"/>
  <c r="HP315" i="1" s="1"/>
  <c r="BM317" i="1"/>
  <c r="BP316" i="1"/>
  <c r="HP314" i="1"/>
  <c r="BY316" i="1"/>
  <c r="HY316" i="1" s="1"/>
  <c r="CB315" i="1"/>
  <c r="GF315" i="1"/>
  <c r="GC316" i="1"/>
  <c r="AR315" i="1"/>
  <c r="AO316" i="1"/>
  <c r="H315" i="10"/>
  <c r="EV316" i="1"/>
  <c r="ES317" i="1"/>
  <c r="FT318" i="1"/>
  <c r="FQ320" i="1"/>
  <c r="FT317" i="1"/>
  <c r="EG316" i="1"/>
  <c r="HZ316" i="1" s="1"/>
  <c r="EJ315" i="1"/>
  <c r="CK317" i="1"/>
  <c r="H316" i="1"/>
  <c r="E317" i="1"/>
  <c r="Q317" i="1"/>
  <c r="T316" i="1"/>
  <c r="HD315" i="1"/>
  <c r="HA316" i="1"/>
  <c r="J316" i="10" s="1"/>
  <c r="IA315" i="1"/>
  <c r="HZ315" i="1"/>
  <c r="F315" i="10"/>
  <c r="F320" i="1"/>
  <c r="HN317" i="1"/>
  <c r="BA320" i="1"/>
  <c r="BD318" i="1"/>
  <c r="BD317" i="1"/>
  <c r="DL316" i="1"/>
  <c r="DI317" i="1"/>
  <c r="CW317" i="1"/>
  <c r="CZ316" i="1"/>
  <c r="FE317" i="1"/>
  <c r="FH316" i="1"/>
  <c r="DX316" i="1"/>
  <c r="DU317" i="1"/>
  <c r="D316" i="10"/>
  <c r="GR316" i="1" l="1"/>
  <c r="GO317" i="1"/>
  <c r="D317" i="10" s="1"/>
  <c r="HM316" i="1"/>
  <c r="HP316" i="1" s="1"/>
  <c r="AC324" i="1"/>
  <c r="AF323" i="1"/>
  <c r="C315" i="10"/>
  <c r="GC317" i="1"/>
  <c r="GF316" i="1"/>
  <c r="BY317" i="1"/>
  <c r="CB316" i="1"/>
  <c r="BM320" i="1"/>
  <c r="BP318" i="1"/>
  <c r="BP317" i="1"/>
  <c r="Q320" i="1"/>
  <c r="T317" i="1"/>
  <c r="T318" i="1"/>
  <c r="FQ321" i="1"/>
  <c r="FT320" i="1"/>
  <c r="H318" i="1"/>
  <c r="E320" i="1"/>
  <c r="H317" i="1"/>
  <c r="EV317" i="1"/>
  <c r="ES320" i="1"/>
  <c r="EV318" i="1"/>
  <c r="CN317" i="1"/>
  <c r="CK320" i="1"/>
  <c r="CN318" i="1"/>
  <c r="HA317" i="1"/>
  <c r="L38" i="11" s="1"/>
  <c r="HD316" i="1"/>
  <c r="IA316" i="1"/>
  <c r="HX316" i="1"/>
  <c r="H316" i="10"/>
  <c r="AO317" i="1"/>
  <c r="H317" i="10" s="1"/>
  <c r="AR316" i="1"/>
  <c r="EG317" i="1"/>
  <c r="HZ317" i="1" s="1"/>
  <c r="EJ316" i="1"/>
  <c r="F316" i="10"/>
  <c r="DL317" i="1"/>
  <c r="DI320" i="1"/>
  <c r="DL318" i="1"/>
  <c r="F321" i="1"/>
  <c r="HN320" i="1"/>
  <c r="HL328" i="1" s="1"/>
  <c r="CZ317" i="1"/>
  <c r="CW320" i="1"/>
  <c r="CZ318" i="1"/>
  <c r="DU320" i="1"/>
  <c r="DX318" i="1"/>
  <c r="DX317" i="1"/>
  <c r="F38" i="11"/>
  <c r="FH317" i="1"/>
  <c r="FE320" i="1"/>
  <c r="FH318" i="1"/>
  <c r="BD320" i="1"/>
  <c r="BA321" i="1"/>
  <c r="HZ318" i="1" l="1"/>
  <c r="C316" i="10"/>
  <c r="GR317" i="1"/>
  <c r="GR318" i="1"/>
  <c r="GO320" i="1"/>
  <c r="D320" i="10" s="1"/>
  <c r="AF324" i="1"/>
  <c r="AC325" i="1"/>
  <c r="J317" i="10"/>
  <c r="BP320" i="1"/>
  <c r="BM321" i="1"/>
  <c r="BY320" i="1"/>
  <c r="IG328" i="1"/>
  <c r="IG326" i="1" s="1"/>
  <c r="CB317" i="1"/>
  <c r="CB318" i="1"/>
  <c r="HY317" i="1"/>
  <c r="HY318" i="1"/>
  <c r="GC320" i="1"/>
  <c r="GF318" i="1"/>
  <c r="GF317" i="1"/>
  <c r="EJ317" i="1"/>
  <c r="EG320" i="1"/>
  <c r="HZ320" i="1" s="1"/>
  <c r="EJ318" i="1"/>
  <c r="CK321" i="1"/>
  <c r="CN320" i="1"/>
  <c r="IF328" i="1"/>
  <c r="IF326" i="1" s="1"/>
  <c r="AR317" i="1"/>
  <c r="AO320" i="1"/>
  <c r="H320" i="10" s="1"/>
  <c r="J38" i="11"/>
  <c r="AR318" i="1"/>
  <c r="HX318" i="1"/>
  <c r="HX317" i="1"/>
  <c r="FT321" i="1"/>
  <c r="FQ322" i="1"/>
  <c r="F317" i="10"/>
  <c r="ES321" i="1"/>
  <c r="EV320" i="1"/>
  <c r="IH328" i="1"/>
  <c r="IH326" i="1" s="1"/>
  <c r="HM317" i="1"/>
  <c r="C317" i="10" s="1"/>
  <c r="H38" i="11"/>
  <c r="HA320" i="1"/>
  <c r="J320" i="10" s="1"/>
  <c r="HD317" i="1"/>
  <c r="HD318" i="1"/>
  <c r="IA317" i="1"/>
  <c r="IA318" i="1"/>
  <c r="II328" i="1"/>
  <c r="II326" i="1" s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HN321" i="1"/>
  <c r="GR320" i="1" l="1"/>
  <c r="GO321" i="1"/>
  <c r="HM320" i="1"/>
  <c r="HK328" i="1" s="1"/>
  <c r="AC326" i="1"/>
  <c r="AF325" i="1"/>
  <c r="CB320" i="1"/>
  <c r="BY321" i="1"/>
  <c r="HY321" i="1" s="1"/>
  <c r="HY320" i="1"/>
  <c r="GC321" i="1"/>
  <c r="GF320" i="1"/>
  <c r="BP321" i="1"/>
  <c r="BM322" i="1"/>
  <c r="FT322" i="1"/>
  <c r="FQ323" i="1"/>
  <c r="Q322" i="1"/>
  <c r="T321" i="1"/>
  <c r="HA321" i="1"/>
  <c r="J321" i="10" s="1"/>
  <c r="HD320" i="1"/>
  <c r="IA320" i="1"/>
  <c r="H321" i="1"/>
  <c r="E322" i="1"/>
  <c r="CK322" i="1"/>
  <c r="CN321" i="1"/>
  <c r="HP318" i="1"/>
  <c r="HP317" i="1"/>
  <c r="EG321" i="1"/>
  <c r="EJ320" i="1"/>
  <c r="F320" i="10"/>
  <c r="EV321" i="1"/>
  <c r="ES322" i="1"/>
  <c r="HX320" i="1"/>
  <c r="AR320" i="1"/>
  <c r="AO321" i="1"/>
  <c r="DL321" i="1"/>
  <c r="DI322" i="1"/>
  <c r="BD322" i="1"/>
  <c r="BA323" i="1"/>
  <c r="F323" i="1"/>
  <c r="HN322" i="1"/>
  <c r="DX321" i="1"/>
  <c r="DU322" i="1"/>
  <c r="CW322" i="1"/>
  <c r="CZ321" i="1"/>
  <c r="FH321" i="1"/>
  <c r="FE322" i="1"/>
  <c r="F321" i="10" l="1"/>
  <c r="HP320" i="1"/>
  <c r="C320" i="10"/>
  <c r="GO322" i="1"/>
  <c r="GR321" i="1"/>
  <c r="D321" i="10"/>
  <c r="HZ321" i="1"/>
  <c r="AF327" i="1"/>
  <c r="AF326" i="1"/>
  <c r="AC329" i="1"/>
  <c r="BP322" i="1"/>
  <c r="BM323" i="1"/>
  <c r="GF321" i="1"/>
  <c r="GC322" i="1"/>
  <c r="BY322" i="1"/>
  <c r="CB321" i="1"/>
  <c r="AR321" i="1"/>
  <c r="AO322" i="1"/>
  <c r="H321" i="10"/>
  <c r="ES323" i="1"/>
  <c r="EV322" i="1"/>
  <c r="CN322" i="1"/>
  <c r="CK323" i="1"/>
  <c r="T322" i="1"/>
  <c r="Q323" i="1"/>
  <c r="HX321" i="1"/>
  <c r="H322" i="1"/>
  <c r="E323" i="1"/>
  <c r="FQ324" i="1"/>
  <c r="FT323" i="1"/>
  <c r="HA322" i="1"/>
  <c r="J322" i="10" s="1"/>
  <c r="HD321" i="1"/>
  <c r="IA321" i="1"/>
  <c r="HM321" i="1"/>
  <c r="HP321" i="1" s="1"/>
  <c r="EJ321" i="1"/>
  <c r="EG322" i="1"/>
  <c r="BD323" i="1"/>
  <c r="BA324" i="1"/>
  <c r="F324" i="1"/>
  <c r="HN323" i="1"/>
  <c r="CW323" i="1"/>
  <c r="CZ322" i="1"/>
  <c r="DI323" i="1"/>
  <c r="DL322" i="1"/>
  <c r="FE323" i="1"/>
  <c r="FH322" i="1"/>
  <c r="DX322" i="1"/>
  <c r="DU323" i="1"/>
  <c r="D322" i="10"/>
  <c r="GR322" i="1" l="1"/>
  <c r="GO323" i="1"/>
  <c r="AC330" i="1"/>
  <c r="AF329" i="1"/>
  <c r="HM322" i="1"/>
  <c r="C322" i="10" s="1"/>
  <c r="H322" i="10"/>
  <c r="CB322" i="1"/>
  <c r="BY323" i="1"/>
  <c r="HY323" i="1" s="1"/>
  <c r="HY322" i="1"/>
  <c r="GC323" i="1"/>
  <c r="GF322" i="1"/>
  <c r="BP323" i="1"/>
  <c r="BM324" i="1"/>
  <c r="C321" i="10"/>
  <c r="CN323" i="1"/>
  <c r="CK324" i="1"/>
  <c r="EG323" i="1"/>
  <c r="HZ323" i="1" s="1"/>
  <c r="EJ322" i="1"/>
  <c r="FQ325" i="1"/>
  <c r="FT324" i="1"/>
  <c r="E324" i="1"/>
  <c r="H323" i="1"/>
  <c r="EV323" i="1"/>
  <c r="ES324" i="1"/>
  <c r="HZ322" i="1"/>
  <c r="F322" i="10"/>
  <c r="HX322" i="1"/>
  <c r="AR322" i="1"/>
  <c r="AO323" i="1"/>
  <c r="H323" i="10" s="1"/>
  <c r="HA323" i="1"/>
  <c r="HD322" i="1"/>
  <c r="IA322" i="1"/>
  <c r="T323" i="1"/>
  <c r="Q324" i="1"/>
  <c r="FH323" i="1"/>
  <c r="FE324" i="1"/>
  <c r="CZ323" i="1"/>
  <c r="CW324" i="1"/>
  <c r="BD324" i="1"/>
  <c r="BA325" i="1"/>
  <c r="F325" i="1"/>
  <c r="HN324" i="1"/>
  <c r="DU324" i="1"/>
  <c r="DX323" i="1"/>
  <c r="DI324" i="1"/>
  <c r="DL323" i="1"/>
  <c r="GR323" i="1" l="1"/>
  <c r="GO324" i="1"/>
  <c r="D323" i="10"/>
  <c r="AC331" i="1"/>
  <c r="AF330" i="1"/>
  <c r="HP322" i="1"/>
  <c r="BM325" i="1"/>
  <c r="BP324" i="1"/>
  <c r="GF323" i="1"/>
  <c r="GC324" i="1"/>
  <c r="BY324" i="1"/>
  <c r="CB323" i="1"/>
  <c r="HA324" i="1"/>
  <c r="J324" i="10" s="1"/>
  <c r="HD323" i="1"/>
  <c r="IA323" i="1"/>
  <c r="J323" i="10"/>
  <c r="HX323" i="1"/>
  <c r="AO324" i="1"/>
  <c r="HX324" i="1" s="1"/>
  <c r="AR323" i="1"/>
  <c r="H324" i="1"/>
  <c r="E325" i="1"/>
  <c r="Q325" i="1"/>
  <c r="T324" i="1"/>
  <c r="FT325" i="1"/>
  <c r="FQ326" i="1"/>
  <c r="HM323" i="1"/>
  <c r="C323" i="10" s="1"/>
  <c r="EJ323" i="1"/>
  <c r="EG324" i="1"/>
  <c r="HZ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HN325" i="1"/>
  <c r="FH324" i="1"/>
  <c r="FE325" i="1"/>
  <c r="BD325" i="1"/>
  <c r="BA326" i="1"/>
  <c r="GO325" i="1" l="1"/>
  <c r="GR324" i="1"/>
  <c r="D324" i="10"/>
  <c r="AF331" i="1"/>
  <c r="AC332" i="1"/>
  <c r="HM324" i="1"/>
  <c r="HP324" i="1" s="1"/>
  <c r="BY325" i="1"/>
  <c r="HY325" i="1" s="1"/>
  <c r="CB324" i="1"/>
  <c r="GC325" i="1"/>
  <c r="GF324" i="1"/>
  <c r="F324" i="10"/>
  <c r="BP325" i="1"/>
  <c r="BM326" i="1"/>
  <c r="HY324" i="1"/>
  <c r="HP323" i="1"/>
  <c r="FT327" i="1"/>
  <c r="FT326" i="1"/>
  <c r="FQ329" i="1"/>
  <c r="H324" i="10"/>
  <c r="AR324" i="1"/>
  <c r="AO325" i="1"/>
  <c r="CN325" i="1"/>
  <c r="CK326" i="1"/>
  <c r="ES326" i="1"/>
  <c r="EV325" i="1"/>
  <c r="EJ324" i="1"/>
  <c r="EG325" i="1"/>
  <c r="T325" i="1"/>
  <c r="Q326" i="1"/>
  <c r="E326" i="1"/>
  <c r="H325" i="1"/>
  <c r="HA325" i="1"/>
  <c r="HD324" i="1"/>
  <c r="IA324" i="1"/>
  <c r="F329" i="1"/>
  <c r="HN326" i="1"/>
  <c r="DL325" i="1"/>
  <c r="DI326" i="1"/>
  <c r="CZ325" i="1"/>
  <c r="CW326" i="1"/>
  <c r="BD327" i="1"/>
  <c r="BD326" i="1"/>
  <c r="BA329" i="1"/>
  <c r="FH325" i="1"/>
  <c r="FE326" i="1"/>
  <c r="DX325" i="1"/>
  <c r="DU326" i="1"/>
  <c r="D325" i="10"/>
  <c r="GR325" i="1" l="1"/>
  <c r="GO326" i="1"/>
  <c r="C324" i="10"/>
  <c r="AC333" i="1"/>
  <c r="AF332" i="1"/>
  <c r="BP326" i="1"/>
  <c r="BP327" i="1"/>
  <c r="BM329" i="1"/>
  <c r="GC326" i="1"/>
  <c r="GF325" i="1"/>
  <c r="CB325" i="1"/>
  <c r="BY326" i="1"/>
  <c r="IG337" i="1" s="1"/>
  <c r="IG335" i="1" s="1"/>
  <c r="HD325" i="1"/>
  <c r="HA326" i="1"/>
  <c r="L39" i="11" s="1"/>
  <c r="J325" i="10"/>
  <c r="IA325" i="1"/>
  <c r="FT329" i="1"/>
  <c r="FQ330" i="1"/>
  <c r="EG326" i="1"/>
  <c r="IH337" i="1" s="1"/>
  <c r="IH335" i="1" s="1"/>
  <c r="EJ325" i="1"/>
  <c r="H327" i="1"/>
  <c r="E329" i="1"/>
  <c r="H326" i="1"/>
  <c r="EV326" i="1"/>
  <c r="EV327" i="1"/>
  <c r="ES329" i="1"/>
  <c r="HZ325" i="1"/>
  <c r="HM325" i="1"/>
  <c r="C325" i="10" s="1"/>
  <c r="Q329" i="1"/>
  <c r="T326" i="1"/>
  <c r="T327" i="1"/>
  <c r="CK329" i="1"/>
  <c r="CN327" i="1"/>
  <c r="CN326" i="1"/>
  <c r="F325" i="10"/>
  <c r="HX325" i="1"/>
  <c r="H325" i="10"/>
  <c r="AR325" i="1"/>
  <c r="AO326" i="1"/>
  <c r="BD329" i="1"/>
  <c r="BA330" i="1"/>
  <c r="F330" i="1"/>
  <c r="HN329" i="1"/>
  <c r="HL337" i="1" s="1"/>
  <c r="DL326" i="1"/>
  <c r="DI329" i="1"/>
  <c r="DL327" i="1"/>
  <c r="DX327" i="1"/>
  <c r="DX326" i="1"/>
  <c r="DU329" i="1"/>
  <c r="F39" i="11"/>
  <c r="FH326" i="1"/>
  <c r="FH327" i="1"/>
  <c r="FE329" i="1"/>
  <c r="CZ327" i="1"/>
  <c r="CW329" i="1"/>
  <c r="CZ326" i="1"/>
  <c r="J326" i="10" l="1"/>
  <c r="GR327" i="1"/>
  <c r="GO329" i="1"/>
  <c r="GR326" i="1"/>
  <c r="D326" i="10"/>
  <c r="AF333" i="1"/>
  <c r="AC334" i="1"/>
  <c r="HZ326" i="1"/>
  <c r="HZ327" i="1"/>
  <c r="HY326" i="1"/>
  <c r="HM326" i="1"/>
  <c r="HP327" i="1" s="1"/>
  <c r="HP325" i="1"/>
  <c r="HY327" i="1"/>
  <c r="H39" i="11"/>
  <c r="HX327" i="1"/>
  <c r="GC329" i="1"/>
  <c r="GF327" i="1"/>
  <c r="GF326" i="1"/>
  <c r="F326" i="10"/>
  <c r="BM330" i="1"/>
  <c r="BP329" i="1"/>
  <c r="BY329" i="1"/>
  <c r="HY329" i="1" s="1"/>
  <c r="CB327" i="1"/>
  <c r="CB326" i="1"/>
  <c r="CN329" i="1"/>
  <c r="CK330" i="1"/>
  <c r="EV329" i="1"/>
  <c r="ES330" i="1"/>
  <c r="HX326" i="1"/>
  <c r="AO329" i="1"/>
  <c r="AR327" i="1"/>
  <c r="IF337" i="1"/>
  <c r="IF335" i="1" s="1"/>
  <c r="J39" i="11"/>
  <c r="H326" i="10"/>
  <c r="AR326" i="1"/>
  <c r="EG329" i="1"/>
  <c r="HZ329" i="1" s="1"/>
  <c r="EJ326" i="1"/>
  <c r="EJ327" i="1"/>
  <c r="FT330" i="1"/>
  <c r="FQ331" i="1"/>
  <c r="Q330" i="1"/>
  <c r="T329" i="1"/>
  <c r="H329" i="1"/>
  <c r="E330" i="1"/>
  <c r="HD326" i="1"/>
  <c r="HA329" i="1"/>
  <c r="HD327" i="1"/>
  <c r="IA327" i="1"/>
  <c r="IA326" i="1"/>
  <c r="II337" i="1"/>
  <c r="II335" i="1" s="1"/>
  <c r="FE330" i="1"/>
  <c r="FH329" i="1"/>
  <c r="DX329" i="1"/>
  <c r="DU330" i="1"/>
  <c r="D329" i="10"/>
  <c r="CW330" i="1"/>
  <c r="CZ329" i="1"/>
  <c r="DL329" i="1"/>
  <c r="DI330" i="1"/>
  <c r="F331" i="1"/>
  <c r="HN330" i="1"/>
  <c r="BD330" i="1"/>
  <c r="BA331" i="1"/>
  <c r="GR329" i="1" l="1"/>
  <c r="GO330" i="1"/>
  <c r="AC335" i="1"/>
  <c r="AF334" i="1"/>
  <c r="C326" i="10"/>
  <c r="F329" i="10"/>
  <c r="HP326" i="1"/>
  <c r="GF329" i="1"/>
  <c r="GC330" i="1"/>
  <c r="CB329" i="1"/>
  <c r="BY330" i="1"/>
  <c r="BM331" i="1"/>
  <c r="BP330" i="1"/>
  <c r="HA330" i="1"/>
  <c r="HD329" i="1"/>
  <c r="IA329" i="1"/>
  <c r="HX329" i="1"/>
  <c r="AO330" i="1"/>
  <c r="AR329" i="1"/>
  <c r="H329" i="10"/>
  <c r="E331" i="1"/>
  <c r="H330" i="1"/>
  <c r="J329" i="10"/>
  <c r="HM329" i="1"/>
  <c r="EG330" i="1"/>
  <c r="EJ329" i="1"/>
  <c r="EV330" i="1"/>
  <c r="ES331" i="1"/>
  <c r="FQ332" i="1"/>
  <c r="FT331" i="1"/>
  <c r="CK331" i="1"/>
  <c r="CN330" i="1"/>
  <c r="Q331" i="1"/>
  <c r="T330" i="1"/>
  <c r="CZ330" i="1"/>
  <c r="CW331" i="1"/>
  <c r="HY330" i="1"/>
  <c r="F332" i="1"/>
  <c r="HN331" i="1"/>
  <c r="DI331" i="1"/>
  <c r="DL330" i="1"/>
  <c r="FE331" i="1"/>
  <c r="FH330" i="1"/>
  <c r="DU331" i="1"/>
  <c r="DX330" i="1"/>
  <c r="HZ330" i="1"/>
  <c r="D330" i="10"/>
  <c r="BD331" i="1"/>
  <c r="BA332" i="1"/>
  <c r="GR330" i="1" l="1"/>
  <c r="GO331" i="1"/>
  <c r="D331" i="10" s="1"/>
  <c r="AF335" i="1"/>
  <c r="AF336" i="1"/>
  <c r="AC338" i="1"/>
  <c r="F330" i="10"/>
  <c r="BM332" i="1"/>
  <c r="BP331" i="1"/>
  <c r="CB330" i="1"/>
  <c r="BY331" i="1"/>
  <c r="HY331" i="1" s="1"/>
  <c r="HM330" i="1"/>
  <c r="HP330" i="1" s="1"/>
  <c r="GC331" i="1"/>
  <c r="GF330" i="1"/>
  <c r="EV331" i="1"/>
  <c r="ES332" i="1"/>
  <c r="H331" i="1"/>
  <c r="E332" i="1"/>
  <c r="FQ333" i="1"/>
  <c r="FT332" i="1"/>
  <c r="HA331" i="1"/>
  <c r="J331" i="10" s="1"/>
  <c r="HD330" i="1"/>
  <c r="J330" i="10"/>
  <c r="IA330" i="1"/>
  <c r="T331" i="1"/>
  <c r="Q332" i="1"/>
  <c r="EG331" i="1"/>
  <c r="HZ331" i="1" s="1"/>
  <c r="EJ330" i="1"/>
  <c r="CK332" i="1"/>
  <c r="CN331" i="1"/>
  <c r="C329" i="10"/>
  <c r="HK337" i="1"/>
  <c r="HP329" i="1"/>
  <c r="H330" i="10"/>
  <c r="AR330" i="1"/>
  <c r="AO331" i="1"/>
  <c r="HX330" i="1"/>
  <c r="CW332" i="1"/>
  <c r="CZ331" i="1"/>
  <c r="DX331" i="1"/>
  <c r="DU332" i="1"/>
  <c r="FH331" i="1"/>
  <c r="FE332" i="1"/>
  <c r="F333" i="1"/>
  <c r="HN332" i="1"/>
  <c r="DL331" i="1"/>
  <c r="DI332" i="1"/>
  <c r="BA333" i="1"/>
  <c r="BD332" i="1"/>
  <c r="GO332" i="1" l="1"/>
  <c r="GR331" i="1"/>
  <c r="AF338" i="1"/>
  <c r="AC339" i="1"/>
  <c r="HM331" i="1"/>
  <c r="C331" i="10" s="1"/>
  <c r="GF331" i="1"/>
  <c r="GC332" i="1"/>
  <c r="CB331" i="1"/>
  <c r="BY332" i="1"/>
  <c r="HY332" i="1" s="1"/>
  <c r="C330" i="10"/>
  <c r="BP332" i="1"/>
  <c r="BM333" i="1"/>
  <c r="CN332" i="1"/>
  <c r="CK333" i="1"/>
  <c r="HD331" i="1"/>
  <c r="HA332" i="1"/>
  <c r="J332" i="10" s="1"/>
  <c r="IA331" i="1"/>
  <c r="AR331" i="1"/>
  <c r="AO332" i="1"/>
  <c r="AR332" i="1" s="1"/>
  <c r="H331" i="10"/>
  <c r="HX331" i="1"/>
  <c r="EG332" i="1"/>
  <c r="HZ332" i="1" s="1"/>
  <c r="EJ331" i="1"/>
  <c r="F331" i="10"/>
  <c r="FT333" i="1"/>
  <c r="FQ334" i="1"/>
  <c r="Q333" i="1"/>
  <c r="T332" i="1"/>
  <c r="H332" i="1"/>
  <c r="E333" i="1"/>
  <c r="EV332" i="1"/>
  <c r="ES333" i="1"/>
  <c r="DX332" i="1"/>
  <c r="DU333" i="1"/>
  <c r="D332" i="10"/>
  <c r="FE333" i="1"/>
  <c r="FH332" i="1"/>
  <c r="BA334" i="1"/>
  <c r="BD333" i="1"/>
  <c r="F334" i="1"/>
  <c r="HN333" i="1"/>
  <c r="DL332" i="1"/>
  <c r="DI333" i="1"/>
  <c r="CZ332" i="1"/>
  <c r="CW333" i="1"/>
  <c r="GO333" i="1" l="1"/>
  <c r="GR332" i="1"/>
  <c r="HP331" i="1"/>
  <c r="AC340" i="1"/>
  <c r="AF339" i="1"/>
  <c r="F332" i="10"/>
  <c r="HM332" i="1"/>
  <c r="HP332" i="1" s="1"/>
  <c r="BM334" i="1"/>
  <c r="BP333" i="1"/>
  <c r="BY333" i="1"/>
  <c r="HY333" i="1" s="1"/>
  <c r="CB332" i="1"/>
  <c r="GF332" i="1"/>
  <c r="GC333" i="1"/>
  <c r="Q334" i="1"/>
  <c r="T333" i="1"/>
  <c r="HX332" i="1"/>
  <c r="H332" i="10"/>
  <c r="AO333" i="1"/>
  <c r="EV333" i="1"/>
  <c r="ES334" i="1"/>
  <c r="FT334" i="1"/>
  <c r="FQ335" i="1"/>
  <c r="HA333" i="1"/>
  <c r="J333" i="10" s="1"/>
  <c r="HD332" i="1"/>
  <c r="IA332" i="1"/>
  <c r="H333" i="1"/>
  <c r="E334" i="1"/>
  <c r="EJ332" i="1"/>
  <c r="EG333" i="1"/>
  <c r="HZ333" i="1" s="1"/>
  <c r="CN333" i="1"/>
  <c r="CK334" i="1"/>
  <c r="F335" i="1"/>
  <c r="HN334" i="1"/>
  <c r="BD334" i="1"/>
  <c r="BA335" i="1"/>
  <c r="DX333" i="1"/>
  <c r="DU334" i="1"/>
  <c r="D333" i="10"/>
  <c r="DL333" i="1"/>
  <c r="DI334" i="1"/>
  <c r="CZ333" i="1"/>
  <c r="CW334" i="1"/>
  <c r="FH333" i="1"/>
  <c r="FE334" i="1"/>
  <c r="GR333" i="1" l="1"/>
  <c r="GO334" i="1"/>
  <c r="C332" i="10"/>
  <c r="F333" i="10"/>
  <c r="AC341" i="1"/>
  <c r="AF340" i="1"/>
  <c r="HM333" i="1"/>
  <c r="C333" i="10" s="1"/>
  <c r="H333" i="10"/>
  <c r="CB333" i="1"/>
  <c r="BY334" i="1"/>
  <c r="GF333" i="1"/>
  <c r="GC334" i="1"/>
  <c r="BM335" i="1"/>
  <c r="BP334" i="1"/>
  <c r="E335" i="1"/>
  <c r="H334" i="1"/>
  <c r="EV334" i="1"/>
  <c r="ES335" i="1"/>
  <c r="HX333" i="1"/>
  <c r="AR333" i="1"/>
  <c r="AO334" i="1"/>
  <c r="CN334" i="1"/>
  <c r="CK335" i="1"/>
  <c r="EJ333" i="1"/>
  <c r="EG334" i="1"/>
  <c r="HZ334" i="1" s="1"/>
  <c r="HD333" i="1"/>
  <c r="HA334" i="1"/>
  <c r="J334" i="10" s="1"/>
  <c r="IA333" i="1"/>
  <c r="FT335" i="1"/>
  <c r="FQ338" i="1"/>
  <c r="FT336" i="1"/>
  <c r="Q335" i="1"/>
  <c r="T334" i="1"/>
  <c r="HY334" i="1"/>
  <c r="DU335" i="1"/>
  <c r="DX334" i="1"/>
  <c r="D334" i="10"/>
  <c r="CZ334" i="1"/>
  <c r="CW335" i="1"/>
  <c r="F338" i="1"/>
  <c r="HN335" i="1"/>
  <c r="FE335" i="1"/>
  <c r="FH334" i="1"/>
  <c r="BA338" i="1"/>
  <c r="BD335" i="1"/>
  <c r="BD336" i="1"/>
  <c r="DI335" i="1"/>
  <c r="DL334" i="1"/>
  <c r="GR334" i="1" l="1"/>
  <c r="GO335" i="1"/>
  <c r="D335" i="10" s="1"/>
  <c r="HP333" i="1"/>
  <c r="AF341" i="1"/>
  <c r="AC342" i="1"/>
  <c r="HM334" i="1"/>
  <c r="HP334" i="1" s="1"/>
  <c r="H334" i="10"/>
  <c r="BP336" i="1"/>
  <c r="BM338" i="1"/>
  <c r="BP335" i="1"/>
  <c r="GF334" i="1"/>
  <c r="GC335" i="1"/>
  <c r="CB334" i="1"/>
  <c r="BY335" i="1"/>
  <c r="HY336" i="1" s="1"/>
  <c r="F334" i="10"/>
  <c r="FQ339" i="1"/>
  <c r="FT338" i="1"/>
  <c r="HX334" i="1"/>
  <c r="AR334" i="1"/>
  <c r="AO335" i="1"/>
  <c r="HX336" i="1" s="1"/>
  <c r="HD334" i="1"/>
  <c r="HA335" i="1"/>
  <c r="L40" i="11" s="1"/>
  <c r="IA334" i="1"/>
  <c r="EV336" i="1"/>
  <c r="EV335" i="1"/>
  <c r="ES338" i="1"/>
  <c r="EJ334" i="1"/>
  <c r="EG335" i="1"/>
  <c r="Q338" i="1"/>
  <c r="T335" i="1"/>
  <c r="T336" i="1"/>
  <c r="CK338" i="1"/>
  <c r="CN335" i="1"/>
  <c r="CN336" i="1"/>
  <c r="E338" i="1"/>
  <c r="HX335" i="1"/>
  <c r="H335" i="1"/>
  <c r="H336" i="1"/>
  <c r="BA339" i="1"/>
  <c r="BD338" i="1"/>
  <c r="FH336" i="1"/>
  <c r="FH335" i="1"/>
  <c r="FE338" i="1"/>
  <c r="CW338" i="1"/>
  <c r="CZ335" i="1"/>
  <c r="CZ336" i="1"/>
  <c r="DX336" i="1"/>
  <c r="DU338" i="1"/>
  <c r="DX335" i="1"/>
  <c r="F40" i="11"/>
  <c r="DI338" i="1"/>
  <c r="DL336" i="1"/>
  <c r="DL335" i="1"/>
  <c r="F339" i="1"/>
  <c r="HN338" i="1"/>
  <c r="HL346" i="1" s="1"/>
  <c r="GR335" i="1" l="1"/>
  <c r="GO338" i="1"/>
  <c r="GR336" i="1"/>
  <c r="C334" i="10"/>
  <c r="AF342" i="1"/>
  <c r="F335" i="10"/>
  <c r="HM335" i="1"/>
  <c r="HP336" i="1" s="1"/>
  <c r="IF346" i="1"/>
  <c r="IF344" i="1" s="1"/>
  <c r="GC338" i="1"/>
  <c r="GF336" i="1"/>
  <c r="GF335" i="1"/>
  <c r="H335" i="10"/>
  <c r="BM339" i="1"/>
  <c r="BP338" i="1"/>
  <c r="CB336" i="1"/>
  <c r="BY338" i="1"/>
  <c r="CB335" i="1"/>
  <c r="HY335" i="1"/>
  <c r="IG346" i="1"/>
  <c r="IG344" i="1" s="1"/>
  <c r="T338" i="1"/>
  <c r="Q339" i="1"/>
  <c r="HD335" i="1"/>
  <c r="HD336" i="1"/>
  <c r="HA338" i="1"/>
  <c r="J338" i="10" s="1"/>
  <c r="IA335" i="1"/>
  <c r="II346" i="1"/>
  <c r="II344" i="1" s="1"/>
  <c r="IA336" i="1"/>
  <c r="AR335" i="1"/>
  <c r="AR336" i="1"/>
  <c r="AO338" i="1"/>
  <c r="J40" i="11"/>
  <c r="J335" i="10"/>
  <c r="IH346" i="1"/>
  <c r="IH344" i="1" s="1"/>
  <c r="CN338" i="1"/>
  <c r="CK339" i="1"/>
  <c r="ES339" i="1"/>
  <c r="EV338" i="1"/>
  <c r="HZ336" i="1"/>
  <c r="HZ335" i="1"/>
  <c r="E339" i="1"/>
  <c r="H338" i="1"/>
  <c r="EG338" i="1"/>
  <c r="HZ338" i="1" s="1"/>
  <c r="EJ335" i="1"/>
  <c r="EJ336" i="1"/>
  <c r="H40" i="11"/>
  <c r="FT339" i="1"/>
  <c r="BD339" i="1"/>
  <c r="BA340" i="1"/>
  <c r="DL338" i="1"/>
  <c r="DI339" i="1"/>
  <c r="F340" i="1"/>
  <c r="HN339" i="1"/>
  <c r="CW339" i="1"/>
  <c r="CZ338" i="1"/>
  <c r="DX338" i="1"/>
  <c r="DU339" i="1"/>
  <c r="D338" i="10"/>
  <c r="FH338" i="1"/>
  <c r="FE339" i="1"/>
  <c r="HY338" i="1"/>
  <c r="GO339" i="1" l="1"/>
  <c r="GR338" i="1"/>
  <c r="AC344" i="1"/>
  <c r="AF343" i="1"/>
  <c r="HM338" i="1"/>
  <c r="HP338" i="1" s="1"/>
  <c r="HP335" i="1"/>
  <c r="C335" i="10"/>
  <c r="HX338" i="1"/>
  <c r="GC339" i="1"/>
  <c r="GF338" i="1"/>
  <c r="BY339" i="1"/>
  <c r="CB338" i="1"/>
  <c r="BP339" i="1"/>
  <c r="BM340" i="1"/>
  <c r="FQ341" i="1"/>
  <c r="FT340" i="1"/>
  <c r="H339" i="1"/>
  <c r="E340" i="1"/>
  <c r="HA339" i="1"/>
  <c r="J339" i="10" s="1"/>
  <c r="HD338" i="1"/>
  <c r="IA338" i="1"/>
  <c r="AO339" i="1"/>
  <c r="HX339" i="1" s="1"/>
  <c r="H338" i="10"/>
  <c r="AR338" i="1"/>
  <c r="EG339" i="1"/>
  <c r="HZ339" i="1" s="1"/>
  <c r="EJ338" i="1"/>
  <c r="F338" i="10"/>
  <c r="EV339" i="1"/>
  <c r="T339" i="1"/>
  <c r="Q340" i="1"/>
  <c r="CK340" i="1"/>
  <c r="CN339" i="1"/>
  <c r="DX339" i="1"/>
  <c r="D339" i="10"/>
  <c r="DL339" i="1"/>
  <c r="DI340" i="1"/>
  <c r="FH339" i="1"/>
  <c r="BD340" i="1"/>
  <c r="BA341" i="1"/>
  <c r="CW340" i="1"/>
  <c r="CZ339" i="1"/>
  <c r="F341" i="1"/>
  <c r="HN340" i="1"/>
  <c r="GR339" i="1" l="1"/>
  <c r="D340" i="10"/>
  <c r="HK346" i="1"/>
  <c r="C338" i="10"/>
  <c r="AF345" i="1"/>
  <c r="AC347" i="1"/>
  <c r="AF344" i="1"/>
  <c r="CB339" i="1"/>
  <c r="BY340" i="1"/>
  <c r="HY340" i="1" s="1"/>
  <c r="BP340" i="1"/>
  <c r="GF339" i="1"/>
  <c r="HY339" i="1"/>
  <c r="H339" i="10"/>
  <c r="AR339" i="1"/>
  <c r="AO340" i="1"/>
  <c r="HX340" i="1" s="1"/>
  <c r="ES341" i="1"/>
  <c r="EV340" i="1"/>
  <c r="FQ342" i="1"/>
  <c r="FT341" i="1"/>
  <c r="HM339" i="1"/>
  <c r="HP339" i="1" s="1"/>
  <c r="J340" i="10"/>
  <c r="HD339" i="1"/>
  <c r="IA339" i="1"/>
  <c r="CN340" i="1"/>
  <c r="H340" i="1"/>
  <c r="E341" i="1"/>
  <c r="T340" i="1"/>
  <c r="Q341" i="1"/>
  <c r="EJ339" i="1"/>
  <c r="HZ340" i="1"/>
  <c r="F339" i="10"/>
  <c r="FH340" i="1"/>
  <c r="FE341" i="1"/>
  <c r="CZ340" i="1"/>
  <c r="DL340" i="1"/>
  <c r="F342" i="1"/>
  <c r="HN341" i="1"/>
  <c r="BD341" i="1"/>
  <c r="BA342" i="1"/>
  <c r="DU341" i="1"/>
  <c r="DX340" i="1"/>
  <c r="GR340" i="1" l="1"/>
  <c r="GO341" i="1"/>
  <c r="HM340" i="1"/>
  <c r="C340" i="10" s="1"/>
  <c r="AC348" i="1"/>
  <c r="AF347" i="1"/>
  <c r="GC341" i="1"/>
  <c r="GF340" i="1"/>
  <c r="BM342" i="1"/>
  <c r="BP341" i="1"/>
  <c r="CB340" i="1"/>
  <c r="C339" i="10"/>
  <c r="H341" i="1"/>
  <c r="E342" i="1"/>
  <c r="EJ340" i="1"/>
  <c r="EG341" i="1"/>
  <c r="HZ341" i="1" s="1"/>
  <c r="FT342" i="1"/>
  <c r="FQ343" i="1"/>
  <c r="CN341" i="1"/>
  <c r="CK342" i="1"/>
  <c r="F340" i="10"/>
  <c r="ES342" i="1"/>
  <c r="EV341" i="1"/>
  <c r="Q342" i="1"/>
  <c r="T341" i="1"/>
  <c r="AR340" i="1"/>
  <c r="AO341" i="1"/>
  <c r="H340" i="10"/>
  <c r="HA341" i="1"/>
  <c r="HD340" i="1"/>
  <c r="IA340" i="1"/>
  <c r="BA343" i="1"/>
  <c r="BD342" i="1"/>
  <c r="F343" i="1"/>
  <c r="HN342" i="1"/>
  <c r="CW342" i="1"/>
  <c r="CZ341" i="1"/>
  <c r="FE342" i="1"/>
  <c r="FH341" i="1"/>
  <c r="DL341" i="1"/>
  <c r="DI342" i="1"/>
  <c r="DU342" i="1"/>
  <c r="DX341" i="1"/>
  <c r="D341" i="10"/>
  <c r="GR341" i="1" l="1"/>
  <c r="GO342" i="1"/>
  <c r="HM341" i="1"/>
  <c r="C341" i="10" s="1"/>
  <c r="HP340" i="1"/>
  <c r="AC349" i="1"/>
  <c r="AF348" i="1"/>
  <c r="CB341" i="1"/>
  <c r="BY342" i="1"/>
  <c r="HY342" i="1" s="1"/>
  <c r="F341" i="10"/>
  <c r="BM343" i="1"/>
  <c r="BP342" i="1"/>
  <c r="HY341" i="1"/>
  <c r="GC342" i="1"/>
  <c r="GF341" i="1"/>
  <c r="HX341" i="1"/>
  <c r="AO342" i="1"/>
  <c r="H342" i="10" s="1"/>
  <c r="AR341" i="1"/>
  <c r="H341" i="10"/>
  <c r="CK343" i="1"/>
  <c r="CN342" i="1"/>
  <c r="T342" i="1"/>
  <c r="Q343" i="1"/>
  <c r="EJ341" i="1"/>
  <c r="EG342" i="1"/>
  <c r="HZ342" i="1" s="1"/>
  <c r="HD341" i="1"/>
  <c r="HA342" i="1"/>
  <c r="J341" i="10"/>
  <c r="IA341" i="1"/>
  <c r="FQ344" i="1"/>
  <c r="FT343" i="1"/>
  <c r="EV342" i="1"/>
  <c r="ES343" i="1"/>
  <c r="H342" i="1"/>
  <c r="E343" i="1"/>
  <c r="F344" i="1"/>
  <c r="HN343" i="1"/>
  <c r="DU343" i="1"/>
  <c r="DX342" i="1"/>
  <c r="D342" i="10"/>
  <c r="FH342" i="1"/>
  <c r="FE343" i="1"/>
  <c r="CW343" i="1"/>
  <c r="CZ342" i="1"/>
  <c r="BA344" i="1"/>
  <c r="BD343" i="1"/>
  <c r="DL342" i="1"/>
  <c r="DI343" i="1"/>
  <c r="GO343" i="1" l="1"/>
  <c r="GR342" i="1"/>
  <c r="HP341" i="1"/>
  <c r="AC350" i="1"/>
  <c r="AF349" i="1"/>
  <c r="BP343" i="1"/>
  <c r="BM344" i="1"/>
  <c r="BY343" i="1"/>
  <c r="CB342" i="1"/>
  <c r="GC343" i="1"/>
  <c r="GF342" i="1"/>
  <c r="E344" i="1"/>
  <c r="H343" i="1"/>
  <c r="ES344" i="1"/>
  <c r="EV343" i="1"/>
  <c r="CK344" i="1"/>
  <c r="CN343" i="1"/>
  <c r="EJ342" i="1"/>
  <c r="EG343" i="1"/>
  <c r="HZ343" i="1" s="1"/>
  <c r="F342" i="10"/>
  <c r="HD342" i="1"/>
  <c r="HA343" i="1"/>
  <c r="IA342" i="1"/>
  <c r="HY343" i="1"/>
  <c r="HM342" i="1"/>
  <c r="HX342" i="1"/>
  <c r="AO343" i="1"/>
  <c r="HX343" i="1" s="1"/>
  <c r="AR342" i="1"/>
  <c r="FT345" i="1"/>
  <c r="FT344" i="1"/>
  <c r="FQ347" i="1"/>
  <c r="J342" i="10"/>
  <c r="Q344" i="1"/>
  <c r="T343" i="1"/>
  <c r="BA347" i="1"/>
  <c r="BD344" i="1"/>
  <c r="BD345" i="1"/>
  <c r="FE344" i="1"/>
  <c r="FH343" i="1"/>
  <c r="DU344" i="1"/>
  <c r="DX343" i="1"/>
  <c r="D343" i="10"/>
  <c r="F347" i="1"/>
  <c r="HN344" i="1"/>
  <c r="DL343" i="1"/>
  <c r="DI344" i="1"/>
  <c r="CW344" i="1"/>
  <c r="CZ343" i="1"/>
  <c r="GO344" i="1" l="1"/>
  <c r="GR343" i="1"/>
  <c r="AF350" i="1"/>
  <c r="AC351" i="1"/>
  <c r="F343" i="10"/>
  <c r="GC344" i="1"/>
  <c r="GF343" i="1"/>
  <c r="CB343" i="1"/>
  <c r="BY344" i="1"/>
  <c r="IG355" i="1" s="1"/>
  <c r="IG353" i="1" s="1"/>
  <c r="BP345" i="1"/>
  <c r="BM347" i="1"/>
  <c r="BP344" i="1"/>
  <c r="HA344" i="1"/>
  <c r="J344" i="10" s="1"/>
  <c r="HD343" i="1"/>
  <c r="IA343" i="1"/>
  <c r="FT347" i="1"/>
  <c r="FQ348" i="1"/>
  <c r="AR343" i="1"/>
  <c r="AO344" i="1"/>
  <c r="EJ343" i="1"/>
  <c r="EG344" i="1"/>
  <c r="HZ345" i="1" s="1"/>
  <c r="E347" i="1"/>
  <c r="H344" i="1"/>
  <c r="H345" i="1"/>
  <c r="HY344" i="1"/>
  <c r="H343" i="10"/>
  <c r="Q347" i="1"/>
  <c r="T344" i="1"/>
  <c r="T345" i="1"/>
  <c r="C342" i="10"/>
  <c r="HP342" i="1"/>
  <c r="J343" i="10"/>
  <c r="ES347" i="1"/>
  <c r="EV344" i="1"/>
  <c r="EV345" i="1"/>
  <c r="HM343" i="1"/>
  <c r="HP343" i="1" s="1"/>
  <c r="CN344" i="1"/>
  <c r="CN345" i="1"/>
  <c r="CK347" i="1"/>
  <c r="F348" i="1"/>
  <c r="HN347" i="1"/>
  <c r="HL355" i="1" s="1"/>
  <c r="FH345" i="1"/>
  <c r="FE347" i="1"/>
  <c r="FH344" i="1"/>
  <c r="DI347" i="1"/>
  <c r="DL345" i="1"/>
  <c r="DL344" i="1"/>
  <c r="DU347" i="1"/>
  <c r="DX344" i="1"/>
  <c r="DX345" i="1"/>
  <c r="F41" i="11"/>
  <c r="D344" i="10"/>
  <c r="BD347" i="1"/>
  <c r="BA348" i="1"/>
  <c r="CW347" i="1"/>
  <c r="CZ345" i="1"/>
  <c r="CZ344" i="1"/>
  <c r="IH355" i="1" l="1"/>
  <c r="IH353" i="1" s="1"/>
  <c r="HZ344" i="1"/>
  <c r="L41" i="11"/>
  <c r="GR344" i="1"/>
  <c r="GR345" i="1"/>
  <c r="GO347" i="1"/>
  <c r="D347" i="10" s="1"/>
  <c r="HY345" i="1"/>
  <c r="AF351" i="1"/>
  <c r="AC352" i="1"/>
  <c r="BP347" i="1"/>
  <c r="BM348" i="1"/>
  <c r="BY347" i="1"/>
  <c r="HY347" i="1" s="1"/>
  <c r="CB344" i="1"/>
  <c r="CB345" i="1"/>
  <c r="GF344" i="1"/>
  <c r="GF345" i="1"/>
  <c r="GC347" i="1"/>
  <c r="C343" i="10"/>
  <c r="Q348" i="1"/>
  <c r="T347" i="1"/>
  <c r="ES348" i="1"/>
  <c r="EV347" i="1"/>
  <c r="IF355" i="1"/>
  <c r="IF353" i="1" s="1"/>
  <c r="AR344" i="1"/>
  <c r="AO347" i="1"/>
  <c r="HX345" i="1"/>
  <c r="AR345" i="1"/>
  <c r="HX344" i="1"/>
  <c r="CN347" i="1"/>
  <c r="CK348" i="1"/>
  <c r="FT348" i="1"/>
  <c r="FQ349" i="1"/>
  <c r="H344" i="10"/>
  <c r="J41" i="11"/>
  <c r="E348" i="1"/>
  <c r="H347" i="1"/>
  <c r="HM344" i="1"/>
  <c r="HP345" i="1" s="1"/>
  <c r="EG347" i="1"/>
  <c r="EJ345" i="1"/>
  <c r="EJ344" i="1"/>
  <c r="H41" i="11"/>
  <c r="F344" i="10"/>
  <c r="HD345" i="1"/>
  <c r="HA347" i="1"/>
  <c r="HD344" i="1"/>
  <c r="II355" i="1"/>
  <c r="II353" i="1" s="1"/>
  <c r="IA345" i="1"/>
  <c r="IA344" i="1"/>
  <c r="DU348" i="1"/>
  <c r="DX347" i="1"/>
  <c r="F349" i="1"/>
  <c r="HN348" i="1"/>
  <c r="CZ347" i="1"/>
  <c r="CW348" i="1"/>
  <c r="DL347" i="1"/>
  <c r="DI348" i="1"/>
  <c r="BD348" i="1"/>
  <c r="BA349" i="1"/>
  <c r="FH347" i="1"/>
  <c r="FE348" i="1"/>
  <c r="F347" i="10" l="1"/>
  <c r="GR347" i="1"/>
  <c r="GO348" i="1"/>
  <c r="AC353" i="1"/>
  <c r="AF352" i="1"/>
  <c r="HZ347" i="1"/>
  <c r="CB347" i="1"/>
  <c r="BY348" i="1"/>
  <c r="BP348" i="1"/>
  <c r="BM349" i="1"/>
  <c r="HM347" i="1"/>
  <c r="HP347" i="1" s="1"/>
  <c r="GF347" i="1"/>
  <c r="GC348" i="1"/>
  <c r="CN348" i="1"/>
  <c r="CK349" i="1"/>
  <c r="C344" i="10"/>
  <c r="HD347" i="1"/>
  <c r="HA348" i="1"/>
  <c r="IA347" i="1"/>
  <c r="HX347" i="1"/>
  <c r="HP344" i="1"/>
  <c r="EV348" i="1"/>
  <c r="ES349" i="1"/>
  <c r="E349" i="1"/>
  <c r="H348" i="1"/>
  <c r="FT349" i="1"/>
  <c r="FQ350" i="1"/>
  <c r="EG348" i="1"/>
  <c r="EJ347" i="1"/>
  <c r="J347" i="10"/>
  <c r="T348" i="1"/>
  <c r="Q349" i="1"/>
  <c r="AR347" i="1"/>
  <c r="AO348" i="1"/>
  <c r="H347" i="10"/>
  <c r="DU349" i="1"/>
  <c r="DX348" i="1"/>
  <c r="D348" i="10"/>
  <c r="FH348" i="1"/>
  <c r="FE349" i="1"/>
  <c r="BA350" i="1"/>
  <c r="BD349" i="1"/>
  <c r="DL348" i="1"/>
  <c r="DI349" i="1"/>
  <c r="F350" i="1"/>
  <c r="HN349" i="1"/>
  <c r="CW349" i="1"/>
  <c r="CZ348" i="1"/>
  <c r="GR348" i="1" l="1"/>
  <c r="GO349" i="1"/>
  <c r="D349" i="10" s="1"/>
  <c r="HM348" i="1"/>
  <c r="HP348" i="1" s="1"/>
  <c r="AF353" i="1"/>
  <c r="AF354" i="1"/>
  <c r="C347" i="10"/>
  <c r="HK355" i="1"/>
  <c r="BM350" i="1"/>
  <c r="BP349" i="1"/>
  <c r="GC349" i="1"/>
  <c r="GF348" i="1"/>
  <c r="BY349" i="1"/>
  <c r="HY349" i="1" s="1"/>
  <c r="HY348" i="1"/>
  <c r="CB348" i="1"/>
  <c r="F348" i="10"/>
  <c r="HZ348" i="1"/>
  <c r="Q350" i="1"/>
  <c r="T349" i="1"/>
  <c r="HA349" i="1"/>
  <c r="HD348" i="1"/>
  <c r="IA348" i="1"/>
  <c r="E350" i="1"/>
  <c r="H349" i="1"/>
  <c r="FT350" i="1"/>
  <c r="FQ351" i="1"/>
  <c r="ES350" i="1"/>
  <c r="EV349" i="1"/>
  <c r="CN349" i="1"/>
  <c r="CK350" i="1"/>
  <c r="HX348" i="1"/>
  <c r="AO349" i="1"/>
  <c r="H348" i="10"/>
  <c r="AR348" i="1"/>
  <c r="EJ348" i="1"/>
  <c r="EG349" i="1"/>
  <c r="HZ349" i="1" s="1"/>
  <c r="J348" i="10"/>
  <c r="CZ349" i="1"/>
  <c r="CW350" i="1"/>
  <c r="BA351" i="1"/>
  <c r="BD350" i="1"/>
  <c r="DI350" i="1"/>
  <c r="F351" i="1"/>
  <c r="HN350" i="1"/>
  <c r="FH349" i="1"/>
  <c r="FE350" i="1"/>
  <c r="DU350" i="1"/>
  <c r="DX349" i="1"/>
  <c r="C348" i="10" l="1"/>
  <c r="GR349" i="1"/>
  <c r="GO350" i="1"/>
  <c r="D350" i="10" s="1"/>
  <c r="HM349" i="1"/>
  <c r="C349" i="10" s="1"/>
  <c r="CB349" i="1"/>
  <c r="BY350" i="1"/>
  <c r="HY350" i="1" s="1"/>
  <c r="F349" i="10"/>
  <c r="GC350" i="1"/>
  <c r="GF349" i="1"/>
  <c r="H349" i="10"/>
  <c r="BM351" i="1"/>
  <c r="BP350" i="1"/>
  <c r="CN350" i="1"/>
  <c r="CK351" i="1"/>
  <c r="ES351" i="1"/>
  <c r="EV350" i="1"/>
  <c r="HA350" i="1"/>
  <c r="J350" i="10" s="1"/>
  <c r="HD349" i="1"/>
  <c r="IA349" i="1"/>
  <c r="AO350" i="1"/>
  <c r="AR349" i="1"/>
  <c r="HX349" i="1"/>
  <c r="EG350" i="1"/>
  <c r="HZ350" i="1" s="1"/>
  <c r="EJ349" i="1"/>
  <c r="FT351" i="1"/>
  <c r="FQ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HN351" i="1"/>
  <c r="F350" i="10" l="1"/>
  <c r="HP349" i="1"/>
  <c r="GR350" i="1"/>
  <c r="GO351" i="1"/>
  <c r="D351" i="10" s="1"/>
  <c r="GF350" i="1"/>
  <c r="GC351" i="1"/>
  <c r="CB350" i="1"/>
  <c r="BY351" i="1"/>
  <c r="BM352" i="1"/>
  <c r="BP351" i="1"/>
  <c r="HD350" i="1"/>
  <c r="HA351" i="1"/>
  <c r="J351" i="10" s="1"/>
  <c r="IA350" i="1"/>
  <c r="Q352" i="1"/>
  <c r="T351" i="1"/>
  <c r="HM350" i="1"/>
  <c r="CK352" i="1"/>
  <c r="CN351" i="1"/>
  <c r="EV351" i="1"/>
  <c r="ES352" i="1"/>
  <c r="E352" i="1"/>
  <c r="E353" i="1" s="1"/>
  <c r="H351" i="1"/>
  <c r="HX350" i="1"/>
  <c r="H350" i="10"/>
  <c r="AO351" i="1"/>
  <c r="AR350" i="1"/>
  <c r="EJ350" i="1"/>
  <c r="EG351" i="1"/>
  <c r="HZ351" i="1" s="1"/>
  <c r="FQ353" i="1"/>
  <c r="FT352" i="1"/>
  <c r="DU352" i="1"/>
  <c r="DX351" i="1"/>
  <c r="CW352" i="1"/>
  <c r="CZ351" i="1"/>
  <c r="BD352" i="1"/>
  <c r="BA353" i="1"/>
  <c r="F353" i="1"/>
  <c r="HN353" i="1" s="1"/>
  <c r="HN352" i="1"/>
  <c r="FE352" i="1"/>
  <c r="FH351" i="1"/>
  <c r="DL351" i="1"/>
  <c r="DI352" i="1"/>
  <c r="GR351" i="1" l="1"/>
  <c r="GO352" i="1"/>
  <c r="BM353" i="1"/>
  <c r="BP352" i="1"/>
  <c r="CB351" i="1"/>
  <c r="BY352" i="1"/>
  <c r="HY352" i="1" s="1"/>
  <c r="GC352" i="1"/>
  <c r="GF351" i="1"/>
  <c r="F351" i="10"/>
  <c r="HY351" i="1"/>
  <c r="HP350" i="1"/>
  <c r="C350" i="10"/>
  <c r="FT354" i="1"/>
  <c r="FT353" i="1"/>
  <c r="H352" i="1"/>
  <c r="HX351" i="1"/>
  <c r="H351" i="10"/>
  <c r="AO352" i="1"/>
  <c r="H352" i="10" s="1"/>
  <c r="AR351" i="1"/>
  <c r="EG352" i="1"/>
  <c r="HZ352" i="1" s="1"/>
  <c r="EJ351" i="1"/>
  <c r="EV352" i="1"/>
  <c r="ES353" i="1"/>
  <c r="CK353" i="1"/>
  <c r="CN352" i="1"/>
  <c r="HD351" i="1"/>
  <c r="HA352" i="1"/>
  <c r="IA351" i="1"/>
  <c r="T352" i="1"/>
  <c r="Q353" i="1"/>
  <c r="HM351" i="1"/>
  <c r="C351" i="10" s="1"/>
  <c r="J352" i="10"/>
  <c r="BD353" i="1"/>
  <c r="BD354" i="1"/>
  <c r="CW353" i="1"/>
  <c r="CZ352" i="1"/>
  <c r="DL352" i="1"/>
  <c r="DI353" i="1"/>
  <c r="FH352" i="1"/>
  <c r="FE353" i="1"/>
  <c r="DX352" i="1"/>
  <c r="DU353" i="1"/>
  <c r="D352" i="10"/>
  <c r="GR352" i="1" l="1"/>
  <c r="GO353" i="1"/>
  <c r="F352" i="10"/>
  <c r="HM352" i="1"/>
  <c r="HP352" i="1" s="1"/>
  <c r="GF352" i="1"/>
  <c r="GC353" i="1"/>
  <c r="BY353" i="1"/>
  <c r="HY353" i="1" s="1"/>
  <c r="CB352" i="1"/>
  <c r="BP354" i="1"/>
  <c r="BP353" i="1"/>
  <c r="T354" i="1"/>
  <c r="T353" i="1"/>
  <c r="HP351" i="1"/>
  <c r="H354" i="1"/>
  <c r="H353" i="1"/>
  <c r="EG353" i="1"/>
  <c r="EJ352" i="1"/>
  <c r="HA353" i="1"/>
  <c r="L42" i="11" s="1"/>
  <c r="HD352" i="1"/>
  <c r="IA352" i="1"/>
  <c r="CN354" i="1"/>
  <c r="CN353" i="1"/>
  <c r="EV354" i="1"/>
  <c r="EV353" i="1"/>
  <c r="HX352" i="1"/>
  <c r="AO353" i="1"/>
  <c r="AR352" i="1"/>
  <c r="DX354" i="1"/>
  <c r="DX353" i="1"/>
  <c r="D353" i="10"/>
  <c r="F42" i="11"/>
  <c r="CZ353" i="1"/>
  <c r="CZ354" i="1"/>
  <c r="DL354" i="1"/>
  <c r="DL353" i="1"/>
  <c r="FH353" i="1"/>
  <c r="FH354" i="1"/>
  <c r="H42" i="11" l="1"/>
  <c r="GR353" i="1"/>
  <c r="GR354" i="1"/>
  <c r="HZ354" i="1"/>
  <c r="HZ353" i="1"/>
  <c r="C352" i="10"/>
  <c r="CB353" i="1"/>
  <c r="CB354" i="1"/>
  <c r="GF354" i="1"/>
  <c r="GF353" i="1"/>
  <c r="F353" i="10"/>
  <c r="HY354" i="1"/>
  <c r="HD353" i="1"/>
  <c r="HD354" i="1"/>
  <c r="IA353" i="1"/>
  <c r="IA354" i="1"/>
  <c r="HX353" i="1"/>
  <c r="J42" i="11"/>
  <c r="AR353" i="1"/>
  <c r="H353" i="10"/>
  <c r="AR354" i="1"/>
  <c r="EJ353" i="1"/>
  <c r="EJ354" i="1"/>
  <c r="HM353" i="1"/>
  <c r="HX354" i="1"/>
  <c r="J353" i="10"/>
  <c r="HP353" i="1" l="1"/>
  <c r="HP354" i="1"/>
  <c r="C353" i="10"/>
</calcChain>
</file>

<file path=xl/comments1.xml><?xml version="1.0" encoding="utf-8"?>
<comments xmlns="http://schemas.openxmlformats.org/spreadsheetml/2006/main">
  <authors>
    <author>Alabama</author>
    <author>Jbarbosa</author>
    <author>avicol</author>
  </authors>
  <commentList>
    <comment ref="HK60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4 aves para el ICA</t>
        </r>
      </text>
    </comment>
    <comment ref="HL60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1 ave para el ICA</t>
        </r>
      </text>
    </comment>
    <comment ref="B96" authorId="1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MANEJO DE MACHOS CASETA B - C
CAS B- 6 EN CADA CORRAL
1-6
2-6
3-0
4-6
5-6
CAS C- 6 EN CADA CORRAL
1-6
2-6
3-0
4-6
5-6
FALTO 1 MACHO EN LA C</t>
        </r>
      </text>
    </comment>
    <comment ref="HL96" authorId="1" shapeId="0">
      <text>
        <r>
          <rPr>
            <b/>
            <sz val="9"/>
            <color indexed="81"/>
            <rFont val="Tahoma"/>
            <family val="2"/>
          </rPr>
          <t>Jbarbosa:</t>
        </r>
        <r>
          <rPr>
            <sz val="9"/>
            <color indexed="81"/>
            <rFont val="Tahoma"/>
            <family val="2"/>
          </rPr>
          <t xml:space="preserve">
FALTO EN EL MANEJO</t>
        </r>
      </text>
    </comment>
    <comment ref="B97" authorId="1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CASETA D-E
CUENTAS OK
CAS D - 22 DESCARTES
1-7
2-7
3-1
4-7
CAS E - 26 DESCARTES
1-8
2-8
3-2
4-8
</t>
        </r>
      </text>
    </comment>
    <comment ref="B198" authorId="1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 CASETA B
CUENTAS OK
17 MACHOS PARA LA VENTA ASI.
1-4
2-4
3-1
4-4
5-4</t>
        </r>
      </text>
    </comment>
    <comment ref="B199" authorId="1" shapeId="0">
      <text>
        <r>
          <rPr>
            <b/>
            <sz val="16"/>
            <color indexed="81"/>
            <rFont val="Tahoma"/>
            <family val="2"/>
          </rPr>
          <t xml:space="preserve">Jbarbosa:
</t>
        </r>
        <r>
          <rPr>
            <sz val="16"/>
            <color indexed="81"/>
            <rFont val="Tahoma"/>
            <family val="2"/>
          </rPr>
          <t xml:space="preserve">
MANEJO DE MACHOS CASETA C-D-E
CASETA C - FALTA 1 MACHO - 19 DESCARTES PARA LA VENTA ASI:
1-4
2-4
3-1
4-5
5-5
CASETA D - CUENTAS OK - 19 DESCARTES PARA LA VENTA ASI:
1-6
2-6
3-1
4-6
CASETA E - FALTA 1 MACHO - 17 DESCARTES PARA LA VENTA ASI:
1-5
2-5
3-2
4-5
</t>
        </r>
      </text>
    </comment>
    <comment ref="B286" authorId="1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 CAS B - C
CAS B: 11 DESCARTES PARA LA VENTA
1-2
2-3
3-0
4-3
5-3
CAS C: 12 DESCARTES PARA LA VENTA
1-3
2-3
3-0
4-3
5-3</t>
        </r>
      </text>
    </comment>
    <comment ref="B287" authorId="1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CASETA D-E
</t>
        </r>
        <r>
          <rPr>
            <b/>
            <sz val="14"/>
            <color indexed="81"/>
            <rFont val="Tahoma"/>
            <family val="2"/>
          </rPr>
          <t>CASETA D:</t>
        </r>
        <r>
          <rPr>
            <sz val="14"/>
            <color indexed="81"/>
            <rFont val="Tahoma"/>
            <family val="2"/>
          </rPr>
          <t xml:space="preserve"> 9 DESCARTES PARA LA VENTA (SACAR 10 DEL SISTEMA PORQUE FALTO 1 EN LAS CUENTAS)
1-3
2-3
3-
4-3
</t>
        </r>
        <r>
          <rPr>
            <b/>
            <sz val="14"/>
            <color indexed="81"/>
            <rFont val="Tahoma"/>
            <family val="2"/>
          </rPr>
          <t>CASETA E:</t>
        </r>
        <r>
          <rPr>
            <sz val="14"/>
            <color indexed="81"/>
            <rFont val="Tahoma"/>
            <family val="2"/>
          </rPr>
          <t xml:space="preserve"> 1 MACHO DE MORTALIDAD - 12 PARA LA VENTA
1-4
2-3
3-1
4-4
</t>
        </r>
      </text>
    </comment>
    <comment ref="HC349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HC358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HC367" authorId="2" shapeId="0">
      <text>
        <r>
          <rPr>
            <b/>
            <sz val="9"/>
            <color indexed="81"/>
            <rFont val="Tahoma"/>
            <family val="2"/>
          </rPr>
          <t>avicol:</t>
        </r>
        <r>
          <rPr>
            <sz val="9"/>
            <color indexed="81"/>
            <rFont val="Tahoma"/>
            <family val="2"/>
          </rPr>
          <t xml:space="preserve">
huevo de la hora incubable</t>
        </r>
      </text>
    </comment>
    <comment ref="HM367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4395 hembras depopuladas
6 mortalidades
3 descartes</t>
        </r>
      </text>
    </comment>
    <comment ref="HN367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342 machos depopulados</t>
        </r>
      </text>
    </comment>
    <comment ref="HM368" authorId="0" shapeId="0">
      <text>
        <r>
          <rPr>
            <b/>
            <sz val="9"/>
            <color indexed="81"/>
            <rFont val="Tahoma"/>
            <charset val="1"/>
          </rPr>
          <t>Alabama
4392</t>
        </r>
        <r>
          <rPr>
            <sz val="9"/>
            <color indexed="81"/>
            <rFont val="Tahoma"/>
            <charset val="1"/>
          </rPr>
          <t xml:space="preserve"> aves depopuladas
4 mortalidades
5 descartes</t>
        </r>
      </text>
    </comment>
    <comment ref="HN368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345 aves depopuladas
2 mortalidad</t>
        </r>
      </text>
    </comment>
    <comment ref="HM369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2635 aves depopuladas
5 aves muertas
3 descartes</t>
        </r>
      </text>
    </comment>
    <comment ref="HN369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197 aves depopuladas
2 aves muertas</t>
        </r>
      </text>
    </comment>
  </commentList>
</comments>
</file>

<file path=xl/comments2.xml><?xml version="1.0" encoding="utf-8"?>
<comments xmlns="http://schemas.openxmlformats.org/spreadsheetml/2006/main">
  <authors>
    <author>Jbarbosa</author>
    <author>Alabama</author>
  </authors>
  <commentList>
    <comment ref="B92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
24 descartes para la venta
2 descartes
Los descartes estan distribuidos asi:
1- 5
2- 5
3- 0
4- 5
5- 5
6- 4</t>
        </r>
      </text>
    </comment>
    <comment ref="B198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
28 DESCARTES (4 MORT + 24 PARA LA VENTA)
QUEDAN DISPUESTOS ASI:
1-4
2-4
3-2
4-4
5-5
6-5
</t>
        </r>
      </text>
    </comment>
    <comment ref="B279" authorId="0" shapeId="0">
      <text>
        <r>
          <rPr>
            <b/>
            <sz val="16"/>
            <color indexed="81"/>
            <rFont val="Tahoma"/>
            <family val="2"/>
          </rPr>
          <t xml:space="preserve">Jbarbosa:
</t>
        </r>
        <r>
          <rPr>
            <sz val="16"/>
            <color indexed="81"/>
            <rFont val="Tahoma"/>
            <family val="2"/>
          </rPr>
          <t>Se realiza manejo de machos, 16 machos disponibles para la venta:
1-3
2-3
3-1
4-3
5-3
6-3</t>
        </r>
      </text>
    </comment>
    <comment ref="HM369" authorId="1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1762 aves depopuladas
4 ave muerta
6 aves descartadas</t>
        </r>
      </text>
    </comment>
    <comment ref="HN369" authorId="1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139 aves depopuladas</t>
        </r>
      </text>
    </comment>
    <comment ref="HM370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1413 aves depopulada
8 mortalidades
6 descartes</t>
        </r>
      </text>
    </comment>
    <comment ref="HN370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100 aves depopiladas</t>
        </r>
      </text>
    </comment>
  </commentList>
</comments>
</file>

<file path=xl/sharedStrings.xml><?xml version="1.0" encoding="utf-8"?>
<sst xmlns="http://schemas.openxmlformats.org/spreadsheetml/2006/main" count="918" uniqueCount="150">
  <si>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</si>
  <si>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</si>
  <si>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</si>
  <si>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</si>
  <si>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</si>
  <si>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</si>
  <si>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</si>
  <si>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</si>
  <si>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</si>
  <si>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</si>
  <si>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</si>
  <si>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</si>
  <si>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</si>
  <si>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</si>
  <si>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</si>
  <si>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</si>
  <si>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</si>
  <si>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</si>
  <si>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</si>
  <si>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</si>
  <si>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</si>
  <si>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</si>
  <si>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>CASETA B CORRAL 3 REC</t>
  </si>
  <si>
    <t xml:space="preserve">CASETA B  </t>
  </si>
  <si>
    <t xml:space="preserve">CASETA C CORRAL 1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</si>
  <si>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</si>
  <si>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</si>
  <si>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</si>
  <si>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</si>
  <si>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</si>
  <si>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</si>
  <si>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</si>
  <si>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</si>
  <si>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C  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</si>
  <si>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</si>
  <si>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</si>
  <si>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</si>
  <si>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</si>
  <si>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</si>
  <si>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</si>
  <si>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%PROD CAS B</t>
  </si>
  <si>
    <t>%PROD CAS C</t>
  </si>
  <si>
    <t>%PROD CAS D</t>
  </si>
  <si>
    <t>%PROD CAS E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</si>
  <si>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</si>
  <si>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</si>
  <si>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</si>
  <si>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</si>
  <si>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</si>
  <si>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</si>
  <si>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</si>
  <si>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</si>
  <si>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</si>
  <si>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</si>
  <si>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</si>
  <si>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</si>
  <si>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</si>
  <si>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</si>
  <si>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</si>
  <si>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</si>
  <si>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</si>
  <si>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</si>
  <si>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</si>
  <si>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</si>
  <si>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</si>
  <si>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</si>
  <si>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</si>
  <si>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</si>
  <si>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</si>
  <si>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</si>
  <si>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</si>
  <si>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</si>
  <si>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</si>
  <si>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</si>
  <si>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</si>
  <si>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</si>
  <si>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</si>
  <si>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</si>
  <si>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</si>
  <si>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</si>
  <si>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%HUEVO PISO CAS B</t>
  </si>
  <si>
    <t>%HUEVO PISO CAS C</t>
  </si>
  <si>
    <t>%HUEVO PISO CAS D</t>
  </si>
  <si>
    <t>%HUEVO PISO CAS E</t>
  </si>
  <si>
    <t>Aves que inician semana</t>
  </si>
  <si>
    <t>B</t>
  </si>
  <si>
    <t>C</t>
  </si>
  <si>
    <t>D</t>
  </si>
  <si>
    <t>E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</si>
  <si>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</si>
  <si>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</si>
  <si>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</si>
  <si>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</si>
  <si>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</si>
  <si>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</si>
  <si>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</si>
  <si>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</si>
  <si>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</si>
  <si>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</si>
  <si>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</si>
  <si>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</si>
  <si>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</si>
  <si>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</si>
  <si>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</si>
  <si>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</si>
  <si>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</si>
  <si>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</si>
  <si>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</si>
  <si>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</si>
  <si>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</si>
  <si>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</si>
  <si>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</si>
  <si>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F 571</t>
  </si>
  <si>
    <t>M 572</t>
  </si>
  <si>
    <t>CASETA D CORRAL 2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</si>
  <si>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</si>
  <si>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</si>
  <si>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</si>
  <si>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</si>
  <si>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</si>
  <si>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</si>
  <si>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</si>
  <si>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</si>
  <si>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</si>
  <si>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</si>
  <si>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</si>
  <si>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</si>
  <si>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</si>
  <si>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</si>
  <si>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</si>
  <si>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</si>
  <si>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</si>
  <si>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</si>
  <si>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</si>
  <si>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</si>
  <si>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</si>
  <si>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</si>
  <si>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</si>
  <si>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</si>
  <si>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</si>
  <si>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</si>
  <si>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</si>
  <si>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</si>
  <si>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</si>
  <si>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</si>
  <si>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</si>
  <si>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</si>
  <si>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61.1</t>
  </si>
  <si>
    <t>M576</t>
  </si>
  <si>
    <t>M580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</si>
</sst>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0.0%"/>
    <numFmt numFmtId="166" formatCode="#,##0.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</fills>
  <borders count="7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85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0" fontId="5" fillId="0" borderId="12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5" fillId="12" borderId="33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12" xfId="0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0" fontId="5" fillId="0" borderId="38" xfId="0" applyNumberFormat="1" applyFont="1" applyBorder="1" applyAlignment="1">
      <alignment horizontal="center" vertical="center"/>
    </xf>
    <xf numFmtId="10" fontId="5" fillId="0" borderId="39" xfId="0" applyNumberFormat="1" applyFont="1" applyBorder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6" fillId="17" borderId="5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17" borderId="8" xfId="0" applyFont="1" applyFill="1" applyBorder="1" applyAlignment="1">
      <alignment horizontal="center" vertical="center"/>
    </xf>
    <xf numFmtId="0" fontId="16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3" fillId="13" borderId="2" xfId="0" applyNumberFormat="1" applyFont="1" applyFill="1" applyBorder="1" applyAlignment="1">
      <alignment horizontal="center" vertical="center"/>
    </xf>
    <xf numFmtId="14" fontId="13" fillId="13" borderId="2" xfId="0" applyNumberFormat="1" applyFont="1" applyFill="1" applyBorder="1" applyAlignment="1">
      <alignment horizontal="center" vertical="center"/>
    </xf>
    <xf numFmtId="1" fontId="13" fillId="13" borderId="58" xfId="0" applyNumberFormat="1" applyFont="1" applyFill="1" applyBorder="1" applyAlignment="1">
      <alignment horizontal="center" vertical="center"/>
    </xf>
    <xf numFmtId="1" fontId="17" fillId="13" borderId="15" xfId="0" applyNumberFormat="1" applyFont="1" applyFill="1" applyBorder="1"/>
    <xf numFmtId="1" fontId="17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8" fillId="13" borderId="0" xfId="0" applyFont="1" applyFill="1"/>
    <xf numFmtId="14" fontId="18" fillId="13" borderId="0" xfId="0" applyNumberFormat="1" applyFont="1" applyFill="1"/>
    <xf numFmtId="1" fontId="18" fillId="13" borderId="0" xfId="0" applyNumberFormat="1" applyFont="1" applyFill="1"/>
    <xf numFmtId="14" fontId="23" fillId="13" borderId="0" xfId="0" applyNumberFormat="1" applyFont="1" applyFill="1"/>
    <xf numFmtId="0" fontId="13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9" fillId="9" borderId="38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49" xfId="0" applyFont="1" applyFill="1" applyBorder="1" applyAlignment="1">
      <alignment horizontal="center" vertical="center"/>
    </xf>
    <xf numFmtId="0" fontId="22" fillId="10" borderId="38" xfId="0" applyFont="1" applyFill="1" applyBorder="1" applyAlignment="1">
      <alignment horizontal="center" vertical="center"/>
    </xf>
    <xf numFmtId="0" fontId="22" fillId="10" borderId="40" xfId="0" applyFont="1" applyFill="1" applyBorder="1" applyAlignment="1">
      <alignment horizontal="center" vertical="center"/>
    </xf>
    <xf numFmtId="0" fontId="22" fillId="10" borderId="15" xfId="0" applyFont="1" applyFill="1" applyBorder="1" applyAlignment="1">
      <alignment horizontal="center" vertical="center"/>
    </xf>
    <xf numFmtId="0" fontId="22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5" fillId="20" borderId="23" xfId="0" applyNumberFormat="1" applyFont="1" applyFill="1" applyBorder="1" applyAlignment="1">
      <alignment horizontal="center" vertical="center"/>
    </xf>
    <xf numFmtId="0" fontId="5" fillId="8" borderId="23" xfId="0" applyFont="1" applyFill="1" applyBorder="1" applyAlignment="1">
      <alignment horizontal="center" vertical="center"/>
    </xf>
    <xf numFmtId="0" fontId="5" fillId="20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4" fontId="5" fillId="23" borderId="33" xfId="0" applyNumberFormat="1" applyFont="1" applyFill="1" applyBorder="1" applyAlignment="1">
      <alignment horizontal="center" vertical="center"/>
    </xf>
    <xf numFmtId="164" fontId="5" fillId="24" borderId="23" xfId="0" applyNumberFormat="1" applyFont="1" applyFill="1" applyBorder="1" applyAlignment="1">
      <alignment horizontal="center" vertical="center"/>
    </xf>
    <xf numFmtId="0" fontId="5" fillId="25" borderId="23" xfId="0" applyFont="1" applyFill="1" applyBorder="1" applyAlignment="1">
      <alignment horizontal="center" vertical="center"/>
    </xf>
    <xf numFmtId="164" fontId="5" fillId="25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164" fontId="5" fillId="27" borderId="23" xfId="0" applyNumberFormat="1" applyFont="1" applyFill="1" applyBorder="1" applyAlignment="1">
      <alignment horizontal="center" vertical="center"/>
    </xf>
    <xf numFmtId="164" fontId="5" fillId="28" borderId="33" xfId="0" applyNumberFormat="1" applyFont="1" applyFill="1" applyBorder="1" applyAlignment="1">
      <alignment horizontal="center" vertical="center"/>
    </xf>
    <xf numFmtId="164" fontId="5" fillId="29" borderId="23" xfId="0" applyNumberFormat="1" applyFont="1" applyFill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0" fontId="5" fillId="33" borderId="23" xfId="0" applyFont="1" applyFill="1" applyBorder="1" applyAlignment="1">
      <alignment horizontal="center" vertical="center"/>
    </xf>
    <xf numFmtId="164" fontId="5" fillId="33" borderId="23" xfId="0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64" fontId="5" fillId="36" borderId="33" xfId="0" applyNumberFormat="1" applyFont="1" applyFill="1" applyBorder="1" applyAlignment="1">
      <alignment horizontal="center" vertical="center"/>
    </xf>
    <xf numFmtId="164" fontId="5" fillId="8" borderId="33" xfId="0" applyNumberFormat="1" applyFont="1" applyFill="1" applyBorder="1" applyAlignment="1">
      <alignment horizontal="center" vertical="center"/>
    </xf>
    <xf numFmtId="0" fontId="5" fillId="31" borderId="27" xfId="0" applyFont="1" applyFill="1" applyBorder="1" applyAlignment="1">
      <alignment horizontal="center" vertical="center"/>
    </xf>
    <xf numFmtId="164" fontId="5" fillId="37" borderId="23" xfId="0" applyNumberFormat="1" applyFont="1" applyFill="1" applyBorder="1" applyAlignment="1">
      <alignment horizontal="center" vertical="center"/>
    </xf>
    <xf numFmtId="0" fontId="5" fillId="38" borderId="23" xfId="0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6" fillId="0" borderId="24" xfId="0" applyNumberFormat="1" applyFont="1" applyBorder="1" applyAlignment="1">
      <alignment horizontal="center" vertical="center"/>
    </xf>
    <xf numFmtId="164" fontId="26" fillId="35" borderId="53" xfId="0" applyNumberFormat="1" applyFont="1" applyFill="1" applyBorder="1" applyAlignment="1">
      <alignment horizontal="center" vertical="center"/>
    </xf>
    <xf numFmtId="164" fontId="26" fillId="37" borderId="22" xfId="0" applyNumberFormat="1" applyFont="1" applyFill="1" applyBorder="1" applyAlignment="1">
      <alignment horizontal="center" vertical="center"/>
    </xf>
    <xf numFmtId="164" fontId="26" fillId="0" borderId="1" xfId="0" applyNumberFormat="1" applyFont="1" applyBorder="1" applyAlignment="1">
      <alignment horizontal="center" vertical="center"/>
    </xf>
    <xf numFmtId="164" fontId="26" fillId="36" borderId="53" xfId="0" applyNumberFormat="1" applyFont="1" applyFill="1" applyBorder="1" applyAlignment="1">
      <alignment horizontal="center" vertical="center"/>
    </xf>
    <xf numFmtId="164" fontId="26" fillId="35" borderId="22" xfId="0" applyNumberFormat="1" applyFont="1" applyFill="1" applyBorder="1" applyAlignment="1">
      <alignment horizontal="center" vertical="center"/>
    </xf>
    <xf numFmtId="164" fontId="26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6" fillId="36" borderId="22" xfId="0" applyNumberFormat="1" applyFont="1" applyFill="1" applyBorder="1" applyAlignment="1">
      <alignment horizontal="center" vertical="center"/>
    </xf>
    <xf numFmtId="164" fontId="26" fillId="34" borderId="53" xfId="0" applyNumberFormat="1" applyFont="1" applyFill="1" applyBorder="1" applyAlignment="1">
      <alignment horizontal="center" vertical="center"/>
    </xf>
    <xf numFmtId="164" fontId="26" fillId="34" borderId="22" xfId="0" applyNumberFormat="1" applyFont="1" applyFill="1" applyBorder="1" applyAlignment="1">
      <alignment horizontal="center" vertical="center"/>
    </xf>
    <xf numFmtId="164" fontId="26" fillId="28" borderId="22" xfId="0" applyNumberFormat="1" applyFont="1" applyFill="1" applyBorder="1" applyAlignment="1">
      <alignment horizontal="center" vertical="center"/>
    </xf>
    <xf numFmtId="164" fontId="26" fillId="29" borderId="53" xfId="0" applyNumberFormat="1" applyFont="1" applyFill="1" applyBorder="1" applyAlignment="1">
      <alignment horizontal="center" vertical="center"/>
    </xf>
    <xf numFmtId="164" fontId="26" fillId="38" borderId="22" xfId="0" applyNumberFormat="1" applyFont="1" applyFill="1" applyBorder="1" applyAlignment="1">
      <alignment horizontal="center" vertical="center"/>
    </xf>
    <xf numFmtId="164" fontId="26" fillId="29" borderId="22" xfId="0" applyNumberFormat="1" applyFont="1" applyFill="1" applyBorder="1" applyAlignment="1">
      <alignment horizontal="center" vertical="center"/>
    </xf>
    <xf numFmtId="164" fontId="26" fillId="21" borderId="22" xfId="0" applyNumberFormat="1" applyFont="1" applyFill="1" applyBorder="1" applyAlignment="1">
      <alignment horizontal="center" vertical="center"/>
    </xf>
    <xf numFmtId="164" fontId="26" fillId="21" borderId="53" xfId="0" applyNumberFormat="1" applyFont="1" applyFill="1" applyBorder="1" applyAlignment="1">
      <alignment horizontal="center" vertical="center"/>
    </xf>
    <xf numFmtId="164" fontId="26" fillId="8" borderId="22" xfId="0" applyNumberFormat="1" applyFont="1" applyFill="1" applyBorder="1" applyAlignment="1">
      <alignment horizontal="center" vertical="center"/>
    </xf>
    <xf numFmtId="164" fontId="26" fillId="28" borderId="53" xfId="0" applyNumberFormat="1" applyFont="1" applyFill="1" applyBorder="1" applyAlignment="1">
      <alignment horizontal="center" vertical="center"/>
    </xf>
    <xf numFmtId="164" fontId="26" fillId="26" borderId="22" xfId="0" applyNumberFormat="1" applyFont="1" applyFill="1" applyBorder="1" applyAlignment="1">
      <alignment horizontal="center" vertical="center"/>
    </xf>
    <xf numFmtId="164" fontId="26" fillId="26" borderId="53" xfId="0" applyNumberFormat="1" applyFont="1" applyFill="1" applyBorder="1" applyAlignment="1">
      <alignment horizontal="center" vertical="center"/>
    </xf>
    <xf numFmtId="164" fontId="26" fillId="33" borderId="22" xfId="0" applyNumberFormat="1" applyFont="1" applyFill="1" applyBorder="1" applyAlignment="1">
      <alignment horizontal="center" vertical="center"/>
    </xf>
    <xf numFmtId="164" fontId="26" fillId="27" borderId="22" xfId="0" applyNumberFormat="1" applyFont="1" applyFill="1" applyBorder="1" applyAlignment="1">
      <alignment horizontal="center" vertical="center"/>
    </xf>
    <xf numFmtId="164" fontId="26" fillId="25" borderId="53" xfId="0" applyNumberFormat="1" applyFont="1" applyFill="1" applyBorder="1" applyAlignment="1">
      <alignment horizontal="center" vertical="center"/>
    </xf>
    <xf numFmtId="164" fontId="26" fillId="25" borderId="22" xfId="0" applyNumberFormat="1" applyFont="1" applyFill="1" applyBorder="1" applyAlignment="1">
      <alignment horizontal="center" vertical="center"/>
    </xf>
    <xf numFmtId="164" fontId="26" fillId="6" borderId="53" xfId="0" applyNumberFormat="1" applyFont="1" applyFill="1" applyBorder="1" applyAlignment="1">
      <alignment horizontal="center" vertical="center"/>
    </xf>
    <xf numFmtId="164" fontId="26" fillId="24" borderId="22" xfId="0" applyNumberFormat="1" applyFont="1" applyFill="1" applyBorder="1" applyAlignment="1">
      <alignment horizontal="center" vertical="center"/>
    </xf>
    <xf numFmtId="164" fontId="26" fillId="6" borderId="22" xfId="0" applyNumberFormat="1" applyFont="1" applyFill="1" applyBorder="1" applyAlignment="1">
      <alignment horizontal="center" vertical="center"/>
    </xf>
    <xf numFmtId="164" fontId="26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6" fillId="22" borderId="53" xfId="0" applyNumberFormat="1" applyFont="1" applyFill="1" applyBorder="1" applyAlignment="1">
      <alignment horizontal="center" vertical="center"/>
    </xf>
    <xf numFmtId="164" fontId="26" fillId="22" borderId="22" xfId="0" applyNumberFormat="1" applyFont="1" applyFill="1" applyBorder="1" applyAlignment="1">
      <alignment horizontal="center" vertical="center"/>
    </xf>
    <xf numFmtId="164" fontId="26" fillId="11" borderId="22" xfId="0" applyNumberFormat="1" applyFont="1" applyFill="1" applyBorder="1" applyAlignment="1">
      <alignment horizontal="center" vertical="center"/>
    </xf>
    <xf numFmtId="164" fontId="26" fillId="11" borderId="53" xfId="0" applyNumberFormat="1" applyFont="1" applyFill="1" applyBorder="1" applyAlignment="1">
      <alignment horizontal="center" vertical="center"/>
    </xf>
    <xf numFmtId="164" fontId="26" fillId="4" borderId="53" xfId="0" applyNumberFormat="1" applyFont="1" applyFill="1" applyBorder="1" applyAlignment="1">
      <alignment horizontal="center" vertical="center"/>
    </xf>
    <xf numFmtId="164" fontId="26" fillId="20" borderId="22" xfId="0" applyNumberFormat="1" applyFont="1" applyFill="1" applyBorder="1" applyAlignment="1">
      <alignment horizontal="center" vertical="center"/>
    </xf>
    <xf numFmtId="164" fontId="26" fillId="20" borderId="53" xfId="0" applyNumberFormat="1" applyFont="1" applyFill="1" applyBorder="1" applyAlignment="1">
      <alignment horizontal="center" vertical="center"/>
    </xf>
    <xf numFmtId="164" fontId="26" fillId="4" borderId="22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4" fontId="5" fillId="8" borderId="23" xfId="0" applyNumberFormat="1" applyFont="1" applyFill="1" applyBorder="1" applyAlignment="1">
      <alignment horizontal="center" vertical="center"/>
    </xf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20" fillId="15" borderId="0" xfId="0" applyFont="1" applyFill="1" applyAlignment="1">
      <alignment vertical="center"/>
    </xf>
    <xf numFmtId="0" fontId="18" fillId="14" borderId="7" xfId="0" applyFont="1" applyFill="1" applyBorder="1" applyAlignment="1">
      <alignment vertical="center"/>
    </xf>
    <xf numFmtId="0" fontId="18" fillId="14" borderId="14" xfId="0" applyFont="1" applyFill="1" applyBorder="1" applyAlignment="1">
      <alignment vertical="center"/>
    </xf>
    <xf numFmtId="0" fontId="18" fillId="14" borderId="5" xfId="0" applyFont="1" applyFill="1" applyBorder="1" applyAlignment="1">
      <alignment vertical="center"/>
    </xf>
    <xf numFmtId="0" fontId="18" fillId="14" borderId="8" xfId="0" applyFont="1" applyFill="1" applyBorder="1" applyAlignment="1">
      <alignment vertical="center"/>
    </xf>
    <xf numFmtId="0" fontId="20" fillId="16" borderId="34" xfId="0" applyFont="1" applyFill="1" applyBorder="1" applyAlignment="1">
      <alignment vertical="center"/>
    </xf>
    <xf numFmtId="0" fontId="20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43" borderId="2" xfId="0" applyFont="1" applyFill="1" applyBorder="1" applyAlignment="1">
      <alignment horizontal="center" vertical="center"/>
    </xf>
    <xf numFmtId="0" fontId="25" fillId="43" borderId="3" xfId="0" applyFont="1" applyFill="1" applyBorder="1" applyAlignment="1">
      <alignment horizontal="center" vertical="center"/>
    </xf>
    <xf numFmtId="0" fontId="25" fillId="43" borderId="4" xfId="0" applyFont="1" applyFill="1" applyBorder="1" applyAlignment="1">
      <alignment horizontal="center" vertical="center"/>
    </xf>
    <xf numFmtId="0" fontId="25" fillId="10" borderId="2" xfId="0" applyFont="1" applyFill="1" applyBorder="1" applyAlignment="1">
      <alignment horizontal="center" vertical="center"/>
    </xf>
    <xf numFmtId="0" fontId="25" fillId="10" borderId="3" xfId="0" applyFont="1" applyFill="1" applyBorder="1" applyAlignment="1">
      <alignment horizontal="center" vertical="center"/>
    </xf>
    <xf numFmtId="0" fontId="25" fillId="10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9" fillId="17" borderId="15" xfId="0" applyFont="1" applyFill="1" applyBorder="1" applyAlignment="1">
      <alignment horizontal="center" vertical="center"/>
    </xf>
    <xf numFmtId="0" fontId="19" fillId="17" borderId="17" xfId="0" applyFont="1" applyFill="1" applyBorder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21" fillId="18" borderId="32" xfId="0" applyFont="1" applyFill="1" applyBorder="1" applyAlignment="1">
      <alignment horizontal="center" vertical="center"/>
    </xf>
    <xf numFmtId="0" fontId="21" fillId="18" borderId="26" xfId="0" applyFont="1" applyFill="1" applyBorder="1" applyAlignment="1">
      <alignment horizontal="center" vertical="center"/>
    </xf>
    <xf numFmtId="0" fontId="21" fillId="18" borderId="48" xfId="0" applyFont="1" applyFill="1" applyBorder="1" applyAlignment="1">
      <alignment horizontal="center" vertical="center"/>
    </xf>
    <xf numFmtId="0" fontId="21" fillId="18" borderId="28" xfId="0" applyFont="1" applyFill="1" applyBorder="1" applyAlignment="1">
      <alignment horizontal="center" vertical="center"/>
    </xf>
    <xf numFmtId="0" fontId="22" fillId="2" borderId="15" xfId="0" applyFont="1" applyFill="1" applyBorder="1" applyAlignment="1">
      <alignment horizontal="center" vertical="center"/>
    </xf>
    <xf numFmtId="0" fontId="22" fillId="2" borderId="17" xfId="0" applyFont="1" applyFill="1" applyBorder="1" applyAlignment="1">
      <alignment horizontal="center" vertical="center"/>
    </xf>
    <xf numFmtId="0" fontId="22" fillId="2" borderId="51" xfId="0" applyFont="1" applyFill="1" applyBorder="1" applyAlignment="1">
      <alignment horizontal="center" vertical="center"/>
    </xf>
    <xf numFmtId="0" fontId="19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3" fillId="14" borderId="7" xfId="0" applyFont="1" applyFill="1" applyBorder="1" applyAlignment="1">
      <alignment horizontal="center" vertical="center"/>
    </xf>
    <xf numFmtId="0" fontId="13" fillId="14" borderId="14" xfId="0" applyFont="1" applyFill="1" applyBorder="1" applyAlignment="1">
      <alignment horizontal="center" vertical="center"/>
    </xf>
    <xf numFmtId="0" fontId="13" fillId="14" borderId="46" xfId="0" applyFont="1" applyFill="1" applyBorder="1" applyAlignment="1">
      <alignment horizontal="center" vertical="center"/>
    </xf>
    <xf numFmtId="49" fontId="13" fillId="14" borderId="59" xfId="0" applyNumberFormat="1" applyFont="1" applyFill="1" applyBorder="1" applyAlignment="1">
      <alignment horizontal="center" vertical="center"/>
    </xf>
    <xf numFmtId="49" fontId="13" fillId="14" borderId="57" xfId="0" applyNumberFormat="1" applyFont="1" applyFill="1" applyBorder="1" applyAlignment="1">
      <alignment horizontal="center" vertical="center"/>
    </xf>
    <xf numFmtId="49" fontId="13" fillId="14" borderId="50" xfId="0" applyNumberFormat="1" applyFont="1" applyFill="1" applyBorder="1" applyAlignment="1">
      <alignment horizontal="center" vertical="center"/>
    </xf>
    <xf numFmtId="0" fontId="14" fillId="15" borderId="2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0" fontId="14" fillId="15" borderId="4" xfId="0" applyFont="1" applyFill="1" applyBorder="1" applyAlignment="1">
      <alignment horizontal="center"/>
    </xf>
    <xf numFmtId="0" fontId="15" fillId="16" borderId="59" xfId="0" applyFont="1" applyFill="1" applyBorder="1" applyAlignment="1">
      <alignment horizontal="center" vertical="center"/>
    </xf>
    <xf numFmtId="0" fontId="15" fillId="16" borderId="57" xfId="0" applyFont="1" applyFill="1" applyBorder="1" applyAlignment="1">
      <alignment horizontal="center" vertical="center"/>
    </xf>
    <xf numFmtId="0" fontId="14" fillId="16" borderId="2" xfId="0" applyFont="1" applyFill="1" applyBorder="1" applyAlignment="1">
      <alignment horizontal="center" vertical="center"/>
    </xf>
    <xf numFmtId="0" fontId="14" fillId="16" borderId="4" xfId="0" applyFont="1" applyFill="1" applyBorder="1" applyAlignment="1">
      <alignment horizontal="center" vertical="center"/>
    </xf>
    <xf numFmtId="1" fontId="13" fillId="13" borderId="35" xfId="0" applyNumberFormat="1" applyFont="1" applyFill="1" applyBorder="1" applyAlignment="1">
      <alignment horizontal="center" vertical="center"/>
    </xf>
    <xf numFmtId="1" fontId="13" fillId="13" borderId="36" xfId="0" applyNumberFormat="1" applyFont="1" applyFill="1" applyBorder="1" applyAlignment="1">
      <alignment horizontal="center" vertical="center"/>
    </xf>
    <xf numFmtId="1" fontId="13" fillId="13" borderId="37" xfId="0" applyNumberFormat="1" applyFont="1" applyFill="1" applyBorder="1" applyAlignment="1">
      <alignment horizontal="center" vertical="center"/>
    </xf>
    <xf numFmtId="1" fontId="13" fillId="13" borderId="60" xfId="0" applyNumberFormat="1" applyFont="1" applyFill="1" applyBorder="1" applyAlignment="1">
      <alignment horizontal="center" vertical="center"/>
    </xf>
    <xf numFmtId="1" fontId="13" fillId="13" borderId="21" xfId="0" applyNumberFormat="1" applyFont="1" applyFill="1" applyBorder="1" applyAlignment="1">
      <alignment horizontal="center" vertical="center"/>
    </xf>
    <xf numFmtId="1" fontId="13" fillId="13" borderId="42" xfId="0" applyNumberFormat="1" applyFont="1" applyFill="1" applyBorder="1" applyAlignment="1">
      <alignment horizontal="center" vertical="center"/>
    </xf>
  </cellXfs>
  <cellStyles count="6">
    <cellStyle name="Millares" xfId="3" builtinId="3"/>
    <cellStyle name="Millares 2" xfId="4"/>
    <cellStyle name="Millares 3" xfId="5"/>
    <cellStyle name="Normal" xfId="0" builtinId="0"/>
    <cellStyle name="Normal 2 2" xfId="2"/>
    <cellStyle name="Porcentaje" xfId="1" builtinId="5"/>
  </cellStyles>
  <dxfs count="0"/>
  <tableStyles count="0" defaultTableStyle="TableStyleMedium2" defaultPivotStyle="PivotStyleLight16"/>
  <colors>
    <mruColors>
      <color rgb="FF00FF00"/>
      <color rgb="FFFF7C80"/>
      <color rgb="FFCC6600"/>
      <color rgb="FF10DE10"/>
      <color rgb="FFCC0000"/>
      <color rgb="FFF55B2B"/>
      <color rgb="FFEC34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0</c:v>
                </c:pt>
                <c:pt idx="1">
                  <c:v>6</c:v>
                </c:pt>
                <c:pt idx="2">
                  <c:v>8</c:v>
                </c:pt>
                <c:pt idx="3">
                  <c:v>14</c:v>
                </c:pt>
                <c:pt idx="4">
                  <c:v>8</c:v>
                </c:pt>
                <c:pt idx="5">
                  <c:v>11</c:v>
                </c:pt>
                <c:pt idx="6">
                  <c:v>21</c:v>
                </c:pt>
                <c:pt idx="7">
                  <c:v>15</c:v>
                </c:pt>
                <c:pt idx="8">
                  <c:v>11</c:v>
                </c:pt>
                <c:pt idx="9">
                  <c:v>11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20</c:v>
                </c:pt>
                <c:pt idx="14">
                  <c:v>8</c:v>
                </c:pt>
                <c:pt idx="15">
                  <c:v>26</c:v>
                </c:pt>
                <c:pt idx="16">
                  <c:v>14</c:v>
                </c:pt>
                <c:pt idx="17">
                  <c:v>22</c:v>
                </c:pt>
                <c:pt idx="18">
                  <c:v>21</c:v>
                </c:pt>
                <c:pt idx="19">
                  <c:v>29</c:v>
                </c:pt>
                <c:pt idx="20">
                  <c:v>18</c:v>
                </c:pt>
                <c:pt idx="21">
                  <c:v>16</c:v>
                </c:pt>
                <c:pt idx="22">
                  <c:v>19</c:v>
                </c:pt>
                <c:pt idx="23">
                  <c:v>18</c:v>
                </c:pt>
                <c:pt idx="24">
                  <c:v>12</c:v>
                </c:pt>
                <c:pt idx="25">
                  <c:v>12</c:v>
                </c:pt>
                <c:pt idx="26">
                  <c:v>7</c:v>
                </c:pt>
                <c:pt idx="27">
                  <c:v>12</c:v>
                </c:pt>
                <c:pt idx="28">
                  <c:v>12</c:v>
                </c:pt>
                <c:pt idx="29">
                  <c:v>20</c:v>
                </c:pt>
                <c:pt idx="30">
                  <c:v>12</c:v>
                </c:pt>
                <c:pt idx="31">
                  <c:v>16</c:v>
                </c:pt>
                <c:pt idx="32">
                  <c:v>13</c:v>
                </c:pt>
                <c:pt idx="33">
                  <c:v>9</c:v>
                </c:pt>
                <c:pt idx="34">
                  <c:v>15</c:v>
                </c:pt>
                <c:pt idx="35">
                  <c:v>12</c:v>
                </c:pt>
                <c:pt idx="36">
                  <c:v>10</c:v>
                </c:pt>
                <c:pt idx="37">
                  <c:v>14</c:v>
                </c:pt>
                <c:pt idx="3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7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  <c:pt idx="9">
                  <c:v>8</c:v>
                </c:pt>
                <c:pt idx="10">
                  <c:v>2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6</c:v>
                </c:pt>
                <c:pt idx="15">
                  <c:v>6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6</c:v>
                </c:pt>
                <c:pt idx="31">
                  <c:v>5</c:v>
                </c:pt>
                <c:pt idx="32">
                  <c:v>9</c:v>
                </c:pt>
                <c:pt idx="33">
                  <c:v>4</c:v>
                </c:pt>
                <c:pt idx="34">
                  <c:v>10</c:v>
                </c:pt>
                <c:pt idx="35">
                  <c:v>2</c:v>
                </c:pt>
                <c:pt idx="36">
                  <c:v>6</c:v>
                </c:pt>
                <c:pt idx="37">
                  <c:v>7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9</c:v>
                </c:pt>
                <c:pt idx="16">
                  <c:v>3</c:v>
                </c:pt>
                <c:pt idx="17">
                  <c:v>9</c:v>
                </c:pt>
                <c:pt idx="18">
                  <c:v>18</c:v>
                </c:pt>
                <c:pt idx="19">
                  <c:v>4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8</c:v>
                </c:pt>
                <c:pt idx="24">
                  <c:v>3</c:v>
                </c:pt>
                <c:pt idx="25">
                  <c:v>6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4</c:v>
                </c:pt>
                <c:pt idx="32">
                  <c:v>7</c:v>
                </c:pt>
                <c:pt idx="33">
                  <c:v>3</c:v>
                </c:pt>
                <c:pt idx="34">
                  <c:v>6</c:v>
                </c:pt>
                <c:pt idx="35">
                  <c:v>5</c:v>
                </c:pt>
                <c:pt idx="36">
                  <c:v>2</c:v>
                </c:pt>
                <c:pt idx="37">
                  <c:v>10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5</c:v>
                </c:pt>
                <c:pt idx="15">
                  <c:v>0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6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0</c:v>
                </c:pt>
                <c:pt idx="24">
                  <c:v>5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6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10</c:v>
                </c:pt>
                <c:pt idx="6">
                  <c:v>19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4</c:v>
                </c:pt>
                <c:pt idx="16">
                  <c:v>7</c:v>
                </c:pt>
                <c:pt idx="17">
                  <c:v>7</c:v>
                </c:pt>
                <c:pt idx="18">
                  <c:v>11</c:v>
                </c:pt>
                <c:pt idx="19">
                  <c:v>9</c:v>
                </c:pt>
                <c:pt idx="20">
                  <c:v>6</c:v>
                </c:pt>
                <c:pt idx="21">
                  <c:v>7</c:v>
                </c:pt>
                <c:pt idx="22">
                  <c:v>6</c:v>
                </c:pt>
                <c:pt idx="23">
                  <c:v>8</c:v>
                </c:pt>
                <c:pt idx="24">
                  <c:v>8</c:v>
                </c:pt>
                <c:pt idx="25">
                  <c:v>4</c:v>
                </c:pt>
                <c:pt idx="26">
                  <c:v>3</c:v>
                </c:pt>
                <c:pt idx="27">
                  <c:v>6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9</c:v>
                </c:pt>
                <c:pt idx="36">
                  <c:v>9</c:v>
                </c:pt>
                <c:pt idx="37">
                  <c:v>12</c:v>
                </c:pt>
                <c:pt idx="3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8</c:v>
                </c:pt>
                <c:pt idx="19">
                  <c:v>5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7</c:v>
                </c:pt>
                <c:pt idx="25">
                  <c:v>3</c:v>
                </c:pt>
                <c:pt idx="26">
                  <c:v>3</c:v>
                </c:pt>
                <c:pt idx="27">
                  <c:v>6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10</c:v>
                </c:pt>
                <c:pt idx="35">
                  <c:v>4</c:v>
                </c:pt>
                <c:pt idx="36">
                  <c:v>5</c:v>
                </c:pt>
                <c:pt idx="37">
                  <c:v>1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0</c:v>
                </c:pt>
                <c:pt idx="18">
                  <c:v>3</c:v>
                </c:pt>
                <c:pt idx="19">
                  <c:v>6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IJ373"/>
  <sheetViews>
    <sheetView showGridLines="0" zoomScale="70" zoomScaleNormal="70" workbookViewId="0">
      <pane xSplit="2" ySplit="3" topLeftCell="C345" activePane="bottomRight" state="frozen"/>
      <selection activeCell="JC62" sqref="JC62"/>
      <selection pane="topRight" activeCell="JC62" sqref="JC62"/>
      <selection pane="bottomLeft" activeCell="JC62" sqref="JC62"/>
      <selection pane="bottomRight" activeCell="C370" sqref="C370"/>
    </sheetView>
  </sheetViews>
  <sheetFormatPr baseColWidth="10" defaultRowHeight="18.75" x14ac:dyDescent="0.25"/>
  <cols>
    <col min="1" max="1" width="7.5703125" bestFit="1" customWidth="1"/>
    <col min="2" max="2" width="15.7109375" style="70" bestFit="1" customWidth="1"/>
    <col min="3" max="3" width="8.85546875" style="70" bestFit="1" customWidth="1"/>
    <col min="4" max="4" width="9.42578125" style="70" bestFit="1" customWidth="1"/>
    <col min="5" max="5" width="7.5703125" style="70" bestFit="1" customWidth="1"/>
    <col min="6" max="6" width="8.140625" style="70" bestFit="1" customWidth="1"/>
    <col min="7" max="7" width="7.7109375" style="70" bestFit="1" customWidth="1"/>
    <col min="8" max="8" width="10.85546875" style="70" bestFit="1" customWidth="1"/>
    <col min="9" max="9" width="9.140625" style="70" bestFit="1" customWidth="1"/>
    <col min="10" max="10" width="11.7109375" style="70" bestFit="1" customWidth="1"/>
    <col min="11" max="11" width="8.7109375" style="70" bestFit="1" customWidth="1"/>
    <col min="12" max="12" width="8" style="70" bestFit="1" customWidth="1"/>
    <col min="13" max="14" width="10.85546875" style="70" bestFit="1" customWidth="1"/>
    <col min="15" max="15" width="8.85546875" style="70" bestFit="1" customWidth="1"/>
    <col min="16" max="16" width="9.42578125" style="70" bestFit="1" customWidth="1"/>
    <col min="17" max="17" width="7.5703125" style="70" bestFit="1" customWidth="1"/>
    <col min="18" max="18" width="8.140625" style="70" bestFit="1" customWidth="1"/>
    <col min="19" max="19" width="7.7109375" style="70" bestFit="1" customWidth="1"/>
    <col min="20" max="20" width="10.85546875" style="70" bestFit="1" customWidth="1"/>
    <col min="21" max="21" width="9.140625" style="70" bestFit="1" customWidth="1"/>
    <col min="22" max="22" width="11.7109375" style="70" bestFit="1" customWidth="1"/>
    <col min="23" max="23" width="8.7109375" style="70" bestFit="1" customWidth="1"/>
    <col min="24" max="24" width="8" style="70" bestFit="1" customWidth="1"/>
    <col min="25" max="26" width="10.85546875" style="70" bestFit="1" customWidth="1"/>
    <col min="27" max="27" width="8.85546875" style="70" bestFit="1" customWidth="1"/>
    <col min="28" max="28" width="9.42578125" style="70" bestFit="1" customWidth="1"/>
    <col min="29" max="29" width="7.5703125" style="70" bestFit="1" customWidth="1"/>
    <col min="30" max="30" width="8.140625" style="70" bestFit="1" customWidth="1"/>
    <col min="31" max="31" width="7.7109375" style="70" bestFit="1" customWidth="1"/>
    <col min="32" max="32" width="10.85546875" style="70" bestFit="1" customWidth="1"/>
    <col min="33" max="33" width="9.140625" style="70" bestFit="1" customWidth="1"/>
    <col min="34" max="34" width="11.7109375" style="70" bestFit="1" customWidth="1"/>
    <col min="35" max="35" width="8.7109375" style="70" bestFit="1" customWidth="1"/>
    <col min="36" max="36" width="8" style="70" bestFit="1" customWidth="1"/>
    <col min="37" max="38" width="10.85546875" style="70" bestFit="1" customWidth="1"/>
    <col min="39" max="39" width="8.85546875" style="70" bestFit="1" customWidth="1"/>
    <col min="40" max="40" width="9.42578125" style="70" bestFit="1" customWidth="1"/>
    <col min="41" max="41" width="7.5703125" style="70" bestFit="1" customWidth="1"/>
    <col min="42" max="42" width="8.140625" style="70" bestFit="1" customWidth="1"/>
    <col min="43" max="43" width="7.7109375" style="70" bestFit="1" customWidth="1"/>
    <col min="44" max="44" width="10.85546875" style="70" bestFit="1" customWidth="1"/>
    <col min="45" max="45" width="9.140625" style="70" bestFit="1" customWidth="1"/>
    <col min="46" max="46" width="11.7109375" style="70" bestFit="1" customWidth="1"/>
    <col min="47" max="47" width="8.7109375" style="70" bestFit="1" customWidth="1"/>
    <col min="48" max="48" width="8" style="70" bestFit="1" customWidth="1"/>
    <col min="49" max="50" width="10.85546875" style="70" bestFit="1" customWidth="1"/>
    <col min="51" max="51" width="8.85546875" style="70" bestFit="1" customWidth="1"/>
    <col min="52" max="52" width="9.42578125" style="70" bestFit="1" customWidth="1"/>
    <col min="53" max="53" width="7.5703125" style="70" bestFit="1" customWidth="1"/>
    <col min="54" max="54" width="8.140625" style="70" bestFit="1" customWidth="1"/>
    <col min="55" max="55" width="7.7109375" style="70" bestFit="1" customWidth="1"/>
    <col min="56" max="56" width="10.85546875" style="70" bestFit="1" customWidth="1"/>
    <col min="57" max="57" width="9.140625" style="70" bestFit="1" customWidth="1"/>
    <col min="58" max="58" width="11.7109375" style="70" bestFit="1" customWidth="1"/>
    <col min="59" max="59" width="8.7109375" style="70" bestFit="1" customWidth="1"/>
    <col min="60" max="60" width="8" style="70" bestFit="1" customWidth="1"/>
    <col min="61" max="62" width="10.85546875" style="70" bestFit="1" customWidth="1"/>
    <col min="63" max="63" width="8.85546875" style="70" bestFit="1" customWidth="1"/>
    <col min="64" max="64" width="9.42578125" style="70" bestFit="1" customWidth="1"/>
    <col min="65" max="65" width="7.5703125" style="70" bestFit="1" customWidth="1"/>
    <col min="66" max="66" width="8.140625" style="70" bestFit="1" customWidth="1"/>
    <col min="67" max="67" width="7.7109375" style="70" bestFit="1" customWidth="1"/>
    <col min="68" max="68" width="10.85546875" style="70" bestFit="1" customWidth="1"/>
    <col min="69" max="69" width="9.140625" style="70" bestFit="1" customWidth="1"/>
    <col min="70" max="70" width="11.7109375" style="70" bestFit="1" customWidth="1"/>
    <col min="71" max="71" width="8.7109375" style="70" bestFit="1" customWidth="1"/>
    <col min="72" max="72" width="8" style="70" bestFit="1" customWidth="1"/>
    <col min="73" max="74" width="10.85546875" style="70" bestFit="1" customWidth="1"/>
    <col min="75" max="75" width="8.85546875" style="70" bestFit="1" customWidth="1"/>
    <col min="76" max="76" width="9.42578125" style="70" bestFit="1" customWidth="1"/>
    <col min="77" max="77" width="7.5703125" style="70" bestFit="1" customWidth="1"/>
    <col min="78" max="78" width="8.140625" style="70" bestFit="1" customWidth="1"/>
    <col min="79" max="79" width="7.7109375" style="70" bestFit="1" customWidth="1"/>
    <col min="80" max="80" width="10.85546875" style="70" bestFit="1" customWidth="1"/>
    <col min="81" max="81" width="9.140625" style="70" bestFit="1" customWidth="1"/>
    <col min="82" max="82" width="11.7109375" style="70" bestFit="1" customWidth="1"/>
    <col min="83" max="83" width="8.7109375" style="70" bestFit="1" customWidth="1"/>
    <col min="84" max="84" width="8" style="70" bestFit="1" customWidth="1"/>
    <col min="85" max="86" width="10.85546875" style="70" bestFit="1" customWidth="1"/>
    <col min="87" max="87" width="8.85546875" style="70" bestFit="1" customWidth="1"/>
    <col min="88" max="88" width="9.42578125" style="70" bestFit="1" customWidth="1"/>
    <col min="89" max="89" width="7.5703125" style="70" bestFit="1" customWidth="1"/>
    <col min="90" max="90" width="8.140625" style="70" bestFit="1" customWidth="1"/>
    <col min="91" max="91" width="7.7109375" style="70" bestFit="1" customWidth="1"/>
    <col min="92" max="92" width="10.85546875" style="70" bestFit="1" customWidth="1"/>
    <col min="93" max="93" width="9.140625" style="70" bestFit="1" customWidth="1"/>
    <col min="94" max="94" width="11.7109375" style="70" bestFit="1" customWidth="1"/>
    <col min="95" max="96" width="8" style="70" bestFit="1" customWidth="1"/>
    <col min="97" max="98" width="10.85546875" style="70" bestFit="1" customWidth="1"/>
    <col min="99" max="99" width="8.85546875" style="70" bestFit="1" customWidth="1"/>
    <col min="100" max="100" width="9.42578125" style="70" bestFit="1" customWidth="1"/>
    <col min="101" max="101" width="7.5703125" style="70" bestFit="1" customWidth="1"/>
    <col min="102" max="102" width="8.140625" style="70" bestFit="1" customWidth="1"/>
    <col min="103" max="103" width="7.7109375" style="70" bestFit="1" customWidth="1"/>
    <col min="104" max="104" width="10.85546875" style="70" bestFit="1" customWidth="1"/>
    <col min="105" max="105" width="9.140625" style="70" bestFit="1" customWidth="1"/>
    <col min="106" max="106" width="11.7109375" style="70" bestFit="1" customWidth="1"/>
    <col min="107" max="107" width="8.7109375" style="70" bestFit="1" customWidth="1"/>
    <col min="108" max="108" width="8" style="70" bestFit="1" customWidth="1"/>
    <col min="109" max="110" width="10.85546875" style="70" bestFit="1" customWidth="1"/>
    <col min="111" max="111" width="8.85546875" style="70" bestFit="1" customWidth="1"/>
    <col min="112" max="112" width="9.42578125" style="70" bestFit="1" customWidth="1"/>
    <col min="113" max="113" width="7.5703125" style="70" bestFit="1" customWidth="1"/>
    <col min="114" max="114" width="8.140625" style="70" bestFit="1" customWidth="1"/>
    <col min="115" max="115" width="7.7109375" style="70" bestFit="1" customWidth="1"/>
    <col min="116" max="116" width="10.85546875" style="70" bestFit="1" customWidth="1"/>
    <col min="117" max="117" width="9.140625" style="70" bestFit="1" customWidth="1"/>
    <col min="118" max="118" width="11.7109375" style="70" bestFit="1" customWidth="1"/>
    <col min="119" max="119" width="8.7109375" style="70" bestFit="1" customWidth="1"/>
    <col min="120" max="120" width="8" style="70" bestFit="1" customWidth="1"/>
    <col min="121" max="122" width="10.85546875" style="70" bestFit="1" customWidth="1"/>
    <col min="123" max="123" width="8.85546875" style="70" bestFit="1" customWidth="1"/>
    <col min="124" max="124" width="9.42578125" style="70" bestFit="1" customWidth="1"/>
    <col min="125" max="125" width="7.5703125" style="70" bestFit="1" customWidth="1"/>
    <col min="126" max="126" width="8.140625" style="70" bestFit="1" customWidth="1"/>
    <col min="127" max="127" width="7.7109375" style="70" bestFit="1" customWidth="1"/>
    <col min="128" max="128" width="10.85546875" style="70" bestFit="1" customWidth="1"/>
    <col min="129" max="129" width="9.140625" style="70" bestFit="1" customWidth="1"/>
    <col min="130" max="130" width="11.7109375" style="70" bestFit="1" customWidth="1"/>
    <col min="131" max="131" width="9.42578125" style="70" bestFit="1" customWidth="1"/>
    <col min="132" max="132" width="8" style="70" bestFit="1" customWidth="1"/>
    <col min="133" max="134" width="10.85546875" style="70" bestFit="1" customWidth="1"/>
    <col min="135" max="135" width="8.85546875" style="70" bestFit="1" customWidth="1"/>
    <col min="136" max="136" width="9.42578125" style="70" bestFit="1" customWidth="1"/>
    <col min="137" max="137" width="7.5703125" style="70" bestFit="1" customWidth="1"/>
    <col min="138" max="138" width="8.140625" style="70" bestFit="1" customWidth="1"/>
    <col min="139" max="139" width="7.7109375" style="70" bestFit="1" customWidth="1"/>
    <col min="140" max="140" width="10.85546875" style="70" bestFit="1" customWidth="1"/>
    <col min="141" max="141" width="9.140625" style="70" bestFit="1" customWidth="1"/>
    <col min="142" max="142" width="11.7109375" style="70" bestFit="1" customWidth="1"/>
    <col min="143" max="143" width="8.7109375" style="70" bestFit="1" customWidth="1"/>
    <col min="144" max="144" width="8" style="70" bestFit="1" customWidth="1"/>
    <col min="145" max="146" width="10.85546875" style="70" bestFit="1" customWidth="1"/>
    <col min="147" max="147" width="8.85546875" style="70" bestFit="1" customWidth="1"/>
    <col min="148" max="148" width="9.42578125" style="70" bestFit="1" customWidth="1"/>
    <col min="149" max="149" width="7.5703125" style="70" bestFit="1" customWidth="1"/>
    <col min="150" max="150" width="8.140625" style="70" bestFit="1" customWidth="1"/>
    <col min="151" max="151" width="7.7109375" style="70" bestFit="1" customWidth="1"/>
    <col min="152" max="152" width="10.85546875" style="70" bestFit="1" customWidth="1"/>
    <col min="153" max="153" width="9.140625" style="70" bestFit="1" customWidth="1"/>
    <col min="154" max="154" width="11.7109375" style="70" bestFit="1" customWidth="1"/>
    <col min="155" max="155" width="8.7109375" style="70" bestFit="1" customWidth="1"/>
    <col min="156" max="156" width="8" style="70" bestFit="1" customWidth="1"/>
    <col min="157" max="158" width="10.85546875" style="70" bestFit="1" customWidth="1"/>
    <col min="159" max="159" width="8.85546875" style="70" bestFit="1" customWidth="1"/>
    <col min="160" max="160" width="9.42578125" style="70" bestFit="1" customWidth="1"/>
    <col min="161" max="161" width="7.5703125" style="70" bestFit="1" customWidth="1"/>
    <col min="162" max="162" width="8.140625" style="70" bestFit="1" customWidth="1"/>
    <col min="163" max="163" width="7.7109375" style="70" bestFit="1" customWidth="1"/>
    <col min="164" max="164" width="10.85546875" style="70" customWidth="1"/>
    <col min="165" max="165" width="9.140625" style="70" bestFit="1" customWidth="1"/>
    <col min="166" max="166" width="11.7109375" style="70" bestFit="1" customWidth="1"/>
    <col min="167" max="167" width="8.7109375" style="70" bestFit="1" customWidth="1"/>
    <col min="168" max="168" width="8" style="70" bestFit="1" customWidth="1"/>
    <col min="169" max="170" width="10.85546875" style="70" customWidth="1"/>
    <col min="171" max="171" width="8.85546875" style="70" bestFit="1" customWidth="1"/>
    <col min="172" max="172" width="9.42578125" style="70" bestFit="1" customWidth="1"/>
    <col min="173" max="173" width="7.5703125" style="70" bestFit="1" customWidth="1"/>
    <col min="174" max="174" width="8.140625" style="70" bestFit="1" customWidth="1"/>
    <col min="175" max="175" width="7.7109375" style="70" bestFit="1" customWidth="1"/>
    <col min="176" max="176" width="10.85546875" style="70" customWidth="1"/>
    <col min="177" max="177" width="9.140625" style="70" bestFit="1" customWidth="1"/>
    <col min="178" max="178" width="11.7109375" style="70" bestFit="1" customWidth="1"/>
    <col min="179" max="179" width="8.7109375" style="70" bestFit="1" customWidth="1"/>
    <col min="180" max="180" width="8" style="70" bestFit="1" customWidth="1"/>
    <col min="181" max="182" width="10.85546875" style="70" customWidth="1"/>
    <col min="183" max="183" width="8.85546875" style="70" bestFit="1" customWidth="1"/>
    <col min="184" max="184" width="9.42578125" style="70" bestFit="1" customWidth="1"/>
    <col min="185" max="185" width="7.5703125" style="70" bestFit="1" customWidth="1"/>
    <col min="186" max="186" width="8.140625" style="70" bestFit="1" customWidth="1"/>
    <col min="187" max="187" width="7.7109375" style="70" bestFit="1" customWidth="1"/>
    <col min="188" max="188" width="10.85546875" style="70" customWidth="1"/>
    <col min="189" max="189" width="9.140625" style="70" bestFit="1" customWidth="1"/>
    <col min="190" max="190" width="11.7109375" style="70" bestFit="1" customWidth="1"/>
    <col min="191" max="191" width="8.7109375" style="70" bestFit="1" customWidth="1"/>
    <col min="192" max="192" width="8" style="70" bestFit="1" customWidth="1"/>
    <col min="193" max="194" width="10.85546875" style="70" customWidth="1"/>
    <col min="195" max="195" width="8.85546875" style="70" bestFit="1" customWidth="1"/>
    <col min="196" max="196" width="9.42578125" style="70" bestFit="1" customWidth="1"/>
    <col min="197" max="197" width="7.5703125" style="70" bestFit="1" customWidth="1"/>
    <col min="198" max="198" width="8.140625" style="70" bestFit="1" customWidth="1"/>
    <col min="199" max="199" width="7.7109375" style="70" bestFit="1" customWidth="1"/>
    <col min="200" max="200" width="10.85546875" style="70" customWidth="1"/>
    <col min="201" max="201" width="9.140625" style="70" bestFit="1" customWidth="1"/>
    <col min="202" max="202" width="11.7109375" style="70" bestFit="1" customWidth="1"/>
    <col min="203" max="203" width="8.7109375" style="70" bestFit="1" customWidth="1"/>
    <col min="204" max="204" width="8" style="70" bestFit="1" customWidth="1"/>
    <col min="205" max="206" width="10.85546875" style="70" customWidth="1"/>
    <col min="207" max="207" width="8.85546875" style="70" bestFit="1" customWidth="1"/>
    <col min="208" max="208" width="9.42578125" style="70" bestFit="1" customWidth="1"/>
    <col min="209" max="209" width="7.5703125" style="70" bestFit="1" customWidth="1"/>
    <col min="210" max="210" width="8.140625" style="70" bestFit="1" customWidth="1"/>
    <col min="211" max="211" width="7.7109375" style="70" bestFit="1" customWidth="1"/>
    <col min="212" max="212" width="10.85546875" style="70" bestFit="1" customWidth="1"/>
    <col min="213" max="213" width="9.140625" style="70" bestFit="1" customWidth="1"/>
    <col min="214" max="214" width="11.7109375" style="70" bestFit="1" customWidth="1"/>
    <col min="215" max="215" width="9.42578125" style="70" bestFit="1" customWidth="1"/>
    <col min="216" max="216" width="8" style="70" bestFit="1" customWidth="1"/>
    <col min="217" max="218" width="10.85546875" style="70" bestFit="1" customWidth="1"/>
    <col min="219" max="219" width="10.140625" style="70" bestFit="1" customWidth="1"/>
    <col min="220" max="220" width="10.85546875" style="70" bestFit="1" customWidth="1"/>
    <col min="221" max="221" width="8.7109375" style="70" bestFit="1" customWidth="1"/>
    <col min="222" max="222" width="8.42578125" style="70" bestFit="1" customWidth="1"/>
    <col min="223" max="223" width="8.7109375" style="70" bestFit="1" customWidth="1"/>
    <col min="224" max="224" width="11.28515625" style="70" bestFit="1" customWidth="1"/>
    <col min="225" max="225" width="9" style="70" bestFit="1" customWidth="1"/>
    <col min="226" max="226" width="12.7109375" style="70" bestFit="1" customWidth="1"/>
    <col min="227" max="227" width="11.7109375" style="70" bestFit="1" customWidth="1"/>
    <col min="228" max="228" width="12.5703125" style="70" bestFit="1" customWidth="1"/>
    <col min="229" max="229" width="11.28515625" style="70" bestFit="1" customWidth="1"/>
    <col min="230" max="230" width="10.85546875" style="70" bestFit="1" customWidth="1"/>
    <col min="231" max="231" width="10.85546875" style="70" customWidth="1"/>
    <col min="232" max="232" width="11.42578125" style="71"/>
    <col min="233" max="233" width="12.7109375" style="71" bestFit="1" customWidth="1"/>
    <col min="234" max="235" width="11.42578125" style="71"/>
    <col min="236" max="239" width="14.140625" style="70" customWidth="1"/>
    <col min="240" max="243" width="10.140625" style="86" bestFit="1" customWidth="1"/>
    <col min="244" max="244" width="11.42578125" style="88"/>
    <col min="245" max="16384" width="11.42578125" style="70"/>
  </cols>
  <sheetData>
    <row r="1" spans="1:244" ht="47.25" thickBot="1" x14ac:dyDescent="0.3">
      <c r="A1" s="376"/>
      <c r="B1" s="377"/>
      <c r="C1" s="396" t="s">
        <v>23</v>
      </c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  <c r="BI1" s="396"/>
      <c r="BJ1" s="396"/>
      <c r="BK1" s="380" t="s">
        <v>33</v>
      </c>
      <c r="BL1" s="380"/>
      <c r="BM1" s="380"/>
      <c r="BN1" s="380"/>
      <c r="BO1" s="380"/>
      <c r="BP1" s="380"/>
      <c r="BQ1" s="380"/>
      <c r="BR1" s="380"/>
      <c r="BS1" s="380"/>
      <c r="BT1" s="380"/>
      <c r="BU1" s="380"/>
      <c r="BV1" s="380"/>
      <c r="BW1" s="380"/>
      <c r="BX1" s="380"/>
      <c r="BY1" s="380"/>
      <c r="BZ1" s="380"/>
      <c r="CA1" s="380"/>
      <c r="CB1" s="380"/>
      <c r="CC1" s="380"/>
      <c r="CD1" s="380"/>
      <c r="CE1" s="380"/>
      <c r="CF1" s="380"/>
      <c r="CG1" s="380"/>
      <c r="CH1" s="380"/>
      <c r="CI1" s="380"/>
      <c r="CJ1" s="380"/>
      <c r="CK1" s="380"/>
      <c r="CL1" s="380"/>
      <c r="CM1" s="380"/>
      <c r="CN1" s="380"/>
      <c r="CO1" s="380"/>
      <c r="CP1" s="380"/>
      <c r="CQ1" s="380"/>
      <c r="CR1" s="380"/>
      <c r="CS1" s="380"/>
      <c r="CT1" s="380"/>
      <c r="CU1" s="380"/>
      <c r="CV1" s="380"/>
      <c r="CW1" s="380"/>
      <c r="CX1" s="380"/>
      <c r="CY1" s="380"/>
      <c r="CZ1" s="380"/>
      <c r="DA1" s="380"/>
      <c r="DB1" s="380"/>
      <c r="DC1" s="380"/>
      <c r="DD1" s="380"/>
      <c r="DE1" s="380"/>
      <c r="DF1" s="380"/>
      <c r="DG1" s="380"/>
      <c r="DH1" s="380"/>
      <c r="DI1" s="380"/>
      <c r="DJ1" s="380"/>
      <c r="DK1" s="380"/>
      <c r="DL1" s="380"/>
      <c r="DM1" s="380"/>
      <c r="DN1" s="380"/>
      <c r="DO1" s="380"/>
      <c r="DP1" s="380"/>
      <c r="DQ1" s="380"/>
      <c r="DR1" s="380"/>
      <c r="DS1" s="384" t="s">
        <v>34</v>
      </c>
      <c r="DT1" s="384"/>
      <c r="DU1" s="384"/>
      <c r="DV1" s="384"/>
      <c r="DW1" s="384"/>
      <c r="DX1" s="384"/>
      <c r="DY1" s="384"/>
      <c r="DZ1" s="384"/>
      <c r="EA1" s="384"/>
      <c r="EB1" s="384"/>
      <c r="EC1" s="384"/>
      <c r="ED1" s="384"/>
      <c r="EE1" s="384"/>
      <c r="EF1" s="384"/>
      <c r="EG1" s="384"/>
      <c r="EH1" s="384"/>
      <c r="EI1" s="384"/>
      <c r="EJ1" s="384"/>
      <c r="EK1" s="384"/>
      <c r="EL1" s="384"/>
      <c r="EM1" s="384"/>
      <c r="EN1" s="384"/>
      <c r="EO1" s="384"/>
      <c r="EP1" s="384"/>
      <c r="EQ1" s="384"/>
      <c r="ER1" s="384"/>
      <c r="ES1" s="384"/>
      <c r="ET1" s="384"/>
      <c r="EU1" s="384"/>
      <c r="EV1" s="384"/>
      <c r="EW1" s="384"/>
      <c r="EX1" s="384"/>
      <c r="EY1" s="384"/>
      <c r="EZ1" s="384"/>
      <c r="FA1" s="384"/>
      <c r="FB1" s="384"/>
      <c r="FC1" s="384"/>
      <c r="FD1" s="384"/>
      <c r="FE1" s="384"/>
      <c r="FF1" s="384"/>
      <c r="FG1" s="384"/>
      <c r="FH1" s="384"/>
      <c r="FI1" s="384"/>
      <c r="FJ1" s="384"/>
      <c r="FK1" s="384"/>
      <c r="FL1" s="384"/>
      <c r="FM1" s="384"/>
      <c r="FN1" s="384"/>
      <c r="FO1" s="394" t="s">
        <v>35</v>
      </c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394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394"/>
      <c r="HB1" s="394"/>
      <c r="HC1" s="394"/>
      <c r="HD1" s="394"/>
      <c r="HE1" s="394"/>
      <c r="HF1" s="394"/>
      <c r="HG1" s="394"/>
      <c r="HH1" s="394"/>
      <c r="HI1" s="394"/>
      <c r="HJ1" s="395"/>
      <c r="HK1" s="385" t="s">
        <v>0</v>
      </c>
      <c r="HL1" s="386"/>
      <c r="HM1" s="386"/>
      <c r="HN1" s="386"/>
      <c r="HO1" s="386"/>
      <c r="HP1" s="386"/>
      <c r="HQ1" s="386"/>
      <c r="HR1" s="386"/>
      <c r="HS1" s="386"/>
      <c r="HT1" s="386"/>
      <c r="HU1" s="386"/>
      <c r="HV1" s="387"/>
      <c r="HW1" s="388"/>
    </row>
    <row r="2" spans="1:244" ht="24" thickBot="1" x14ac:dyDescent="0.3">
      <c r="A2" s="378"/>
      <c r="B2" s="379"/>
      <c r="C2" s="393" t="s">
        <v>21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3"/>
      <c r="O2" s="381" t="s">
        <v>1</v>
      </c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3"/>
      <c r="AA2" s="381" t="s">
        <v>22</v>
      </c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3"/>
      <c r="AM2" s="381" t="s">
        <v>2</v>
      </c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3"/>
      <c r="AY2" s="381" t="s">
        <v>3</v>
      </c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3"/>
      <c r="BK2" s="381" t="s">
        <v>24</v>
      </c>
      <c r="BL2" s="382"/>
      <c r="BM2" s="382"/>
      <c r="BN2" s="382"/>
      <c r="BO2" s="382"/>
      <c r="BP2" s="382"/>
      <c r="BQ2" s="382"/>
      <c r="BR2" s="382"/>
      <c r="BS2" s="382"/>
      <c r="BT2" s="382"/>
      <c r="BU2" s="382"/>
      <c r="BV2" s="383"/>
      <c r="BW2" s="381" t="s">
        <v>25</v>
      </c>
      <c r="BX2" s="382"/>
      <c r="BY2" s="382"/>
      <c r="BZ2" s="382"/>
      <c r="CA2" s="382"/>
      <c r="CB2" s="382"/>
      <c r="CC2" s="382"/>
      <c r="CD2" s="382"/>
      <c r="CE2" s="382"/>
      <c r="CF2" s="382"/>
      <c r="CG2" s="382"/>
      <c r="CH2" s="383"/>
      <c r="CI2" s="381" t="s">
        <v>26</v>
      </c>
      <c r="CJ2" s="382"/>
      <c r="CK2" s="382"/>
      <c r="CL2" s="382"/>
      <c r="CM2" s="382"/>
      <c r="CN2" s="382"/>
      <c r="CO2" s="382"/>
      <c r="CP2" s="382"/>
      <c r="CQ2" s="382"/>
      <c r="CR2" s="382"/>
      <c r="CS2" s="382"/>
      <c r="CT2" s="383"/>
      <c r="CU2" s="381" t="s">
        <v>27</v>
      </c>
      <c r="CV2" s="382"/>
      <c r="CW2" s="382"/>
      <c r="CX2" s="382"/>
      <c r="CY2" s="382"/>
      <c r="CZ2" s="382"/>
      <c r="DA2" s="382"/>
      <c r="DB2" s="382"/>
      <c r="DC2" s="382"/>
      <c r="DD2" s="382"/>
      <c r="DE2" s="382"/>
      <c r="DF2" s="383"/>
      <c r="DG2" s="381" t="s">
        <v>28</v>
      </c>
      <c r="DH2" s="382"/>
      <c r="DI2" s="382"/>
      <c r="DJ2" s="382"/>
      <c r="DK2" s="382"/>
      <c r="DL2" s="382"/>
      <c r="DM2" s="382"/>
      <c r="DN2" s="382"/>
      <c r="DO2" s="382"/>
      <c r="DP2" s="382"/>
      <c r="DQ2" s="382"/>
      <c r="DR2" s="383"/>
      <c r="DS2" s="381" t="s">
        <v>29</v>
      </c>
      <c r="DT2" s="382"/>
      <c r="DU2" s="382"/>
      <c r="DV2" s="382"/>
      <c r="DW2" s="382"/>
      <c r="DX2" s="382"/>
      <c r="DY2" s="382"/>
      <c r="DZ2" s="382"/>
      <c r="EA2" s="382"/>
      <c r="EB2" s="382"/>
      <c r="EC2" s="382"/>
      <c r="ED2" s="383"/>
      <c r="EE2" s="381" t="s">
        <v>114</v>
      </c>
      <c r="EF2" s="382"/>
      <c r="EG2" s="382"/>
      <c r="EH2" s="382"/>
      <c r="EI2" s="382"/>
      <c r="EJ2" s="382"/>
      <c r="EK2" s="382"/>
      <c r="EL2" s="382"/>
      <c r="EM2" s="382"/>
      <c r="EN2" s="382"/>
      <c r="EO2" s="382"/>
      <c r="EP2" s="383"/>
      <c r="EQ2" s="381" t="s">
        <v>31</v>
      </c>
      <c r="ER2" s="382"/>
      <c r="ES2" s="382"/>
      <c r="ET2" s="382"/>
      <c r="EU2" s="382"/>
      <c r="EV2" s="382"/>
      <c r="EW2" s="382"/>
      <c r="EX2" s="382"/>
      <c r="EY2" s="382"/>
      <c r="EZ2" s="382"/>
      <c r="FA2" s="382"/>
      <c r="FB2" s="383"/>
      <c r="FC2" s="381" t="s">
        <v>32</v>
      </c>
      <c r="FD2" s="382"/>
      <c r="FE2" s="382"/>
      <c r="FF2" s="382"/>
      <c r="FG2" s="382"/>
      <c r="FH2" s="382"/>
      <c r="FI2" s="382"/>
      <c r="FJ2" s="382"/>
      <c r="FK2" s="382"/>
      <c r="FL2" s="382"/>
      <c r="FM2" s="382"/>
      <c r="FN2" s="383"/>
      <c r="FO2" s="381" t="s">
        <v>36</v>
      </c>
      <c r="FP2" s="382"/>
      <c r="FQ2" s="382"/>
      <c r="FR2" s="382"/>
      <c r="FS2" s="382"/>
      <c r="FT2" s="382"/>
      <c r="FU2" s="382"/>
      <c r="FV2" s="382"/>
      <c r="FW2" s="382"/>
      <c r="FX2" s="382"/>
      <c r="FY2" s="382"/>
      <c r="FZ2" s="383"/>
      <c r="GA2" s="381" t="s">
        <v>37</v>
      </c>
      <c r="GB2" s="382"/>
      <c r="GC2" s="382"/>
      <c r="GD2" s="382"/>
      <c r="GE2" s="382"/>
      <c r="GF2" s="382"/>
      <c r="GG2" s="382"/>
      <c r="GH2" s="382"/>
      <c r="GI2" s="382"/>
      <c r="GJ2" s="382"/>
      <c r="GK2" s="382"/>
      <c r="GL2" s="383"/>
      <c r="GM2" s="381" t="s">
        <v>38</v>
      </c>
      <c r="GN2" s="382"/>
      <c r="GO2" s="382"/>
      <c r="GP2" s="382"/>
      <c r="GQ2" s="382"/>
      <c r="GR2" s="382"/>
      <c r="GS2" s="382"/>
      <c r="GT2" s="382"/>
      <c r="GU2" s="382"/>
      <c r="GV2" s="382"/>
      <c r="GW2" s="382"/>
      <c r="GX2" s="383"/>
      <c r="GY2" s="381" t="s">
        <v>39</v>
      </c>
      <c r="GZ2" s="382"/>
      <c r="HA2" s="382"/>
      <c r="HB2" s="382"/>
      <c r="HC2" s="382"/>
      <c r="HD2" s="382"/>
      <c r="HE2" s="382"/>
      <c r="HF2" s="382"/>
      <c r="HG2" s="382"/>
      <c r="HH2" s="382"/>
      <c r="HI2" s="382"/>
      <c r="HJ2" s="383"/>
      <c r="HK2" s="389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1"/>
      <c r="HW2" s="392"/>
    </row>
    <row r="3" spans="1:244" ht="38.2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92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X3" s="72" t="s">
        <v>40</v>
      </c>
      <c r="HY3" s="72" t="s">
        <v>41</v>
      </c>
      <c r="HZ3" s="72" t="s">
        <v>42</v>
      </c>
      <c r="IA3" s="72" t="s">
        <v>43</v>
      </c>
      <c r="IB3" s="72" t="s">
        <v>80</v>
      </c>
      <c r="IC3" s="72" t="s">
        <v>81</v>
      </c>
      <c r="ID3" s="72" t="s">
        <v>82</v>
      </c>
      <c r="IE3" s="72" t="s">
        <v>83</v>
      </c>
      <c r="IF3" s="87" t="s">
        <v>85</v>
      </c>
      <c r="IG3" s="87" t="s">
        <v>86</v>
      </c>
      <c r="IH3" s="87" t="s">
        <v>87</v>
      </c>
      <c r="II3" s="87" t="s">
        <v>88</v>
      </c>
    </row>
    <row r="4" spans="1:244" ht="19.5" thickBot="1" x14ac:dyDescent="0.3">
      <c r="A4" s="82"/>
      <c r="B4" s="40">
        <v>44940</v>
      </c>
      <c r="C4" s="6"/>
      <c r="D4" s="7"/>
      <c r="E4" s="8">
        <v>850</v>
      </c>
      <c r="F4" s="7">
        <v>75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776</v>
      </c>
      <c r="R4" s="7">
        <v>69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200</v>
      </c>
      <c r="AD4" s="7">
        <v>18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776</v>
      </c>
      <c r="AP4" s="7">
        <v>69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777</v>
      </c>
      <c r="BB4" s="7">
        <v>69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850</v>
      </c>
      <c r="BN4" s="7">
        <v>77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767</v>
      </c>
      <c r="BZ4" s="7">
        <v>69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200</v>
      </c>
      <c r="CL4" s="7">
        <v>18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767</v>
      </c>
      <c r="CX4" s="7">
        <v>70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768</v>
      </c>
      <c r="DJ4" s="7">
        <v>70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868</v>
      </c>
      <c r="DV4" s="7">
        <v>79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869</v>
      </c>
      <c r="EH4" s="7">
        <v>79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220</v>
      </c>
      <c r="ET4" s="7">
        <v>20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869</v>
      </c>
      <c r="FF4" s="7">
        <v>79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913</v>
      </c>
      <c r="FR4" s="7">
        <v>82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912</v>
      </c>
      <c r="GD4" s="7">
        <v>82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200</v>
      </c>
      <c r="GP4" s="7">
        <v>20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913</v>
      </c>
      <c r="HB4" s="7">
        <v>82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>+E4+Q4+AC4+AO4+BA4+BM4+BY4+CK4+CW4+DI4+DU4+EG4+ES4+FE4+FQ4+GC4+GO4+HA4</f>
        <v>12495</v>
      </c>
      <c r="HN4" s="34">
        <f t="shared" ref="HN4:HN12" si="0">+F4+R4+AD4+AP4+BB4+BN4+BZ4+CL4+CX4+DJ4+DV4+EH4+ET4+FF4+FR4+GD4+GP4+HB4</f>
        <v>1127</v>
      </c>
      <c r="HO4" s="34"/>
      <c r="HP4" s="93"/>
      <c r="HQ4" s="34"/>
      <c r="HR4" s="34"/>
      <c r="HS4" s="34"/>
      <c r="HT4" s="47"/>
      <c r="HU4" s="34"/>
      <c r="HV4" s="34"/>
      <c r="HW4" s="37"/>
      <c r="HY4" s="72"/>
      <c r="HZ4" s="72"/>
      <c r="IA4" s="72"/>
    </row>
    <row r="5" spans="1:244" x14ac:dyDescent="0.25">
      <c r="A5" s="374">
        <v>25</v>
      </c>
      <c r="B5" s="41">
        <f>+B4+1</f>
        <v>44941</v>
      </c>
      <c r="C5" s="10"/>
      <c r="D5" s="11"/>
      <c r="E5" s="11">
        <f>E4-C5</f>
        <v>850</v>
      </c>
      <c r="F5" s="11">
        <f>F4-D5</f>
        <v>75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2">Q4-O5</f>
        <v>776</v>
      </c>
      <c r="R5" s="11">
        <f t="shared" si="2"/>
        <v>69</v>
      </c>
      <c r="S5" s="11"/>
      <c r="T5" s="12">
        <f t="shared" ref="T5:T11" si="3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4">AC4-AA5</f>
        <v>200</v>
      </c>
      <c r="AD5" s="11">
        <f t="shared" si="4"/>
        <v>18</v>
      </c>
      <c r="AE5" s="11"/>
      <c r="AF5" s="12">
        <f t="shared" ref="AF5:AF11" si="5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6">AO4-AM5</f>
        <v>776</v>
      </c>
      <c r="AP5" s="11">
        <f t="shared" si="6"/>
        <v>69</v>
      </c>
      <c r="AQ5" s="11"/>
      <c r="AR5" s="12">
        <f t="shared" ref="AR5:AR11" si="7">((AQ5+AS5)/AO5)</f>
        <v>0</v>
      </c>
      <c r="AS5" s="11"/>
      <c r="AT5" s="12" t="e">
        <f t="shared" ref="AT5:AT11" si="8">AS5/(AQ5+AS5)</f>
        <v>#DIV/0!</v>
      </c>
      <c r="AU5" s="13"/>
      <c r="AV5" s="11"/>
      <c r="AW5" s="11"/>
      <c r="AX5" s="14"/>
      <c r="AY5" s="10"/>
      <c r="AZ5" s="11"/>
      <c r="BA5" s="11">
        <f t="shared" ref="BA5:BB11" si="9">BA4-AY5</f>
        <v>777</v>
      </c>
      <c r="BB5" s="11">
        <f t="shared" si="9"/>
        <v>69</v>
      </c>
      <c r="BC5" s="11"/>
      <c r="BD5" s="12">
        <f t="shared" ref="BD5:BD11" si="10">((BC5+BE5)/BA5)</f>
        <v>0</v>
      </c>
      <c r="BE5" s="11"/>
      <c r="BF5" s="12" t="e">
        <f t="shared" ref="BF5:BF11" si="11">BE5/(BC5+BE5)</f>
        <v>#DIV/0!</v>
      </c>
      <c r="BG5" s="13"/>
      <c r="BH5" s="11"/>
      <c r="BI5" s="11"/>
      <c r="BJ5" s="14"/>
      <c r="BK5" s="10"/>
      <c r="BL5" s="11"/>
      <c r="BM5" s="11">
        <f t="shared" ref="BM5:BN11" si="12">BM4-BK5</f>
        <v>850</v>
      </c>
      <c r="BN5" s="11">
        <f t="shared" si="12"/>
        <v>77</v>
      </c>
      <c r="BO5" s="11"/>
      <c r="BP5" s="12">
        <f t="shared" ref="BP5:BP11" si="13">((BO5+BQ5)/BM5)</f>
        <v>0</v>
      </c>
      <c r="BQ5" s="11"/>
      <c r="BR5" s="12" t="e">
        <f t="shared" ref="BR5:BR11" si="14">BQ5/(BO5+BQ5)</f>
        <v>#DIV/0!</v>
      </c>
      <c r="BS5" s="13"/>
      <c r="BT5" s="11"/>
      <c r="BU5" s="11"/>
      <c r="BV5" s="14"/>
      <c r="BW5" s="10"/>
      <c r="BX5" s="11"/>
      <c r="BY5" s="11">
        <f t="shared" ref="BY5:BZ11" si="15">BY4-BW5</f>
        <v>767</v>
      </c>
      <c r="BZ5" s="11">
        <f t="shared" si="15"/>
        <v>69</v>
      </c>
      <c r="CA5" s="11"/>
      <c r="CB5" s="12">
        <f t="shared" ref="CB5:CB11" si="16">((CA5+CC5)/BY5)</f>
        <v>0</v>
      </c>
      <c r="CC5" s="11"/>
      <c r="CD5" s="12" t="e">
        <f t="shared" ref="CD5:CD11" si="17">CC5/(CA5+CC5)</f>
        <v>#DIV/0!</v>
      </c>
      <c r="CE5" s="13"/>
      <c r="CF5" s="11"/>
      <c r="CG5" s="11"/>
      <c r="CH5" s="14"/>
      <c r="CI5" s="10"/>
      <c r="CJ5" s="11"/>
      <c r="CK5" s="11">
        <f t="shared" ref="CK5:CL11" si="18">CK4-CI5</f>
        <v>200</v>
      </c>
      <c r="CL5" s="11">
        <f t="shared" si="18"/>
        <v>18</v>
      </c>
      <c r="CM5" s="11"/>
      <c r="CN5" s="12">
        <f t="shared" ref="CN5:CN11" si="19">((CM5+CO5)/CK5)</f>
        <v>0</v>
      </c>
      <c r="CO5" s="11"/>
      <c r="CP5" s="12" t="e">
        <f t="shared" ref="CP5:CP11" si="20">CO5/(CM5+CO5)</f>
        <v>#DIV/0!</v>
      </c>
      <c r="CQ5" s="13"/>
      <c r="CR5" s="11"/>
      <c r="CS5" s="11"/>
      <c r="CT5" s="14"/>
      <c r="CU5" s="10"/>
      <c r="CV5" s="11"/>
      <c r="CW5" s="11">
        <f t="shared" ref="CW5:CX11" si="21">CW4-CU5</f>
        <v>767</v>
      </c>
      <c r="CX5" s="11">
        <f t="shared" si="21"/>
        <v>70</v>
      </c>
      <c r="CY5" s="11"/>
      <c r="CZ5" s="12">
        <f t="shared" ref="CZ5:CZ11" si="22">((CY5+DA5)/CW5)</f>
        <v>0</v>
      </c>
      <c r="DA5" s="11"/>
      <c r="DB5" s="12" t="e">
        <f t="shared" ref="DB5:DB11" si="23">DA5/(CY5+DA5)</f>
        <v>#DIV/0!</v>
      </c>
      <c r="DC5" s="13"/>
      <c r="DD5" s="11"/>
      <c r="DE5" s="11"/>
      <c r="DF5" s="14"/>
      <c r="DG5" s="10"/>
      <c r="DH5" s="11"/>
      <c r="DI5" s="11">
        <f t="shared" ref="DI5:DJ11" si="24">DI4-DG5</f>
        <v>768</v>
      </c>
      <c r="DJ5" s="11">
        <f t="shared" si="24"/>
        <v>70</v>
      </c>
      <c r="DK5" s="11"/>
      <c r="DL5" s="12">
        <f t="shared" ref="DL5:DL11" si="25">((DK5+DM5)/DI5)</f>
        <v>0</v>
      </c>
      <c r="DM5" s="11"/>
      <c r="DN5" s="12" t="e">
        <f t="shared" ref="DN5:DN11" si="26">DM5/(DK5+DM5)</f>
        <v>#DIV/0!</v>
      </c>
      <c r="DO5" s="13"/>
      <c r="DP5" s="11"/>
      <c r="DQ5" s="11"/>
      <c r="DR5" s="14"/>
      <c r="DS5" s="10"/>
      <c r="DT5" s="11"/>
      <c r="DU5" s="11">
        <f t="shared" ref="DU5:DV11" si="27">DU4-DS5</f>
        <v>868</v>
      </c>
      <c r="DV5" s="11">
        <f t="shared" si="27"/>
        <v>79</v>
      </c>
      <c r="DW5" s="11"/>
      <c r="DX5" s="12">
        <f t="shared" ref="DX5:DX11" si="28">((DW5+DY5)/DU5)</f>
        <v>0</v>
      </c>
      <c r="DY5" s="11"/>
      <c r="DZ5" s="12" t="e">
        <f t="shared" ref="DZ5:DZ11" si="29">DY5/(DW5+DY5)</f>
        <v>#DIV/0!</v>
      </c>
      <c r="EA5" s="13"/>
      <c r="EB5" s="11"/>
      <c r="EC5" s="11"/>
      <c r="ED5" s="14"/>
      <c r="EE5" s="10"/>
      <c r="EF5" s="11"/>
      <c r="EG5" s="11">
        <f t="shared" ref="EG5:EH11" si="30">EG4-EE5</f>
        <v>869</v>
      </c>
      <c r="EH5" s="11">
        <f t="shared" si="30"/>
        <v>79</v>
      </c>
      <c r="EI5" s="11"/>
      <c r="EJ5" s="12">
        <f t="shared" ref="EJ5:EJ11" si="31">((EI5+EK5)/EG5)</f>
        <v>0</v>
      </c>
      <c r="EK5" s="11"/>
      <c r="EL5" s="12" t="e">
        <f t="shared" ref="EL5:EL11" si="32">EK5/(EI5+EK5)</f>
        <v>#DIV/0!</v>
      </c>
      <c r="EM5" s="13"/>
      <c r="EN5" s="11"/>
      <c r="EO5" s="11"/>
      <c r="EP5" s="14"/>
      <c r="EQ5" s="10"/>
      <c r="ER5" s="11"/>
      <c r="ES5" s="11">
        <f t="shared" ref="ES5:ET11" si="33">ES4-EQ5</f>
        <v>220</v>
      </c>
      <c r="ET5" s="11">
        <f t="shared" si="33"/>
        <v>20</v>
      </c>
      <c r="EU5" s="11"/>
      <c r="EV5" s="12">
        <f t="shared" ref="EV5:EV11" si="34">((EU5+EW5)/ES5)</f>
        <v>0</v>
      </c>
      <c r="EW5" s="11"/>
      <c r="EX5" s="12" t="e">
        <f t="shared" ref="EX5:EX11" si="35">EW5/(EU5+EW5)</f>
        <v>#DIV/0!</v>
      </c>
      <c r="EY5" s="13"/>
      <c r="EZ5" s="11"/>
      <c r="FA5" s="11"/>
      <c r="FB5" s="14"/>
      <c r="FC5" s="10"/>
      <c r="FD5" s="11"/>
      <c r="FE5" s="11">
        <f t="shared" ref="FE5:FF11" si="36">FE4-FC5</f>
        <v>869</v>
      </c>
      <c r="FF5" s="11">
        <f t="shared" si="36"/>
        <v>79</v>
      </c>
      <c r="FG5" s="11"/>
      <c r="FH5" s="12">
        <f t="shared" ref="FH5:FH11" si="37">((FG5+FI5)/FE5)</f>
        <v>0</v>
      </c>
      <c r="FI5" s="11"/>
      <c r="FJ5" s="12" t="e">
        <f t="shared" ref="FJ5:FJ11" si="38">FI5/(FG5+FI5)</f>
        <v>#DIV/0!</v>
      </c>
      <c r="FK5" s="13"/>
      <c r="FL5" s="11"/>
      <c r="FM5" s="11"/>
      <c r="FN5" s="14"/>
      <c r="FO5" s="10"/>
      <c r="FP5" s="11"/>
      <c r="FQ5" s="11">
        <f t="shared" ref="FQ5:FR11" si="39">FQ4-FO5</f>
        <v>913</v>
      </c>
      <c r="FR5" s="11">
        <f t="shared" si="39"/>
        <v>82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912</v>
      </c>
      <c r="GD5" s="11">
        <f t="shared" si="42"/>
        <v>82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200</v>
      </c>
      <c r="GP5" s="11">
        <f t="shared" si="45"/>
        <v>20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913</v>
      </c>
      <c r="HB5" s="11">
        <f t="shared" si="48"/>
        <v>82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33">
        <f t="shared" ref="HK5:HK12" si="51">+C5+O5+AA5+AM5+AY5+BK5+BW5+CI5+CU5+DG5+DS5+EE5+EQ5+FC5+FO5+GA5+GM5+GY5</f>
        <v>0</v>
      </c>
      <c r="HL5" s="34">
        <f t="shared" ref="HL5:HL12" si="52">+D5+P5+AB5+AN5+AZ5+BL5+BX5+CJ5+CV5+DH5+DT5+EF5+ER5+FD5+FP5+GB5+GN5+GZ5</f>
        <v>0</v>
      </c>
      <c r="HM5" s="34">
        <f t="shared" ref="HM5:HM12" si="53">+E5+Q5+AC5+AO5+BA5+BM5+BY5+CK5+CW5+DI5+DU5+EG5+ES5+FE5+FQ5+GC5+GO5+HA5</f>
        <v>12495</v>
      </c>
      <c r="HN5" s="34">
        <f t="shared" si="0"/>
        <v>1127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94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:HU11" si="57">+HT5/HO5*100</f>
        <v>#DIV/0!</v>
      </c>
      <c r="HV5" s="48"/>
      <c r="HW5" s="37"/>
      <c r="HX5" s="73">
        <f>SUM(G5,I5,S5,U5,AE5,AG5,AQ5,AS5,BC5,BE5)/SUM(E5,Q5,AC5,AO5,BA5)</f>
        <v>0</v>
      </c>
      <c r="HY5" s="73">
        <f>SUM(BO5,BQ5,CA5,CC5,CM5,CO5,CY5,DA5,DK5,DM5)/SUM(BM5,BY5,CK5,CW5,DI5)</f>
        <v>0</v>
      </c>
      <c r="HZ5" s="73">
        <f>SUM(DW5,DY5,EI5,EK5,EU5,EW5,FG5,FI5)/SUM(DU5,EG5,ES5,FE5)</f>
        <v>0</v>
      </c>
      <c r="IA5" s="73">
        <f>SUM(FS5,FU5,GE5,GG5,GQ5,GS5,HC5,HE5)/SUM(FQ5,GC5,GO5,HA5)</f>
        <v>0</v>
      </c>
    </row>
    <row r="6" spans="1:244" x14ac:dyDescent="0.25">
      <c r="A6" s="374"/>
      <c r="B6" s="41">
        <f t="shared" ref="B6:B11" si="58">+B5+1</f>
        <v>44942</v>
      </c>
      <c r="C6" s="10"/>
      <c r="D6" s="11"/>
      <c r="E6" s="11">
        <f t="shared" ref="E6:F10" si="59">E5-C6</f>
        <v>850</v>
      </c>
      <c r="F6" s="11">
        <f t="shared" si="59"/>
        <v>75</v>
      </c>
      <c r="G6" s="11"/>
      <c r="H6" s="12">
        <f t="shared" si="1"/>
        <v>0</v>
      </c>
      <c r="I6" s="11"/>
      <c r="J6" s="12" t="e">
        <f t="shared" ref="J6:J11" si="60">I6/(G6+I6)</f>
        <v>#DIV/0!</v>
      </c>
      <c r="K6" s="13"/>
      <c r="L6" s="11"/>
      <c r="M6" s="11"/>
      <c r="N6" s="14"/>
      <c r="O6" s="10"/>
      <c r="P6" s="11"/>
      <c r="Q6" s="11">
        <f t="shared" si="2"/>
        <v>776</v>
      </c>
      <c r="R6" s="11">
        <f t="shared" si="2"/>
        <v>69</v>
      </c>
      <c r="S6" s="11"/>
      <c r="T6" s="12">
        <f t="shared" si="3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si="4"/>
        <v>200</v>
      </c>
      <c r="AD6" s="11">
        <f t="shared" si="4"/>
        <v>18</v>
      </c>
      <c r="AE6" s="11"/>
      <c r="AF6" s="12">
        <f t="shared" si="5"/>
        <v>0</v>
      </c>
      <c r="AG6" s="11"/>
      <c r="AH6" s="12" t="e">
        <f t="shared" ref="AH6:AH11" si="62">AG6/(AE6+AG6)</f>
        <v>#DIV/0!</v>
      </c>
      <c r="AI6" s="13"/>
      <c r="AJ6" s="11"/>
      <c r="AK6" s="11"/>
      <c r="AL6" s="14"/>
      <c r="AM6" s="10"/>
      <c r="AN6" s="11"/>
      <c r="AO6" s="11">
        <f t="shared" si="6"/>
        <v>776</v>
      </c>
      <c r="AP6" s="11">
        <f t="shared" si="6"/>
        <v>69</v>
      </c>
      <c r="AQ6" s="11"/>
      <c r="AR6" s="12">
        <f t="shared" si="7"/>
        <v>0</v>
      </c>
      <c r="AS6" s="11"/>
      <c r="AT6" s="12" t="e">
        <f t="shared" si="8"/>
        <v>#DIV/0!</v>
      </c>
      <c r="AU6" s="13"/>
      <c r="AV6" s="11"/>
      <c r="AW6" s="11"/>
      <c r="AX6" s="14"/>
      <c r="AY6" s="10"/>
      <c r="AZ6" s="11"/>
      <c r="BA6" s="11">
        <f t="shared" si="9"/>
        <v>777</v>
      </c>
      <c r="BB6" s="11">
        <f t="shared" si="9"/>
        <v>69</v>
      </c>
      <c r="BC6" s="11"/>
      <c r="BD6" s="12">
        <f t="shared" si="10"/>
        <v>0</v>
      </c>
      <c r="BE6" s="11"/>
      <c r="BF6" s="12" t="e">
        <f t="shared" si="11"/>
        <v>#DIV/0!</v>
      </c>
      <c r="BG6" s="13"/>
      <c r="BH6" s="11"/>
      <c r="BI6" s="11"/>
      <c r="BJ6" s="14"/>
      <c r="BK6" s="10"/>
      <c r="BL6" s="11"/>
      <c r="BM6" s="11">
        <f t="shared" si="12"/>
        <v>850</v>
      </c>
      <c r="BN6" s="11">
        <f t="shared" si="12"/>
        <v>77</v>
      </c>
      <c r="BO6" s="11"/>
      <c r="BP6" s="12">
        <f t="shared" si="13"/>
        <v>0</v>
      </c>
      <c r="BQ6" s="11"/>
      <c r="BR6" s="12" t="e">
        <f t="shared" si="14"/>
        <v>#DIV/0!</v>
      </c>
      <c r="BS6" s="13"/>
      <c r="BT6" s="11"/>
      <c r="BU6" s="11"/>
      <c r="BV6" s="14"/>
      <c r="BW6" s="10"/>
      <c r="BX6" s="11"/>
      <c r="BY6" s="11">
        <f t="shared" si="15"/>
        <v>767</v>
      </c>
      <c r="BZ6" s="11">
        <f t="shared" si="15"/>
        <v>69</v>
      </c>
      <c r="CA6" s="11"/>
      <c r="CB6" s="12">
        <f t="shared" si="16"/>
        <v>0</v>
      </c>
      <c r="CC6" s="11"/>
      <c r="CD6" s="12" t="e">
        <f t="shared" si="17"/>
        <v>#DIV/0!</v>
      </c>
      <c r="CE6" s="13"/>
      <c r="CF6" s="11"/>
      <c r="CG6" s="11"/>
      <c r="CH6" s="14"/>
      <c r="CI6" s="10"/>
      <c r="CJ6" s="11"/>
      <c r="CK6" s="11">
        <f t="shared" si="18"/>
        <v>200</v>
      </c>
      <c r="CL6" s="11">
        <f t="shared" si="18"/>
        <v>18</v>
      </c>
      <c r="CM6" s="11"/>
      <c r="CN6" s="12">
        <f t="shared" si="19"/>
        <v>0</v>
      </c>
      <c r="CO6" s="11"/>
      <c r="CP6" s="12" t="e">
        <f t="shared" si="20"/>
        <v>#DIV/0!</v>
      </c>
      <c r="CQ6" s="13"/>
      <c r="CR6" s="11"/>
      <c r="CS6" s="11"/>
      <c r="CT6" s="14"/>
      <c r="CU6" s="10"/>
      <c r="CV6" s="11"/>
      <c r="CW6" s="11">
        <f t="shared" si="21"/>
        <v>767</v>
      </c>
      <c r="CX6" s="11">
        <f t="shared" si="21"/>
        <v>70</v>
      </c>
      <c r="CY6" s="11"/>
      <c r="CZ6" s="12">
        <f t="shared" si="22"/>
        <v>0</v>
      </c>
      <c r="DA6" s="11"/>
      <c r="DB6" s="12" t="e">
        <f t="shared" si="23"/>
        <v>#DIV/0!</v>
      </c>
      <c r="DC6" s="13"/>
      <c r="DD6" s="11"/>
      <c r="DE6" s="11"/>
      <c r="DF6" s="14"/>
      <c r="DG6" s="10"/>
      <c r="DH6" s="11"/>
      <c r="DI6" s="11">
        <f t="shared" si="24"/>
        <v>768</v>
      </c>
      <c r="DJ6" s="11">
        <f t="shared" si="24"/>
        <v>70</v>
      </c>
      <c r="DK6" s="11"/>
      <c r="DL6" s="12">
        <f t="shared" si="25"/>
        <v>0</v>
      </c>
      <c r="DM6" s="11"/>
      <c r="DN6" s="12" t="e">
        <f t="shared" si="26"/>
        <v>#DIV/0!</v>
      </c>
      <c r="DO6" s="13"/>
      <c r="DP6" s="11"/>
      <c r="DQ6" s="11"/>
      <c r="DR6" s="14"/>
      <c r="DS6" s="10"/>
      <c r="DT6" s="11"/>
      <c r="DU6" s="11">
        <f t="shared" si="27"/>
        <v>868</v>
      </c>
      <c r="DV6" s="11">
        <f t="shared" si="27"/>
        <v>79</v>
      </c>
      <c r="DW6" s="11"/>
      <c r="DX6" s="12">
        <f t="shared" si="28"/>
        <v>0</v>
      </c>
      <c r="DY6" s="11"/>
      <c r="DZ6" s="12" t="e">
        <f t="shared" si="29"/>
        <v>#DIV/0!</v>
      </c>
      <c r="EA6" s="13"/>
      <c r="EB6" s="11"/>
      <c r="EC6" s="11"/>
      <c r="ED6" s="14"/>
      <c r="EE6" s="10"/>
      <c r="EF6" s="11"/>
      <c r="EG6" s="11">
        <f t="shared" si="30"/>
        <v>869</v>
      </c>
      <c r="EH6" s="11">
        <f t="shared" si="30"/>
        <v>79</v>
      </c>
      <c r="EI6" s="11"/>
      <c r="EJ6" s="12">
        <f t="shared" si="31"/>
        <v>0</v>
      </c>
      <c r="EK6" s="11"/>
      <c r="EL6" s="12" t="e">
        <f t="shared" si="32"/>
        <v>#DIV/0!</v>
      </c>
      <c r="EM6" s="13"/>
      <c r="EN6" s="11"/>
      <c r="EO6" s="11"/>
      <c r="EP6" s="14"/>
      <c r="EQ6" s="10"/>
      <c r="ER6" s="11"/>
      <c r="ES6" s="11">
        <f t="shared" si="33"/>
        <v>220</v>
      </c>
      <c r="ET6" s="11">
        <f t="shared" si="33"/>
        <v>20</v>
      </c>
      <c r="EU6" s="11"/>
      <c r="EV6" s="12">
        <f t="shared" si="34"/>
        <v>0</v>
      </c>
      <c r="EW6" s="11"/>
      <c r="EX6" s="12" t="e">
        <f t="shared" si="35"/>
        <v>#DIV/0!</v>
      </c>
      <c r="EY6" s="13"/>
      <c r="EZ6" s="11"/>
      <c r="FA6" s="11"/>
      <c r="FB6" s="14"/>
      <c r="FC6" s="10"/>
      <c r="FD6" s="11"/>
      <c r="FE6" s="11">
        <f t="shared" si="36"/>
        <v>869</v>
      </c>
      <c r="FF6" s="11">
        <f t="shared" si="36"/>
        <v>79</v>
      </c>
      <c r="FG6" s="11"/>
      <c r="FH6" s="12">
        <f t="shared" si="37"/>
        <v>0</v>
      </c>
      <c r="FI6" s="11"/>
      <c r="FJ6" s="12" t="e">
        <f t="shared" si="38"/>
        <v>#DIV/0!</v>
      </c>
      <c r="FK6" s="13"/>
      <c r="FL6" s="11"/>
      <c r="FM6" s="11"/>
      <c r="FN6" s="14"/>
      <c r="FO6" s="10"/>
      <c r="FP6" s="11"/>
      <c r="FQ6" s="11">
        <f t="shared" si="39"/>
        <v>913</v>
      </c>
      <c r="FR6" s="11">
        <f t="shared" si="39"/>
        <v>82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912</v>
      </c>
      <c r="GD6" s="11">
        <f t="shared" si="42"/>
        <v>82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200</v>
      </c>
      <c r="GP6" s="11">
        <f t="shared" si="45"/>
        <v>20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913</v>
      </c>
      <c r="HB6" s="11">
        <f t="shared" si="48"/>
        <v>82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>
        <f t="shared" si="51"/>
        <v>0</v>
      </c>
      <c r="HL6" s="11">
        <f t="shared" si="52"/>
        <v>0</v>
      </c>
      <c r="HM6" s="11">
        <f t="shared" si="53"/>
        <v>12495</v>
      </c>
      <c r="HN6" s="11">
        <f t="shared" si="0"/>
        <v>1127</v>
      </c>
      <c r="HO6" s="11">
        <f t="shared" si="54"/>
        <v>0</v>
      </c>
      <c r="HP6" s="95">
        <f t="shared" si="55"/>
        <v>0</v>
      </c>
      <c r="HQ6" s="15">
        <f t="shared" si="56"/>
        <v>0</v>
      </c>
      <c r="HR6" s="12" t="e">
        <f t="shared" ref="HR6:HR12" si="63">+(HQ6/(HO6))</f>
        <v>#DIV/0!</v>
      </c>
      <c r="HS6" s="16"/>
      <c r="HT6" s="17"/>
      <c r="HU6" s="16" t="e">
        <f t="shared" si="57"/>
        <v>#DIV/0!</v>
      </c>
      <c r="HV6" s="15"/>
      <c r="HW6" s="14"/>
      <c r="HX6" s="73">
        <f t="shared" ref="HX6:HX11" si="64">SUM(G6,I6,S6,U6,AE6,AG6,AQ6,AS6,BC6,BE6)/SUM(E6,Q6,AC6,AO6,BA6)</f>
        <v>0</v>
      </c>
      <c r="HY6" s="73">
        <f t="shared" ref="HY6:HY11" si="65">SUM(BO6,BQ6,CA6,CC6,CM6,CO6,CY6,DA6,DK6,DM6)/SUM(BM6,BY6,CK6,CW6,DI6)</f>
        <v>0</v>
      </c>
      <c r="HZ6" s="73">
        <f t="shared" ref="HZ6:HZ11" si="66">SUM(DW6,DY6,EI6,EK6,EU6,EW6,FG6,FI6)/SUM(DU6,EG6,ES6,FE6)</f>
        <v>0</v>
      </c>
      <c r="IA6" s="73">
        <f t="shared" ref="IA6:IA11" si="67">SUM(FS6,FU6,GE6,GG6,GQ6,GS6,HC6,HE6)/SUM(FQ6,GC6,GO6,HA6)</f>
        <v>0</v>
      </c>
    </row>
    <row r="7" spans="1:244" x14ac:dyDescent="0.25">
      <c r="A7" s="374"/>
      <c r="B7" s="41">
        <f t="shared" si="58"/>
        <v>44943</v>
      </c>
      <c r="C7" s="10"/>
      <c r="D7" s="11"/>
      <c r="E7" s="11">
        <f t="shared" si="59"/>
        <v>850</v>
      </c>
      <c r="F7" s="11">
        <f t="shared" si="59"/>
        <v>75</v>
      </c>
      <c r="G7" s="11"/>
      <c r="H7" s="12">
        <f t="shared" si="1"/>
        <v>0</v>
      </c>
      <c r="I7" s="11"/>
      <c r="J7" s="12" t="e">
        <f t="shared" si="60"/>
        <v>#DIV/0!</v>
      </c>
      <c r="K7" s="13"/>
      <c r="L7" s="11"/>
      <c r="M7" s="11"/>
      <c r="N7" s="14"/>
      <c r="O7" s="10"/>
      <c r="P7" s="11"/>
      <c r="Q7" s="11">
        <f t="shared" si="2"/>
        <v>776</v>
      </c>
      <c r="R7" s="11">
        <f t="shared" si="2"/>
        <v>69</v>
      </c>
      <c r="S7" s="11"/>
      <c r="T7" s="12">
        <f t="shared" si="3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4"/>
        <v>200</v>
      </c>
      <c r="AD7" s="11">
        <f t="shared" si="4"/>
        <v>18</v>
      </c>
      <c r="AE7" s="11"/>
      <c r="AF7" s="12">
        <f t="shared" si="5"/>
        <v>0</v>
      </c>
      <c r="AG7" s="11"/>
      <c r="AH7" s="12" t="e">
        <f t="shared" si="62"/>
        <v>#DIV/0!</v>
      </c>
      <c r="AI7" s="13"/>
      <c r="AJ7" s="11"/>
      <c r="AK7" s="11"/>
      <c r="AL7" s="14"/>
      <c r="AM7" s="10"/>
      <c r="AN7" s="11"/>
      <c r="AO7" s="11">
        <f t="shared" si="6"/>
        <v>776</v>
      </c>
      <c r="AP7" s="11">
        <f t="shared" si="6"/>
        <v>69</v>
      </c>
      <c r="AQ7" s="11"/>
      <c r="AR7" s="12">
        <f t="shared" si="7"/>
        <v>0</v>
      </c>
      <c r="AS7" s="11"/>
      <c r="AT7" s="12" t="e">
        <f t="shared" si="8"/>
        <v>#DIV/0!</v>
      </c>
      <c r="AU7" s="13"/>
      <c r="AV7" s="11"/>
      <c r="AW7" s="11"/>
      <c r="AX7" s="14"/>
      <c r="AY7" s="10"/>
      <c r="AZ7" s="11"/>
      <c r="BA7" s="11">
        <f t="shared" si="9"/>
        <v>777</v>
      </c>
      <c r="BB7" s="11">
        <f t="shared" si="9"/>
        <v>69</v>
      </c>
      <c r="BC7" s="11"/>
      <c r="BD7" s="12">
        <f t="shared" si="10"/>
        <v>0</v>
      </c>
      <c r="BE7" s="11"/>
      <c r="BF7" s="12" t="e">
        <f t="shared" si="11"/>
        <v>#DIV/0!</v>
      </c>
      <c r="BG7" s="13"/>
      <c r="BH7" s="11"/>
      <c r="BI7" s="11"/>
      <c r="BJ7" s="14"/>
      <c r="BK7" s="10"/>
      <c r="BL7" s="11"/>
      <c r="BM7" s="11">
        <f t="shared" si="12"/>
        <v>850</v>
      </c>
      <c r="BN7" s="11">
        <f t="shared" si="12"/>
        <v>77</v>
      </c>
      <c r="BO7" s="11"/>
      <c r="BP7" s="12">
        <f t="shared" si="13"/>
        <v>0</v>
      </c>
      <c r="BQ7" s="11"/>
      <c r="BR7" s="12" t="e">
        <f t="shared" si="14"/>
        <v>#DIV/0!</v>
      </c>
      <c r="BS7" s="13"/>
      <c r="BT7" s="11"/>
      <c r="BU7" s="11"/>
      <c r="BV7" s="14"/>
      <c r="BW7" s="10"/>
      <c r="BX7" s="11"/>
      <c r="BY7" s="11">
        <f t="shared" si="15"/>
        <v>767</v>
      </c>
      <c r="BZ7" s="11">
        <f t="shared" si="15"/>
        <v>69</v>
      </c>
      <c r="CA7" s="11"/>
      <c r="CB7" s="12">
        <f t="shared" si="16"/>
        <v>0</v>
      </c>
      <c r="CC7" s="11"/>
      <c r="CD7" s="12" t="e">
        <f t="shared" si="17"/>
        <v>#DIV/0!</v>
      </c>
      <c r="CE7" s="13"/>
      <c r="CF7" s="11"/>
      <c r="CG7" s="11"/>
      <c r="CH7" s="14"/>
      <c r="CI7" s="10"/>
      <c r="CJ7" s="11"/>
      <c r="CK7" s="11">
        <f t="shared" si="18"/>
        <v>200</v>
      </c>
      <c r="CL7" s="11">
        <f t="shared" si="18"/>
        <v>18</v>
      </c>
      <c r="CM7" s="11"/>
      <c r="CN7" s="12">
        <f t="shared" si="19"/>
        <v>0</v>
      </c>
      <c r="CO7" s="11"/>
      <c r="CP7" s="12" t="e">
        <f t="shared" si="20"/>
        <v>#DIV/0!</v>
      </c>
      <c r="CQ7" s="13"/>
      <c r="CR7" s="11"/>
      <c r="CS7" s="11"/>
      <c r="CT7" s="14"/>
      <c r="CU7" s="10"/>
      <c r="CV7" s="11"/>
      <c r="CW7" s="11">
        <f t="shared" si="21"/>
        <v>767</v>
      </c>
      <c r="CX7" s="11">
        <f t="shared" si="21"/>
        <v>70</v>
      </c>
      <c r="CY7" s="11"/>
      <c r="CZ7" s="12">
        <f t="shared" si="22"/>
        <v>0</v>
      </c>
      <c r="DA7" s="11"/>
      <c r="DB7" s="12" t="e">
        <f t="shared" si="23"/>
        <v>#DIV/0!</v>
      </c>
      <c r="DC7" s="13"/>
      <c r="DD7" s="11"/>
      <c r="DE7" s="11"/>
      <c r="DF7" s="14"/>
      <c r="DG7" s="10"/>
      <c r="DH7" s="11"/>
      <c r="DI7" s="11">
        <f t="shared" si="24"/>
        <v>768</v>
      </c>
      <c r="DJ7" s="11">
        <f t="shared" si="24"/>
        <v>70</v>
      </c>
      <c r="DK7" s="11"/>
      <c r="DL7" s="12">
        <f t="shared" si="25"/>
        <v>0</v>
      </c>
      <c r="DM7" s="11"/>
      <c r="DN7" s="12" t="e">
        <f t="shared" si="26"/>
        <v>#DIV/0!</v>
      </c>
      <c r="DO7" s="13"/>
      <c r="DP7" s="11"/>
      <c r="DQ7" s="11"/>
      <c r="DR7" s="14"/>
      <c r="DS7" s="10"/>
      <c r="DT7" s="11"/>
      <c r="DU7" s="11">
        <f t="shared" si="27"/>
        <v>868</v>
      </c>
      <c r="DV7" s="11">
        <f t="shared" si="27"/>
        <v>79</v>
      </c>
      <c r="DW7" s="11"/>
      <c r="DX7" s="12">
        <f t="shared" si="28"/>
        <v>0</v>
      </c>
      <c r="DY7" s="11"/>
      <c r="DZ7" s="12" t="e">
        <f t="shared" si="29"/>
        <v>#DIV/0!</v>
      </c>
      <c r="EA7" s="13"/>
      <c r="EB7" s="11"/>
      <c r="EC7" s="11"/>
      <c r="ED7" s="14"/>
      <c r="EE7" s="10"/>
      <c r="EF7" s="11"/>
      <c r="EG7" s="11">
        <f t="shared" si="30"/>
        <v>869</v>
      </c>
      <c r="EH7" s="11">
        <f t="shared" si="30"/>
        <v>79</v>
      </c>
      <c r="EI7" s="11"/>
      <c r="EJ7" s="12">
        <f t="shared" si="31"/>
        <v>0</v>
      </c>
      <c r="EK7" s="11"/>
      <c r="EL7" s="12" t="e">
        <f t="shared" si="32"/>
        <v>#DIV/0!</v>
      </c>
      <c r="EM7" s="13"/>
      <c r="EN7" s="11"/>
      <c r="EO7" s="11"/>
      <c r="EP7" s="14"/>
      <c r="EQ7" s="10"/>
      <c r="ER7" s="11"/>
      <c r="ES7" s="11">
        <f t="shared" si="33"/>
        <v>220</v>
      </c>
      <c r="ET7" s="11">
        <f t="shared" si="33"/>
        <v>20</v>
      </c>
      <c r="EU7" s="11"/>
      <c r="EV7" s="12">
        <f t="shared" si="34"/>
        <v>0</v>
      </c>
      <c r="EW7" s="11"/>
      <c r="EX7" s="12" t="e">
        <f t="shared" si="35"/>
        <v>#DIV/0!</v>
      </c>
      <c r="EY7" s="13"/>
      <c r="EZ7" s="11"/>
      <c r="FA7" s="11"/>
      <c r="FB7" s="14"/>
      <c r="FC7" s="10"/>
      <c r="FD7" s="11"/>
      <c r="FE7" s="11">
        <f t="shared" si="36"/>
        <v>869</v>
      </c>
      <c r="FF7" s="11">
        <f t="shared" si="36"/>
        <v>79</v>
      </c>
      <c r="FG7" s="11"/>
      <c r="FH7" s="12">
        <f t="shared" si="37"/>
        <v>0</v>
      </c>
      <c r="FI7" s="11"/>
      <c r="FJ7" s="12" t="e">
        <f t="shared" si="38"/>
        <v>#DIV/0!</v>
      </c>
      <c r="FK7" s="13"/>
      <c r="FL7" s="11"/>
      <c r="FM7" s="11"/>
      <c r="FN7" s="14"/>
      <c r="FO7" s="10"/>
      <c r="FP7" s="11"/>
      <c r="FQ7" s="11">
        <f t="shared" si="39"/>
        <v>913</v>
      </c>
      <c r="FR7" s="11">
        <f t="shared" si="39"/>
        <v>82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912</v>
      </c>
      <c r="GD7" s="11">
        <f t="shared" si="42"/>
        <v>82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200</v>
      </c>
      <c r="GP7" s="11">
        <f t="shared" si="45"/>
        <v>20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913</v>
      </c>
      <c r="HB7" s="11">
        <f t="shared" si="48"/>
        <v>82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>
        <f t="shared" si="51"/>
        <v>0</v>
      </c>
      <c r="HL7" s="11">
        <f t="shared" si="52"/>
        <v>0</v>
      </c>
      <c r="HM7" s="11">
        <f t="shared" si="53"/>
        <v>12495</v>
      </c>
      <c r="HN7" s="11">
        <f t="shared" si="0"/>
        <v>1127</v>
      </c>
      <c r="HO7" s="11">
        <f t="shared" si="54"/>
        <v>0</v>
      </c>
      <c r="HP7" s="95">
        <f t="shared" si="55"/>
        <v>0</v>
      </c>
      <c r="HQ7" s="15">
        <f t="shared" si="56"/>
        <v>0</v>
      </c>
      <c r="HR7" s="12" t="e">
        <f t="shared" si="63"/>
        <v>#DIV/0!</v>
      </c>
      <c r="HS7" s="16"/>
      <c r="HT7" s="17"/>
      <c r="HU7" s="16" t="e">
        <f t="shared" si="57"/>
        <v>#DIV/0!</v>
      </c>
      <c r="HV7" s="15"/>
      <c r="HW7" s="14"/>
      <c r="HX7" s="73">
        <f t="shared" si="64"/>
        <v>0</v>
      </c>
      <c r="HY7" s="73">
        <f t="shared" si="65"/>
        <v>0</v>
      </c>
      <c r="HZ7" s="73">
        <f t="shared" si="66"/>
        <v>0</v>
      </c>
      <c r="IA7" s="73">
        <f t="shared" si="67"/>
        <v>0</v>
      </c>
    </row>
    <row r="8" spans="1:244" x14ac:dyDescent="0.25">
      <c r="A8" s="374"/>
      <c r="B8" s="41">
        <f t="shared" si="58"/>
        <v>44944</v>
      </c>
      <c r="C8" s="10"/>
      <c r="D8" s="11"/>
      <c r="E8" s="11">
        <f t="shared" si="59"/>
        <v>850</v>
      </c>
      <c r="F8" s="11">
        <f t="shared" si="59"/>
        <v>75</v>
      </c>
      <c r="G8" s="11"/>
      <c r="H8" s="12">
        <f t="shared" si="1"/>
        <v>0</v>
      </c>
      <c r="I8" s="11"/>
      <c r="J8" s="12" t="e">
        <f t="shared" si="60"/>
        <v>#DIV/0!</v>
      </c>
      <c r="K8" s="13"/>
      <c r="L8" s="11"/>
      <c r="M8" s="18"/>
      <c r="N8" s="19"/>
      <c r="O8" s="10"/>
      <c r="P8" s="11"/>
      <c r="Q8" s="11">
        <f t="shared" si="2"/>
        <v>776</v>
      </c>
      <c r="R8" s="11">
        <f t="shared" si="2"/>
        <v>69</v>
      </c>
      <c r="S8" s="11"/>
      <c r="T8" s="12">
        <f t="shared" si="3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4"/>
        <v>200</v>
      </c>
      <c r="AD8" s="11">
        <f t="shared" si="4"/>
        <v>18</v>
      </c>
      <c r="AE8" s="11"/>
      <c r="AF8" s="12">
        <f t="shared" si="5"/>
        <v>0</v>
      </c>
      <c r="AG8" s="11"/>
      <c r="AH8" s="12" t="e">
        <f t="shared" si="62"/>
        <v>#DIV/0!</v>
      </c>
      <c r="AI8" s="13"/>
      <c r="AJ8" s="11"/>
      <c r="AK8" s="18"/>
      <c r="AL8" s="19"/>
      <c r="AM8" s="10"/>
      <c r="AN8" s="11"/>
      <c r="AO8" s="11">
        <f t="shared" si="6"/>
        <v>776</v>
      </c>
      <c r="AP8" s="11">
        <f t="shared" si="6"/>
        <v>69</v>
      </c>
      <c r="AQ8" s="11"/>
      <c r="AR8" s="12">
        <f t="shared" si="7"/>
        <v>0</v>
      </c>
      <c r="AS8" s="11"/>
      <c r="AT8" s="12" t="e">
        <f t="shared" si="8"/>
        <v>#DIV/0!</v>
      </c>
      <c r="AU8" s="13"/>
      <c r="AV8" s="11"/>
      <c r="AW8" s="18"/>
      <c r="AX8" s="19"/>
      <c r="AY8" s="10"/>
      <c r="AZ8" s="11"/>
      <c r="BA8" s="11">
        <f t="shared" si="9"/>
        <v>777</v>
      </c>
      <c r="BB8" s="11">
        <f t="shared" si="9"/>
        <v>69</v>
      </c>
      <c r="BC8" s="11">
        <v>1</v>
      </c>
      <c r="BD8" s="12">
        <f t="shared" si="10"/>
        <v>1.287001287001287E-3</v>
      </c>
      <c r="BE8" s="11"/>
      <c r="BF8" s="12">
        <f t="shared" si="11"/>
        <v>0</v>
      </c>
      <c r="BG8" s="13"/>
      <c r="BH8" s="11"/>
      <c r="BI8" s="18"/>
      <c r="BJ8" s="19"/>
      <c r="BK8" s="10"/>
      <c r="BL8" s="11"/>
      <c r="BM8" s="11">
        <f t="shared" si="12"/>
        <v>850</v>
      </c>
      <c r="BN8" s="11">
        <f t="shared" si="12"/>
        <v>77</v>
      </c>
      <c r="BO8" s="11"/>
      <c r="BP8" s="12">
        <f t="shared" si="13"/>
        <v>0</v>
      </c>
      <c r="BQ8" s="11"/>
      <c r="BR8" s="12" t="e">
        <f t="shared" si="14"/>
        <v>#DIV/0!</v>
      </c>
      <c r="BS8" s="13"/>
      <c r="BT8" s="11"/>
      <c r="BU8" s="18"/>
      <c r="BV8" s="19"/>
      <c r="BW8" s="10"/>
      <c r="BX8" s="11"/>
      <c r="BY8" s="11">
        <f t="shared" si="15"/>
        <v>767</v>
      </c>
      <c r="BZ8" s="11">
        <f t="shared" si="15"/>
        <v>69</v>
      </c>
      <c r="CA8" s="11"/>
      <c r="CB8" s="12">
        <f t="shared" si="16"/>
        <v>0</v>
      </c>
      <c r="CC8" s="11"/>
      <c r="CD8" s="12" t="e">
        <f t="shared" si="17"/>
        <v>#DIV/0!</v>
      </c>
      <c r="CE8" s="13"/>
      <c r="CF8" s="11"/>
      <c r="CG8" s="18"/>
      <c r="CH8" s="19"/>
      <c r="CI8" s="10"/>
      <c r="CJ8" s="11"/>
      <c r="CK8" s="11">
        <f t="shared" si="18"/>
        <v>200</v>
      </c>
      <c r="CL8" s="11">
        <f t="shared" si="18"/>
        <v>18</v>
      </c>
      <c r="CM8" s="11"/>
      <c r="CN8" s="12">
        <f t="shared" si="19"/>
        <v>0</v>
      </c>
      <c r="CO8" s="11"/>
      <c r="CP8" s="12" t="e">
        <f t="shared" si="20"/>
        <v>#DIV/0!</v>
      </c>
      <c r="CQ8" s="13"/>
      <c r="CR8" s="11"/>
      <c r="CS8" s="18"/>
      <c r="CT8" s="19"/>
      <c r="CU8" s="10"/>
      <c r="CV8" s="11"/>
      <c r="CW8" s="11">
        <f t="shared" si="21"/>
        <v>767</v>
      </c>
      <c r="CX8" s="11">
        <f t="shared" si="21"/>
        <v>70</v>
      </c>
      <c r="CY8" s="11"/>
      <c r="CZ8" s="12">
        <f t="shared" si="22"/>
        <v>0</v>
      </c>
      <c r="DA8" s="11"/>
      <c r="DB8" s="12" t="e">
        <f t="shared" si="23"/>
        <v>#DIV/0!</v>
      </c>
      <c r="DC8" s="13"/>
      <c r="DD8" s="11"/>
      <c r="DE8" s="18"/>
      <c r="DF8" s="19"/>
      <c r="DG8" s="10"/>
      <c r="DH8" s="11"/>
      <c r="DI8" s="11">
        <f t="shared" si="24"/>
        <v>768</v>
      </c>
      <c r="DJ8" s="11">
        <f t="shared" si="24"/>
        <v>70</v>
      </c>
      <c r="DK8" s="11"/>
      <c r="DL8" s="12">
        <f t="shared" si="25"/>
        <v>0</v>
      </c>
      <c r="DM8" s="11"/>
      <c r="DN8" s="12" t="e">
        <f t="shared" si="26"/>
        <v>#DIV/0!</v>
      </c>
      <c r="DO8" s="13"/>
      <c r="DP8" s="11"/>
      <c r="DQ8" s="18"/>
      <c r="DR8" s="19"/>
      <c r="DS8" s="10"/>
      <c r="DT8" s="11"/>
      <c r="DU8" s="11">
        <f t="shared" si="27"/>
        <v>868</v>
      </c>
      <c r="DV8" s="11">
        <f t="shared" si="27"/>
        <v>79</v>
      </c>
      <c r="DW8" s="11"/>
      <c r="DX8" s="12">
        <f t="shared" si="28"/>
        <v>0</v>
      </c>
      <c r="DY8" s="11"/>
      <c r="DZ8" s="12" t="e">
        <f t="shared" si="29"/>
        <v>#DIV/0!</v>
      </c>
      <c r="EA8" s="13"/>
      <c r="EB8" s="11"/>
      <c r="EC8" s="18"/>
      <c r="ED8" s="19"/>
      <c r="EE8" s="10"/>
      <c r="EF8" s="11"/>
      <c r="EG8" s="11">
        <f t="shared" si="30"/>
        <v>869</v>
      </c>
      <c r="EH8" s="11">
        <f t="shared" si="30"/>
        <v>79</v>
      </c>
      <c r="EI8" s="11"/>
      <c r="EJ8" s="12">
        <f t="shared" si="31"/>
        <v>0</v>
      </c>
      <c r="EK8" s="11"/>
      <c r="EL8" s="12" t="e">
        <f t="shared" si="32"/>
        <v>#DIV/0!</v>
      </c>
      <c r="EM8" s="13"/>
      <c r="EN8" s="11"/>
      <c r="EO8" s="18"/>
      <c r="EP8" s="19"/>
      <c r="EQ8" s="10"/>
      <c r="ER8" s="11"/>
      <c r="ES8" s="11">
        <f t="shared" si="33"/>
        <v>220</v>
      </c>
      <c r="ET8" s="11">
        <f t="shared" si="33"/>
        <v>20</v>
      </c>
      <c r="EU8" s="11"/>
      <c r="EV8" s="12">
        <f t="shared" si="34"/>
        <v>0</v>
      </c>
      <c r="EW8" s="11"/>
      <c r="EX8" s="12" t="e">
        <f t="shared" si="35"/>
        <v>#DIV/0!</v>
      </c>
      <c r="EY8" s="13"/>
      <c r="EZ8" s="11"/>
      <c r="FA8" s="18"/>
      <c r="FB8" s="19"/>
      <c r="FC8" s="10"/>
      <c r="FD8" s="11"/>
      <c r="FE8" s="11">
        <f t="shared" si="36"/>
        <v>869</v>
      </c>
      <c r="FF8" s="11">
        <f t="shared" si="36"/>
        <v>79</v>
      </c>
      <c r="FG8" s="11"/>
      <c r="FH8" s="12">
        <f t="shared" si="37"/>
        <v>0</v>
      </c>
      <c r="FI8" s="11"/>
      <c r="FJ8" s="12" t="e">
        <f t="shared" si="38"/>
        <v>#DIV/0!</v>
      </c>
      <c r="FK8" s="13"/>
      <c r="FL8" s="11"/>
      <c r="FM8" s="18"/>
      <c r="FN8" s="19"/>
      <c r="FO8" s="10"/>
      <c r="FP8" s="11"/>
      <c r="FQ8" s="11">
        <f t="shared" si="39"/>
        <v>913</v>
      </c>
      <c r="FR8" s="11">
        <f t="shared" si="39"/>
        <v>82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912</v>
      </c>
      <c r="GD8" s="11">
        <f t="shared" si="42"/>
        <v>82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200</v>
      </c>
      <c r="GP8" s="11">
        <f t="shared" si="45"/>
        <v>20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913</v>
      </c>
      <c r="HB8" s="11">
        <f t="shared" si="48"/>
        <v>82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>
        <f t="shared" si="51"/>
        <v>0</v>
      </c>
      <c r="HL8" s="11">
        <f t="shared" si="52"/>
        <v>0</v>
      </c>
      <c r="HM8" s="11">
        <f t="shared" si="53"/>
        <v>12495</v>
      </c>
      <c r="HN8" s="11">
        <f t="shared" si="0"/>
        <v>1127</v>
      </c>
      <c r="HO8" s="11">
        <f t="shared" si="54"/>
        <v>1</v>
      </c>
      <c r="HP8" s="95">
        <f t="shared" si="55"/>
        <v>8.0032012805122043E-5</v>
      </c>
      <c r="HQ8" s="15">
        <f t="shared" si="56"/>
        <v>0</v>
      </c>
      <c r="HR8" s="12">
        <f t="shared" si="63"/>
        <v>0</v>
      </c>
      <c r="HS8" s="16"/>
      <c r="HT8" s="17"/>
      <c r="HU8" s="16">
        <f t="shared" si="57"/>
        <v>0</v>
      </c>
      <c r="HV8" s="18"/>
      <c r="HW8" s="20"/>
      <c r="HX8" s="73">
        <f t="shared" si="64"/>
        <v>2.9594554601953242E-4</v>
      </c>
      <c r="HY8" s="73">
        <f t="shared" si="65"/>
        <v>0</v>
      </c>
      <c r="HZ8" s="73">
        <f t="shared" si="66"/>
        <v>0</v>
      </c>
      <c r="IA8" s="73">
        <f t="shared" si="67"/>
        <v>0</v>
      </c>
    </row>
    <row r="9" spans="1:244" x14ac:dyDescent="0.25">
      <c r="A9" s="374"/>
      <c r="B9" s="41">
        <f t="shared" si="58"/>
        <v>44945</v>
      </c>
      <c r="C9" s="10"/>
      <c r="D9" s="11"/>
      <c r="E9" s="11">
        <f t="shared" si="59"/>
        <v>850</v>
      </c>
      <c r="F9" s="11">
        <f t="shared" si="59"/>
        <v>75</v>
      </c>
      <c r="G9" s="11"/>
      <c r="H9" s="12">
        <f t="shared" si="1"/>
        <v>0</v>
      </c>
      <c r="I9" s="11"/>
      <c r="J9" s="12" t="e">
        <f t="shared" si="60"/>
        <v>#DIV/0!</v>
      </c>
      <c r="K9" s="13"/>
      <c r="L9" s="13"/>
      <c r="M9" s="21">
        <v>3250</v>
      </c>
      <c r="N9" s="20">
        <v>3850</v>
      </c>
      <c r="O9" s="10"/>
      <c r="P9" s="11"/>
      <c r="Q9" s="11">
        <f t="shared" si="2"/>
        <v>776</v>
      </c>
      <c r="R9" s="11">
        <f t="shared" si="2"/>
        <v>69</v>
      </c>
      <c r="S9" s="11"/>
      <c r="T9" s="12">
        <f t="shared" si="3"/>
        <v>0</v>
      </c>
      <c r="U9" s="11"/>
      <c r="V9" s="12" t="e">
        <f t="shared" si="61"/>
        <v>#DIV/0!</v>
      </c>
      <c r="W9" s="13"/>
      <c r="X9" s="13"/>
      <c r="Y9" s="21">
        <v>3250</v>
      </c>
      <c r="Z9" s="20">
        <v>3850</v>
      </c>
      <c r="AA9" s="10"/>
      <c r="AB9" s="11"/>
      <c r="AC9" s="11">
        <f t="shared" si="4"/>
        <v>200</v>
      </c>
      <c r="AD9" s="11">
        <f t="shared" si="4"/>
        <v>18</v>
      </c>
      <c r="AE9" s="11"/>
      <c r="AF9" s="12">
        <f t="shared" si="5"/>
        <v>0</v>
      </c>
      <c r="AG9" s="11"/>
      <c r="AH9" s="12" t="e">
        <f t="shared" si="62"/>
        <v>#DIV/0!</v>
      </c>
      <c r="AI9" s="13"/>
      <c r="AJ9" s="13"/>
      <c r="AK9" s="21">
        <v>3250</v>
      </c>
      <c r="AL9" s="20">
        <v>3850</v>
      </c>
      <c r="AM9" s="10"/>
      <c r="AN9" s="11"/>
      <c r="AO9" s="11">
        <f t="shared" si="6"/>
        <v>776</v>
      </c>
      <c r="AP9" s="11">
        <f t="shared" si="6"/>
        <v>69</v>
      </c>
      <c r="AQ9" s="11"/>
      <c r="AR9" s="12">
        <f t="shared" si="7"/>
        <v>0</v>
      </c>
      <c r="AS9" s="11"/>
      <c r="AT9" s="12" t="e">
        <f t="shared" si="8"/>
        <v>#DIV/0!</v>
      </c>
      <c r="AU9" s="13"/>
      <c r="AV9" s="13"/>
      <c r="AW9" s="21">
        <v>3250</v>
      </c>
      <c r="AX9" s="20">
        <v>3850</v>
      </c>
      <c r="AY9" s="10"/>
      <c r="AZ9" s="11"/>
      <c r="BA9" s="11">
        <f t="shared" si="9"/>
        <v>777</v>
      </c>
      <c r="BB9" s="11">
        <f t="shared" si="9"/>
        <v>69</v>
      </c>
      <c r="BC9" s="11">
        <v>1</v>
      </c>
      <c r="BD9" s="12">
        <f t="shared" si="10"/>
        <v>1.287001287001287E-3</v>
      </c>
      <c r="BE9" s="11"/>
      <c r="BF9" s="12">
        <f t="shared" si="11"/>
        <v>0</v>
      </c>
      <c r="BG9" s="13"/>
      <c r="BH9" s="13"/>
      <c r="BI9" s="21">
        <v>3250</v>
      </c>
      <c r="BJ9" s="20">
        <v>3850</v>
      </c>
      <c r="BK9" s="10"/>
      <c r="BL9" s="11"/>
      <c r="BM9" s="11">
        <f t="shared" si="12"/>
        <v>850</v>
      </c>
      <c r="BN9" s="11">
        <f t="shared" si="12"/>
        <v>77</v>
      </c>
      <c r="BO9" s="11"/>
      <c r="BP9" s="12">
        <f t="shared" si="13"/>
        <v>0</v>
      </c>
      <c r="BQ9" s="11"/>
      <c r="BR9" s="12" t="e">
        <f t="shared" si="14"/>
        <v>#DIV/0!</v>
      </c>
      <c r="BS9" s="13"/>
      <c r="BT9" s="13"/>
      <c r="BU9" s="21">
        <v>3250</v>
      </c>
      <c r="BV9" s="20">
        <v>3850</v>
      </c>
      <c r="BW9" s="10"/>
      <c r="BX9" s="11"/>
      <c r="BY9" s="11">
        <f t="shared" si="15"/>
        <v>767</v>
      </c>
      <c r="BZ9" s="11">
        <f t="shared" si="15"/>
        <v>69</v>
      </c>
      <c r="CA9" s="11"/>
      <c r="CB9" s="12">
        <f t="shared" si="16"/>
        <v>0</v>
      </c>
      <c r="CC9" s="11"/>
      <c r="CD9" s="12" t="e">
        <f t="shared" si="17"/>
        <v>#DIV/0!</v>
      </c>
      <c r="CE9" s="13"/>
      <c r="CF9" s="13"/>
      <c r="CG9" s="21">
        <v>3250</v>
      </c>
      <c r="CH9" s="20">
        <v>3850</v>
      </c>
      <c r="CI9" s="10"/>
      <c r="CJ9" s="11"/>
      <c r="CK9" s="11">
        <f t="shared" si="18"/>
        <v>200</v>
      </c>
      <c r="CL9" s="11">
        <f t="shared" si="18"/>
        <v>18</v>
      </c>
      <c r="CM9" s="11"/>
      <c r="CN9" s="12">
        <f t="shared" si="19"/>
        <v>0</v>
      </c>
      <c r="CO9" s="11"/>
      <c r="CP9" s="12" t="e">
        <f t="shared" si="20"/>
        <v>#DIV/0!</v>
      </c>
      <c r="CQ9" s="13"/>
      <c r="CR9" s="13"/>
      <c r="CS9" s="21">
        <v>3250</v>
      </c>
      <c r="CT9" s="20">
        <v>3850</v>
      </c>
      <c r="CU9" s="10"/>
      <c r="CV9" s="11"/>
      <c r="CW9" s="11">
        <f t="shared" si="21"/>
        <v>767</v>
      </c>
      <c r="CX9" s="11">
        <f t="shared" si="21"/>
        <v>70</v>
      </c>
      <c r="CY9" s="11"/>
      <c r="CZ9" s="12">
        <f t="shared" si="22"/>
        <v>0</v>
      </c>
      <c r="DA9" s="11"/>
      <c r="DB9" s="12" t="e">
        <f t="shared" si="23"/>
        <v>#DIV/0!</v>
      </c>
      <c r="DC9" s="13"/>
      <c r="DD9" s="13"/>
      <c r="DE9" s="21">
        <v>3250</v>
      </c>
      <c r="DF9" s="20">
        <v>3850</v>
      </c>
      <c r="DG9" s="10"/>
      <c r="DH9" s="11"/>
      <c r="DI9" s="11">
        <f t="shared" si="24"/>
        <v>768</v>
      </c>
      <c r="DJ9" s="11">
        <f t="shared" si="24"/>
        <v>70</v>
      </c>
      <c r="DK9" s="11"/>
      <c r="DL9" s="12">
        <f t="shared" si="25"/>
        <v>0</v>
      </c>
      <c r="DM9" s="11"/>
      <c r="DN9" s="12" t="e">
        <f t="shared" si="26"/>
        <v>#DIV/0!</v>
      </c>
      <c r="DO9" s="13"/>
      <c r="DP9" s="13"/>
      <c r="DQ9" s="21">
        <v>3250</v>
      </c>
      <c r="DR9" s="20">
        <v>3850</v>
      </c>
      <c r="DS9" s="10"/>
      <c r="DT9" s="11"/>
      <c r="DU9" s="11">
        <f t="shared" si="27"/>
        <v>868</v>
      </c>
      <c r="DV9" s="11">
        <f t="shared" si="27"/>
        <v>79</v>
      </c>
      <c r="DW9" s="11"/>
      <c r="DX9" s="12">
        <f t="shared" si="28"/>
        <v>0</v>
      </c>
      <c r="DY9" s="11"/>
      <c r="DZ9" s="12" t="e">
        <f t="shared" si="29"/>
        <v>#DIV/0!</v>
      </c>
      <c r="EA9" s="13"/>
      <c r="EB9" s="13"/>
      <c r="EC9" s="21">
        <v>3250</v>
      </c>
      <c r="ED9" s="20">
        <v>3850</v>
      </c>
      <c r="EE9" s="10"/>
      <c r="EF9" s="11"/>
      <c r="EG9" s="11">
        <f t="shared" si="30"/>
        <v>869</v>
      </c>
      <c r="EH9" s="11">
        <f t="shared" si="30"/>
        <v>79</v>
      </c>
      <c r="EI9" s="11"/>
      <c r="EJ9" s="12">
        <f t="shared" si="31"/>
        <v>0</v>
      </c>
      <c r="EK9" s="11"/>
      <c r="EL9" s="12" t="e">
        <f t="shared" si="32"/>
        <v>#DIV/0!</v>
      </c>
      <c r="EM9" s="13"/>
      <c r="EN9" s="13"/>
      <c r="EO9" s="21">
        <v>3250</v>
      </c>
      <c r="EP9" s="20">
        <v>3850</v>
      </c>
      <c r="EQ9" s="10"/>
      <c r="ER9" s="11"/>
      <c r="ES9" s="11">
        <f t="shared" si="33"/>
        <v>220</v>
      </c>
      <c r="ET9" s="11">
        <f t="shared" si="33"/>
        <v>20</v>
      </c>
      <c r="EU9" s="11"/>
      <c r="EV9" s="12">
        <f t="shared" si="34"/>
        <v>0</v>
      </c>
      <c r="EW9" s="11"/>
      <c r="EX9" s="12" t="e">
        <f t="shared" si="35"/>
        <v>#DIV/0!</v>
      </c>
      <c r="EY9" s="13"/>
      <c r="EZ9" s="13"/>
      <c r="FA9" s="21">
        <v>3250</v>
      </c>
      <c r="FB9" s="20">
        <v>3850</v>
      </c>
      <c r="FC9" s="10"/>
      <c r="FD9" s="11"/>
      <c r="FE9" s="11">
        <f t="shared" si="36"/>
        <v>869</v>
      </c>
      <c r="FF9" s="11">
        <f t="shared" si="36"/>
        <v>79</v>
      </c>
      <c r="FG9" s="11"/>
      <c r="FH9" s="12">
        <f t="shared" si="37"/>
        <v>0</v>
      </c>
      <c r="FI9" s="11"/>
      <c r="FJ9" s="12" t="e">
        <f t="shared" si="38"/>
        <v>#DIV/0!</v>
      </c>
      <c r="FK9" s="13"/>
      <c r="FL9" s="13"/>
      <c r="FM9" s="21">
        <v>3250</v>
      </c>
      <c r="FN9" s="20">
        <v>3850</v>
      </c>
      <c r="FO9" s="10"/>
      <c r="FP9" s="11"/>
      <c r="FQ9" s="11">
        <f t="shared" si="39"/>
        <v>913</v>
      </c>
      <c r="FR9" s="11">
        <f t="shared" si="39"/>
        <v>82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>
        <v>3250</v>
      </c>
      <c r="FZ9" s="20">
        <v>3850</v>
      </c>
      <c r="GA9" s="10"/>
      <c r="GB9" s="11"/>
      <c r="GC9" s="11">
        <f t="shared" si="42"/>
        <v>912</v>
      </c>
      <c r="GD9" s="11">
        <f t="shared" si="42"/>
        <v>82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>
        <v>3250</v>
      </c>
      <c r="GL9" s="20">
        <v>3850</v>
      </c>
      <c r="GM9" s="10"/>
      <c r="GN9" s="11"/>
      <c r="GO9" s="11">
        <f t="shared" si="45"/>
        <v>200</v>
      </c>
      <c r="GP9" s="11">
        <f t="shared" si="45"/>
        <v>20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>
        <v>3250</v>
      </c>
      <c r="GX9" s="20">
        <v>3850</v>
      </c>
      <c r="GY9" s="10"/>
      <c r="GZ9" s="11"/>
      <c r="HA9" s="11">
        <f t="shared" si="48"/>
        <v>913</v>
      </c>
      <c r="HB9" s="11">
        <f t="shared" si="48"/>
        <v>82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>
        <v>3250</v>
      </c>
      <c r="HJ9" s="20">
        <v>3850</v>
      </c>
      <c r="HK9" s="10">
        <f t="shared" si="51"/>
        <v>0</v>
      </c>
      <c r="HL9" s="11">
        <f t="shared" si="52"/>
        <v>0</v>
      </c>
      <c r="HM9" s="11">
        <f t="shared" si="53"/>
        <v>12495</v>
      </c>
      <c r="HN9" s="11">
        <f t="shared" si="0"/>
        <v>1127</v>
      </c>
      <c r="HO9" s="11">
        <f t="shared" si="54"/>
        <v>1</v>
      </c>
      <c r="HP9" s="95">
        <f t="shared" si="55"/>
        <v>8.0032012805122043E-5</v>
      </c>
      <c r="HQ9" s="15">
        <f t="shared" si="56"/>
        <v>0</v>
      </c>
      <c r="HR9" s="12">
        <f t="shared" si="63"/>
        <v>0</v>
      </c>
      <c r="HS9" s="16"/>
      <c r="HT9" s="17"/>
      <c r="HU9" s="16">
        <f t="shared" si="57"/>
        <v>0</v>
      </c>
      <c r="HV9" s="23">
        <v>3250</v>
      </c>
      <c r="HW9" s="22">
        <v>3850</v>
      </c>
      <c r="HX9" s="73">
        <f t="shared" si="64"/>
        <v>2.9594554601953242E-4</v>
      </c>
      <c r="HY9" s="107">
        <f t="shared" si="65"/>
        <v>0</v>
      </c>
      <c r="HZ9" s="73">
        <f t="shared" si="66"/>
        <v>0</v>
      </c>
      <c r="IA9" s="73">
        <f t="shared" si="67"/>
        <v>0</v>
      </c>
    </row>
    <row r="10" spans="1:244" x14ac:dyDescent="0.25">
      <c r="A10" s="374"/>
      <c r="B10" s="41">
        <f t="shared" si="58"/>
        <v>44946</v>
      </c>
      <c r="C10" s="10"/>
      <c r="D10" s="11"/>
      <c r="E10" s="11">
        <f t="shared" si="59"/>
        <v>850</v>
      </c>
      <c r="F10" s="11">
        <f t="shared" si="59"/>
        <v>75</v>
      </c>
      <c r="G10" s="11"/>
      <c r="H10" s="12">
        <f t="shared" si="1"/>
        <v>0</v>
      </c>
      <c r="I10" s="11"/>
      <c r="J10" s="12" t="e">
        <f t="shared" si="60"/>
        <v>#DIV/0!</v>
      </c>
      <c r="K10" s="13"/>
      <c r="L10" s="11"/>
      <c r="M10" s="24">
        <v>3295.7142857142858</v>
      </c>
      <c r="N10" s="38">
        <v>3835.3333333333335</v>
      </c>
      <c r="O10" s="10"/>
      <c r="P10" s="11"/>
      <c r="Q10" s="11">
        <f t="shared" si="2"/>
        <v>776</v>
      </c>
      <c r="R10" s="11">
        <f t="shared" si="2"/>
        <v>69</v>
      </c>
      <c r="S10" s="11"/>
      <c r="T10" s="12">
        <f t="shared" si="3"/>
        <v>0</v>
      </c>
      <c r="U10" s="11">
        <v>0</v>
      </c>
      <c r="V10" s="12" t="e">
        <f t="shared" si="61"/>
        <v>#DIV/0!</v>
      </c>
      <c r="W10" s="13"/>
      <c r="X10" s="11"/>
      <c r="Y10" s="24">
        <v>3367.0270270270271</v>
      </c>
      <c r="Z10" s="38">
        <v>3703.0769230769229</v>
      </c>
      <c r="AA10" s="10"/>
      <c r="AB10" s="11">
        <v>2</v>
      </c>
      <c r="AC10" s="11">
        <f t="shared" si="4"/>
        <v>200</v>
      </c>
      <c r="AD10" s="11">
        <f t="shared" si="4"/>
        <v>16</v>
      </c>
      <c r="AE10" s="11"/>
      <c r="AF10" s="12">
        <f t="shared" si="5"/>
        <v>0</v>
      </c>
      <c r="AG10" s="11"/>
      <c r="AH10" s="12" t="e">
        <f t="shared" si="62"/>
        <v>#DIV/0!</v>
      </c>
      <c r="AI10" s="13"/>
      <c r="AJ10" s="11"/>
      <c r="AK10" s="24">
        <v>3222.9411764705883</v>
      </c>
      <c r="AL10" s="38">
        <v>3670</v>
      </c>
      <c r="AM10" s="10"/>
      <c r="AN10" s="11"/>
      <c r="AO10" s="11">
        <f t="shared" si="6"/>
        <v>776</v>
      </c>
      <c r="AP10" s="11">
        <f t="shared" si="6"/>
        <v>69</v>
      </c>
      <c r="AQ10" s="11"/>
      <c r="AR10" s="12">
        <f t="shared" si="7"/>
        <v>0</v>
      </c>
      <c r="AS10" s="11"/>
      <c r="AT10" s="12" t="e">
        <f t="shared" si="8"/>
        <v>#DIV/0!</v>
      </c>
      <c r="AU10" s="13"/>
      <c r="AV10" s="11"/>
      <c r="AW10" s="24">
        <v>3333.3333333333335</v>
      </c>
      <c r="AX10" s="38">
        <v>4009.2857142857142</v>
      </c>
      <c r="AY10" s="10"/>
      <c r="AZ10" s="11"/>
      <c r="BA10" s="11">
        <f t="shared" si="9"/>
        <v>777</v>
      </c>
      <c r="BB10" s="11">
        <f t="shared" si="9"/>
        <v>69</v>
      </c>
      <c r="BC10" s="11">
        <v>1</v>
      </c>
      <c r="BD10" s="12">
        <f t="shared" si="10"/>
        <v>1.287001287001287E-3</v>
      </c>
      <c r="BE10" s="11"/>
      <c r="BF10" s="12">
        <f t="shared" si="11"/>
        <v>0</v>
      </c>
      <c r="BG10" s="13"/>
      <c r="BH10" s="11"/>
      <c r="BI10" s="24">
        <v>3371.2195121951218</v>
      </c>
      <c r="BJ10" s="38">
        <v>4163.333333333333</v>
      </c>
      <c r="BK10" s="10"/>
      <c r="BL10" s="11"/>
      <c r="BM10" s="11">
        <f t="shared" si="12"/>
        <v>850</v>
      </c>
      <c r="BN10" s="11">
        <f t="shared" si="12"/>
        <v>77</v>
      </c>
      <c r="BO10" s="11"/>
      <c r="BP10" s="12">
        <f t="shared" si="13"/>
        <v>0</v>
      </c>
      <c r="BQ10" s="11"/>
      <c r="BR10" s="12" t="e">
        <f t="shared" si="14"/>
        <v>#DIV/0!</v>
      </c>
      <c r="BS10" s="13"/>
      <c r="BT10" s="11"/>
      <c r="BU10" s="24">
        <v>3310.9302325581393</v>
      </c>
      <c r="BV10" s="38">
        <v>3722.8571428571427</v>
      </c>
      <c r="BW10" s="10"/>
      <c r="BX10" s="11"/>
      <c r="BY10" s="11">
        <f t="shared" si="15"/>
        <v>767</v>
      </c>
      <c r="BZ10" s="11">
        <f t="shared" si="15"/>
        <v>69</v>
      </c>
      <c r="CA10" s="11"/>
      <c r="CB10" s="12">
        <f t="shared" si="16"/>
        <v>0</v>
      </c>
      <c r="CC10" s="11"/>
      <c r="CD10" s="12" t="e">
        <f t="shared" si="17"/>
        <v>#DIV/0!</v>
      </c>
      <c r="CE10" s="13"/>
      <c r="CF10" s="11"/>
      <c r="CG10" s="24">
        <v>3379.4594594594596</v>
      </c>
      <c r="CH10" s="38">
        <v>3894</v>
      </c>
      <c r="CI10" s="10"/>
      <c r="CJ10" s="11">
        <v>1</v>
      </c>
      <c r="CK10" s="11">
        <f t="shared" si="18"/>
        <v>200</v>
      </c>
      <c r="CL10" s="11">
        <f t="shared" si="18"/>
        <v>17</v>
      </c>
      <c r="CM10" s="11"/>
      <c r="CN10" s="12">
        <f t="shared" si="19"/>
        <v>0</v>
      </c>
      <c r="CO10" s="11"/>
      <c r="CP10" s="12" t="e">
        <f t="shared" si="20"/>
        <v>#DIV/0!</v>
      </c>
      <c r="CQ10" s="13"/>
      <c r="CR10" s="11"/>
      <c r="CS10" s="24">
        <v>3204</v>
      </c>
      <c r="CT10" s="38">
        <v>3760</v>
      </c>
      <c r="CU10" s="10">
        <v>1</v>
      </c>
      <c r="CV10" s="11"/>
      <c r="CW10" s="11">
        <f t="shared" si="21"/>
        <v>766</v>
      </c>
      <c r="CX10" s="11">
        <f t="shared" si="21"/>
        <v>70</v>
      </c>
      <c r="CY10" s="11"/>
      <c r="CZ10" s="12">
        <f t="shared" si="22"/>
        <v>0</v>
      </c>
      <c r="DA10" s="11"/>
      <c r="DB10" s="12" t="e">
        <f t="shared" si="23"/>
        <v>#DIV/0!</v>
      </c>
      <c r="DC10" s="13"/>
      <c r="DD10" s="11"/>
      <c r="DE10" s="24">
        <v>3295.4054054054054</v>
      </c>
      <c r="DF10" s="38">
        <v>4045.3333333333335</v>
      </c>
      <c r="DG10" s="10"/>
      <c r="DH10" s="11"/>
      <c r="DI10" s="11">
        <f t="shared" si="24"/>
        <v>768</v>
      </c>
      <c r="DJ10" s="11">
        <f t="shared" si="24"/>
        <v>70</v>
      </c>
      <c r="DK10" s="11"/>
      <c r="DL10" s="12">
        <f t="shared" si="25"/>
        <v>0</v>
      </c>
      <c r="DM10" s="11"/>
      <c r="DN10" s="12" t="e">
        <f t="shared" si="26"/>
        <v>#DIV/0!</v>
      </c>
      <c r="DO10" s="13"/>
      <c r="DP10" s="11"/>
      <c r="DQ10" s="24">
        <v>3291.4285714285716</v>
      </c>
      <c r="DR10" s="38">
        <v>3842.3076923076924</v>
      </c>
      <c r="DS10" s="10"/>
      <c r="DT10" s="11">
        <v>1</v>
      </c>
      <c r="DU10" s="11">
        <f t="shared" si="27"/>
        <v>868</v>
      </c>
      <c r="DV10" s="11">
        <f t="shared" si="27"/>
        <v>78</v>
      </c>
      <c r="DW10" s="11"/>
      <c r="DX10" s="12">
        <f t="shared" si="28"/>
        <v>0</v>
      </c>
      <c r="DY10" s="11"/>
      <c r="DZ10" s="12" t="e">
        <f t="shared" si="29"/>
        <v>#DIV/0!</v>
      </c>
      <c r="EA10" s="13"/>
      <c r="EB10" s="11"/>
      <c r="EC10" s="24">
        <v>3262.9787234042551</v>
      </c>
      <c r="ED10" s="38">
        <v>3710</v>
      </c>
      <c r="EE10" s="10"/>
      <c r="EF10" s="11"/>
      <c r="EG10" s="11">
        <f t="shared" si="30"/>
        <v>869</v>
      </c>
      <c r="EH10" s="11">
        <f t="shared" si="30"/>
        <v>79</v>
      </c>
      <c r="EI10" s="11"/>
      <c r="EJ10" s="12">
        <f t="shared" si="31"/>
        <v>0</v>
      </c>
      <c r="EK10" s="11"/>
      <c r="EL10" s="12" t="e">
        <f t="shared" si="32"/>
        <v>#DIV/0!</v>
      </c>
      <c r="EM10" s="13"/>
      <c r="EN10" s="11"/>
      <c r="EO10" s="24">
        <v>3431.4583333333335</v>
      </c>
      <c r="EP10" s="38">
        <v>3842.2222222222222</v>
      </c>
      <c r="EQ10" s="10"/>
      <c r="ER10" s="11"/>
      <c r="ES10" s="11">
        <f t="shared" si="33"/>
        <v>220</v>
      </c>
      <c r="ET10" s="11">
        <f t="shared" si="33"/>
        <v>20</v>
      </c>
      <c r="EU10" s="11"/>
      <c r="EV10" s="12">
        <f t="shared" si="34"/>
        <v>0</v>
      </c>
      <c r="EW10" s="11"/>
      <c r="EX10" s="12" t="e">
        <f t="shared" si="35"/>
        <v>#DIV/0!</v>
      </c>
      <c r="EY10" s="13"/>
      <c r="EZ10" s="11"/>
      <c r="FA10" s="24">
        <v>3268.181818181818</v>
      </c>
      <c r="FB10" s="38">
        <v>3777.5</v>
      </c>
      <c r="FC10" s="10"/>
      <c r="FD10" s="11"/>
      <c r="FE10" s="11">
        <f t="shared" si="36"/>
        <v>869</v>
      </c>
      <c r="FF10" s="11">
        <f t="shared" si="36"/>
        <v>79</v>
      </c>
      <c r="FG10" s="11"/>
      <c r="FH10" s="12">
        <f t="shared" si="37"/>
        <v>0</v>
      </c>
      <c r="FI10" s="11"/>
      <c r="FJ10" s="12" t="e">
        <f t="shared" si="38"/>
        <v>#DIV/0!</v>
      </c>
      <c r="FK10" s="13"/>
      <c r="FL10" s="11"/>
      <c r="FM10" s="24">
        <v>3416.3829787234044</v>
      </c>
      <c r="FN10" s="38">
        <v>4030.7142857142858</v>
      </c>
      <c r="FO10" s="10"/>
      <c r="FP10" s="11"/>
      <c r="FQ10" s="11">
        <f t="shared" si="39"/>
        <v>913</v>
      </c>
      <c r="FR10" s="11">
        <f t="shared" si="39"/>
        <v>82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>
        <v>3213.6</v>
      </c>
      <c r="FZ10" s="38">
        <v>3817.2222222222222</v>
      </c>
      <c r="GA10" s="10"/>
      <c r="GB10" s="11"/>
      <c r="GC10" s="11">
        <f t="shared" si="42"/>
        <v>912</v>
      </c>
      <c r="GD10" s="11">
        <f t="shared" si="42"/>
        <v>82</v>
      </c>
      <c r="GE10" s="11"/>
      <c r="GF10" s="12">
        <f t="shared" si="43"/>
        <v>0</v>
      </c>
      <c r="GG10" s="11"/>
      <c r="GH10" s="12" t="e">
        <f t="shared" si="44"/>
        <v>#DIV/0!</v>
      </c>
      <c r="GI10" s="13"/>
      <c r="GJ10" s="11"/>
      <c r="GK10" s="24">
        <v>3342.7659574468084</v>
      </c>
      <c r="GL10" s="38">
        <v>3847.6470588235293</v>
      </c>
      <c r="GM10" s="10"/>
      <c r="GN10" s="11"/>
      <c r="GO10" s="11">
        <f t="shared" si="45"/>
        <v>200</v>
      </c>
      <c r="GP10" s="11">
        <f t="shared" si="45"/>
        <v>20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>
        <v>3303</v>
      </c>
      <c r="GX10" s="38">
        <v>3786</v>
      </c>
      <c r="GY10" s="10"/>
      <c r="GZ10" s="11"/>
      <c r="HA10" s="11">
        <f t="shared" si="48"/>
        <v>913</v>
      </c>
      <c r="HB10" s="11">
        <f t="shared" si="48"/>
        <v>82</v>
      </c>
      <c r="HC10" s="11">
        <v>1</v>
      </c>
      <c r="HD10" s="12">
        <f t="shared" si="49"/>
        <v>1.0952902519167579E-3</v>
      </c>
      <c r="HE10" s="11"/>
      <c r="HF10" s="12">
        <f t="shared" si="50"/>
        <v>0</v>
      </c>
      <c r="HG10" s="13"/>
      <c r="HH10" s="11"/>
      <c r="HI10" s="24">
        <v>3470.408163265306</v>
      </c>
      <c r="HJ10" s="38">
        <v>3966.875</v>
      </c>
      <c r="HK10" s="10">
        <f t="shared" si="51"/>
        <v>1</v>
      </c>
      <c r="HL10" s="11">
        <f t="shared" si="52"/>
        <v>4</v>
      </c>
      <c r="HM10" s="11">
        <f t="shared" si="53"/>
        <v>12494</v>
      </c>
      <c r="HN10" s="11">
        <f t="shared" si="0"/>
        <v>1123</v>
      </c>
      <c r="HO10" s="11">
        <f t="shared" si="54"/>
        <v>2</v>
      </c>
      <c r="HP10" s="95">
        <f t="shared" si="55"/>
        <v>1.6007683688170322E-4</v>
      </c>
      <c r="HQ10" s="15">
        <f t="shared" si="56"/>
        <v>0</v>
      </c>
      <c r="HR10" s="12">
        <f t="shared" si="63"/>
        <v>0</v>
      </c>
      <c r="HS10" s="16"/>
      <c r="HT10" s="17"/>
      <c r="HU10" s="16">
        <f t="shared" si="57"/>
        <v>0</v>
      </c>
      <c r="HV10" s="23">
        <v>3335.0076804915516</v>
      </c>
      <c r="HW10" s="22">
        <v>3874.3362831858408</v>
      </c>
      <c r="HX10" s="73">
        <f t="shared" si="64"/>
        <v>2.9594554601953242E-4</v>
      </c>
      <c r="HY10" s="73">
        <f t="shared" si="65"/>
        <v>0</v>
      </c>
      <c r="HZ10" s="73">
        <f t="shared" si="66"/>
        <v>0</v>
      </c>
      <c r="IA10" s="73">
        <f t="shared" si="67"/>
        <v>3.4036759700476512E-4</v>
      </c>
    </row>
    <row r="11" spans="1:244" x14ac:dyDescent="0.25">
      <c r="A11" s="374"/>
      <c r="B11" s="41">
        <f t="shared" si="58"/>
        <v>44947</v>
      </c>
      <c r="C11" s="10"/>
      <c r="D11" s="11"/>
      <c r="E11" s="11">
        <f>E10-C11</f>
        <v>850</v>
      </c>
      <c r="F11" s="11">
        <f>F10-D11</f>
        <v>75</v>
      </c>
      <c r="G11" s="11"/>
      <c r="H11" s="12">
        <f t="shared" si="1"/>
        <v>0</v>
      </c>
      <c r="I11" s="11"/>
      <c r="J11" s="12" t="e">
        <f t="shared" si="60"/>
        <v>#DIV/0!</v>
      </c>
      <c r="K11" s="13"/>
      <c r="L11" s="11"/>
      <c r="M11" s="24">
        <v>90.476190476190482</v>
      </c>
      <c r="N11" s="103">
        <v>100</v>
      </c>
      <c r="O11" s="10"/>
      <c r="P11" s="11"/>
      <c r="Q11" s="11">
        <f t="shared" si="2"/>
        <v>776</v>
      </c>
      <c r="R11" s="11">
        <f t="shared" si="2"/>
        <v>69</v>
      </c>
      <c r="S11" s="11"/>
      <c r="T11" s="12">
        <f t="shared" si="3"/>
        <v>0</v>
      </c>
      <c r="U11" s="11"/>
      <c r="V11" s="12" t="e">
        <f t="shared" si="61"/>
        <v>#DIV/0!</v>
      </c>
      <c r="W11" s="13"/>
      <c r="X11" s="11"/>
      <c r="Y11" s="24">
        <v>91.891891891891888</v>
      </c>
      <c r="Z11" s="103">
        <v>100</v>
      </c>
      <c r="AA11" s="10"/>
      <c r="AB11" s="11"/>
      <c r="AC11" s="11">
        <f t="shared" si="4"/>
        <v>200</v>
      </c>
      <c r="AD11" s="11">
        <f t="shared" si="4"/>
        <v>16</v>
      </c>
      <c r="AE11" s="11"/>
      <c r="AF11" s="12">
        <f t="shared" si="5"/>
        <v>0</v>
      </c>
      <c r="AG11" s="11"/>
      <c r="AH11" s="12" t="e">
        <f t="shared" si="62"/>
        <v>#DIV/0!</v>
      </c>
      <c r="AI11" s="13"/>
      <c r="AJ11" s="11"/>
      <c r="AK11" s="24">
        <v>76.470588235294116</v>
      </c>
      <c r="AL11" s="103">
        <v>100</v>
      </c>
      <c r="AM11" s="10"/>
      <c r="AN11" s="11"/>
      <c r="AO11" s="11">
        <f t="shared" si="6"/>
        <v>776</v>
      </c>
      <c r="AP11" s="11">
        <f t="shared" si="6"/>
        <v>69</v>
      </c>
      <c r="AQ11" s="11">
        <v>1</v>
      </c>
      <c r="AR11" s="12">
        <f t="shared" si="7"/>
        <v>1.288659793814433E-3</v>
      </c>
      <c r="AS11" s="11"/>
      <c r="AT11" s="12">
        <f t="shared" si="8"/>
        <v>0</v>
      </c>
      <c r="AU11" s="13"/>
      <c r="AV11" s="11"/>
      <c r="AW11" s="24">
        <v>94.444444444444443</v>
      </c>
      <c r="AX11" s="103">
        <v>100</v>
      </c>
      <c r="AY11" s="10"/>
      <c r="AZ11" s="11"/>
      <c r="BA11" s="11">
        <f t="shared" si="9"/>
        <v>777</v>
      </c>
      <c r="BB11" s="11">
        <f t="shared" si="9"/>
        <v>69</v>
      </c>
      <c r="BC11" s="11"/>
      <c r="BD11" s="12">
        <f t="shared" si="10"/>
        <v>0</v>
      </c>
      <c r="BE11" s="11"/>
      <c r="BF11" s="12" t="e">
        <f t="shared" si="11"/>
        <v>#DIV/0!</v>
      </c>
      <c r="BG11" s="13"/>
      <c r="BH11" s="11"/>
      <c r="BI11" s="24">
        <v>92.682926829268297</v>
      </c>
      <c r="BJ11" s="103">
        <v>100</v>
      </c>
      <c r="BK11" s="10"/>
      <c r="BL11" s="11"/>
      <c r="BM11" s="11">
        <f t="shared" si="12"/>
        <v>850</v>
      </c>
      <c r="BN11" s="11">
        <f t="shared" si="12"/>
        <v>77</v>
      </c>
      <c r="BO11" s="11">
        <v>1</v>
      </c>
      <c r="BP11" s="12">
        <f t="shared" si="13"/>
        <v>1.176470588235294E-3</v>
      </c>
      <c r="BQ11" s="11"/>
      <c r="BR11" s="12">
        <f t="shared" si="14"/>
        <v>0</v>
      </c>
      <c r="BS11" s="13"/>
      <c r="BT11" s="11"/>
      <c r="BU11" s="24">
        <v>95.348837209302332</v>
      </c>
      <c r="BV11" s="103">
        <v>92.857142857142861</v>
      </c>
      <c r="BW11" s="10"/>
      <c r="BX11" s="11"/>
      <c r="BY11" s="11">
        <f t="shared" si="15"/>
        <v>767</v>
      </c>
      <c r="BZ11" s="11">
        <f t="shared" si="15"/>
        <v>69</v>
      </c>
      <c r="CA11" s="11">
        <v>2</v>
      </c>
      <c r="CB11" s="12">
        <f t="shared" si="16"/>
        <v>2.6075619295958278E-3</v>
      </c>
      <c r="CC11" s="11"/>
      <c r="CD11" s="12">
        <f t="shared" si="17"/>
        <v>0</v>
      </c>
      <c r="CE11" s="13"/>
      <c r="CF11" s="11"/>
      <c r="CG11" s="24">
        <v>86.486486486486484</v>
      </c>
      <c r="CH11" s="103">
        <v>100</v>
      </c>
      <c r="CI11" s="10"/>
      <c r="CJ11" s="11"/>
      <c r="CK11" s="11">
        <f t="shared" si="18"/>
        <v>200</v>
      </c>
      <c r="CL11" s="11">
        <f t="shared" si="18"/>
        <v>17</v>
      </c>
      <c r="CM11" s="11"/>
      <c r="CN11" s="12">
        <f t="shared" si="19"/>
        <v>0</v>
      </c>
      <c r="CO11" s="11"/>
      <c r="CP11" s="12" t="e">
        <f t="shared" si="20"/>
        <v>#DIV/0!</v>
      </c>
      <c r="CQ11" s="13"/>
      <c r="CR11" s="11"/>
      <c r="CS11" s="24">
        <v>100</v>
      </c>
      <c r="CT11" s="103">
        <v>100</v>
      </c>
      <c r="CU11" s="10"/>
      <c r="CV11" s="11"/>
      <c r="CW11" s="11">
        <f t="shared" si="21"/>
        <v>766</v>
      </c>
      <c r="CX11" s="11">
        <f t="shared" si="21"/>
        <v>70</v>
      </c>
      <c r="CY11" s="11">
        <v>1</v>
      </c>
      <c r="CZ11" s="12">
        <f t="shared" si="22"/>
        <v>1.3054830287206266E-3</v>
      </c>
      <c r="DA11" s="11"/>
      <c r="DB11" s="12">
        <f t="shared" si="23"/>
        <v>0</v>
      </c>
      <c r="DC11" s="13"/>
      <c r="DD11" s="11"/>
      <c r="DE11" s="24">
        <v>94.594594594594597</v>
      </c>
      <c r="DF11" s="103">
        <v>100</v>
      </c>
      <c r="DG11" s="10"/>
      <c r="DH11" s="11"/>
      <c r="DI11" s="11">
        <f t="shared" si="24"/>
        <v>768</v>
      </c>
      <c r="DJ11" s="11">
        <f t="shared" si="24"/>
        <v>70</v>
      </c>
      <c r="DK11" s="11"/>
      <c r="DL11" s="12">
        <f t="shared" si="25"/>
        <v>0</v>
      </c>
      <c r="DM11" s="11"/>
      <c r="DN11" s="12" t="e">
        <f t="shared" si="26"/>
        <v>#DIV/0!</v>
      </c>
      <c r="DO11" s="13"/>
      <c r="DP11" s="11"/>
      <c r="DQ11" s="24">
        <v>90.476190476190482</v>
      </c>
      <c r="DR11" s="103">
        <v>100</v>
      </c>
      <c r="DS11" s="10"/>
      <c r="DT11" s="11"/>
      <c r="DU11" s="11">
        <f t="shared" si="27"/>
        <v>868</v>
      </c>
      <c r="DV11" s="11">
        <f t="shared" si="27"/>
        <v>78</v>
      </c>
      <c r="DW11" s="11"/>
      <c r="DX11" s="12">
        <f t="shared" si="28"/>
        <v>0</v>
      </c>
      <c r="DY11" s="11"/>
      <c r="DZ11" s="12" t="e">
        <f t="shared" si="29"/>
        <v>#DIV/0!</v>
      </c>
      <c r="EA11" s="13"/>
      <c r="EB11" s="11"/>
      <c r="EC11" s="24">
        <v>89.361702127659569</v>
      </c>
      <c r="ED11" s="103">
        <v>100</v>
      </c>
      <c r="EE11" s="10"/>
      <c r="EF11" s="11"/>
      <c r="EG11" s="11">
        <f t="shared" si="30"/>
        <v>869</v>
      </c>
      <c r="EH11" s="11">
        <f t="shared" si="30"/>
        <v>79</v>
      </c>
      <c r="EI11" s="11">
        <v>1</v>
      </c>
      <c r="EJ11" s="12">
        <f t="shared" si="31"/>
        <v>1.1507479861910242E-3</v>
      </c>
      <c r="EK11" s="11"/>
      <c r="EL11" s="12">
        <f t="shared" si="32"/>
        <v>0</v>
      </c>
      <c r="EM11" s="13"/>
      <c r="EN11" s="11"/>
      <c r="EO11" s="24">
        <v>85.416666666666671</v>
      </c>
      <c r="EP11" s="103">
        <v>100</v>
      </c>
      <c r="EQ11" s="10"/>
      <c r="ER11" s="11">
        <v>1</v>
      </c>
      <c r="ES11" s="11">
        <f t="shared" si="33"/>
        <v>220</v>
      </c>
      <c r="ET11" s="11">
        <f t="shared" si="33"/>
        <v>19</v>
      </c>
      <c r="EU11" s="11"/>
      <c r="EV11" s="12">
        <f t="shared" si="34"/>
        <v>0</v>
      </c>
      <c r="EW11" s="11"/>
      <c r="EX11" s="12" t="e">
        <f t="shared" si="35"/>
        <v>#DIV/0!</v>
      </c>
      <c r="EY11" s="13"/>
      <c r="EZ11" s="11"/>
      <c r="FA11" s="24">
        <v>81.818181818181813</v>
      </c>
      <c r="FB11" s="103">
        <v>100</v>
      </c>
      <c r="FC11" s="10"/>
      <c r="FD11" s="11"/>
      <c r="FE11" s="11">
        <f t="shared" si="36"/>
        <v>869</v>
      </c>
      <c r="FF11" s="11">
        <f t="shared" si="36"/>
        <v>79</v>
      </c>
      <c r="FG11" s="11"/>
      <c r="FH11" s="12">
        <f t="shared" si="37"/>
        <v>0</v>
      </c>
      <c r="FI11" s="11"/>
      <c r="FJ11" s="12" t="e">
        <f t="shared" si="38"/>
        <v>#DIV/0!</v>
      </c>
      <c r="FK11" s="13"/>
      <c r="FL11" s="11"/>
      <c r="FM11" s="24">
        <v>89.361702127659569</v>
      </c>
      <c r="FN11" s="103">
        <v>92.857142857142861</v>
      </c>
      <c r="FO11" s="10"/>
      <c r="FP11" s="11"/>
      <c r="FQ11" s="11">
        <f t="shared" si="39"/>
        <v>913</v>
      </c>
      <c r="FR11" s="11">
        <f t="shared" si="39"/>
        <v>82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>
        <v>90</v>
      </c>
      <c r="FZ11" s="103">
        <v>100</v>
      </c>
      <c r="GA11" s="10"/>
      <c r="GB11" s="11"/>
      <c r="GC11" s="11">
        <f t="shared" si="42"/>
        <v>912</v>
      </c>
      <c r="GD11" s="11">
        <f t="shared" si="42"/>
        <v>82</v>
      </c>
      <c r="GE11" s="11"/>
      <c r="GF11" s="12">
        <f t="shared" si="43"/>
        <v>0</v>
      </c>
      <c r="GG11" s="11"/>
      <c r="GH11" s="12" t="e">
        <f t="shared" si="44"/>
        <v>#DIV/0!</v>
      </c>
      <c r="GI11" s="13"/>
      <c r="GJ11" s="11"/>
      <c r="GK11" s="24">
        <v>74.468085106382972</v>
      </c>
      <c r="GL11" s="103">
        <v>100</v>
      </c>
      <c r="GM11" s="10"/>
      <c r="GN11" s="11"/>
      <c r="GO11" s="11">
        <f t="shared" si="45"/>
        <v>200</v>
      </c>
      <c r="GP11" s="11">
        <f t="shared" si="45"/>
        <v>20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>
        <v>90</v>
      </c>
      <c r="GX11" s="103">
        <v>100</v>
      </c>
      <c r="GY11" s="10"/>
      <c r="GZ11" s="11"/>
      <c r="HA11" s="11">
        <f t="shared" si="48"/>
        <v>913</v>
      </c>
      <c r="HB11" s="11">
        <f t="shared" si="48"/>
        <v>82</v>
      </c>
      <c r="HC11" s="11">
        <v>2</v>
      </c>
      <c r="HD11" s="12">
        <f t="shared" si="49"/>
        <v>2.1905805038335158E-3</v>
      </c>
      <c r="HE11" s="11"/>
      <c r="HF11" s="12">
        <f t="shared" si="50"/>
        <v>0</v>
      </c>
      <c r="HG11" s="13"/>
      <c r="HH11" s="11"/>
      <c r="HI11" s="24">
        <v>73.469387755102048</v>
      </c>
      <c r="HJ11" s="103">
        <v>87.5</v>
      </c>
      <c r="HK11" s="10">
        <f t="shared" si="51"/>
        <v>0</v>
      </c>
      <c r="HL11" s="11">
        <f t="shared" si="52"/>
        <v>1</v>
      </c>
      <c r="HM11" s="11">
        <f t="shared" si="53"/>
        <v>12494</v>
      </c>
      <c r="HN11" s="11">
        <f t="shared" si="0"/>
        <v>1122</v>
      </c>
      <c r="HO11" s="11">
        <f t="shared" si="54"/>
        <v>8</v>
      </c>
      <c r="HP11" s="95">
        <f t="shared" si="55"/>
        <v>6.4030734752681289E-4</v>
      </c>
      <c r="HQ11" s="15">
        <f t="shared" si="56"/>
        <v>0</v>
      </c>
      <c r="HR11" s="12">
        <f t="shared" si="63"/>
        <v>0</v>
      </c>
      <c r="HS11" s="16"/>
      <c r="HT11" s="17"/>
      <c r="HU11" s="16">
        <f t="shared" si="57"/>
        <v>0</v>
      </c>
      <c r="HV11" s="23">
        <v>85.099846390168977</v>
      </c>
      <c r="HW11" s="22">
        <v>94.247787610619469</v>
      </c>
      <c r="HX11" s="73">
        <f t="shared" si="64"/>
        <v>2.9594554601953242E-4</v>
      </c>
      <c r="HY11" s="73">
        <f t="shared" si="65"/>
        <v>1.1936735302894659E-3</v>
      </c>
      <c r="HZ11" s="73">
        <f t="shared" si="66"/>
        <v>3.5385704175513094E-4</v>
      </c>
      <c r="IA11" s="73">
        <f t="shared" si="67"/>
        <v>6.8073519400953025E-4</v>
      </c>
      <c r="IF11" s="85">
        <f>IF12/IF13</f>
        <v>0</v>
      </c>
      <c r="IG11" s="85">
        <f>IG12/IG13</f>
        <v>2.983293556085919E-4</v>
      </c>
      <c r="IH11" s="85">
        <f>IH12/IH13</f>
        <v>0</v>
      </c>
      <c r="II11" s="85">
        <f>II12/II13</f>
        <v>0</v>
      </c>
      <c r="IJ11" s="88" t="s">
        <v>90</v>
      </c>
    </row>
    <row r="12" spans="1:244" ht="19.5" thickBot="1" x14ac:dyDescent="0.3">
      <c r="A12" s="375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1.4065934065934158</v>
      </c>
      <c r="N12" s="67">
        <f>N10/N9*100-100</f>
        <v>-0.3809523809523796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3.6008316008315973</v>
      </c>
      <c r="Z12" s="67">
        <f>Z10/Z9*100-100</f>
        <v>-3.8161838161838233</v>
      </c>
      <c r="AA12" s="26">
        <f>SUM(AA5:AA11)</f>
        <v>0</v>
      </c>
      <c r="AB12" s="27">
        <f>SUM(AB5:AB11)</f>
        <v>2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-0.83257918552035903</v>
      </c>
      <c r="AL12" s="67">
        <f>AL10/AL9*100-100</f>
        <v>-4.6753246753246742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1</v>
      </c>
      <c r="AR12" s="28">
        <f>((AQ12+AS12)/7)/AO11</f>
        <v>1.8409425625920471E-4</v>
      </c>
      <c r="AS12" s="27">
        <f>SUM(AS5:AS11)</f>
        <v>0</v>
      </c>
      <c r="AT12" s="28">
        <f>(AS12/(AS12+AQ12))</f>
        <v>0</v>
      </c>
      <c r="AU12" s="27"/>
      <c r="AV12" s="27"/>
      <c r="AW12" s="29">
        <f>AW10/AW9*100-100</f>
        <v>2.5641025641025834</v>
      </c>
      <c r="AX12" s="67">
        <f>AX10/AX9*100-100</f>
        <v>4.1372912801484176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3</v>
      </c>
      <c r="BD12" s="28">
        <f>((BC12+BE12)/7)/BA11</f>
        <v>5.5157198014340865E-4</v>
      </c>
      <c r="BE12" s="27">
        <f>SUM(BE5:BE11)</f>
        <v>0</v>
      </c>
      <c r="BF12" s="28">
        <f>(BE12/(BE12+BC12))</f>
        <v>0</v>
      </c>
      <c r="BG12" s="27"/>
      <c r="BH12" s="27"/>
      <c r="BI12" s="29">
        <f>BI10/BI9*100-100</f>
        <v>3.7298311444652796</v>
      </c>
      <c r="BJ12" s="67">
        <f>BJ10/BJ9*100-100</f>
        <v>8.1385281385281303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1</v>
      </c>
      <c r="BP12" s="28">
        <f>((BO12+BQ12)/7)/BM11</f>
        <v>1.6806722689075628E-4</v>
      </c>
      <c r="BQ12" s="27">
        <f>SUM(BQ5:BQ11)</f>
        <v>0</v>
      </c>
      <c r="BR12" s="28">
        <f>(BQ12/(BQ12+BO12))</f>
        <v>0</v>
      </c>
      <c r="BS12" s="27"/>
      <c r="BT12" s="27"/>
      <c r="BU12" s="29">
        <f>BU10/BU9*100-100</f>
        <v>1.8747763864042923</v>
      </c>
      <c r="BV12" s="67">
        <f>BV10/BV9*100-100</f>
        <v>-3.3024118738404553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2</v>
      </c>
      <c r="CB12" s="28">
        <f>((CA12+CC12)/7)/BY11</f>
        <v>3.7250884708511827E-4</v>
      </c>
      <c r="CC12" s="27">
        <f>SUM(CC5:CC11)</f>
        <v>0</v>
      </c>
      <c r="CD12" s="28">
        <f>(CC12/(CC12+CA12))</f>
        <v>0</v>
      </c>
      <c r="CE12" s="27"/>
      <c r="CF12" s="27"/>
      <c r="CG12" s="29">
        <f>CG10/CG9*100-100</f>
        <v>3.9833679833679838</v>
      </c>
      <c r="CH12" s="67">
        <f>CH10/CH9*100-100</f>
        <v>1.1428571428571388</v>
      </c>
      <c r="CI12" s="26">
        <f>SUM(CI5:CI11)</f>
        <v>0</v>
      </c>
      <c r="CJ12" s="27">
        <f>SUM(CJ5:CJ11)</f>
        <v>1</v>
      </c>
      <c r="CK12" s="27"/>
      <c r="CL12" s="27"/>
      <c r="CM12" s="27">
        <f>SUM(CM5:CM11)</f>
        <v>0</v>
      </c>
      <c r="CN12" s="28">
        <f>((CM12+CO12)/7)/CK11</f>
        <v>0</v>
      </c>
      <c r="CO12" s="27">
        <f>SUM(CO5:CO11)</f>
        <v>0</v>
      </c>
      <c r="CP12" s="28" t="e">
        <f>(CO12/(CO12+CM12))</f>
        <v>#DIV/0!</v>
      </c>
      <c r="CQ12" s="27"/>
      <c r="CR12" s="27"/>
      <c r="CS12" s="29">
        <f>CS10/CS9*100-100</f>
        <v>-1.4153846153846246</v>
      </c>
      <c r="CT12" s="67">
        <f>CT10/CT9*100-100</f>
        <v>-2.3376623376623371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1</v>
      </c>
      <c r="CZ12" s="28">
        <f>((CY12+DA12)/7)/CW11</f>
        <v>1.8649757553151807E-4</v>
      </c>
      <c r="DA12" s="27">
        <f>SUM(DA5:DA11)</f>
        <v>0</v>
      </c>
      <c r="DB12" s="28">
        <f>(DA12/(DA12+CY12))</f>
        <v>0</v>
      </c>
      <c r="DC12" s="27"/>
      <c r="DD12" s="27"/>
      <c r="DE12" s="29">
        <f>DE10/DE9*100-100</f>
        <v>1.3970893970894025</v>
      </c>
      <c r="DF12" s="67">
        <f>DF10/DF9*100-100</f>
        <v>5.0735930735930737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>
        <f>((DK12+DM12)/7)/DI11</f>
        <v>0</v>
      </c>
      <c r="DM12" s="27">
        <f>SUM(DM5:DM11)</f>
        <v>0</v>
      </c>
      <c r="DN12" s="28" t="e">
        <f>(DM12/(DM12+DK12))</f>
        <v>#DIV/0!</v>
      </c>
      <c r="DO12" s="27"/>
      <c r="DP12" s="27"/>
      <c r="DQ12" s="29">
        <f>DQ10/DQ9*100-100</f>
        <v>1.2747252747252702</v>
      </c>
      <c r="DR12" s="67">
        <f>DR10/DR9*100-100</f>
        <v>-0.19980019980019392</v>
      </c>
      <c r="DS12" s="26">
        <f>SUM(DS5:DS11)</f>
        <v>0</v>
      </c>
      <c r="DT12" s="27">
        <f>SUM(DT5:DT11)</f>
        <v>1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>
        <f>EC10/EC9*100-100</f>
        <v>0.39934533551553386</v>
      </c>
      <c r="ED12" s="67">
        <f>ED10/ED9*100-100</f>
        <v>-3.6363636363636402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1.6439256945586058E-4</v>
      </c>
      <c r="EK12" s="27">
        <f>SUM(EK5:EK11)</f>
        <v>0</v>
      </c>
      <c r="EL12" s="28">
        <f>(EK12/(EK12+EI12))</f>
        <v>0</v>
      </c>
      <c r="EM12" s="27"/>
      <c r="EN12" s="27"/>
      <c r="EO12" s="29">
        <f>EO10/EO9*100-100</f>
        <v>5.5833333333333428</v>
      </c>
      <c r="EP12" s="67">
        <f>EP10/EP9*100-100</f>
        <v>-0.20202020202020776</v>
      </c>
      <c r="EQ12" s="26">
        <f>SUM(EQ5:EQ11)</f>
        <v>0</v>
      </c>
      <c r="ER12" s="27">
        <f>SUM(ER5:ER11)</f>
        <v>1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>
        <f>FA10/FA9*100-100</f>
        <v>0.55944055944054583</v>
      </c>
      <c r="FB12" s="67">
        <f>FB10/FB9*100-100</f>
        <v>-1.8831168831168839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>
        <f>FM10/FM9*100-100</f>
        <v>5.1194762684124555</v>
      </c>
      <c r="FN12" s="67">
        <f>FN10/FN9*100-100</f>
        <v>4.6938775510204209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>
        <f>FY10/FY9*100-100</f>
        <v>-1.1200000000000045</v>
      </c>
      <c r="FZ12" s="67">
        <f>FZ10/FZ9*100-100</f>
        <v>-0.85137085137084512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>
        <f>((GE12+GG12)/7)/GC11</f>
        <v>0</v>
      </c>
      <c r="GG12" s="27">
        <f>SUM(GG5:GG11)</f>
        <v>0</v>
      </c>
      <c r="GH12" s="28" t="e">
        <f>(GG12/(GG12+GE12))</f>
        <v>#DIV/0!</v>
      </c>
      <c r="GI12" s="27"/>
      <c r="GJ12" s="27"/>
      <c r="GK12" s="29">
        <f>GK10/GK9*100-100</f>
        <v>2.8543371522094816</v>
      </c>
      <c r="GL12" s="67">
        <f>GL10/GL9*100-100</f>
        <v>-6.1115355233013702E-2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>
        <f>GW10/GW9*100-100</f>
        <v>1.6307692307692321</v>
      </c>
      <c r="GX12" s="67">
        <f>GX10/GX9*100-100</f>
        <v>-1.6623376623376629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3</v>
      </c>
      <c r="HD12" s="28">
        <f>((HC12+HE12)/7)/HA11</f>
        <v>4.6941010796432478E-4</v>
      </c>
      <c r="HE12" s="27">
        <f>SUM(HE5:HE11)</f>
        <v>0</v>
      </c>
      <c r="HF12" s="28">
        <f>(HE12/(HE12+HC12))</f>
        <v>0</v>
      </c>
      <c r="HG12" s="27"/>
      <c r="HH12" s="27"/>
      <c r="HI12" s="29">
        <f>HI10/HI9*100-100</f>
        <v>6.7817896389324943</v>
      </c>
      <c r="HJ12" s="67">
        <f>HJ10/HJ9*100-100</f>
        <v>3.0357142857142776</v>
      </c>
      <c r="HK12" s="26">
        <f t="shared" si="51"/>
        <v>1</v>
      </c>
      <c r="HL12" s="27">
        <f t="shared" si="52"/>
        <v>5</v>
      </c>
      <c r="HM12" s="27">
        <f t="shared" si="53"/>
        <v>0</v>
      </c>
      <c r="HN12" s="27">
        <f t="shared" si="0"/>
        <v>0</v>
      </c>
      <c r="HO12" s="27">
        <f t="shared" si="54"/>
        <v>12</v>
      </c>
      <c r="HP12" s="96">
        <f>+((HO12)/HM11)/7</f>
        <v>1.3720871732717419E-4</v>
      </c>
      <c r="HQ12" s="62">
        <f t="shared" si="56"/>
        <v>0</v>
      </c>
      <c r="HR12" s="52">
        <f t="shared" si="63"/>
        <v>0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>
        <f>HV10/HV9*100-100</f>
        <v>2.6156209382015732</v>
      </c>
      <c r="HW12" s="67">
        <f>HW10/HW9*100-100</f>
        <v>0.6321112515802696</v>
      </c>
      <c r="HX12" s="73">
        <f>SUM(G12,I12,S12,U12,AE12,AG12,AQ12,AS12,BC12,BE12)/7/SUM(E11,Q11,AC11,AO11,BA11)</f>
        <v>1.6911174058258994E-4</v>
      </c>
      <c r="HY12" s="73">
        <f>SUM(BO12,BQ12,CA12,CC12,CM12,CO12,CY12,DA12,DK12,DM12)/7/SUM(BM11,BY11,CK11,CW11,DI11)</f>
        <v>1.7052479004135224E-4</v>
      </c>
      <c r="HZ12" s="73">
        <f>SUM(DW12,DY12,EI12,EK12,EU12,EW12,FG12,FI12)/7/SUM(DU11,EG11,ES11,FE11)</f>
        <v>5.0551005965018699E-5</v>
      </c>
      <c r="IA12" s="73">
        <f>SUM(FS12,FU12,GE12,GG12,GQ12,GS12,HC12,HE12)/7/SUM(FQ11,GC11,GO11,HA11)</f>
        <v>1.4587182728775647E-4</v>
      </c>
      <c r="IB12" s="84">
        <f>SUM(I12,U12,AG12,AS12,BE12/SUM(G12,I12,S12,U12,AE12,AG12,AQ12,AS12,BC12,BE12))</f>
        <v>0</v>
      </c>
      <c r="IC12" s="84">
        <f>SUM(BQ12,CC12,CO12,DA12,DM12/SUM(BO12,BQ12,CA12,CC12,CM12,CO12,CY12,DA12,DK12,DM12))</f>
        <v>0</v>
      </c>
      <c r="ID12" s="84">
        <f>SUM(DY12,EK12,EW12,FI12/SUM(DW12,DY12,EI12,EK12,EU12,EW12,FG12,FI12))</f>
        <v>0</v>
      </c>
      <c r="IE12" s="84">
        <f>SUM(FU12,GG12,GS12,HE12)/SUM(FS12,FU12,GE12,GG12,GQ12,GS12,HC12,HE12)</f>
        <v>0</v>
      </c>
      <c r="IF12" s="86">
        <f>SUM(C12,O12,AA12,AM12,AY12)</f>
        <v>0</v>
      </c>
      <c r="IG12" s="86">
        <f>SUM(BK12,BW12,CI12,CU12,DG12)</f>
        <v>1</v>
      </c>
      <c r="IH12" s="86">
        <f>SUM(DS12,EE12,EQ12,FC12)</f>
        <v>0</v>
      </c>
      <c r="II12" s="86">
        <f>SUM(FO12,GA12,GM12,GY12)</f>
        <v>0</v>
      </c>
      <c r="IJ12" s="88" t="s">
        <v>89</v>
      </c>
    </row>
    <row r="13" spans="1:244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HK12/HM5</f>
        <v>8.0032012805122043E-5</v>
      </c>
      <c r="HL13" s="66">
        <f>HL12/HN5</f>
        <v>4.4365572315882874E-3</v>
      </c>
      <c r="HM13" s="30"/>
      <c r="HN13" s="30"/>
      <c r="HO13" s="30"/>
      <c r="HP13" s="97"/>
      <c r="HQ13" s="30"/>
      <c r="HR13" s="30"/>
      <c r="HS13" s="30"/>
      <c r="HT13" s="51"/>
      <c r="HU13" s="30"/>
      <c r="HV13" s="30"/>
      <c r="HW13" s="31"/>
      <c r="HY13" s="72"/>
      <c r="HZ13" s="72"/>
      <c r="IA13" s="72"/>
      <c r="IF13" s="86">
        <f>SUM(E4,Q4,AC4,AO4,BA4)</f>
        <v>3379</v>
      </c>
      <c r="IG13" s="86">
        <f>SUM(BM4,BY4,CK4,CW4,DI4)</f>
        <v>3352</v>
      </c>
      <c r="IH13" s="86">
        <f>SUM(DU4,EG4,ES4,FE4)</f>
        <v>2826</v>
      </c>
      <c r="II13" s="86">
        <f>SUM(FQ4,GC4,GO4,HA4)</f>
        <v>2938</v>
      </c>
      <c r="IJ13" s="88" t="s">
        <v>84</v>
      </c>
    </row>
    <row r="14" spans="1:244" x14ac:dyDescent="0.25">
      <c r="A14" s="373">
        <v>26</v>
      </c>
      <c r="B14" s="68">
        <f>B11+1</f>
        <v>44948</v>
      </c>
      <c r="C14" s="33"/>
      <c r="D14" s="34"/>
      <c r="E14" s="34">
        <f>E11-C14</f>
        <v>850</v>
      </c>
      <c r="F14" s="34">
        <f>F11-D14</f>
        <v>75</v>
      </c>
      <c r="G14" s="34"/>
      <c r="H14" s="35">
        <f t="shared" ref="H14:H20" si="68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/>
      <c r="P14" s="34"/>
      <c r="Q14" s="34">
        <f>Q11-O14</f>
        <v>776</v>
      </c>
      <c r="R14" s="34">
        <f>R11-P14</f>
        <v>69</v>
      </c>
      <c r="S14" s="34"/>
      <c r="T14" s="35">
        <f t="shared" ref="T14:T20" si="69">((S14+U14)/Q14)</f>
        <v>0</v>
      </c>
      <c r="U14" s="34"/>
      <c r="V14" s="35" t="e">
        <f t="shared" ref="V14:V20" si="70">U14/(S14+U14)</f>
        <v>#DIV/0!</v>
      </c>
      <c r="W14" s="36"/>
      <c r="X14" s="34"/>
      <c r="Y14" s="34"/>
      <c r="Z14" s="37"/>
      <c r="AA14" s="33"/>
      <c r="AB14" s="34"/>
      <c r="AC14" s="34">
        <f>AC11-AA14</f>
        <v>200</v>
      </c>
      <c r="AD14" s="34">
        <f>AD11-AB14</f>
        <v>16</v>
      </c>
      <c r="AE14" s="34"/>
      <c r="AF14" s="35">
        <f t="shared" ref="AF14:AF20" si="71">((AE14+AG14)/AC14)</f>
        <v>0</v>
      </c>
      <c r="AG14" s="34"/>
      <c r="AH14" s="35" t="e">
        <f t="shared" ref="AH14:AH20" si="72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776</v>
      </c>
      <c r="AP14" s="34">
        <f>AP11-AN14</f>
        <v>69</v>
      </c>
      <c r="AQ14" s="34">
        <v>2</v>
      </c>
      <c r="AR14" s="35">
        <f t="shared" ref="AR14:AR20" si="73">((AQ14+AS14)/AO14)</f>
        <v>2.5773195876288659E-3</v>
      </c>
      <c r="AS14" s="34"/>
      <c r="AT14" s="35">
        <f t="shared" ref="AT14:AT20" si="74">AS14/(AQ14+AS14)</f>
        <v>0</v>
      </c>
      <c r="AU14" s="36"/>
      <c r="AV14" s="34"/>
      <c r="AW14" s="34"/>
      <c r="AX14" s="37"/>
      <c r="AY14" s="33"/>
      <c r="AZ14" s="34"/>
      <c r="BA14" s="34">
        <f>BA11-AY14</f>
        <v>777</v>
      </c>
      <c r="BB14" s="34">
        <f>BB11-AZ14</f>
        <v>69</v>
      </c>
      <c r="BC14" s="34"/>
      <c r="BD14" s="35">
        <f t="shared" ref="BD14:BD20" si="75">((BC14+BE14)/BA14)</f>
        <v>0</v>
      </c>
      <c r="BE14" s="34"/>
      <c r="BF14" s="35" t="e">
        <f t="shared" ref="BF14:BF20" si="76">BE14/(BC14+BE14)</f>
        <v>#DIV/0!</v>
      </c>
      <c r="BG14" s="36"/>
      <c r="BH14" s="34"/>
      <c r="BI14" s="34"/>
      <c r="BJ14" s="37"/>
      <c r="BK14" s="33">
        <v>1</v>
      </c>
      <c r="BL14" s="34"/>
      <c r="BM14" s="34">
        <f>BM11-BK14</f>
        <v>849</v>
      </c>
      <c r="BN14" s="34">
        <f>BN11-BL14</f>
        <v>77</v>
      </c>
      <c r="BO14" s="34"/>
      <c r="BP14" s="35">
        <f t="shared" ref="BP14:BP20" si="77">((BO14+BQ14)/BM14)</f>
        <v>0</v>
      </c>
      <c r="BQ14" s="34"/>
      <c r="BR14" s="35" t="e">
        <f t="shared" ref="BR14:BR20" si="78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767</v>
      </c>
      <c r="BZ14" s="34">
        <f>BZ11-BX14</f>
        <v>69</v>
      </c>
      <c r="CA14" s="34">
        <v>2</v>
      </c>
      <c r="CB14" s="35">
        <f t="shared" ref="CB14:CB20" si="79">((CA14+CC14)/BY14)</f>
        <v>2.6075619295958278E-3</v>
      </c>
      <c r="CC14" s="34"/>
      <c r="CD14" s="35">
        <f t="shared" ref="CD14:CD20" si="80">CC14/(CA14+CC14)</f>
        <v>0</v>
      </c>
      <c r="CE14" s="36"/>
      <c r="CF14" s="34"/>
      <c r="CG14" s="34"/>
      <c r="CH14" s="37"/>
      <c r="CI14" s="33"/>
      <c r="CJ14" s="34"/>
      <c r="CK14" s="34">
        <f>CK11-CI14</f>
        <v>200</v>
      </c>
      <c r="CL14" s="34">
        <f>CL11-CJ14</f>
        <v>17</v>
      </c>
      <c r="CM14" s="34"/>
      <c r="CN14" s="35">
        <f t="shared" ref="CN14:CN20" si="81">((CM14+CO14)/CK14)</f>
        <v>0</v>
      </c>
      <c r="CO14" s="34"/>
      <c r="CP14" s="35" t="e">
        <f t="shared" ref="CP14:CP20" si="82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766</v>
      </c>
      <c r="CX14" s="34">
        <f>CX11-CV14</f>
        <v>70</v>
      </c>
      <c r="CY14" s="34">
        <v>3</v>
      </c>
      <c r="CZ14" s="35">
        <f t="shared" ref="CZ14:CZ20" si="83">((CY14+DA14)/CW14)</f>
        <v>3.9164490861618795E-3</v>
      </c>
      <c r="DA14" s="34"/>
      <c r="DB14" s="35">
        <f t="shared" ref="DB14:DB20" si="84">DA14/(CY14+DA14)</f>
        <v>0</v>
      </c>
      <c r="DC14" s="36"/>
      <c r="DD14" s="34"/>
      <c r="DE14" s="34"/>
      <c r="DF14" s="37"/>
      <c r="DG14" s="33"/>
      <c r="DH14" s="34"/>
      <c r="DI14" s="34">
        <f>DI11-DG14</f>
        <v>768</v>
      </c>
      <c r="DJ14" s="34">
        <f>DJ11-DH14</f>
        <v>70</v>
      </c>
      <c r="DK14" s="34">
        <v>1</v>
      </c>
      <c r="DL14" s="35">
        <f t="shared" ref="DL14:DL20" si="85">((DK14+DM14)/DI14)</f>
        <v>1.3020833333333333E-3</v>
      </c>
      <c r="DM14" s="34"/>
      <c r="DN14" s="35">
        <f t="shared" ref="DN14:DN20" si="86">DM14/(DK14+DM14)</f>
        <v>0</v>
      </c>
      <c r="DO14" s="36"/>
      <c r="DP14" s="34"/>
      <c r="DQ14" s="34"/>
      <c r="DR14" s="37"/>
      <c r="DS14" s="33"/>
      <c r="DT14" s="34"/>
      <c r="DU14" s="34">
        <f>DU11-DS14</f>
        <v>868</v>
      </c>
      <c r="DV14" s="34">
        <f>DV11-DT14</f>
        <v>78</v>
      </c>
      <c r="DW14" s="34"/>
      <c r="DX14" s="35">
        <f t="shared" ref="DX14:DX20" si="87">((DW14+DY14)/DU14)</f>
        <v>0</v>
      </c>
      <c r="DY14" s="34"/>
      <c r="DZ14" s="35" t="e">
        <f t="shared" ref="DZ14:DZ20" si="88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869</v>
      </c>
      <c r="EH14" s="34">
        <f>EH11-EF14</f>
        <v>79</v>
      </c>
      <c r="EI14" s="34"/>
      <c r="EJ14" s="35">
        <f t="shared" ref="EJ14:EJ20" si="89">((EI14+EK14)/EG14)</f>
        <v>0</v>
      </c>
      <c r="EK14" s="34"/>
      <c r="EL14" s="35" t="e">
        <f t="shared" ref="EL14:EL20" si="90">EK14/(EI14+EK14)</f>
        <v>#DIV/0!</v>
      </c>
      <c r="EM14" s="36"/>
      <c r="EN14" s="34"/>
      <c r="EO14" s="34"/>
      <c r="EP14" s="37"/>
      <c r="EQ14" s="33"/>
      <c r="ER14" s="34">
        <v>1</v>
      </c>
      <c r="ES14" s="34">
        <f>ES11-EQ14</f>
        <v>220</v>
      </c>
      <c r="ET14" s="34">
        <f>ET11-ER14</f>
        <v>18</v>
      </c>
      <c r="EU14" s="34"/>
      <c r="EV14" s="35">
        <f t="shared" ref="EV14:EV20" si="91">((EU14+EW14)/ES14)</f>
        <v>0</v>
      </c>
      <c r="EW14" s="34"/>
      <c r="EX14" s="35" t="e">
        <f t="shared" ref="EX14:EX20" si="92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869</v>
      </c>
      <c r="FF14" s="34">
        <f>FF11-FD14</f>
        <v>79</v>
      </c>
      <c r="FG14" s="34">
        <v>2</v>
      </c>
      <c r="FH14" s="35">
        <f t="shared" ref="FH14:FH20" si="93">((FG14+FI14)/FE14)</f>
        <v>2.3014959723820483E-3</v>
      </c>
      <c r="FI14" s="34"/>
      <c r="FJ14" s="35">
        <f t="shared" ref="FJ14:FJ20" si="94">FI14/(FG14+FI14)</f>
        <v>0</v>
      </c>
      <c r="FK14" s="36"/>
      <c r="FL14" s="34"/>
      <c r="FM14" s="34"/>
      <c r="FN14" s="37"/>
      <c r="FO14" s="33"/>
      <c r="FP14" s="34"/>
      <c r="FQ14" s="34">
        <f>FQ11-FO14</f>
        <v>913</v>
      </c>
      <c r="FR14" s="34">
        <f>FR11-FP14</f>
        <v>82</v>
      </c>
      <c r="FS14" s="34"/>
      <c r="FT14" s="35">
        <f t="shared" ref="FT14:FT20" si="95">((FS14+FU14)/FQ14)</f>
        <v>0</v>
      </c>
      <c r="FU14" s="34"/>
      <c r="FV14" s="35" t="e">
        <f t="shared" ref="FV14:FV20" si="96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912</v>
      </c>
      <c r="GD14" s="34">
        <f>GD11-GB14</f>
        <v>82</v>
      </c>
      <c r="GE14" s="34">
        <v>1</v>
      </c>
      <c r="GF14" s="35">
        <f t="shared" ref="GF14:GF20" si="97">((GE14+GG14)/GC14)</f>
        <v>1.0964912280701754E-3</v>
      </c>
      <c r="GG14" s="34"/>
      <c r="GH14" s="35">
        <f t="shared" ref="GH14:GH20" si="98">GG14/(GE14+GG14)</f>
        <v>0</v>
      </c>
      <c r="GI14" s="36"/>
      <c r="GJ14" s="34"/>
      <c r="GK14" s="34"/>
      <c r="GL14" s="37"/>
      <c r="GM14" s="33"/>
      <c r="GN14" s="34"/>
      <c r="GO14" s="34">
        <f>GO11-GM14</f>
        <v>200</v>
      </c>
      <c r="GP14" s="34">
        <f>GP11-GN14</f>
        <v>20</v>
      </c>
      <c r="GQ14" s="34"/>
      <c r="GR14" s="35">
        <f t="shared" ref="GR14:GR20" si="99">((GQ14+GS14)/GO14)</f>
        <v>0</v>
      </c>
      <c r="GS14" s="34"/>
      <c r="GT14" s="35" t="e">
        <f t="shared" ref="GT14:GT20" si="100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913</v>
      </c>
      <c r="HB14" s="34">
        <f>HB11-GZ14</f>
        <v>82</v>
      </c>
      <c r="HC14" s="34">
        <v>1</v>
      </c>
      <c r="HD14" s="35">
        <f t="shared" ref="HD14:HD20" si="101">((HC14+HE14)/HA14)</f>
        <v>1.0952902519167579E-3</v>
      </c>
      <c r="HE14" s="34"/>
      <c r="HF14" s="35">
        <f t="shared" ref="HF14:HF20" si="102">HE14/(HC14+HE14)</f>
        <v>0</v>
      </c>
      <c r="HG14" s="36"/>
      <c r="HH14" s="34"/>
      <c r="HI14" s="34"/>
      <c r="HJ14" s="37"/>
      <c r="HK14" s="33">
        <f t="shared" ref="HK14:HK21" si="103">+C14+O14+AA14+AM14+AY14+BK14+BW14+CI14+CU14+DG14+DS14+EE14+EQ14+FC14+FO14+GA14+GM14+GY14</f>
        <v>1</v>
      </c>
      <c r="HL14" s="34">
        <f t="shared" ref="HL14:HL21" si="104">+D14+P14+AB14+AN14+AZ14+BL14+BX14+CJ14+CV14+DH14+DT14+EF14+ER14+FD14+FP14+GB14+GN14+GZ14</f>
        <v>1</v>
      </c>
      <c r="HM14" s="34">
        <f t="shared" ref="HM14:HM21" si="105">+E14+Q14+AC14+AO14+BA14+BM14+BY14+CK14+CW14+DI14+DU14+EG14+ES14+FE14+FQ14+GC14+GO14+HA14</f>
        <v>12493</v>
      </c>
      <c r="HN14" s="34">
        <f t="shared" ref="HN14:HN21" si="106">+F14+R14+AD14+AP14+BB14+BN14+BZ14+CL14+CX14+DJ14+DV14+EH14+ET14+FF14+FR14+GD14+GP14+HB14</f>
        <v>1121</v>
      </c>
      <c r="HO14" s="34">
        <f t="shared" ref="HO14:HO21" si="107">+G14+S14+AE14+AQ14+BC14+BO14+CA14+CM14+CY14+DK14+DW14+EI14+EU14+FG14+FS14+GE14+GQ14+HC14+I14+U14+AG14+AS14+BE14+BQ14+CC14+CO14+DA14+DM14+DY14+EK14+EW14+FI14+FU14+GG14+GS14+HE14</f>
        <v>12</v>
      </c>
      <c r="HP14" s="94">
        <f t="shared" ref="HP14:HP20" si="108">+(HO14)/HM14</f>
        <v>9.6053790122468583E-4</v>
      </c>
      <c r="HQ14" s="48">
        <f t="shared" ref="HQ14:HQ21" si="109"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ref="HU14:HU20" si="110">+HT14/HO14*100</f>
        <v>0</v>
      </c>
      <c r="HV14" s="48"/>
      <c r="HW14" s="37"/>
      <c r="HX14" s="73">
        <f>SUM(G14,I14,S14,U14,AE14,AG14,AQ14,AS14,BC14,BE14)/SUM(E14,Q14,AC14,AO14,BA14)</f>
        <v>5.9189109203906483E-4</v>
      </c>
      <c r="HY14" s="73">
        <f>SUM(BO14,BQ14,CA14,CC14,CM14,CO14,CY14,DA14,DK14,DM14)/SUM(BM14,BY14,CK14,CW14,DI14)</f>
        <v>1.791044776119403E-3</v>
      </c>
      <c r="HZ14" s="73">
        <f>SUM(DW14,DY14,EI14,EK14,EU14,EW14,FG14,FI14)/SUM(DU14,EG14,ES14,FE14)</f>
        <v>7.0771408351026188E-4</v>
      </c>
      <c r="IA14" s="73">
        <f>SUM(FS14,FU14,GE14,GG14,GQ14,GS14,HC14,HE14)/SUM(FQ14,GC14,GO14,HA14)</f>
        <v>6.8073519400953025E-4</v>
      </c>
    </row>
    <row r="15" spans="1:244" x14ac:dyDescent="0.25">
      <c r="A15" s="374"/>
      <c r="B15" s="41">
        <f t="shared" ref="B15:B20" si="111">+B14+1</f>
        <v>44949</v>
      </c>
      <c r="C15" s="10"/>
      <c r="D15" s="11"/>
      <c r="E15" s="69">
        <f t="shared" ref="E15:F19" si="112">E14-C15</f>
        <v>850</v>
      </c>
      <c r="F15" s="69">
        <f t="shared" si="112"/>
        <v>75</v>
      </c>
      <c r="G15" s="11">
        <v>1</v>
      </c>
      <c r="H15" s="12">
        <f t="shared" si="68"/>
        <v>1.176470588235294E-3</v>
      </c>
      <c r="I15" s="11"/>
      <c r="J15" s="12">
        <f t="shared" ref="J15:J20" si="113">I15/(G15+I15)</f>
        <v>0</v>
      </c>
      <c r="K15" s="13"/>
      <c r="L15" s="11"/>
      <c r="M15" s="11"/>
      <c r="N15" s="14"/>
      <c r="O15" s="10"/>
      <c r="P15" s="11"/>
      <c r="Q15" s="69">
        <f t="shared" ref="Q15:Q20" si="114">Q14-O15</f>
        <v>776</v>
      </c>
      <c r="R15" s="69">
        <f t="shared" ref="R15:R20" si="115">R14-P15</f>
        <v>69</v>
      </c>
      <c r="S15" s="11">
        <v>2</v>
      </c>
      <c r="T15" s="12">
        <f t="shared" si="69"/>
        <v>2.5773195876288659E-3</v>
      </c>
      <c r="U15" s="11"/>
      <c r="V15" s="12">
        <f t="shared" si="70"/>
        <v>0</v>
      </c>
      <c r="W15" s="13"/>
      <c r="X15" s="11"/>
      <c r="Y15" s="11"/>
      <c r="Z15" s="14"/>
      <c r="AA15" s="10"/>
      <c r="AB15" s="11"/>
      <c r="AC15" s="69">
        <f t="shared" ref="AC15:AC20" si="116">AC14-AA15</f>
        <v>200</v>
      </c>
      <c r="AD15" s="69">
        <f t="shared" ref="AD15:AD20" si="117">AD14-AB15</f>
        <v>16</v>
      </c>
      <c r="AE15" s="11"/>
      <c r="AF15" s="12">
        <f t="shared" si="71"/>
        <v>0</v>
      </c>
      <c r="AG15" s="11"/>
      <c r="AH15" s="12" t="e">
        <f t="shared" si="72"/>
        <v>#DIV/0!</v>
      </c>
      <c r="AI15" s="13"/>
      <c r="AJ15" s="11"/>
      <c r="AK15" s="11"/>
      <c r="AL15" s="14"/>
      <c r="AM15" s="10"/>
      <c r="AN15" s="11"/>
      <c r="AO15" s="69">
        <f t="shared" ref="AO15:AO20" si="118">AO14-AM15</f>
        <v>776</v>
      </c>
      <c r="AP15" s="69">
        <f t="shared" ref="AP15:AP20" si="119">AP14-AN15</f>
        <v>69</v>
      </c>
      <c r="AQ15" s="11">
        <v>1</v>
      </c>
      <c r="AR15" s="12">
        <f t="shared" si="73"/>
        <v>1.288659793814433E-3</v>
      </c>
      <c r="AS15" s="11"/>
      <c r="AT15" s="12">
        <f t="shared" si="74"/>
        <v>0</v>
      </c>
      <c r="AU15" s="13"/>
      <c r="AV15" s="11"/>
      <c r="AW15" s="11"/>
      <c r="AX15" s="14"/>
      <c r="AY15" s="10"/>
      <c r="AZ15" s="11"/>
      <c r="BA15" s="69">
        <f t="shared" ref="BA15:BA20" si="120">BA14-AY15</f>
        <v>777</v>
      </c>
      <c r="BB15" s="69">
        <f t="shared" ref="BB15:BB20" si="121">BB14-AZ15</f>
        <v>69</v>
      </c>
      <c r="BC15" s="11">
        <v>2</v>
      </c>
      <c r="BD15" s="12">
        <f t="shared" si="75"/>
        <v>2.5740025740025739E-3</v>
      </c>
      <c r="BE15" s="11"/>
      <c r="BF15" s="12">
        <f t="shared" si="76"/>
        <v>0</v>
      </c>
      <c r="BG15" s="13"/>
      <c r="BH15" s="11"/>
      <c r="BI15" s="11"/>
      <c r="BJ15" s="14"/>
      <c r="BK15" s="10"/>
      <c r="BL15" s="11"/>
      <c r="BM15" s="69">
        <f t="shared" ref="BM15:BM20" si="122">BM14-BK15</f>
        <v>849</v>
      </c>
      <c r="BN15" s="69">
        <f t="shared" ref="BN15:BN20" si="123">BN14-BL15</f>
        <v>77</v>
      </c>
      <c r="BO15" s="11">
        <v>1</v>
      </c>
      <c r="BP15" s="12">
        <f t="shared" si="77"/>
        <v>1.1778563015312131E-3</v>
      </c>
      <c r="BQ15" s="11"/>
      <c r="BR15" s="12">
        <f t="shared" si="78"/>
        <v>0</v>
      </c>
      <c r="BS15" s="13"/>
      <c r="BT15" s="11"/>
      <c r="BU15" s="11"/>
      <c r="BV15" s="14"/>
      <c r="BW15" s="10"/>
      <c r="BX15" s="11"/>
      <c r="BY15" s="69">
        <f t="shared" ref="BY15:BY20" si="124">BY14-BW15</f>
        <v>767</v>
      </c>
      <c r="BZ15" s="69">
        <f t="shared" ref="BZ15:BZ20" si="125">BZ14-BX15</f>
        <v>69</v>
      </c>
      <c r="CA15" s="11">
        <v>2</v>
      </c>
      <c r="CB15" s="12">
        <f t="shared" si="79"/>
        <v>2.6075619295958278E-3</v>
      </c>
      <c r="CC15" s="11"/>
      <c r="CD15" s="12">
        <f t="shared" si="80"/>
        <v>0</v>
      </c>
      <c r="CE15" s="13"/>
      <c r="CF15" s="11"/>
      <c r="CG15" s="11"/>
      <c r="CH15" s="14"/>
      <c r="CI15" s="10"/>
      <c r="CJ15" s="11"/>
      <c r="CK15" s="69">
        <f t="shared" ref="CK15:CK20" si="126">CK14-CI15</f>
        <v>200</v>
      </c>
      <c r="CL15" s="69">
        <f t="shared" ref="CL15:CL20" si="127">CL14-CJ15</f>
        <v>17</v>
      </c>
      <c r="CM15" s="11"/>
      <c r="CN15" s="12">
        <f t="shared" si="81"/>
        <v>0</v>
      </c>
      <c r="CO15" s="11"/>
      <c r="CP15" s="12" t="e">
        <f t="shared" si="82"/>
        <v>#DIV/0!</v>
      </c>
      <c r="CQ15" s="13"/>
      <c r="CR15" s="11"/>
      <c r="CS15" s="11"/>
      <c r="CT15" s="14"/>
      <c r="CU15" s="10"/>
      <c r="CV15" s="11"/>
      <c r="CW15" s="69">
        <f t="shared" ref="CW15:CW20" si="128">CW14-CU15</f>
        <v>766</v>
      </c>
      <c r="CX15" s="69">
        <f t="shared" ref="CX15:CX20" si="129">CX14-CV15</f>
        <v>70</v>
      </c>
      <c r="CY15" s="11">
        <v>4</v>
      </c>
      <c r="CZ15" s="12">
        <f t="shared" si="83"/>
        <v>5.2219321148825066E-3</v>
      </c>
      <c r="DA15" s="11"/>
      <c r="DB15" s="12">
        <f t="shared" si="84"/>
        <v>0</v>
      </c>
      <c r="DC15" s="13"/>
      <c r="DD15" s="11"/>
      <c r="DE15" s="11"/>
      <c r="DF15" s="14"/>
      <c r="DG15" s="10"/>
      <c r="DH15" s="11"/>
      <c r="DI15" s="69">
        <f t="shared" ref="DI15:DI20" si="130">DI14-DG15</f>
        <v>768</v>
      </c>
      <c r="DJ15" s="69">
        <f t="shared" ref="DJ15:DJ20" si="131">DJ14-DH15</f>
        <v>70</v>
      </c>
      <c r="DK15" s="11">
        <v>1</v>
      </c>
      <c r="DL15" s="12">
        <f t="shared" si="85"/>
        <v>1.3020833333333333E-3</v>
      </c>
      <c r="DM15" s="11"/>
      <c r="DN15" s="12">
        <f t="shared" si="86"/>
        <v>0</v>
      </c>
      <c r="DO15" s="13"/>
      <c r="DP15" s="11"/>
      <c r="DQ15" s="11"/>
      <c r="DR15" s="14"/>
      <c r="DS15" s="10"/>
      <c r="DT15" s="11"/>
      <c r="DU15" s="69">
        <f t="shared" ref="DU15:DU20" si="132">DU14-DS15</f>
        <v>868</v>
      </c>
      <c r="DV15" s="69">
        <f t="shared" ref="DV15:DV20" si="133">DV14-DT15</f>
        <v>78</v>
      </c>
      <c r="DW15" s="11"/>
      <c r="DX15" s="12">
        <f t="shared" si="87"/>
        <v>0</v>
      </c>
      <c r="DY15" s="11"/>
      <c r="DZ15" s="12" t="e">
        <f t="shared" si="88"/>
        <v>#DIV/0!</v>
      </c>
      <c r="EA15" s="13"/>
      <c r="EB15" s="11"/>
      <c r="EC15" s="11"/>
      <c r="ED15" s="14"/>
      <c r="EE15" s="10"/>
      <c r="EF15" s="11"/>
      <c r="EG15" s="69">
        <f t="shared" ref="EG15:EG20" si="134">EG14-EE15</f>
        <v>869</v>
      </c>
      <c r="EH15" s="69">
        <f t="shared" ref="EH15:EH20" si="135">EH14-EF15</f>
        <v>79</v>
      </c>
      <c r="EI15" s="11">
        <v>1</v>
      </c>
      <c r="EJ15" s="12">
        <f t="shared" si="89"/>
        <v>1.1507479861910242E-3</v>
      </c>
      <c r="EK15" s="11"/>
      <c r="EL15" s="12">
        <f t="shared" si="90"/>
        <v>0</v>
      </c>
      <c r="EM15" s="13"/>
      <c r="EN15" s="11"/>
      <c r="EO15" s="11"/>
      <c r="EP15" s="14"/>
      <c r="EQ15" s="10"/>
      <c r="ER15" s="11"/>
      <c r="ES15" s="69">
        <f t="shared" ref="ES15:ES20" si="136">ES14-EQ15</f>
        <v>220</v>
      </c>
      <c r="ET15" s="69">
        <f t="shared" ref="ET15:ET20" si="137">ET14-ER15</f>
        <v>18</v>
      </c>
      <c r="EU15" s="11"/>
      <c r="EV15" s="12">
        <f t="shared" si="91"/>
        <v>0</v>
      </c>
      <c r="EW15" s="11"/>
      <c r="EX15" s="12" t="e">
        <f t="shared" si="92"/>
        <v>#DIV/0!</v>
      </c>
      <c r="EY15" s="13"/>
      <c r="EZ15" s="11"/>
      <c r="FA15" s="11"/>
      <c r="FB15" s="14"/>
      <c r="FC15" s="10"/>
      <c r="FD15" s="11"/>
      <c r="FE15" s="69">
        <f t="shared" ref="FE15:FE20" si="138">FE14-FC15</f>
        <v>869</v>
      </c>
      <c r="FF15" s="69">
        <f t="shared" ref="FF15:FF20" si="139">FF14-FD15</f>
        <v>79</v>
      </c>
      <c r="FG15" s="11">
        <v>2</v>
      </c>
      <c r="FH15" s="12">
        <f t="shared" si="93"/>
        <v>2.3014959723820483E-3</v>
      </c>
      <c r="FI15" s="11"/>
      <c r="FJ15" s="12">
        <f t="shared" si="94"/>
        <v>0</v>
      </c>
      <c r="FK15" s="13"/>
      <c r="FL15" s="11"/>
      <c r="FM15" s="11"/>
      <c r="FN15" s="14"/>
      <c r="FO15" s="10"/>
      <c r="FP15" s="11"/>
      <c r="FQ15" s="69">
        <f t="shared" ref="FQ15:FQ20" si="140">FQ14-FO15</f>
        <v>913</v>
      </c>
      <c r="FR15" s="69">
        <f t="shared" ref="FR15:FR20" si="141">FR14-FP15</f>
        <v>82</v>
      </c>
      <c r="FS15" s="11"/>
      <c r="FT15" s="12">
        <f t="shared" si="95"/>
        <v>0</v>
      </c>
      <c r="FU15" s="11"/>
      <c r="FV15" s="12" t="e">
        <f t="shared" si="96"/>
        <v>#DIV/0!</v>
      </c>
      <c r="FW15" s="13"/>
      <c r="FX15" s="11"/>
      <c r="FY15" s="11"/>
      <c r="FZ15" s="14"/>
      <c r="GA15" s="10"/>
      <c r="GB15" s="11"/>
      <c r="GC15" s="69">
        <f t="shared" ref="GC15:GC20" si="142">GC14-GA15</f>
        <v>912</v>
      </c>
      <c r="GD15" s="69">
        <f t="shared" ref="GD15:GD20" si="143">GD14-GB15</f>
        <v>82</v>
      </c>
      <c r="GE15" s="11">
        <v>1</v>
      </c>
      <c r="GF15" s="12">
        <f t="shared" si="97"/>
        <v>1.0964912280701754E-3</v>
      </c>
      <c r="GG15" s="11"/>
      <c r="GH15" s="12">
        <f t="shared" si="98"/>
        <v>0</v>
      </c>
      <c r="GI15" s="13"/>
      <c r="GJ15" s="11"/>
      <c r="GK15" s="11"/>
      <c r="GL15" s="14"/>
      <c r="GM15" s="10"/>
      <c r="GN15" s="11"/>
      <c r="GO15" s="69">
        <f t="shared" ref="GO15:GO20" si="144">GO14-GM15</f>
        <v>200</v>
      </c>
      <c r="GP15" s="69">
        <f t="shared" ref="GP15:GP20" si="145">GP14-GN15</f>
        <v>20</v>
      </c>
      <c r="GQ15" s="11"/>
      <c r="GR15" s="12">
        <f t="shared" si="99"/>
        <v>0</v>
      </c>
      <c r="GS15" s="11"/>
      <c r="GT15" s="12" t="e">
        <f t="shared" si="100"/>
        <v>#DIV/0!</v>
      </c>
      <c r="GU15" s="13"/>
      <c r="GV15" s="11"/>
      <c r="GW15" s="11"/>
      <c r="GX15" s="14"/>
      <c r="GY15" s="10"/>
      <c r="GZ15" s="11"/>
      <c r="HA15" s="69">
        <f t="shared" ref="HA15:HA20" si="146">HA14-GY15</f>
        <v>913</v>
      </c>
      <c r="HB15" s="69">
        <f t="shared" ref="HB15:HB20" si="147">HB14-GZ15</f>
        <v>82</v>
      </c>
      <c r="HC15" s="11">
        <v>3</v>
      </c>
      <c r="HD15" s="12">
        <f t="shared" si="101"/>
        <v>3.2858707557502738E-3</v>
      </c>
      <c r="HE15" s="11"/>
      <c r="HF15" s="12">
        <f t="shared" si="102"/>
        <v>0</v>
      </c>
      <c r="HG15" s="13"/>
      <c r="HH15" s="11"/>
      <c r="HI15" s="11"/>
      <c r="HJ15" s="14"/>
      <c r="HK15" s="10">
        <f t="shared" si="103"/>
        <v>0</v>
      </c>
      <c r="HL15" s="11">
        <f t="shared" si="104"/>
        <v>0</v>
      </c>
      <c r="HM15" s="11">
        <f t="shared" si="105"/>
        <v>12493</v>
      </c>
      <c r="HN15" s="11">
        <f t="shared" si="106"/>
        <v>1121</v>
      </c>
      <c r="HO15" s="11">
        <f t="shared" si="107"/>
        <v>21</v>
      </c>
      <c r="HP15" s="95">
        <f t="shared" si="108"/>
        <v>1.6809413271432001E-3</v>
      </c>
      <c r="HQ15" s="15">
        <f t="shared" si="109"/>
        <v>0</v>
      </c>
      <c r="HR15" s="12">
        <f t="shared" ref="HR15:HR21" si="148">+(HQ15/(HO15))</f>
        <v>0</v>
      </c>
      <c r="HS15" s="16"/>
      <c r="HT15" s="17"/>
      <c r="HU15" s="16">
        <f t="shared" si="110"/>
        <v>0</v>
      </c>
      <c r="HV15" s="15"/>
      <c r="HW15" s="14"/>
      <c r="HX15" s="73">
        <f t="shared" ref="HX15:HX20" si="149">SUM(G15,I15,S15,U15,AE15,AG15,AQ15,AS15,BC15,BE15)/SUM(E15,Q15,AC15,AO15,BA15)</f>
        <v>1.7756732761171944E-3</v>
      </c>
      <c r="HY15" s="73">
        <f t="shared" ref="HY15:HY20" si="150">SUM(BO15,BQ15,CA15,CC15,CM15,CO15,CY15,DA15,DK15,DM15)/SUM(BM15,BY15,CK15,CW15,DI15)</f>
        <v>2.3880597014925373E-3</v>
      </c>
      <c r="HZ15" s="73">
        <f t="shared" ref="HZ15:HZ20" si="151">SUM(DW15,DY15,EI15,EK15,EU15,EW15,FG15,FI15)/SUM(DU15,EG15,ES15,FE15)</f>
        <v>1.0615711252653928E-3</v>
      </c>
      <c r="IA15" s="73">
        <f t="shared" ref="IA15:IA20" si="152">SUM(FS15,FU15,GE15,GG15,GQ15,GS15,HC15,HE15)/SUM(FQ15,GC15,GO15,HA15)</f>
        <v>1.3614703880190605E-3</v>
      </c>
    </row>
    <row r="16" spans="1:244" x14ac:dyDescent="0.25">
      <c r="A16" s="374"/>
      <c r="B16" s="41">
        <f t="shared" si="111"/>
        <v>44950</v>
      </c>
      <c r="C16" s="10"/>
      <c r="D16" s="11"/>
      <c r="E16" s="69">
        <f t="shared" si="112"/>
        <v>850</v>
      </c>
      <c r="F16" s="69">
        <f t="shared" si="112"/>
        <v>75</v>
      </c>
      <c r="G16" s="11">
        <v>3</v>
      </c>
      <c r="H16" s="12">
        <f t="shared" si="68"/>
        <v>3.5294117647058825E-3</v>
      </c>
      <c r="I16" s="11"/>
      <c r="J16" s="12">
        <f t="shared" si="113"/>
        <v>0</v>
      </c>
      <c r="K16" s="13"/>
      <c r="L16" s="11"/>
      <c r="M16" s="11"/>
      <c r="N16" s="14"/>
      <c r="O16" s="10"/>
      <c r="P16" s="11"/>
      <c r="Q16" s="69">
        <f t="shared" si="114"/>
        <v>776</v>
      </c>
      <c r="R16" s="69">
        <f t="shared" si="115"/>
        <v>69</v>
      </c>
      <c r="S16" s="11">
        <v>5</v>
      </c>
      <c r="T16" s="12">
        <f t="shared" si="69"/>
        <v>6.4432989690721646E-3</v>
      </c>
      <c r="U16" s="11"/>
      <c r="V16" s="12">
        <f t="shared" si="70"/>
        <v>0</v>
      </c>
      <c r="W16" s="13"/>
      <c r="X16" s="11"/>
      <c r="Y16" s="11"/>
      <c r="Z16" s="14"/>
      <c r="AA16" s="10">
        <v>2</v>
      </c>
      <c r="AB16" s="11"/>
      <c r="AC16" s="69">
        <f t="shared" si="116"/>
        <v>198</v>
      </c>
      <c r="AD16" s="69">
        <f t="shared" si="117"/>
        <v>16</v>
      </c>
      <c r="AE16" s="11"/>
      <c r="AF16" s="12">
        <f t="shared" si="71"/>
        <v>0</v>
      </c>
      <c r="AG16" s="11"/>
      <c r="AH16" s="12" t="e">
        <f t="shared" si="72"/>
        <v>#DIV/0!</v>
      </c>
      <c r="AI16" s="13"/>
      <c r="AJ16" s="11"/>
      <c r="AK16" s="11"/>
      <c r="AL16" s="14"/>
      <c r="AM16" s="10"/>
      <c r="AN16" s="11"/>
      <c r="AO16" s="69">
        <f t="shared" si="118"/>
        <v>776</v>
      </c>
      <c r="AP16" s="69">
        <f t="shared" si="119"/>
        <v>69</v>
      </c>
      <c r="AQ16" s="11">
        <v>2</v>
      </c>
      <c r="AR16" s="12">
        <f t="shared" si="73"/>
        <v>2.5773195876288659E-3</v>
      </c>
      <c r="AS16" s="11"/>
      <c r="AT16" s="12">
        <f t="shared" si="74"/>
        <v>0</v>
      </c>
      <c r="AU16" s="13"/>
      <c r="AV16" s="11"/>
      <c r="AW16" s="11"/>
      <c r="AX16" s="14"/>
      <c r="AY16" s="10"/>
      <c r="AZ16" s="11"/>
      <c r="BA16" s="69">
        <f t="shared" si="120"/>
        <v>777</v>
      </c>
      <c r="BB16" s="69">
        <f t="shared" si="121"/>
        <v>69</v>
      </c>
      <c r="BC16" s="11">
        <v>3</v>
      </c>
      <c r="BD16" s="12">
        <f t="shared" si="75"/>
        <v>3.8610038610038611E-3</v>
      </c>
      <c r="BE16" s="11"/>
      <c r="BF16" s="12">
        <f t="shared" si="76"/>
        <v>0</v>
      </c>
      <c r="BG16" s="13"/>
      <c r="BH16" s="11"/>
      <c r="BI16" s="11"/>
      <c r="BJ16" s="14"/>
      <c r="BK16" s="10"/>
      <c r="BL16" s="11"/>
      <c r="BM16" s="69">
        <f t="shared" si="122"/>
        <v>849</v>
      </c>
      <c r="BN16" s="69">
        <f t="shared" si="123"/>
        <v>77</v>
      </c>
      <c r="BO16" s="11">
        <v>5</v>
      </c>
      <c r="BP16" s="12">
        <f t="shared" si="77"/>
        <v>5.8892815076560662E-3</v>
      </c>
      <c r="BQ16" s="11"/>
      <c r="BR16" s="12">
        <f t="shared" si="78"/>
        <v>0</v>
      </c>
      <c r="BS16" s="13"/>
      <c r="BT16" s="11"/>
      <c r="BU16" s="11"/>
      <c r="BV16" s="14"/>
      <c r="BW16" s="10"/>
      <c r="BX16" s="11"/>
      <c r="BY16" s="69">
        <f t="shared" si="124"/>
        <v>767</v>
      </c>
      <c r="BZ16" s="69">
        <f t="shared" si="125"/>
        <v>69</v>
      </c>
      <c r="CA16" s="11">
        <v>4</v>
      </c>
      <c r="CB16" s="12">
        <f t="shared" si="79"/>
        <v>5.2151238591916557E-3</v>
      </c>
      <c r="CC16" s="11"/>
      <c r="CD16" s="12">
        <f t="shared" si="80"/>
        <v>0</v>
      </c>
      <c r="CE16" s="13"/>
      <c r="CF16" s="11"/>
      <c r="CG16" s="11"/>
      <c r="CH16" s="14"/>
      <c r="CI16" s="10">
        <v>1</v>
      </c>
      <c r="CJ16" s="11"/>
      <c r="CK16" s="69">
        <f t="shared" si="126"/>
        <v>199</v>
      </c>
      <c r="CL16" s="69">
        <f t="shared" si="127"/>
        <v>17</v>
      </c>
      <c r="CM16" s="11"/>
      <c r="CN16" s="12">
        <f t="shared" si="81"/>
        <v>0</v>
      </c>
      <c r="CO16" s="11"/>
      <c r="CP16" s="12" t="e">
        <f t="shared" si="82"/>
        <v>#DIV/0!</v>
      </c>
      <c r="CQ16" s="13"/>
      <c r="CR16" s="11"/>
      <c r="CS16" s="11"/>
      <c r="CT16" s="14"/>
      <c r="CU16" s="10"/>
      <c r="CV16" s="11"/>
      <c r="CW16" s="69">
        <f t="shared" si="128"/>
        <v>766</v>
      </c>
      <c r="CX16" s="69">
        <f t="shared" si="129"/>
        <v>70</v>
      </c>
      <c r="CY16" s="11">
        <v>2</v>
      </c>
      <c r="CZ16" s="12">
        <f t="shared" si="83"/>
        <v>2.6109660574412533E-3</v>
      </c>
      <c r="DA16" s="11"/>
      <c r="DB16" s="12">
        <f t="shared" si="84"/>
        <v>0</v>
      </c>
      <c r="DC16" s="13"/>
      <c r="DD16" s="11"/>
      <c r="DE16" s="11"/>
      <c r="DF16" s="14"/>
      <c r="DG16" s="10"/>
      <c r="DH16" s="11"/>
      <c r="DI16" s="69">
        <f t="shared" si="130"/>
        <v>768</v>
      </c>
      <c r="DJ16" s="69">
        <f t="shared" si="131"/>
        <v>70</v>
      </c>
      <c r="DK16" s="11">
        <v>1</v>
      </c>
      <c r="DL16" s="12">
        <f t="shared" si="85"/>
        <v>1.3020833333333333E-3</v>
      </c>
      <c r="DM16" s="11"/>
      <c r="DN16" s="12">
        <f t="shared" si="86"/>
        <v>0</v>
      </c>
      <c r="DO16" s="13"/>
      <c r="DP16" s="11"/>
      <c r="DQ16" s="11"/>
      <c r="DR16" s="14"/>
      <c r="DS16" s="10"/>
      <c r="DT16" s="11"/>
      <c r="DU16" s="69">
        <f t="shared" si="132"/>
        <v>868</v>
      </c>
      <c r="DV16" s="69">
        <f t="shared" si="133"/>
        <v>78</v>
      </c>
      <c r="DW16" s="11">
        <v>3</v>
      </c>
      <c r="DX16" s="12">
        <f t="shared" si="87"/>
        <v>3.4562211981566822E-3</v>
      </c>
      <c r="DY16" s="11"/>
      <c r="DZ16" s="12">
        <f t="shared" si="88"/>
        <v>0</v>
      </c>
      <c r="EA16" s="13"/>
      <c r="EB16" s="11"/>
      <c r="EC16" s="11"/>
      <c r="ED16" s="14"/>
      <c r="EE16" s="10"/>
      <c r="EF16" s="11"/>
      <c r="EG16" s="69">
        <f t="shared" si="134"/>
        <v>869</v>
      </c>
      <c r="EH16" s="69">
        <f t="shared" si="135"/>
        <v>79</v>
      </c>
      <c r="EI16" s="11"/>
      <c r="EJ16" s="12">
        <f t="shared" si="89"/>
        <v>0</v>
      </c>
      <c r="EK16" s="11"/>
      <c r="EL16" s="12" t="e">
        <f t="shared" si="90"/>
        <v>#DIV/0!</v>
      </c>
      <c r="EM16" s="13"/>
      <c r="EN16" s="11"/>
      <c r="EO16" s="11"/>
      <c r="EP16" s="14"/>
      <c r="EQ16" s="10"/>
      <c r="ER16" s="11"/>
      <c r="ES16" s="69">
        <f t="shared" si="136"/>
        <v>220</v>
      </c>
      <c r="ET16" s="69">
        <f t="shared" si="137"/>
        <v>18</v>
      </c>
      <c r="EU16" s="11"/>
      <c r="EV16" s="12">
        <f t="shared" si="91"/>
        <v>0</v>
      </c>
      <c r="EW16" s="11"/>
      <c r="EX16" s="12" t="e">
        <f t="shared" si="92"/>
        <v>#DIV/0!</v>
      </c>
      <c r="EY16" s="13"/>
      <c r="EZ16" s="11"/>
      <c r="FA16" s="11"/>
      <c r="FB16" s="14"/>
      <c r="FC16" s="10"/>
      <c r="FD16" s="11"/>
      <c r="FE16" s="69">
        <f t="shared" si="138"/>
        <v>869</v>
      </c>
      <c r="FF16" s="69">
        <f t="shared" si="139"/>
        <v>79</v>
      </c>
      <c r="FG16" s="11">
        <v>2</v>
      </c>
      <c r="FH16" s="12">
        <f t="shared" si="93"/>
        <v>2.3014959723820483E-3</v>
      </c>
      <c r="FI16" s="11"/>
      <c r="FJ16" s="12">
        <f t="shared" si="94"/>
        <v>0</v>
      </c>
      <c r="FK16" s="13"/>
      <c r="FL16" s="11"/>
      <c r="FM16" s="11"/>
      <c r="FN16" s="14"/>
      <c r="FO16" s="10"/>
      <c r="FP16" s="11"/>
      <c r="FQ16" s="69">
        <f t="shared" si="140"/>
        <v>913</v>
      </c>
      <c r="FR16" s="69">
        <f t="shared" si="141"/>
        <v>82</v>
      </c>
      <c r="FS16" s="11">
        <v>3</v>
      </c>
      <c r="FT16" s="12">
        <f t="shared" si="95"/>
        <v>3.2858707557502738E-3</v>
      </c>
      <c r="FU16" s="11"/>
      <c r="FV16" s="12">
        <f t="shared" si="96"/>
        <v>0</v>
      </c>
      <c r="FW16" s="13"/>
      <c r="FX16" s="11"/>
      <c r="FY16" s="11"/>
      <c r="FZ16" s="14"/>
      <c r="GA16" s="10"/>
      <c r="GB16" s="11"/>
      <c r="GC16" s="69">
        <f t="shared" si="142"/>
        <v>912</v>
      </c>
      <c r="GD16" s="69">
        <f t="shared" si="143"/>
        <v>82</v>
      </c>
      <c r="GE16" s="11">
        <v>4</v>
      </c>
      <c r="GF16" s="12">
        <f t="shared" si="97"/>
        <v>4.3859649122807015E-3</v>
      </c>
      <c r="GG16" s="11"/>
      <c r="GH16" s="12">
        <f t="shared" si="98"/>
        <v>0</v>
      </c>
      <c r="GI16" s="13"/>
      <c r="GJ16" s="11"/>
      <c r="GK16" s="11"/>
      <c r="GL16" s="14"/>
      <c r="GM16" s="10"/>
      <c r="GN16" s="11"/>
      <c r="GO16" s="69">
        <f t="shared" si="144"/>
        <v>200</v>
      </c>
      <c r="GP16" s="69">
        <f t="shared" si="145"/>
        <v>20</v>
      </c>
      <c r="GQ16" s="11"/>
      <c r="GR16" s="12">
        <f t="shared" si="99"/>
        <v>0</v>
      </c>
      <c r="GS16" s="11"/>
      <c r="GT16" s="12" t="e">
        <f t="shared" si="100"/>
        <v>#DIV/0!</v>
      </c>
      <c r="GU16" s="13"/>
      <c r="GV16" s="11"/>
      <c r="GW16" s="11"/>
      <c r="GX16" s="14"/>
      <c r="GY16" s="10"/>
      <c r="GZ16" s="11"/>
      <c r="HA16" s="69">
        <f t="shared" si="146"/>
        <v>913</v>
      </c>
      <c r="HB16" s="69">
        <f t="shared" si="147"/>
        <v>82</v>
      </c>
      <c r="HC16" s="11">
        <v>5</v>
      </c>
      <c r="HD16" s="12">
        <f t="shared" si="101"/>
        <v>5.4764512595837896E-3</v>
      </c>
      <c r="HE16" s="11"/>
      <c r="HF16" s="12">
        <f t="shared" si="102"/>
        <v>0</v>
      </c>
      <c r="HG16" s="13"/>
      <c r="HH16" s="11"/>
      <c r="HI16" s="11"/>
      <c r="HJ16" s="14"/>
      <c r="HK16" s="10">
        <f t="shared" si="103"/>
        <v>3</v>
      </c>
      <c r="HL16" s="11">
        <f t="shared" si="104"/>
        <v>0</v>
      </c>
      <c r="HM16" s="11">
        <f t="shared" si="105"/>
        <v>12490</v>
      </c>
      <c r="HN16" s="11">
        <f t="shared" si="106"/>
        <v>1121</v>
      </c>
      <c r="HO16" s="11">
        <f t="shared" si="107"/>
        <v>42</v>
      </c>
      <c r="HP16" s="95">
        <f t="shared" si="108"/>
        <v>3.3626901521216974E-3</v>
      </c>
      <c r="HQ16" s="15">
        <f t="shared" si="109"/>
        <v>0</v>
      </c>
      <c r="HR16" s="12">
        <f t="shared" si="148"/>
        <v>0</v>
      </c>
      <c r="HS16" s="16"/>
      <c r="HT16" s="17"/>
      <c r="HU16" s="16">
        <f t="shared" si="110"/>
        <v>0</v>
      </c>
      <c r="HV16" s="15"/>
      <c r="HW16" s="14"/>
      <c r="HX16" s="73">
        <f t="shared" si="149"/>
        <v>3.8495706248149247E-3</v>
      </c>
      <c r="HY16" s="73">
        <f t="shared" si="150"/>
        <v>3.5831591519856674E-3</v>
      </c>
      <c r="HZ16" s="73">
        <f t="shared" si="151"/>
        <v>1.7692852087756545E-3</v>
      </c>
      <c r="IA16" s="73">
        <f t="shared" si="152"/>
        <v>4.0844111640571815E-3</v>
      </c>
    </row>
    <row r="17" spans="1:244" x14ac:dyDescent="0.25">
      <c r="A17" s="374"/>
      <c r="B17" s="41">
        <f t="shared" si="111"/>
        <v>44951</v>
      </c>
      <c r="C17" s="10"/>
      <c r="D17" s="11"/>
      <c r="E17" s="69">
        <f t="shared" si="112"/>
        <v>850</v>
      </c>
      <c r="F17" s="69">
        <f t="shared" si="112"/>
        <v>75</v>
      </c>
      <c r="G17" s="11">
        <v>5</v>
      </c>
      <c r="H17" s="12">
        <f t="shared" si="68"/>
        <v>5.8823529411764705E-3</v>
      </c>
      <c r="I17" s="11"/>
      <c r="J17" s="12">
        <f t="shared" si="113"/>
        <v>0</v>
      </c>
      <c r="K17" s="11"/>
      <c r="L17" s="11"/>
      <c r="M17" s="18"/>
      <c r="N17" s="20"/>
      <c r="O17" s="10"/>
      <c r="P17" s="11"/>
      <c r="Q17" s="69">
        <f t="shared" si="114"/>
        <v>776</v>
      </c>
      <c r="R17" s="69">
        <f t="shared" si="115"/>
        <v>69</v>
      </c>
      <c r="S17" s="11">
        <v>3</v>
      </c>
      <c r="T17" s="12">
        <f t="shared" si="69"/>
        <v>3.8659793814432991E-3</v>
      </c>
      <c r="U17" s="11"/>
      <c r="V17" s="12">
        <f t="shared" si="70"/>
        <v>0</v>
      </c>
      <c r="W17" s="11"/>
      <c r="X17" s="11"/>
      <c r="Y17" s="18"/>
      <c r="Z17" s="20"/>
      <c r="AA17" s="10"/>
      <c r="AB17" s="11"/>
      <c r="AC17" s="69">
        <f t="shared" si="116"/>
        <v>198</v>
      </c>
      <c r="AD17" s="69">
        <f t="shared" si="117"/>
        <v>16</v>
      </c>
      <c r="AE17" s="11">
        <v>2</v>
      </c>
      <c r="AF17" s="12">
        <f t="shared" si="71"/>
        <v>1.0101010101010102E-2</v>
      </c>
      <c r="AG17" s="11"/>
      <c r="AH17" s="12">
        <f t="shared" si="72"/>
        <v>0</v>
      </c>
      <c r="AI17" s="11"/>
      <c r="AJ17" s="11"/>
      <c r="AK17" s="18"/>
      <c r="AL17" s="20"/>
      <c r="AM17" s="10"/>
      <c r="AN17" s="11"/>
      <c r="AO17" s="69">
        <f t="shared" si="118"/>
        <v>776</v>
      </c>
      <c r="AP17" s="69">
        <f t="shared" si="119"/>
        <v>69</v>
      </c>
      <c r="AQ17" s="11">
        <v>4</v>
      </c>
      <c r="AR17" s="12">
        <f t="shared" si="73"/>
        <v>5.1546391752577319E-3</v>
      </c>
      <c r="AS17" s="11"/>
      <c r="AT17" s="12">
        <f t="shared" si="74"/>
        <v>0</v>
      </c>
      <c r="AU17" s="11"/>
      <c r="AV17" s="11"/>
      <c r="AW17" s="18"/>
      <c r="AX17" s="20"/>
      <c r="AY17" s="10"/>
      <c r="AZ17" s="11"/>
      <c r="BA17" s="69">
        <f t="shared" si="120"/>
        <v>777</v>
      </c>
      <c r="BB17" s="69">
        <f t="shared" si="121"/>
        <v>69</v>
      </c>
      <c r="BC17" s="11">
        <v>2</v>
      </c>
      <c r="BD17" s="12">
        <f t="shared" si="75"/>
        <v>2.5740025740025739E-3</v>
      </c>
      <c r="BE17" s="11"/>
      <c r="BF17" s="12">
        <f t="shared" si="76"/>
        <v>0</v>
      </c>
      <c r="BG17" s="11"/>
      <c r="BH17" s="11"/>
      <c r="BI17" s="18"/>
      <c r="BJ17" s="20"/>
      <c r="BK17" s="10"/>
      <c r="BL17" s="11"/>
      <c r="BM17" s="69">
        <f t="shared" si="122"/>
        <v>849</v>
      </c>
      <c r="BN17" s="69">
        <f t="shared" si="123"/>
        <v>77</v>
      </c>
      <c r="BO17" s="11">
        <v>7</v>
      </c>
      <c r="BP17" s="12">
        <f t="shared" si="77"/>
        <v>8.2449941107184919E-3</v>
      </c>
      <c r="BQ17" s="11"/>
      <c r="BR17" s="12">
        <f t="shared" si="78"/>
        <v>0</v>
      </c>
      <c r="BS17" s="11"/>
      <c r="BT17" s="11"/>
      <c r="BU17" s="18"/>
      <c r="BV17" s="20"/>
      <c r="BW17" s="10"/>
      <c r="BX17" s="11"/>
      <c r="BY17" s="69">
        <f t="shared" si="124"/>
        <v>767</v>
      </c>
      <c r="BZ17" s="69">
        <f t="shared" si="125"/>
        <v>69</v>
      </c>
      <c r="CA17" s="11">
        <v>11</v>
      </c>
      <c r="CB17" s="12">
        <f t="shared" si="79"/>
        <v>1.4341590612777053E-2</v>
      </c>
      <c r="CC17" s="11"/>
      <c r="CD17" s="12">
        <f t="shared" si="80"/>
        <v>0</v>
      </c>
      <c r="CE17" s="11"/>
      <c r="CF17" s="11"/>
      <c r="CG17" s="18"/>
      <c r="CH17" s="20"/>
      <c r="CI17" s="10"/>
      <c r="CJ17" s="11"/>
      <c r="CK17" s="69">
        <f t="shared" si="126"/>
        <v>199</v>
      </c>
      <c r="CL17" s="69">
        <f t="shared" si="127"/>
        <v>17</v>
      </c>
      <c r="CM17" s="11">
        <v>2</v>
      </c>
      <c r="CN17" s="12">
        <f t="shared" si="81"/>
        <v>1.0050251256281407E-2</v>
      </c>
      <c r="CO17" s="11"/>
      <c r="CP17" s="12">
        <f t="shared" si="82"/>
        <v>0</v>
      </c>
      <c r="CQ17" s="11"/>
      <c r="CR17" s="11"/>
      <c r="CS17" s="18"/>
      <c r="CT17" s="20"/>
      <c r="CU17" s="10"/>
      <c r="CV17" s="11"/>
      <c r="CW17" s="69">
        <f t="shared" si="128"/>
        <v>766</v>
      </c>
      <c r="CX17" s="69">
        <f t="shared" si="129"/>
        <v>70</v>
      </c>
      <c r="CY17" s="11">
        <v>5</v>
      </c>
      <c r="CZ17" s="12">
        <f t="shared" si="83"/>
        <v>6.5274151436031328E-3</v>
      </c>
      <c r="DA17" s="11"/>
      <c r="DB17" s="12">
        <f t="shared" si="84"/>
        <v>0</v>
      </c>
      <c r="DC17" s="11"/>
      <c r="DD17" s="11"/>
      <c r="DE17" s="18"/>
      <c r="DF17" s="20"/>
      <c r="DG17" s="10"/>
      <c r="DH17" s="11"/>
      <c r="DI17" s="69">
        <f t="shared" si="130"/>
        <v>768</v>
      </c>
      <c r="DJ17" s="69">
        <f t="shared" si="131"/>
        <v>70</v>
      </c>
      <c r="DK17" s="11">
        <v>6</v>
      </c>
      <c r="DL17" s="12">
        <f t="shared" si="85"/>
        <v>7.8125E-3</v>
      </c>
      <c r="DM17" s="11"/>
      <c r="DN17" s="12">
        <f t="shared" si="86"/>
        <v>0</v>
      </c>
      <c r="DO17" s="11"/>
      <c r="DP17" s="11"/>
      <c r="DQ17" s="18"/>
      <c r="DR17" s="20"/>
      <c r="DS17" s="10"/>
      <c r="DT17" s="11"/>
      <c r="DU17" s="69">
        <f t="shared" si="132"/>
        <v>868</v>
      </c>
      <c r="DV17" s="69">
        <f t="shared" si="133"/>
        <v>78</v>
      </c>
      <c r="DW17" s="11">
        <v>6</v>
      </c>
      <c r="DX17" s="12">
        <f t="shared" si="87"/>
        <v>6.9124423963133645E-3</v>
      </c>
      <c r="DY17" s="11"/>
      <c r="DZ17" s="12">
        <f t="shared" si="88"/>
        <v>0</v>
      </c>
      <c r="EA17" s="11"/>
      <c r="EB17" s="11"/>
      <c r="EC17" s="18"/>
      <c r="ED17" s="20"/>
      <c r="EE17" s="10"/>
      <c r="EF17" s="11"/>
      <c r="EG17" s="69">
        <f t="shared" si="134"/>
        <v>869</v>
      </c>
      <c r="EH17" s="69">
        <f t="shared" si="135"/>
        <v>79</v>
      </c>
      <c r="EI17" s="11">
        <v>1</v>
      </c>
      <c r="EJ17" s="12">
        <f t="shared" si="89"/>
        <v>1.1507479861910242E-3</v>
      </c>
      <c r="EK17" s="11"/>
      <c r="EL17" s="12">
        <f t="shared" si="90"/>
        <v>0</v>
      </c>
      <c r="EM17" s="11"/>
      <c r="EN17" s="11"/>
      <c r="EO17" s="18"/>
      <c r="EP17" s="20"/>
      <c r="EQ17" s="10"/>
      <c r="ER17" s="11"/>
      <c r="ES17" s="69">
        <f t="shared" si="136"/>
        <v>220</v>
      </c>
      <c r="ET17" s="69">
        <f t="shared" si="137"/>
        <v>18</v>
      </c>
      <c r="EU17" s="11"/>
      <c r="EV17" s="12">
        <f t="shared" si="91"/>
        <v>0</v>
      </c>
      <c r="EW17" s="11"/>
      <c r="EX17" s="12" t="e">
        <f t="shared" si="92"/>
        <v>#DIV/0!</v>
      </c>
      <c r="EY17" s="11"/>
      <c r="EZ17" s="11"/>
      <c r="FA17" s="18"/>
      <c r="FB17" s="20"/>
      <c r="FC17" s="10">
        <v>1</v>
      </c>
      <c r="FD17" s="11"/>
      <c r="FE17" s="69">
        <f t="shared" si="138"/>
        <v>868</v>
      </c>
      <c r="FF17" s="69">
        <f t="shared" si="139"/>
        <v>79</v>
      </c>
      <c r="FG17" s="11">
        <v>6</v>
      </c>
      <c r="FH17" s="12">
        <f t="shared" si="93"/>
        <v>6.9124423963133645E-3</v>
      </c>
      <c r="FI17" s="11"/>
      <c r="FJ17" s="12">
        <f t="shared" si="94"/>
        <v>0</v>
      </c>
      <c r="FK17" s="11"/>
      <c r="FL17" s="11"/>
      <c r="FM17" s="18"/>
      <c r="FN17" s="20"/>
      <c r="FO17" s="10"/>
      <c r="FP17" s="11"/>
      <c r="FQ17" s="69">
        <f t="shared" si="140"/>
        <v>913</v>
      </c>
      <c r="FR17" s="69">
        <f t="shared" si="141"/>
        <v>82</v>
      </c>
      <c r="FS17" s="11"/>
      <c r="FT17" s="12">
        <f t="shared" si="95"/>
        <v>0</v>
      </c>
      <c r="FU17" s="11"/>
      <c r="FV17" s="12" t="e">
        <f t="shared" si="96"/>
        <v>#DIV/0!</v>
      </c>
      <c r="FW17" s="11"/>
      <c r="FX17" s="11"/>
      <c r="FY17" s="18"/>
      <c r="FZ17" s="20"/>
      <c r="GA17" s="10"/>
      <c r="GB17" s="11"/>
      <c r="GC17" s="69">
        <f t="shared" si="142"/>
        <v>912</v>
      </c>
      <c r="GD17" s="69">
        <f t="shared" si="143"/>
        <v>82</v>
      </c>
      <c r="GE17" s="11">
        <v>1</v>
      </c>
      <c r="GF17" s="12">
        <f t="shared" si="97"/>
        <v>1.0964912280701754E-3</v>
      </c>
      <c r="GG17" s="11"/>
      <c r="GH17" s="12">
        <f t="shared" si="98"/>
        <v>0</v>
      </c>
      <c r="GI17" s="11"/>
      <c r="GJ17" s="11"/>
      <c r="GK17" s="18"/>
      <c r="GL17" s="20"/>
      <c r="GM17" s="10"/>
      <c r="GN17" s="11"/>
      <c r="GO17" s="69">
        <f t="shared" si="144"/>
        <v>200</v>
      </c>
      <c r="GP17" s="69">
        <f t="shared" si="145"/>
        <v>20</v>
      </c>
      <c r="GQ17" s="11"/>
      <c r="GR17" s="12">
        <f t="shared" si="99"/>
        <v>0</v>
      </c>
      <c r="GS17" s="11"/>
      <c r="GT17" s="12" t="e">
        <f t="shared" si="100"/>
        <v>#DIV/0!</v>
      </c>
      <c r="GU17" s="11"/>
      <c r="GV17" s="11"/>
      <c r="GW17" s="18"/>
      <c r="GX17" s="20"/>
      <c r="GY17" s="10"/>
      <c r="GZ17" s="11"/>
      <c r="HA17" s="69">
        <f t="shared" si="146"/>
        <v>913</v>
      </c>
      <c r="HB17" s="69">
        <f t="shared" si="147"/>
        <v>82</v>
      </c>
      <c r="HC17" s="11">
        <v>6</v>
      </c>
      <c r="HD17" s="12">
        <f t="shared" si="101"/>
        <v>6.5717415115005475E-3</v>
      </c>
      <c r="HE17" s="11"/>
      <c r="HF17" s="12">
        <f t="shared" si="102"/>
        <v>0</v>
      </c>
      <c r="HG17" s="11"/>
      <c r="HH17" s="11"/>
      <c r="HI17" s="18"/>
      <c r="HJ17" s="20"/>
      <c r="HK17" s="10">
        <f t="shared" si="103"/>
        <v>1</v>
      </c>
      <c r="HL17" s="11">
        <f t="shared" si="104"/>
        <v>0</v>
      </c>
      <c r="HM17" s="11">
        <f t="shared" si="105"/>
        <v>12489</v>
      </c>
      <c r="HN17" s="11">
        <f t="shared" si="106"/>
        <v>1121</v>
      </c>
      <c r="HO17" s="11">
        <f t="shared" si="107"/>
        <v>67</v>
      </c>
      <c r="HP17" s="95">
        <f t="shared" si="108"/>
        <v>5.3647209544399072E-3</v>
      </c>
      <c r="HQ17" s="15">
        <f t="shared" si="109"/>
        <v>0</v>
      </c>
      <c r="HR17" s="12">
        <f t="shared" si="148"/>
        <v>0</v>
      </c>
      <c r="HS17" s="16"/>
      <c r="HT17" s="17"/>
      <c r="HU17" s="16">
        <f t="shared" si="110"/>
        <v>0</v>
      </c>
      <c r="HV17" s="18"/>
      <c r="HW17" s="20"/>
      <c r="HX17" s="73">
        <f t="shared" si="149"/>
        <v>4.7379330766952913E-3</v>
      </c>
      <c r="HY17" s="73">
        <f t="shared" si="150"/>
        <v>9.2564944759629744E-3</v>
      </c>
      <c r="HZ17" s="73">
        <f t="shared" si="151"/>
        <v>4.6017699115044244E-3</v>
      </c>
      <c r="IA17" s="73">
        <f t="shared" si="152"/>
        <v>2.3825731790333561E-3</v>
      </c>
    </row>
    <row r="18" spans="1:244" x14ac:dyDescent="0.25">
      <c r="A18" s="374"/>
      <c r="B18" s="41">
        <f>+B17+1</f>
        <v>44952</v>
      </c>
      <c r="C18" s="10"/>
      <c r="D18" s="11"/>
      <c r="E18" s="69">
        <f t="shared" si="112"/>
        <v>850</v>
      </c>
      <c r="F18" s="69">
        <f t="shared" si="112"/>
        <v>75</v>
      </c>
      <c r="G18" s="11">
        <v>7</v>
      </c>
      <c r="H18" s="12">
        <f t="shared" si="68"/>
        <v>8.2352941176470594E-3</v>
      </c>
      <c r="I18" s="11"/>
      <c r="J18" s="12">
        <f t="shared" si="113"/>
        <v>0</v>
      </c>
      <c r="K18" s="13"/>
      <c r="L18" s="13"/>
      <c r="M18" s="18">
        <v>3415</v>
      </c>
      <c r="N18" s="20">
        <v>3940</v>
      </c>
      <c r="O18" s="10"/>
      <c r="P18" s="11"/>
      <c r="Q18" s="69">
        <f t="shared" si="114"/>
        <v>776</v>
      </c>
      <c r="R18" s="69">
        <f t="shared" si="115"/>
        <v>69</v>
      </c>
      <c r="S18" s="11">
        <v>8</v>
      </c>
      <c r="T18" s="12">
        <f t="shared" si="69"/>
        <v>1.0309278350515464E-2</v>
      </c>
      <c r="U18" s="11"/>
      <c r="V18" s="12">
        <f t="shared" si="70"/>
        <v>0</v>
      </c>
      <c r="W18" s="13"/>
      <c r="X18" s="13"/>
      <c r="Y18" s="25">
        <v>3415</v>
      </c>
      <c r="Z18" s="38">
        <v>3940</v>
      </c>
      <c r="AA18" s="10"/>
      <c r="AB18" s="11"/>
      <c r="AC18" s="69">
        <f t="shared" si="116"/>
        <v>198</v>
      </c>
      <c r="AD18" s="69">
        <f t="shared" si="117"/>
        <v>16</v>
      </c>
      <c r="AE18" s="11">
        <v>1</v>
      </c>
      <c r="AF18" s="12">
        <f t="shared" si="71"/>
        <v>5.0505050505050509E-3</v>
      </c>
      <c r="AG18" s="11"/>
      <c r="AH18" s="12">
        <f t="shared" si="72"/>
        <v>0</v>
      </c>
      <c r="AI18" s="13"/>
      <c r="AJ18" s="13"/>
      <c r="AK18" s="25">
        <v>3415</v>
      </c>
      <c r="AL18" s="38">
        <v>3940</v>
      </c>
      <c r="AM18" s="10"/>
      <c r="AN18" s="11"/>
      <c r="AO18" s="69">
        <f t="shared" si="118"/>
        <v>776</v>
      </c>
      <c r="AP18" s="69">
        <f t="shared" si="119"/>
        <v>69</v>
      </c>
      <c r="AQ18" s="11">
        <v>6</v>
      </c>
      <c r="AR18" s="12">
        <f t="shared" si="73"/>
        <v>7.7319587628865982E-3</v>
      </c>
      <c r="AS18" s="11"/>
      <c r="AT18" s="12">
        <f t="shared" si="74"/>
        <v>0</v>
      </c>
      <c r="AU18" s="13"/>
      <c r="AV18" s="13"/>
      <c r="AW18" s="25">
        <v>3415</v>
      </c>
      <c r="AX18" s="38">
        <v>3940</v>
      </c>
      <c r="AY18" s="10"/>
      <c r="AZ18" s="11"/>
      <c r="BA18" s="69">
        <f t="shared" si="120"/>
        <v>777</v>
      </c>
      <c r="BB18" s="69">
        <f t="shared" si="121"/>
        <v>69</v>
      </c>
      <c r="BC18" s="11">
        <v>10</v>
      </c>
      <c r="BD18" s="12">
        <f t="shared" si="75"/>
        <v>1.2870012870012869E-2</v>
      </c>
      <c r="BE18" s="11"/>
      <c r="BF18" s="12">
        <f t="shared" si="76"/>
        <v>0</v>
      </c>
      <c r="BG18" s="13"/>
      <c r="BH18" s="13"/>
      <c r="BI18" s="25">
        <v>3415</v>
      </c>
      <c r="BJ18" s="38">
        <v>3940</v>
      </c>
      <c r="BK18" s="10"/>
      <c r="BL18" s="11"/>
      <c r="BM18" s="69">
        <f t="shared" si="122"/>
        <v>849</v>
      </c>
      <c r="BN18" s="69">
        <f t="shared" si="123"/>
        <v>77</v>
      </c>
      <c r="BO18" s="11">
        <v>16</v>
      </c>
      <c r="BP18" s="12">
        <f t="shared" si="77"/>
        <v>1.884570082449941E-2</v>
      </c>
      <c r="BQ18" s="11"/>
      <c r="BR18" s="12">
        <f t="shared" si="78"/>
        <v>0</v>
      </c>
      <c r="BS18" s="13"/>
      <c r="BT18" s="13"/>
      <c r="BU18" s="25">
        <v>3415</v>
      </c>
      <c r="BV18" s="38">
        <v>3940</v>
      </c>
      <c r="BW18" s="10"/>
      <c r="BX18" s="11"/>
      <c r="BY18" s="69">
        <f t="shared" si="124"/>
        <v>767</v>
      </c>
      <c r="BZ18" s="69">
        <f t="shared" si="125"/>
        <v>69</v>
      </c>
      <c r="CA18" s="11">
        <v>14</v>
      </c>
      <c r="CB18" s="12">
        <f t="shared" si="79"/>
        <v>1.8252933507170794E-2</v>
      </c>
      <c r="CC18" s="11"/>
      <c r="CD18" s="12">
        <f t="shared" si="80"/>
        <v>0</v>
      </c>
      <c r="CE18" s="13"/>
      <c r="CF18" s="13"/>
      <c r="CG18" s="25">
        <v>3415</v>
      </c>
      <c r="CH18" s="38">
        <v>3940</v>
      </c>
      <c r="CI18" s="10">
        <v>1</v>
      </c>
      <c r="CJ18" s="11"/>
      <c r="CK18" s="69">
        <f t="shared" si="126"/>
        <v>198</v>
      </c>
      <c r="CL18" s="69">
        <f t="shared" si="127"/>
        <v>17</v>
      </c>
      <c r="CM18" s="11">
        <v>4</v>
      </c>
      <c r="CN18" s="12">
        <f t="shared" si="81"/>
        <v>2.0202020202020204E-2</v>
      </c>
      <c r="CO18" s="11"/>
      <c r="CP18" s="12">
        <f t="shared" si="82"/>
        <v>0</v>
      </c>
      <c r="CQ18" s="13"/>
      <c r="CR18" s="13"/>
      <c r="CS18" s="25">
        <v>3415</v>
      </c>
      <c r="CT18" s="38">
        <v>3940</v>
      </c>
      <c r="CU18" s="10"/>
      <c r="CV18" s="11"/>
      <c r="CW18" s="69">
        <f t="shared" si="128"/>
        <v>766</v>
      </c>
      <c r="CX18" s="69">
        <f t="shared" si="129"/>
        <v>70</v>
      </c>
      <c r="CY18" s="11">
        <v>19</v>
      </c>
      <c r="CZ18" s="12">
        <f t="shared" si="83"/>
        <v>2.4804177545691905E-2</v>
      </c>
      <c r="DA18" s="11"/>
      <c r="DB18" s="12">
        <f t="shared" si="84"/>
        <v>0</v>
      </c>
      <c r="DC18" s="13"/>
      <c r="DD18" s="13"/>
      <c r="DE18" s="25">
        <v>3415</v>
      </c>
      <c r="DF18" s="38">
        <v>3940</v>
      </c>
      <c r="DG18" s="10"/>
      <c r="DH18" s="11"/>
      <c r="DI18" s="69">
        <f t="shared" si="130"/>
        <v>768</v>
      </c>
      <c r="DJ18" s="69">
        <f t="shared" si="131"/>
        <v>70</v>
      </c>
      <c r="DK18" s="11">
        <v>9</v>
      </c>
      <c r="DL18" s="12">
        <f t="shared" si="85"/>
        <v>1.171875E-2</v>
      </c>
      <c r="DM18" s="11"/>
      <c r="DN18" s="12">
        <f t="shared" si="86"/>
        <v>0</v>
      </c>
      <c r="DO18" s="13"/>
      <c r="DP18" s="13"/>
      <c r="DQ18" s="25">
        <v>3415</v>
      </c>
      <c r="DR18" s="38">
        <v>3940</v>
      </c>
      <c r="DS18" s="10"/>
      <c r="DT18" s="11"/>
      <c r="DU18" s="69">
        <f t="shared" si="132"/>
        <v>868</v>
      </c>
      <c r="DV18" s="69">
        <f t="shared" si="133"/>
        <v>78</v>
      </c>
      <c r="DW18" s="11">
        <v>4</v>
      </c>
      <c r="DX18" s="12">
        <f t="shared" si="87"/>
        <v>4.608294930875576E-3</v>
      </c>
      <c r="DY18" s="11"/>
      <c r="DZ18" s="12">
        <f t="shared" si="88"/>
        <v>0</v>
      </c>
      <c r="EA18" s="13"/>
      <c r="EB18" s="13"/>
      <c r="EC18" s="25">
        <v>3415</v>
      </c>
      <c r="ED18" s="38">
        <v>3940</v>
      </c>
      <c r="EE18" s="10"/>
      <c r="EF18" s="11"/>
      <c r="EG18" s="69">
        <f t="shared" si="134"/>
        <v>869</v>
      </c>
      <c r="EH18" s="69">
        <f t="shared" si="135"/>
        <v>79</v>
      </c>
      <c r="EI18" s="11">
        <v>2</v>
      </c>
      <c r="EJ18" s="12">
        <f t="shared" si="89"/>
        <v>2.3014959723820483E-3</v>
      </c>
      <c r="EK18" s="11"/>
      <c r="EL18" s="12">
        <f t="shared" si="90"/>
        <v>0</v>
      </c>
      <c r="EM18" s="13"/>
      <c r="EN18" s="13"/>
      <c r="EO18" s="25">
        <v>3415</v>
      </c>
      <c r="EP18" s="38">
        <v>3940</v>
      </c>
      <c r="EQ18" s="10">
        <v>1</v>
      </c>
      <c r="ER18" s="11"/>
      <c r="ES18" s="69">
        <f t="shared" si="136"/>
        <v>219</v>
      </c>
      <c r="ET18" s="69">
        <f t="shared" si="137"/>
        <v>18</v>
      </c>
      <c r="EU18" s="11"/>
      <c r="EV18" s="12">
        <f t="shared" si="91"/>
        <v>0</v>
      </c>
      <c r="EW18" s="11"/>
      <c r="EX18" s="12" t="e">
        <f t="shared" si="92"/>
        <v>#DIV/0!</v>
      </c>
      <c r="EY18" s="13"/>
      <c r="EZ18" s="13"/>
      <c r="FA18" s="25">
        <v>3415</v>
      </c>
      <c r="FB18" s="38">
        <v>3940</v>
      </c>
      <c r="FC18" s="10"/>
      <c r="FD18" s="11"/>
      <c r="FE18" s="69">
        <f t="shared" si="138"/>
        <v>868</v>
      </c>
      <c r="FF18" s="69">
        <f t="shared" si="139"/>
        <v>79</v>
      </c>
      <c r="FG18" s="11">
        <v>5</v>
      </c>
      <c r="FH18" s="12">
        <f t="shared" si="93"/>
        <v>5.7603686635944703E-3</v>
      </c>
      <c r="FI18" s="11"/>
      <c r="FJ18" s="12">
        <f t="shared" si="94"/>
        <v>0</v>
      </c>
      <c r="FK18" s="13"/>
      <c r="FL18" s="13"/>
      <c r="FM18" s="25">
        <v>3415</v>
      </c>
      <c r="FN18" s="38">
        <v>3940</v>
      </c>
      <c r="FO18" s="10"/>
      <c r="FP18" s="11"/>
      <c r="FQ18" s="69">
        <f t="shared" si="140"/>
        <v>913</v>
      </c>
      <c r="FR18" s="69">
        <f t="shared" si="141"/>
        <v>82</v>
      </c>
      <c r="FS18" s="11">
        <v>4</v>
      </c>
      <c r="FT18" s="12">
        <f t="shared" si="95"/>
        <v>4.3811610076670317E-3</v>
      </c>
      <c r="FU18" s="11"/>
      <c r="FV18" s="12">
        <f t="shared" si="96"/>
        <v>0</v>
      </c>
      <c r="FW18" s="13"/>
      <c r="FX18" s="13"/>
      <c r="FY18" s="25">
        <v>3415</v>
      </c>
      <c r="FZ18" s="38">
        <v>3940</v>
      </c>
      <c r="GA18" s="10"/>
      <c r="GB18" s="11"/>
      <c r="GC18" s="69">
        <f t="shared" si="142"/>
        <v>912</v>
      </c>
      <c r="GD18" s="69">
        <f t="shared" si="143"/>
        <v>82</v>
      </c>
      <c r="GE18" s="11">
        <v>6</v>
      </c>
      <c r="GF18" s="12">
        <f t="shared" si="97"/>
        <v>6.5789473684210523E-3</v>
      </c>
      <c r="GG18" s="11"/>
      <c r="GH18" s="12">
        <f t="shared" si="98"/>
        <v>0</v>
      </c>
      <c r="GI18" s="13"/>
      <c r="GJ18" s="13"/>
      <c r="GK18" s="25">
        <v>3415</v>
      </c>
      <c r="GL18" s="38">
        <v>3940</v>
      </c>
      <c r="GM18" s="10"/>
      <c r="GN18" s="11">
        <v>1</v>
      </c>
      <c r="GO18" s="69">
        <f t="shared" si="144"/>
        <v>200</v>
      </c>
      <c r="GP18" s="69">
        <f t="shared" si="145"/>
        <v>19</v>
      </c>
      <c r="GQ18" s="11">
        <v>2</v>
      </c>
      <c r="GR18" s="12">
        <f t="shared" si="99"/>
        <v>0.01</v>
      </c>
      <c r="GS18" s="11"/>
      <c r="GT18" s="12">
        <f t="shared" si="100"/>
        <v>0</v>
      </c>
      <c r="GU18" s="13"/>
      <c r="GV18" s="13"/>
      <c r="GW18" s="25">
        <v>3415</v>
      </c>
      <c r="GX18" s="38">
        <v>3940</v>
      </c>
      <c r="GY18" s="10"/>
      <c r="GZ18" s="11"/>
      <c r="HA18" s="69">
        <f t="shared" si="146"/>
        <v>913</v>
      </c>
      <c r="HB18" s="69">
        <f t="shared" si="147"/>
        <v>82</v>
      </c>
      <c r="HC18" s="11">
        <v>10</v>
      </c>
      <c r="HD18" s="12">
        <f t="shared" si="101"/>
        <v>1.0952902519167579E-2</v>
      </c>
      <c r="HE18" s="11"/>
      <c r="HF18" s="12">
        <f t="shared" si="102"/>
        <v>0</v>
      </c>
      <c r="HG18" s="13"/>
      <c r="HH18" s="13"/>
      <c r="HI18" s="25">
        <v>3415</v>
      </c>
      <c r="HJ18" s="38">
        <v>3940</v>
      </c>
      <c r="HK18" s="10">
        <f t="shared" si="103"/>
        <v>2</v>
      </c>
      <c r="HL18" s="11">
        <f t="shared" si="104"/>
        <v>1</v>
      </c>
      <c r="HM18" s="11">
        <f t="shared" si="105"/>
        <v>12487</v>
      </c>
      <c r="HN18" s="11">
        <f t="shared" si="106"/>
        <v>1120</v>
      </c>
      <c r="HO18" s="11">
        <f t="shared" si="107"/>
        <v>127</v>
      </c>
      <c r="HP18" s="95">
        <f t="shared" si="108"/>
        <v>1.0170577400496516E-2</v>
      </c>
      <c r="HQ18" s="15">
        <f t="shared" si="109"/>
        <v>0</v>
      </c>
      <c r="HR18" s="12">
        <f t="shared" si="148"/>
        <v>0</v>
      </c>
      <c r="HS18" s="16"/>
      <c r="HT18" s="17"/>
      <c r="HU18" s="16">
        <f t="shared" si="110"/>
        <v>0</v>
      </c>
      <c r="HV18" s="23">
        <v>3415</v>
      </c>
      <c r="HW18" s="22">
        <v>3940</v>
      </c>
      <c r="HX18" s="73">
        <f t="shared" si="149"/>
        <v>9.4758661533905827E-3</v>
      </c>
      <c r="HY18" s="73">
        <f t="shared" si="150"/>
        <v>1.8518518518518517E-2</v>
      </c>
      <c r="HZ18" s="73">
        <f t="shared" si="151"/>
        <v>3.8951841359773369E-3</v>
      </c>
      <c r="IA18" s="73">
        <f t="shared" si="152"/>
        <v>7.4880871341048332E-3</v>
      </c>
    </row>
    <row r="19" spans="1:244" x14ac:dyDescent="0.25">
      <c r="A19" s="374"/>
      <c r="B19" s="41">
        <f t="shared" si="111"/>
        <v>44953</v>
      </c>
      <c r="C19" s="10"/>
      <c r="D19" s="11"/>
      <c r="E19" s="69">
        <f t="shared" si="112"/>
        <v>850</v>
      </c>
      <c r="F19" s="69">
        <f t="shared" si="112"/>
        <v>75</v>
      </c>
      <c r="G19" s="11">
        <v>17</v>
      </c>
      <c r="H19" s="12">
        <f t="shared" si="68"/>
        <v>0.02</v>
      </c>
      <c r="I19" s="11"/>
      <c r="J19" s="12">
        <f t="shared" si="113"/>
        <v>0</v>
      </c>
      <c r="K19" s="13"/>
      <c r="L19" s="11"/>
      <c r="M19" s="25">
        <v>3564.1463414634145</v>
      </c>
      <c r="N19" s="38">
        <v>3770</v>
      </c>
      <c r="O19" s="10"/>
      <c r="P19" s="11"/>
      <c r="Q19" s="69">
        <f t="shared" si="114"/>
        <v>776</v>
      </c>
      <c r="R19" s="69">
        <f t="shared" si="115"/>
        <v>69</v>
      </c>
      <c r="S19" s="11">
        <v>19</v>
      </c>
      <c r="T19" s="12">
        <f t="shared" si="69"/>
        <v>2.4484536082474227E-2</v>
      </c>
      <c r="U19" s="11"/>
      <c r="V19" s="12">
        <f t="shared" si="70"/>
        <v>0</v>
      </c>
      <c r="W19" s="13"/>
      <c r="X19" s="11"/>
      <c r="Y19" s="25">
        <v>3612.8947368421054</v>
      </c>
      <c r="Z19" s="38">
        <v>4053.5714285714284</v>
      </c>
      <c r="AA19" s="10"/>
      <c r="AB19" s="11"/>
      <c r="AC19" s="69">
        <f t="shared" si="116"/>
        <v>198</v>
      </c>
      <c r="AD19" s="69">
        <f t="shared" si="117"/>
        <v>16</v>
      </c>
      <c r="AE19" s="11">
        <v>2</v>
      </c>
      <c r="AF19" s="12">
        <f t="shared" si="71"/>
        <v>1.0101010101010102E-2</v>
      </c>
      <c r="AG19" s="11"/>
      <c r="AH19" s="12">
        <f t="shared" si="72"/>
        <v>0</v>
      </c>
      <c r="AI19" s="13"/>
      <c r="AJ19" s="11"/>
      <c r="AK19" s="25">
        <v>3517.2727272727275</v>
      </c>
      <c r="AL19" s="38">
        <v>3856</v>
      </c>
      <c r="AM19" s="10"/>
      <c r="AN19" s="11"/>
      <c r="AO19" s="69">
        <f t="shared" si="118"/>
        <v>776</v>
      </c>
      <c r="AP19" s="69">
        <f t="shared" si="119"/>
        <v>69</v>
      </c>
      <c r="AQ19" s="11">
        <v>11</v>
      </c>
      <c r="AR19" s="12">
        <f t="shared" si="73"/>
        <v>1.4175257731958763E-2</v>
      </c>
      <c r="AS19" s="11"/>
      <c r="AT19" s="12">
        <f t="shared" si="74"/>
        <v>0</v>
      </c>
      <c r="AU19" s="13"/>
      <c r="AV19" s="11"/>
      <c r="AW19" s="25">
        <v>3578.2608695652175</v>
      </c>
      <c r="AX19" s="38">
        <v>4145</v>
      </c>
      <c r="AY19" s="10"/>
      <c r="AZ19" s="11"/>
      <c r="BA19" s="69">
        <f t="shared" si="120"/>
        <v>777</v>
      </c>
      <c r="BB19" s="69">
        <f t="shared" si="121"/>
        <v>69</v>
      </c>
      <c r="BC19" s="11">
        <v>8</v>
      </c>
      <c r="BD19" s="12">
        <f t="shared" si="75"/>
        <v>1.0296010296010296E-2</v>
      </c>
      <c r="BE19" s="11"/>
      <c r="BF19" s="12">
        <f t="shared" si="76"/>
        <v>0</v>
      </c>
      <c r="BG19" s="13"/>
      <c r="BH19" s="11"/>
      <c r="BI19" s="25">
        <v>3606</v>
      </c>
      <c r="BJ19" s="38">
        <v>4036.4285714285716</v>
      </c>
      <c r="BK19" s="10"/>
      <c r="BL19" s="11"/>
      <c r="BM19" s="69">
        <f t="shared" si="122"/>
        <v>849</v>
      </c>
      <c r="BN19" s="69">
        <f t="shared" si="123"/>
        <v>77</v>
      </c>
      <c r="BO19" s="11">
        <v>26</v>
      </c>
      <c r="BP19" s="12">
        <f t="shared" si="77"/>
        <v>3.0624263839811542E-2</v>
      </c>
      <c r="BQ19" s="11"/>
      <c r="BR19" s="12">
        <f t="shared" si="78"/>
        <v>0</v>
      </c>
      <c r="BS19" s="13"/>
      <c r="BT19" s="11"/>
      <c r="BU19" s="25">
        <v>3578.5714285714284</v>
      </c>
      <c r="BV19" s="38">
        <v>3920</v>
      </c>
      <c r="BW19" s="10"/>
      <c r="BX19" s="11"/>
      <c r="BY19" s="69">
        <f t="shared" si="124"/>
        <v>767</v>
      </c>
      <c r="BZ19" s="69">
        <f t="shared" si="125"/>
        <v>69</v>
      </c>
      <c r="CA19" s="11">
        <v>29</v>
      </c>
      <c r="CB19" s="12">
        <f t="shared" si="79"/>
        <v>3.7809647979139507E-2</v>
      </c>
      <c r="CC19" s="11"/>
      <c r="CD19" s="12">
        <f t="shared" si="80"/>
        <v>0</v>
      </c>
      <c r="CE19" s="13"/>
      <c r="CF19" s="11"/>
      <c r="CG19" s="25">
        <v>3562.5</v>
      </c>
      <c r="CH19" s="38">
        <v>4076.4285714285716</v>
      </c>
      <c r="CI19" s="10"/>
      <c r="CJ19" s="11"/>
      <c r="CK19" s="69">
        <f t="shared" si="126"/>
        <v>198</v>
      </c>
      <c r="CL19" s="69">
        <f t="shared" si="127"/>
        <v>17</v>
      </c>
      <c r="CM19" s="11">
        <v>5</v>
      </c>
      <c r="CN19" s="12">
        <f t="shared" si="81"/>
        <v>2.5252525252525252E-2</v>
      </c>
      <c r="CO19" s="11"/>
      <c r="CP19" s="12">
        <f t="shared" si="82"/>
        <v>0</v>
      </c>
      <c r="CQ19" s="13"/>
      <c r="CR19" s="11"/>
      <c r="CS19" s="25">
        <v>3614.5454545454545</v>
      </c>
      <c r="CT19" s="38">
        <v>3863.3333333333335</v>
      </c>
      <c r="CU19" s="10"/>
      <c r="CV19" s="11"/>
      <c r="CW19" s="69">
        <f t="shared" si="128"/>
        <v>766</v>
      </c>
      <c r="CX19" s="69">
        <f t="shared" si="129"/>
        <v>70</v>
      </c>
      <c r="CY19" s="11">
        <v>21</v>
      </c>
      <c r="CZ19" s="12">
        <f t="shared" si="83"/>
        <v>2.7415143603133161E-2</v>
      </c>
      <c r="DA19" s="11"/>
      <c r="DB19" s="12">
        <f t="shared" si="84"/>
        <v>0</v>
      </c>
      <c r="DC19" s="13"/>
      <c r="DD19" s="11"/>
      <c r="DE19" s="25">
        <v>3604.2</v>
      </c>
      <c r="DF19" s="38">
        <v>4222.5</v>
      </c>
      <c r="DG19" s="10"/>
      <c r="DH19" s="11"/>
      <c r="DI19" s="69">
        <f t="shared" si="130"/>
        <v>768</v>
      </c>
      <c r="DJ19" s="69">
        <f t="shared" si="131"/>
        <v>70</v>
      </c>
      <c r="DK19" s="11">
        <v>16</v>
      </c>
      <c r="DL19" s="12">
        <f t="shared" si="85"/>
        <v>2.0833333333333332E-2</v>
      </c>
      <c r="DM19" s="11"/>
      <c r="DN19" s="12">
        <f t="shared" si="86"/>
        <v>0</v>
      </c>
      <c r="DO19" s="13"/>
      <c r="DP19" s="11"/>
      <c r="DQ19" s="25">
        <v>3578.0555555555557</v>
      </c>
      <c r="DR19" s="38">
        <v>4035.3846153846152</v>
      </c>
      <c r="DS19" s="10"/>
      <c r="DT19" s="11"/>
      <c r="DU19" s="69">
        <f t="shared" si="132"/>
        <v>868</v>
      </c>
      <c r="DV19" s="69">
        <f t="shared" si="133"/>
        <v>78</v>
      </c>
      <c r="DW19" s="11">
        <v>8</v>
      </c>
      <c r="DX19" s="12">
        <f t="shared" si="87"/>
        <v>9.2165898617511521E-3</v>
      </c>
      <c r="DY19" s="11"/>
      <c r="DZ19" s="12">
        <f t="shared" si="88"/>
        <v>0</v>
      </c>
      <c r="EA19" s="13"/>
      <c r="EB19" s="11"/>
      <c r="EC19" s="25">
        <v>3571.8604651162791</v>
      </c>
      <c r="ED19" s="38">
        <v>3905.625</v>
      </c>
      <c r="EE19" s="10"/>
      <c r="EF19" s="11"/>
      <c r="EG19" s="69">
        <f t="shared" si="134"/>
        <v>869</v>
      </c>
      <c r="EH19" s="69">
        <f t="shared" si="135"/>
        <v>79</v>
      </c>
      <c r="EI19" s="11">
        <v>6</v>
      </c>
      <c r="EJ19" s="12">
        <f t="shared" si="89"/>
        <v>6.9044879171461446E-3</v>
      </c>
      <c r="EK19" s="11"/>
      <c r="EL19" s="12">
        <f t="shared" si="90"/>
        <v>0</v>
      </c>
      <c r="EM19" s="13"/>
      <c r="EN19" s="11"/>
      <c r="EO19" s="25">
        <v>3623.181818181818</v>
      </c>
      <c r="EP19" s="38">
        <v>3981.875</v>
      </c>
      <c r="EQ19" s="10"/>
      <c r="ER19" s="11"/>
      <c r="ES19" s="69">
        <f t="shared" si="136"/>
        <v>219</v>
      </c>
      <c r="ET19" s="69">
        <f t="shared" si="137"/>
        <v>18</v>
      </c>
      <c r="EU19" s="11"/>
      <c r="EV19" s="12">
        <f t="shared" si="91"/>
        <v>0</v>
      </c>
      <c r="EW19" s="11"/>
      <c r="EX19" s="12" t="e">
        <f t="shared" si="92"/>
        <v>#DIV/0!</v>
      </c>
      <c r="EY19" s="13"/>
      <c r="EZ19" s="11"/>
      <c r="FA19" s="25">
        <v>3327.7777777777778</v>
      </c>
      <c r="FB19" s="38">
        <v>3927.5</v>
      </c>
      <c r="FC19" s="10"/>
      <c r="FD19" s="11"/>
      <c r="FE19" s="69">
        <f t="shared" si="138"/>
        <v>868</v>
      </c>
      <c r="FF19" s="69">
        <f t="shared" si="139"/>
        <v>79</v>
      </c>
      <c r="FG19" s="11">
        <v>10</v>
      </c>
      <c r="FH19" s="12">
        <f t="shared" si="93"/>
        <v>1.1520737327188941E-2</v>
      </c>
      <c r="FI19" s="11"/>
      <c r="FJ19" s="12">
        <f t="shared" si="94"/>
        <v>0</v>
      </c>
      <c r="FK19" s="13"/>
      <c r="FL19" s="11"/>
      <c r="FM19" s="25">
        <v>3647.5</v>
      </c>
      <c r="FN19" s="38">
        <v>4040.5882352941176</v>
      </c>
      <c r="FO19" s="10"/>
      <c r="FP19" s="11"/>
      <c r="FQ19" s="69">
        <f t="shared" si="140"/>
        <v>913</v>
      </c>
      <c r="FR19" s="69">
        <f t="shared" si="141"/>
        <v>82</v>
      </c>
      <c r="FS19" s="11">
        <v>12</v>
      </c>
      <c r="FT19" s="12">
        <f t="shared" si="95"/>
        <v>1.3143483023001095E-2</v>
      </c>
      <c r="FU19" s="11"/>
      <c r="FV19" s="12">
        <f t="shared" si="96"/>
        <v>0</v>
      </c>
      <c r="FW19" s="13"/>
      <c r="FX19" s="11"/>
      <c r="FY19" s="25">
        <v>3554.1304347826085</v>
      </c>
      <c r="FZ19" s="38">
        <v>4001.6666666666665</v>
      </c>
      <c r="GA19" s="10"/>
      <c r="GB19" s="11"/>
      <c r="GC19" s="69">
        <f t="shared" si="142"/>
        <v>912</v>
      </c>
      <c r="GD19" s="69">
        <f t="shared" si="143"/>
        <v>82</v>
      </c>
      <c r="GE19" s="11">
        <v>10</v>
      </c>
      <c r="GF19" s="12">
        <f t="shared" si="97"/>
        <v>1.0964912280701754E-2</v>
      </c>
      <c r="GG19" s="11"/>
      <c r="GH19" s="12">
        <f t="shared" si="98"/>
        <v>0</v>
      </c>
      <c r="GI19" s="13"/>
      <c r="GJ19" s="11"/>
      <c r="GK19" s="25">
        <v>3555</v>
      </c>
      <c r="GL19" s="38">
        <v>4010.5882352941176</v>
      </c>
      <c r="GM19" s="10"/>
      <c r="GN19" s="11"/>
      <c r="GO19" s="69">
        <f t="shared" si="144"/>
        <v>200</v>
      </c>
      <c r="GP19" s="69">
        <f t="shared" si="145"/>
        <v>19</v>
      </c>
      <c r="GQ19" s="11">
        <v>2</v>
      </c>
      <c r="GR19" s="12">
        <f t="shared" si="99"/>
        <v>0.01</v>
      </c>
      <c r="GS19" s="11"/>
      <c r="GT19" s="12">
        <f t="shared" si="100"/>
        <v>0</v>
      </c>
      <c r="GU19" s="13"/>
      <c r="GV19" s="11"/>
      <c r="GW19" s="25">
        <v>3362.2222222222222</v>
      </c>
      <c r="GX19" s="38">
        <v>3915</v>
      </c>
      <c r="GY19" s="10"/>
      <c r="GZ19" s="11"/>
      <c r="HA19" s="69">
        <f t="shared" si="146"/>
        <v>913</v>
      </c>
      <c r="HB19" s="69">
        <f t="shared" si="147"/>
        <v>82</v>
      </c>
      <c r="HC19" s="11">
        <v>19</v>
      </c>
      <c r="HD19" s="12">
        <f t="shared" si="101"/>
        <v>2.0810514786418401E-2</v>
      </c>
      <c r="HE19" s="11"/>
      <c r="HF19" s="12">
        <f t="shared" si="102"/>
        <v>0</v>
      </c>
      <c r="HG19" s="13"/>
      <c r="HH19" s="11"/>
      <c r="HI19" s="25">
        <v>3637.2727272727275</v>
      </c>
      <c r="HJ19" s="38">
        <v>4128.666666666667</v>
      </c>
      <c r="HK19" s="10">
        <f t="shared" si="103"/>
        <v>0</v>
      </c>
      <c r="HL19" s="11">
        <f t="shared" si="104"/>
        <v>0</v>
      </c>
      <c r="HM19" s="11">
        <f t="shared" si="105"/>
        <v>12487</v>
      </c>
      <c r="HN19" s="11">
        <f t="shared" si="106"/>
        <v>1120</v>
      </c>
      <c r="HO19" s="11">
        <f t="shared" si="107"/>
        <v>221</v>
      </c>
      <c r="HP19" s="95">
        <f t="shared" si="108"/>
        <v>1.7698406342596302E-2</v>
      </c>
      <c r="HQ19" s="15">
        <f t="shared" si="109"/>
        <v>0</v>
      </c>
      <c r="HR19" s="12">
        <f t="shared" si="148"/>
        <v>0</v>
      </c>
      <c r="HS19" s="16"/>
      <c r="HT19" s="17"/>
      <c r="HU19" s="16">
        <f t="shared" si="110"/>
        <v>0</v>
      </c>
      <c r="HV19" s="23">
        <v>3583.2774390243903</v>
      </c>
      <c r="HW19" s="22">
        <v>4007.0434782608695</v>
      </c>
      <c r="HX19" s="73">
        <f t="shared" si="149"/>
        <v>1.6878886585726977E-2</v>
      </c>
      <c r="HY19" s="73">
        <f t="shared" si="150"/>
        <v>2.8972520908004781E-2</v>
      </c>
      <c r="HZ19" s="73">
        <f t="shared" si="151"/>
        <v>8.4985835694051E-3</v>
      </c>
      <c r="IA19" s="73">
        <f t="shared" si="152"/>
        <v>1.4635806671204902E-2</v>
      </c>
    </row>
    <row r="20" spans="1:244" x14ac:dyDescent="0.25">
      <c r="A20" s="374"/>
      <c r="B20" s="41">
        <f t="shared" si="111"/>
        <v>44954</v>
      </c>
      <c r="C20" s="10"/>
      <c r="D20" s="11"/>
      <c r="E20" s="69">
        <f>E19-C20</f>
        <v>850</v>
      </c>
      <c r="F20" s="69">
        <f>F19-D20</f>
        <v>75</v>
      </c>
      <c r="G20" s="11">
        <v>28</v>
      </c>
      <c r="H20" s="12">
        <f t="shared" si="68"/>
        <v>3.2941176470588238E-2</v>
      </c>
      <c r="I20" s="11"/>
      <c r="J20" s="12">
        <f t="shared" si="113"/>
        <v>0</v>
      </c>
      <c r="K20" s="13"/>
      <c r="L20" s="11"/>
      <c r="M20" s="39">
        <v>90.243902439024396</v>
      </c>
      <c r="N20" s="43">
        <v>100</v>
      </c>
      <c r="O20" s="10"/>
      <c r="P20" s="11"/>
      <c r="Q20" s="69">
        <f t="shared" si="114"/>
        <v>776</v>
      </c>
      <c r="R20" s="69">
        <f t="shared" si="115"/>
        <v>69</v>
      </c>
      <c r="S20" s="11">
        <v>25</v>
      </c>
      <c r="T20" s="12">
        <f t="shared" si="69"/>
        <v>3.2216494845360821E-2</v>
      </c>
      <c r="U20" s="11"/>
      <c r="V20" s="12">
        <f t="shared" si="70"/>
        <v>0</v>
      </c>
      <c r="W20" s="13"/>
      <c r="X20" s="11"/>
      <c r="Y20" s="39">
        <v>100</v>
      </c>
      <c r="Z20" s="43">
        <v>85.714285714285708</v>
      </c>
      <c r="AA20" s="10"/>
      <c r="AB20" s="11"/>
      <c r="AC20" s="69">
        <f t="shared" si="116"/>
        <v>198</v>
      </c>
      <c r="AD20" s="69">
        <f t="shared" si="117"/>
        <v>16</v>
      </c>
      <c r="AE20" s="11">
        <v>4</v>
      </c>
      <c r="AF20" s="12">
        <f t="shared" si="71"/>
        <v>2.0202020202020204E-2</v>
      </c>
      <c r="AG20" s="11"/>
      <c r="AH20" s="12">
        <f t="shared" si="72"/>
        <v>0</v>
      </c>
      <c r="AI20" s="13"/>
      <c r="AJ20" s="11"/>
      <c r="AK20" s="39">
        <v>100</v>
      </c>
      <c r="AL20" s="43">
        <v>100</v>
      </c>
      <c r="AM20" s="10"/>
      <c r="AN20" s="11"/>
      <c r="AO20" s="69">
        <f t="shared" si="118"/>
        <v>776</v>
      </c>
      <c r="AP20" s="69">
        <f t="shared" si="119"/>
        <v>69</v>
      </c>
      <c r="AQ20" s="11">
        <v>21</v>
      </c>
      <c r="AR20" s="12">
        <f t="shared" si="73"/>
        <v>2.7061855670103094E-2</v>
      </c>
      <c r="AS20" s="11"/>
      <c r="AT20" s="12">
        <f t="shared" si="74"/>
        <v>0</v>
      </c>
      <c r="AU20" s="13"/>
      <c r="AV20" s="11"/>
      <c r="AW20" s="39">
        <v>82.608695652173907</v>
      </c>
      <c r="AX20" s="43">
        <v>100</v>
      </c>
      <c r="AY20" s="10"/>
      <c r="AZ20" s="11"/>
      <c r="BA20" s="69">
        <f t="shared" si="120"/>
        <v>777</v>
      </c>
      <c r="BB20" s="69">
        <f t="shared" si="121"/>
        <v>69</v>
      </c>
      <c r="BC20" s="11">
        <v>20</v>
      </c>
      <c r="BD20" s="12">
        <f t="shared" si="75"/>
        <v>2.5740025740025738E-2</v>
      </c>
      <c r="BE20" s="11"/>
      <c r="BF20" s="12">
        <f t="shared" si="76"/>
        <v>0</v>
      </c>
      <c r="BG20" s="13"/>
      <c r="BH20" s="11"/>
      <c r="BI20" s="39">
        <v>95.555555555555557</v>
      </c>
      <c r="BJ20" s="43">
        <v>100</v>
      </c>
      <c r="BK20" s="10"/>
      <c r="BL20" s="11"/>
      <c r="BM20" s="69">
        <f t="shared" si="122"/>
        <v>849</v>
      </c>
      <c r="BN20" s="69">
        <f t="shared" si="123"/>
        <v>77</v>
      </c>
      <c r="BO20" s="11">
        <v>41</v>
      </c>
      <c r="BP20" s="12">
        <f t="shared" si="77"/>
        <v>4.8292108362779744E-2</v>
      </c>
      <c r="BQ20" s="11"/>
      <c r="BR20" s="12">
        <f t="shared" si="78"/>
        <v>0</v>
      </c>
      <c r="BS20" s="13"/>
      <c r="BT20" s="11"/>
      <c r="BU20" s="39">
        <v>95.91836734693878</v>
      </c>
      <c r="BV20" s="43">
        <v>100</v>
      </c>
      <c r="BW20" s="10"/>
      <c r="BX20" s="11"/>
      <c r="BY20" s="69">
        <f t="shared" si="124"/>
        <v>767</v>
      </c>
      <c r="BZ20" s="69">
        <f t="shared" si="125"/>
        <v>69</v>
      </c>
      <c r="CA20" s="11">
        <v>37</v>
      </c>
      <c r="CB20" s="12">
        <f t="shared" si="79"/>
        <v>4.8239895697522815E-2</v>
      </c>
      <c r="CC20" s="11"/>
      <c r="CD20" s="12">
        <f t="shared" si="80"/>
        <v>0</v>
      </c>
      <c r="CE20" s="13"/>
      <c r="CF20" s="11"/>
      <c r="CG20" s="39">
        <v>86.36363636363636</v>
      </c>
      <c r="CH20" s="43">
        <v>92.857142857142861</v>
      </c>
      <c r="CI20" s="10"/>
      <c r="CJ20" s="11"/>
      <c r="CK20" s="69">
        <f t="shared" si="126"/>
        <v>198</v>
      </c>
      <c r="CL20" s="69">
        <f t="shared" si="127"/>
        <v>17</v>
      </c>
      <c r="CM20" s="11">
        <v>7</v>
      </c>
      <c r="CN20" s="12">
        <f t="shared" si="81"/>
        <v>3.5353535353535352E-2</v>
      </c>
      <c r="CO20" s="11"/>
      <c r="CP20" s="12">
        <f t="shared" si="82"/>
        <v>0</v>
      </c>
      <c r="CQ20" s="13"/>
      <c r="CR20" s="11"/>
      <c r="CS20" s="39">
        <v>100</v>
      </c>
      <c r="CT20" s="43">
        <v>100</v>
      </c>
      <c r="CU20" s="10"/>
      <c r="CV20" s="11"/>
      <c r="CW20" s="69">
        <f t="shared" si="128"/>
        <v>766</v>
      </c>
      <c r="CX20" s="69">
        <f t="shared" si="129"/>
        <v>70</v>
      </c>
      <c r="CY20" s="11">
        <v>45</v>
      </c>
      <c r="CZ20" s="12">
        <f t="shared" si="83"/>
        <v>5.87467362924282E-2</v>
      </c>
      <c r="DA20" s="11"/>
      <c r="DB20" s="12">
        <f t="shared" si="84"/>
        <v>0</v>
      </c>
      <c r="DC20" s="13"/>
      <c r="DD20" s="11"/>
      <c r="DE20" s="39">
        <v>94</v>
      </c>
      <c r="DF20" s="43">
        <v>100</v>
      </c>
      <c r="DG20" s="10"/>
      <c r="DH20" s="11"/>
      <c r="DI20" s="69">
        <f t="shared" si="130"/>
        <v>768</v>
      </c>
      <c r="DJ20" s="69">
        <f t="shared" si="131"/>
        <v>70</v>
      </c>
      <c r="DK20" s="11">
        <v>30</v>
      </c>
      <c r="DL20" s="12">
        <f t="shared" si="85"/>
        <v>3.90625E-2</v>
      </c>
      <c r="DM20" s="11"/>
      <c r="DN20" s="12">
        <f t="shared" si="86"/>
        <v>0</v>
      </c>
      <c r="DO20" s="13"/>
      <c r="DP20" s="11"/>
      <c r="DQ20" s="39">
        <v>91.666666666666671</v>
      </c>
      <c r="DR20" s="43">
        <v>92.307692307692307</v>
      </c>
      <c r="DS20" s="10"/>
      <c r="DT20" s="11"/>
      <c r="DU20" s="69">
        <f t="shared" si="132"/>
        <v>868</v>
      </c>
      <c r="DV20" s="69">
        <f t="shared" si="133"/>
        <v>78</v>
      </c>
      <c r="DW20" s="11">
        <v>11</v>
      </c>
      <c r="DX20" s="12">
        <f t="shared" si="87"/>
        <v>1.2672811059907835E-2</v>
      </c>
      <c r="DY20" s="11"/>
      <c r="DZ20" s="12">
        <f t="shared" si="88"/>
        <v>0</v>
      </c>
      <c r="EA20" s="13"/>
      <c r="EB20" s="11"/>
      <c r="EC20" s="39">
        <v>86.04651162790698</v>
      </c>
      <c r="ED20" s="43">
        <v>100</v>
      </c>
      <c r="EE20" s="10"/>
      <c r="EF20" s="11"/>
      <c r="EG20" s="69">
        <f t="shared" si="134"/>
        <v>869</v>
      </c>
      <c r="EH20" s="69">
        <f t="shared" si="135"/>
        <v>79</v>
      </c>
      <c r="EI20" s="11">
        <v>15</v>
      </c>
      <c r="EJ20" s="12">
        <f t="shared" si="89"/>
        <v>1.7261219792865361E-2</v>
      </c>
      <c r="EK20" s="11"/>
      <c r="EL20" s="12">
        <f t="shared" si="90"/>
        <v>0</v>
      </c>
      <c r="EM20" s="13"/>
      <c r="EN20" s="11"/>
      <c r="EO20" s="39">
        <v>95.454545454545453</v>
      </c>
      <c r="EP20" s="43">
        <v>100</v>
      </c>
      <c r="EQ20" s="10"/>
      <c r="ER20" s="11"/>
      <c r="ES20" s="69">
        <f t="shared" si="136"/>
        <v>219</v>
      </c>
      <c r="ET20" s="69">
        <f t="shared" si="137"/>
        <v>18</v>
      </c>
      <c r="EU20" s="11">
        <v>1</v>
      </c>
      <c r="EV20" s="12">
        <f t="shared" si="91"/>
        <v>4.5662100456621002E-3</v>
      </c>
      <c r="EW20" s="11"/>
      <c r="EX20" s="12">
        <f t="shared" si="92"/>
        <v>0</v>
      </c>
      <c r="EY20" s="13"/>
      <c r="EZ20" s="11"/>
      <c r="FA20" s="39">
        <v>100</v>
      </c>
      <c r="FB20" s="43">
        <v>100</v>
      </c>
      <c r="FC20" s="10"/>
      <c r="FD20" s="11"/>
      <c r="FE20" s="69">
        <f t="shared" si="138"/>
        <v>868</v>
      </c>
      <c r="FF20" s="69">
        <f t="shared" si="139"/>
        <v>79</v>
      </c>
      <c r="FG20" s="11">
        <v>12</v>
      </c>
      <c r="FH20" s="12">
        <f t="shared" si="93"/>
        <v>1.3824884792626729E-2</v>
      </c>
      <c r="FI20" s="11"/>
      <c r="FJ20" s="12">
        <f t="shared" si="94"/>
        <v>0</v>
      </c>
      <c r="FK20" s="13"/>
      <c r="FL20" s="11"/>
      <c r="FM20" s="39">
        <v>93.181818181818187</v>
      </c>
      <c r="FN20" s="43">
        <v>100</v>
      </c>
      <c r="FO20" s="10"/>
      <c r="FP20" s="11"/>
      <c r="FQ20" s="69">
        <f t="shared" si="140"/>
        <v>913</v>
      </c>
      <c r="FR20" s="69">
        <f t="shared" si="141"/>
        <v>82</v>
      </c>
      <c r="FS20" s="11">
        <v>18</v>
      </c>
      <c r="FT20" s="12">
        <f t="shared" si="95"/>
        <v>1.9715224534501644E-2</v>
      </c>
      <c r="FU20" s="11"/>
      <c r="FV20" s="12">
        <f t="shared" si="96"/>
        <v>0</v>
      </c>
      <c r="FW20" s="13"/>
      <c r="FX20" s="11"/>
      <c r="FY20" s="39">
        <v>93.478260869565219</v>
      </c>
      <c r="FZ20" s="43">
        <v>88.888888888888886</v>
      </c>
      <c r="GA20" s="10"/>
      <c r="GB20" s="11"/>
      <c r="GC20" s="69">
        <f t="shared" si="142"/>
        <v>912</v>
      </c>
      <c r="GD20" s="69">
        <f t="shared" si="143"/>
        <v>82</v>
      </c>
      <c r="GE20" s="11">
        <v>21</v>
      </c>
      <c r="GF20" s="12">
        <f t="shared" si="97"/>
        <v>2.3026315789473683E-2</v>
      </c>
      <c r="GG20" s="11"/>
      <c r="GH20" s="12">
        <f t="shared" si="98"/>
        <v>0</v>
      </c>
      <c r="GI20" s="13"/>
      <c r="GJ20" s="11"/>
      <c r="GK20" s="39">
        <v>86.956521739130437</v>
      </c>
      <c r="GL20" s="43">
        <v>100</v>
      </c>
      <c r="GM20" s="10"/>
      <c r="GN20" s="11"/>
      <c r="GO20" s="69">
        <f t="shared" si="144"/>
        <v>200</v>
      </c>
      <c r="GP20" s="69">
        <f t="shared" si="145"/>
        <v>19</v>
      </c>
      <c r="GQ20" s="11">
        <v>5</v>
      </c>
      <c r="GR20" s="12">
        <f t="shared" si="99"/>
        <v>2.5000000000000001E-2</v>
      </c>
      <c r="GS20" s="11"/>
      <c r="GT20" s="12">
        <f t="shared" si="100"/>
        <v>0</v>
      </c>
      <c r="GU20" s="13"/>
      <c r="GV20" s="11"/>
      <c r="GW20" s="39">
        <v>88.888888888888886</v>
      </c>
      <c r="GX20" s="43">
        <v>100</v>
      </c>
      <c r="GY20" s="10"/>
      <c r="GZ20" s="11"/>
      <c r="HA20" s="69">
        <f t="shared" si="146"/>
        <v>913</v>
      </c>
      <c r="HB20" s="69">
        <f t="shared" si="147"/>
        <v>82</v>
      </c>
      <c r="HC20" s="11">
        <v>26</v>
      </c>
      <c r="HD20" s="12">
        <f t="shared" si="101"/>
        <v>2.8477546549835708E-2</v>
      </c>
      <c r="HE20" s="11"/>
      <c r="HF20" s="12">
        <f t="shared" si="102"/>
        <v>0</v>
      </c>
      <c r="HG20" s="13"/>
      <c r="HH20" s="11"/>
      <c r="HI20" s="39">
        <v>90.909090909090907</v>
      </c>
      <c r="HJ20" s="43">
        <v>100</v>
      </c>
      <c r="HK20" s="10">
        <f t="shared" si="103"/>
        <v>0</v>
      </c>
      <c r="HL20" s="11">
        <f t="shared" si="104"/>
        <v>0</v>
      </c>
      <c r="HM20" s="11">
        <f t="shared" si="105"/>
        <v>12487</v>
      </c>
      <c r="HN20" s="11">
        <f t="shared" si="106"/>
        <v>1120</v>
      </c>
      <c r="HO20" s="11">
        <f t="shared" si="107"/>
        <v>367</v>
      </c>
      <c r="HP20" s="95">
        <f t="shared" si="108"/>
        <v>2.9390566188836391E-2</v>
      </c>
      <c r="HQ20" s="15">
        <f t="shared" si="109"/>
        <v>0</v>
      </c>
      <c r="HR20" s="12">
        <f t="shared" si="148"/>
        <v>0</v>
      </c>
      <c r="HS20" s="16"/>
      <c r="HT20" s="17"/>
      <c r="HU20" s="16">
        <f t="shared" si="110"/>
        <v>0</v>
      </c>
      <c r="HV20" s="23">
        <v>90.853658536585371</v>
      </c>
      <c r="HW20" s="22">
        <v>95.652173913043484</v>
      </c>
      <c r="HX20" s="73">
        <f t="shared" si="149"/>
        <v>2.9019840094758661E-2</v>
      </c>
      <c r="HY20" s="73">
        <f t="shared" si="150"/>
        <v>4.778972520908005E-2</v>
      </c>
      <c r="HZ20" s="73">
        <f t="shared" si="151"/>
        <v>1.3810198300283285E-2</v>
      </c>
      <c r="IA20" s="73">
        <f t="shared" si="152"/>
        <v>2.3825731790333562E-2</v>
      </c>
      <c r="IF20" s="85">
        <f>IF21/IF22</f>
        <v>5.9189109203906483E-4</v>
      </c>
      <c r="IG20" s="85">
        <f>IG21/IG22</f>
        <v>8.9525514771709937E-4</v>
      </c>
      <c r="IH20" s="85">
        <f>IH21/IH22</f>
        <v>7.0771408351026188E-4</v>
      </c>
      <c r="II20" s="85">
        <f>II21/II22</f>
        <v>0</v>
      </c>
      <c r="IJ20" s="88" t="s">
        <v>90</v>
      </c>
    </row>
    <row r="21" spans="1:244" ht="19.5" thickBot="1" x14ac:dyDescent="0.3">
      <c r="A21" s="374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61</v>
      </c>
      <c r="H21" s="28">
        <f>((G21+I21)/7)/E20</f>
        <v>1.0252100840336134E-2</v>
      </c>
      <c r="I21" s="27">
        <f>SUM(I14:I20)</f>
        <v>0</v>
      </c>
      <c r="J21" s="28">
        <f>(I21/(I21+G21))</f>
        <v>0</v>
      </c>
      <c r="K21" s="27"/>
      <c r="L21" s="27"/>
      <c r="M21" s="29">
        <f>M19/M18*100-100</f>
        <v>4.3673892082991159</v>
      </c>
      <c r="N21" s="67">
        <f>N19/N18*100-100</f>
        <v>-4.3147208121827418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62</v>
      </c>
      <c r="T21" s="28">
        <f>((S21+U21)/7)/Q20</f>
        <v>1.1413843888070693E-2</v>
      </c>
      <c r="U21" s="27">
        <f>SUM(U14:U20)</f>
        <v>0</v>
      </c>
      <c r="V21" s="28">
        <f>(U21/(U21+S21))</f>
        <v>0</v>
      </c>
      <c r="W21" s="27"/>
      <c r="X21" s="27"/>
      <c r="Y21" s="29">
        <f>Y19/Y18*100-100</f>
        <v>5.7948678431070277</v>
      </c>
      <c r="Z21" s="67">
        <f>Z19/Z18*100-100</f>
        <v>2.8825235678027354</v>
      </c>
      <c r="AA21" s="26">
        <f>SUM(AA14:AA20)</f>
        <v>2</v>
      </c>
      <c r="AB21" s="27">
        <f>SUM(AB14:AB20)</f>
        <v>0</v>
      </c>
      <c r="AC21" s="27"/>
      <c r="AD21" s="27"/>
      <c r="AE21" s="27">
        <f>SUM(AE14:AE20)</f>
        <v>9</v>
      </c>
      <c r="AF21" s="28">
        <f>((AE21+AG21)/7)/AC20</f>
        <v>6.4935064935064939E-3</v>
      </c>
      <c r="AG21" s="27">
        <f>SUM(AG14:AG20)</f>
        <v>0</v>
      </c>
      <c r="AH21" s="28">
        <f>(AG21/(AG21+AE21))</f>
        <v>0</v>
      </c>
      <c r="AI21" s="27"/>
      <c r="AJ21" s="27"/>
      <c r="AK21" s="29">
        <f>AK19/AK18*100-100</f>
        <v>2.9948089977372518</v>
      </c>
      <c r="AL21" s="67">
        <f>AL19/AL18*100-100</f>
        <v>-2.1319796954314683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47</v>
      </c>
      <c r="AR21" s="28">
        <f>((AQ21+AS21)/7)/AO20</f>
        <v>8.652430044182622E-3</v>
      </c>
      <c r="AS21" s="27">
        <f>SUM(AS14:AS20)</f>
        <v>0</v>
      </c>
      <c r="AT21" s="28">
        <f>(AS21/(AS21+AQ21))</f>
        <v>0</v>
      </c>
      <c r="AU21" s="27"/>
      <c r="AV21" s="27"/>
      <c r="AW21" s="29">
        <f>AW19/AW18*100-100</f>
        <v>4.7806989623782528</v>
      </c>
      <c r="AX21" s="67">
        <f>AX19/AX18*100-100</f>
        <v>5.2030456852791787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45</v>
      </c>
      <c r="BD21" s="28">
        <f>((BC21+BE21)/7)/BA20</f>
        <v>8.2735797021511303E-3</v>
      </c>
      <c r="BE21" s="27">
        <f>SUM(BE14:BE20)</f>
        <v>0</v>
      </c>
      <c r="BF21" s="28">
        <f>(BE21/(BE21+BC21))</f>
        <v>0</v>
      </c>
      <c r="BG21" s="27"/>
      <c r="BH21" s="27"/>
      <c r="BI21" s="29">
        <f>BI19/BI18*100-100</f>
        <v>5.5929721815519713</v>
      </c>
      <c r="BJ21" s="67">
        <f>BJ19/BJ18*100-100</f>
        <v>2.4474256707759423</v>
      </c>
      <c r="BK21" s="26">
        <f>SUM(BK14:BK20)</f>
        <v>1</v>
      </c>
      <c r="BL21" s="27">
        <f>SUM(BL14:BL20)</f>
        <v>0</v>
      </c>
      <c r="BM21" s="27"/>
      <c r="BN21" s="27"/>
      <c r="BO21" s="27">
        <f>SUM(BO14:BO20)</f>
        <v>96</v>
      </c>
      <c r="BP21" s="28">
        <f>((BO21+BQ21)/7)/BM20</f>
        <v>1.6153457849570924E-2</v>
      </c>
      <c r="BQ21" s="27">
        <f>SUM(BQ14:BQ20)</f>
        <v>0</v>
      </c>
      <c r="BR21" s="28">
        <f>(BQ21/(BQ21+BO21))</f>
        <v>0</v>
      </c>
      <c r="BS21" s="27"/>
      <c r="BT21" s="27"/>
      <c r="BU21" s="29">
        <f>BU19/BU18*100-100</f>
        <v>4.789792930349293</v>
      </c>
      <c r="BV21" s="67">
        <f>BV19/BV18*100-100</f>
        <v>-0.50761421319796796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99</v>
      </c>
      <c r="CB21" s="28">
        <f>((CA21+CC21)/7)/BY20</f>
        <v>1.8439187930713353E-2</v>
      </c>
      <c r="CC21" s="27">
        <f>SUM(CC14:CC20)</f>
        <v>0</v>
      </c>
      <c r="CD21" s="28">
        <f>(CC21/(CC21+CA21))</f>
        <v>0</v>
      </c>
      <c r="CE21" s="27"/>
      <c r="CF21" s="27"/>
      <c r="CG21" s="29">
        <f>CG19/CG18*100-100</f>
        <v>4.3191800878477267</v>
      </c>
      <c r="CH21" s="67">
        <f>CH19/CH18*100-100</f>
        <v>3.462654097171864</v>
      </c>
      <c r="CI21" s="26">
        <f>SUM(CI14:CI20)</f>
        <v>2</v>
      </c>
      <c r="CJ21" s="27">
        <f>SUM(CJ14:CJ20)</f>
        <v>0</v>
      </c>
      <c r="CK21" s="27"/>
      <c r="CL21" s="27"/>
      <c r="CM21" s="27">
        <f>SUM(CM14:CM20)</f>
        <v>18</v>
      </c>
      <c r="CN21" s="28">
        <f>((CM21+CO21)/7)/CK20</f>
        <v>1.2987012987012988E-2</v>
      </c>
      <c r="CO21" s="27">
        <f>SUM(CO14:CO20)</f>
        <v>0</v>
      </c>
      <c r="CP21" s="28">
        <f>(CO21/(CO21+CM21))</f>
        <v>0</v>
      </c>
      <c r="CQ21" s="27"/>
      <c r="CR21" s="27"/>
      <c r="CS21" s="29">
        <f>CS19/CS18*100-100</f>
        <v>5.8432051111406906</v>
      </c>
      <c r="CT21" s="67">
        <f>CT19/CT18*100-100</f>
        <v>-1.9458544839255438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99</v>
      </c>
      <c r="CZ21" s="28">
        <f>((CY21+DA21)/7)/CW20</f>
        <v>1.846325997762029E-2</v>
      </c>
      <c r="DA21" s="27">
        <f>SUM(DA14:DA20)</f>
        <v>0</v>
      </c>
      <c r="DB21" s="28">
        <f>(DA21/(DA21+CY21))</f>
        <v>0</v>
      </c>
      <c r="DC21" s="27"/>
      <c r="DD21" s="27"/>
      <c r="DE21" s="29">
        <f>DE19/DE18*100-100</f>
        <v>5.5402635431917986</v>
      </c>
      <c r="DF21" s="67">
        <f>DF19/DF18*100-100</f>
        <v>7.1700507614213222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64</v>
      </c>
      <c r="DL21" s="28">
        <f>((DK21+DM21)/7)/DI20</f>
        <v>1.1904761904761904E-2</v>
      </c>
      <c r="DM21" s="27">
        <f>SUM(DM14:DM20)</f>
        <v>0</v>
      </c>
      <c r="DN21" s="28">
        <f>(DM21/(DM21+DK21))</f>
        <v>0</v>
      </c>
      <c r="DO21" s="27"/>
      <c r="DP21" s="27"/>
      <c r="DQ21" s="29">
        <f>DQ19/DQ18*100-100</f>
        <v>4.7746868391085115</v>
      </c>
      <c r="DR21" s="67">
        <f>DR19/DR18*100-100</f>
        <v>2.4209293244826142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32</v>
      </c>
      <c r="DX21" s="28">
        <f>((DW21+DY21)/7)/DU20</f>
        <v>5.2666227781435152E-3</v>
      </c>
      <c r="DY21" s="27">
        <f>SUM(DY14:DY20)</f>
        <v>0</v>
      </c>
      <c r="DZ21" s="28">
        <f>(DY21/(DY21+DW21))</f>
        <v>0</v>
      </c>
      <c r="EA21" s="27"/>
      <c r="EB21" s="27"/>
      <c r="EC21" s="29">
        <f>EC19/EC18*100-100</f>
        <v>4.5932786271238371</v>
      </c>
      <c r="ED21" s="67">
        <f>ED19/ED18*100-100</f>
        <v>-0.87246192893401542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25</v>
      </c>
      <c r="EJ21" s="28">
        <f>((EI21+EK21)/7)/EG20</f>
        <v>4.109814236396515E-3</v>
      </c>
      <c r="EK21" s="27">
        <f>SUM(EK14:EK20)</f>
        <v>0</v>
      </c>
      <c r="EL21" s="28">
        <f>(EK21/(EK21+EI21))</f>
        <v>0</v>
      </c>
      <c r="EM21" s="27"/>
      <c r="EN21" s="27"/>
      <c r="EO21" s="29">
        <f>EO19/EO18*100-100</f>
        <v>6.0961000931718274</v>
      </c>
      <c r="EP21" s="67">
        <f>EP19/EP18*100-100</f>
        <v>1.0628172588832427</v>
      </c>
      <c r="EQ21" s="26">
        <f>SUM(EQ14:EQ20)</f>
        <v>1</v>
      </c>
      <c r="ER21" s="27">
        <f>SUM(ER14:ER20)</f>
        <v>1</v>
      </c>
      <c r="ES21" s="27"/>
      <c r="ET21" s="27"/>
      <c r="EU21" s="27">
        <f>SUM(EU14:EU20)</f>
        <v>1</v>
      </c>
      <c r="EV21" s="28">
        <f>((EU21+EW21)/7)/ES20</f>
        <v>6.5231572080887146E-4</v>
      </c>
      <c r="EW21" s="27">
        <f>SUM(EW14:EW20)</f>
        <v>0</v>
      </c>
      <c r="EX21" s="28">
        <f>(EW21/(EW21+EU21))</f>
        <v>0</v>
      </c>
      <c r="EY21" s="27"/>
      <c r="EZ21" s="27"/>
      <c r="FA21" s="29">
        <f>FA19/FA18*100-100</f>
        <v>-2.554091426712219</v>
      </c>
      <c r="FB21" s="67">
        <f>FB19/FB18*100-100</f>
        <v>-0.31725888324872642</v>
      </c>
      <c r="FC21" s="26">
        <f>SUM(FC14:FC20)</f>
        <v>1</v>
      </c>
      <c r="FD21" s="27">
        <f>SUM(FD14:FD20)</f>
        <v>0</v>
      </c>
      <c r="FE21" s="27"/>
      <c r="FF21" s="27"/>
      <c r="FG21" s="27">
        <f>SUM(FG14:FG20)</f>
        <v>39</v>
      </c>
      <c r="FH21" s="28">
        <f>((FG21+FI21)/7)/FE20</f>
        <v>6.4186965108624094E-3</v>
      </c>
      <c r="FI21" s="27">
        <f>SUM(FI14:FI20)</f>
        <v>0</v>
      </c>
      <c r="FJ21" s="28">
        <f>(FI21/(FI21+FG21))</f>
        <v>0</v>
      </c>
      <c r="FK21" s="27"/>
      <c r="FL21" s="27"/>
      <c r="FM21" s="29">
        <f>FM19/FM18*100-100</f>
        <v>6.8081991215226907</v>
      </c>
      <c r="FN21" s="67">
        <f>FN19/FN18*100-100</f>
        <v>2.5530008957897792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37</v>
      </c>
      <c r="FT21" s="28">
        <f>((FS21+FU21)/7)/FQ20</f>
        <v>5.7893913315600065E-3</v>
      </c>
      <c r="FU21" s="27">
        <f>SUM(FU14:FU20)</f>
        <v>0</v>
      </c>
      <c r="FV21" s="28">
        <f>(FU21/(FU21+FS21))</f>
        <v>0</v>
      </c>
      <c r="FW21" s="27"/>
      <c r="FX21" s="27"/>
      <c r="FY21" s="29">
        <f>FY19/FY18*100-100</f>
        <v>4.0740976510280689</v>
      </c>
      <c r="FZ21" s="67">
        <f>FZ19/FZ18*100-100</f>
        <v>1.5651438240270608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44</v>
      </c>
      <c r="GF21" s="28">
        <f>((GE21+GG21)/7)/GC20</f>
        <v>6.8922305764411024E-3</v>
      </c>
      <c r="GG21" s="27">
        <f>SUM(GG14:GG20)</f>
        <v>0</v>
      </c>
      <c r="GH21" s="28">
        <f>(GG21/(GG21+GE21))</f>
        <v>0</v>
      </c>
      <c r="GI21" s="27"/>
      <c r="GJ21" s="27"/>
      <c r="GK21" s="29">
        <f>GK19/GK18*100-100</f>
        <v>4.0995607613469929</v>
      </c>
      <c r="GL21" s="67">
        <f>GL19/GL18*100-100</f>
        <v>1.7915795759928272</v>
      </c>
      <c r="GM21" s="26">
        <f>SUM(GM14:GM20)</f>
        <v>0</v>
      </c>
      <c r="GN21" s="27">
        <f>SUM(GN14:GN20)</f>
        <v>1</v>
      </c>
      <c r="GO21" s="27"/>
      <c r="GP21" s="27"/>
      <c r="GQ21" s="27">
        <f>SUM(GQ14:GQ20)</f>
        <v>9</v>
      </c>
      <c r="GR21" s="28">
        <f>((GQ21+GS21)/7)/GO20</f>
        <v>6.4285714285714293E-3</v>
      </c>
      <c r="GS21" s="27">
        <f>SUM(GS14:GS20)</f>
        <v>0</v>
      </c>
      <c r="GT21" s="28">
        <f>(GS21/(GS21+GQ21))</f>
        <v>0</v>
      </c>
      <c r="GU21" s="27"/>
      <c r="GV21" s="27"/>
      <c r="GW21" s="29">
        <f>GW19/GW18*100-100</f>
        <v>-1.5454693346347881</v>
      </c>
      <c r="GX21" s="67">
        <f>GX19/GX18*100-100</f>
        <v>-0.63451776649746705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70</v>
      </c>
      <c r="HD21" s="28">
        <f>((HC21+HE21)/7)/HA20</f>
        <v>1.0952902519167579E-2</v>
      </c>
      <c r="HE21" s="27">
        <f>SUM(HE14:HE20)</f>
        <v>0</v>
      </c>
      <c r="HF21" s="28">
        <f>(HE21/(HE21+HC21))</f>
        <v>0</v>
      </c>
      <c r="HG21" s="27"/>
      <c r="HH21" s="27"/>
      <c r="HI21" s="29">
        <f>HI19/HI18*100-100</f>
        <v>6.5087182217489641</v>
      </c>
      <c r="HJ21" s="67">
        <f>HJ19/HJ18*100-100</f>
        <v>4.7884940778341871</v>
      </c>
      <c r="HK21" s="26">
        <f t="shared" si="103"/>
        <v>7</v>
      </c>
      <c r="HL21" s="27">
        <f t="shared" si="104"/>
        <v>2</v>
      </c>
      <c r="HM21" s="27">
        <f t="shared" si="105"/>
        <v>0</v>
      </c>
      <c r="HN21" s="27">
        <f t="shared" si="106"/>
        <v>0</v>
      </c>
      <c r="HO21" s="27">
        <f t="shared" si="107"/>
        <v>857</v>
      </c>
      <c r="HP21" s="96">
        <f>+((HO21)/HM20)/7</f>
        <v>9.80448237595671E-3</v>
      </c>
      <c r="HQ21" s="62">
        <f t="shared" si="109"/>
        <v>0</v>
      </c>
      <c r="HR21" s="52">
        <f t="shared" si="148"/>
        <v>0</v>
      </c>
      <c r="HS21" s="53">
        <f>SUM(HS14:HS20)/7</f>
        <v>0</v>
      </c>
      <c r="HT21" s="54">
        <f>SUM(HT14:HT20)</f>
        <v>0</v>
      </c>
      <c r="HU21" s="53">
        <f>AVERAGE(HU14:HU20)</f>
        <v>0</v>
      </c>
      <c r="HV21" s="63">
        <f>HV19/HV18*100-100</f>
        <v>4.9275970431739609</v>
      </c>
      <c r="HW21" s="67">
        <f>HW19/HW18*100-100</f>
        <v>1.7016111233723308</v>
      </c>
      <c r="HX21" s="73">
        <f>SUM(G21,I21,S21,U21,AE21,AG21,AQ21,AS21,BC21,BE21)/7/SUM(E20,Q20,AC20,AO20,BA20)</f>
        <v>9.4758661533905827E-3</v>
      </c>
      <c r="HY21" s="73">
        <f>SUM(BO21,BQ21,CA21,CC21,CM21,CO21,CY21,DA21,DK21,DM21)/7/SUM(BM20,BY20,CK20,CW20,DI20)</f>
        <v>1.6043693463048302E-2</v>
      </c>
      <c r="HZ21" s="73">
        <f>SUM(DW21,DY21,EI21,EK21,EU21,EW21,FG21,FI21)/7/SUM(DU20,EG20,ES20,FE20)</f>
        <v>4.9069202751922296E-3</v>
      </c>
      <c r="IA21" s="73">
        <f>SUM(FS21,FU21,GE21,GG21,GQ21,GS21,HC21,HE21)/7/SUM(FQ20,GC20,GO20,HA20)</f>
        <v>7.7798307886803465E-3</v>
      </c>
      <c r="IB21" s="84">
        <f>SUM(I21,U21,AG21,AS21,BE21)/SUM(G21,I21,S21,U21,AE21,AG21,AQ21,AS21,BC21,BE21)</f>
        <v>0</v>
      </c>
      <c r="IC21" s="84">
        <f>SUM(BQ21,CC21,CO21,DA21,DM21)/SUM(BO21,BQ21,CA21,CC21,CM21,CO21,CY21,DA21,DK21,DM21)</f>
        <v>0</v>
      </c>
      <c r="ID21" s="84">
        <f>SUM(DY21,EK21,EW21,FI21)/SUM(DW21,DY21,EI21,EK21,EU21,EW21,FG21,FI21)</f>
        <v>0</v>
      </c>
      <c r="IE21" s="84">
        <f>SUM(FU21,GG21,GS21,HE21)/SUM(FS21,FU21,GE21,GG21,GQ21,GS21,HC21,HE21)</f>
        <v>0</v>
      </c>
      <c r="IF21" s="86">
        <f>SUM(C21,O21,AA21,AM21,AY21)</f>
        <v>2</v>
      </c>
      <c r="IG21" s="86">
        <f>SUM(BK21,BW21,CI21,CU21,DG21)</f>
        <v>3</v>
      </c>
      <c r="IH21" s="86">
        <f>SUM(DS21,EE21,EQ21,FC21)</f>
        <v>2</v>
      </c>
      <c r="II21" s="86">
        <f>SUM(FO21,GA21,GM21,GY21)</f>
        <v>0</v>
      </c>
      <c r="IJ21" s="88" t="s">
        <v>89</v>
      </c>
    </row>
    <row r="22" spans="1:244" ht="19.5" thickBot="1" x14ac:dyDescent="0.3">
      <c r="A22" s="56"/>
      <c r="B22" s="83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HK21/HM14</f>
        <v>5.6031377571440005E-4</v>
      </c>
      <c r="HL22" s="66">
        <f>HL21/HN14</f>
        <v>1.7841213202497771E-3</v>
      </c>
      <c r="HM22" s="45"/>
      <c r="HN22" s="45"/>
      <c r="HO22" s="45"/>
      <c r="HP22" s="98"/>
      <c r="HQ22" s="45"/>
      <c r="HR22" s="45"/>
      <c r="HS22" s="45"/>
      <c r="HT22" s="55"/>
      <c r="HU22" s="45"/>
      <c r="HV22" s="45"/>
      <c r="HW22" s="46"/>
      <c r="HY22" s="72"/>
      <c r="HZ22" s="72"/>
      <c r="IA22" s="72"/>
      <c r="IF22" s="86">
        <f>SUM(E11,Q11,AC11,AO11,BA11)</f>
        <v>3379</v>
      </c>
      <c r="IG22" s="86">
        <f>SUM(BM11,BY11,CK11,CW11,DI11)</f>
        <v>3351</v>
      </c>
      <c r="IH22" s="86">
        <f>SUM(DU11,EG11,ES11,FE11)</f>
        <v>2826</v>
      </c>
      <c r="II22" s="86">
        <f>SUM(FQ11,GC11,GO11,HA11)</f>
        <v>2938</v>
      </c>
      <c r="IJ22" s="88" t="s">
        <v>84</v>
      </c>
    </row>
    <row r="23" spans="1:244" x14ac:dyDescent="0.25">
      <c r="A23" s="373">
        <v>27</v>
      </c>
      <c r="B23" s="68">
        <f>B20+1</f>
        <v>44955</v>
      </c>
      <c r="C23" s="33"/>
      <c r="D23" s="34"/>
      <c r="E23" s="34">
        <f>E20-C23</f>
        <v>850</v>
      </c>
      <c r="F23" s="34">
        <f>F20-D23</f>
        <v>75</v>
      </c>
      <c r="G23" s="34">
        <v>37</v>
      </c>
      <c r="H23" s="35">
        <f t="shared" ref="H23:H29" si="153">((G23+I23)/E23)</f>
        <v>4.3529411764705879E-2</v>
      </c>
      <c r="I23" s="34"/>
      <c r="J23" s="35">
        <f>I23/(G23+I23)</f>
        <v>0</v>
      </c>
      <c r="K23" s="166">
        <v>120.8</v>
      </c>
      <c r="L23" s="34"/>
      <c r="M23" s="34"/>
      <c r="N23" s="37"/>
      <c r="O23" s="33"/>
      <c r="P23" s="34"/>
      <c r="Q23" s="34">
        <f>Q20-O23</f>
        <v>776</v>
      </c>
      <c r="R23" s="34">
        <f>R20-P23</f>
        <v>69</v>
      </c>
      <c r="S23" s="34">
        <v>33</v>
      </c>
      <c r="T23" s="35">
        <f t="shared" ref="T23:T29" si="154">((S23+U23)/Q23)</f>
        <v>4.252577319587629E-2</v>
      </c>
      <c r="U23" s="34"/>
      <c r="V23" s="35">
        <f t="shared" ref="V23:V29" si="155">U23/(S23+U23)</f>
        <v>0</v>
      </c>
      <c r="W23" s="166">
        <v>118.4</v>
      </c>
      <c r="X23" s="34"/>
      <c r="Y23" s="34"/>
      <c r="Z23" s="37"/>
      <c r="AA23" s="33"/>
      <c r="AB23" s="34"/>
      <c r="AC23" s="34">
        <f>AC20-AA23</f>
        <v>198</v>
      </c>
      <c r="AD23" s="34">
        <f>AD20-AB23</f>
        <v>16</v>
      </c>
      <c r="AE23" s="34">
        <v>3</v>
      </c>
      <c r="AF23" s="35">
        <f t="shared" ref="AF23:AF29" si="156">((AE23+AG23)/AC23)</f>
        <v>1.5151515151515152E-2</v>
      </c>
      <c r="AG23" s="34"/>
      <c r="AH23" s="35">
        <f t="shared" ref="AH23:AH29" si="157">AG23/(AE23+AG23)</f>
        <v>0</v>
      </c>
      <c r="AI23" s="36"/>
      <c r="AJ23" s="34"/>
      <c r="AK23" s="34"/>
      <c r="AL23" s="37"/>
      <c r="AM23" s="33"/>
      <c r="AN23" s="34"/>
      <c r="AO23" s="34">
        <f>AO20-AM23</f>
        <v>776</v>
      </c>
      <c r="AP23" s="34">
        <f>AP20-AN23</f>
        <v>69</v>
      </c>
      <c r="AQ23" s="34">
        <v>25</v>
      </c>
      <c r="AR23" s="35">
        <f t="shared" ref="AR23:AR29" si="158">((AQ23+AS23)/AO23)</f>
        <v>3.2216494845360821E-2</v>
      </c>
      <c r="AS23" s="34"/>
      <c r="AT23" s="35">
        <f t="shared" ref="AT23:AT29" si="159">AS23/(AQ23+AS23)</f>
        <v>0</v>
      </c>
      <c r="AU23" s="36"/>
      <c r="AV23" s="34"/>
      <c r="AW23" s="34"/>
      <c r="AX23" s="37"/>
      <c r="AY23" s="33"/>
      <c r="AZ23" s="34"/>
      <c r="BA23" s="34">
        <f>BA20-AY23</f>
        <v>777</v>
      </c>
      <c r="BB23" s="34">
        <f>BB20-AZ23</f>
        <v>69</v>
      </c>
      <c r="BC23" s="34">
        <v>27</v>
      </c>
      <c r="BD23" s="35">
        <f t="shared" ref="BD23:BD29" si="160">((BC23+BE23)/BA23)</f>
        <v>3.4749034749034749E-2</v>
      </c>
      <c r="BE23" s="34"/>
      <c r="BF23" s="35">
        <f t="shared" ref="BF23:BF29" si="161">BE23/(BC23+BE23)</f>
        <v>0</v>
      </c>
      <c r="BG23" s="36"/>
      <c r="BH23" s="34"/>
      <c r="BI23" s="34"/>
      <c r="BJ23" s="37"/>
      <c r="BK23" s="33"/>
      <c r="BL23" s="34"/>
      <c r="BM23" s="34">
        <f>BM20-BK23</f>
        <v>849</v>
      </c>
      <c r="BN23" s="34">
        <f>BN20-BL23</f>
        <v>77</v>
      </c>
      <c r="BO23" s="34">
        <v>60</v>
      </c>
      <c r="BP23" s="35">
        <f t="shared" ref="BP23:BP29" si="162">((BO23+BQ23)/BM23)</f>
        <v>7.1849234393404002E-2</v>
      </c>
      <c r="BQ23" s="34">
        <v>1</v>
      </c>
      <c r="BR23" s="35">
        <f t="shared" ref="BR23:BR29" si="163">BQ23/(BO23+BQ23)</f>
        <v>1.6393442622950821E-2</v>
      </c>
      <c r="BS23" s="166">
        <v>124.6</v>
      </c>
      <c r="BT23" s="34"/>
      <c r="BU23" s="34"/>
      <c r="BV23" s="37"/>
      <c r="BW23" s="33"/>
      <c r="BX23" s="34"/>
      <c r="BY23" s="34">
        <f>BY20-BW23</f>
        <v>767</v>
      </c>
      <c r="BZ23" s="34">
        <f>BZ20-BX23</f>
        <v>69</v>
      </c>
      <c r="CA23" s="34">
        <v>55</v>
      </c>
      <c r="CB23" s="35">
        <f t="shared" ref="CB23:CB29" si="164">((CA23+CC23)/BY23)</f>
        <v>7.5619295958279015E-2</v>
      </c>
      <c r="CC23" s="34">
        <v>3</v>
      </c>
      <c r="CD23" s="35">
        <f t="shared" ref="CD23:CD29" si="165">CC23/(CA23+CC23)</f>
        <v>5.1724137931034482E-2</v>
      </c>
      <c r="CE23" s="166">
        <v>123.2</v>
      </c>
      <c r="CF23" s="34"/>
      <c r="CG23" s="34"/>
      <c r="CH23" s="37"/>
      <c r="CI23" s="33"/>
      <c r="CJ23" s="34"/>
      <c r="CK23" s="34">
        <f>CK20-CI23</f>
        <v>198</v>
      </c>
      <c r="CL23" s="34">
        <f>CL20-CJ23</f>
        <v>17</v>
      </c>
      <c r="CM23" s="34">
        <v>10</v>
      </c>
      <c r="CN23" s="35">
        <f t="shared" ref="CN23:CN29" si="166">((CM23+CO23)/CK23)</f>
        <v>5.0505050505050504E-2</v>
      </c>
      <c r="CO23" s="34"/>
      <c r="CP23" s="35">
        <f t="shared" ref="CP23:CP29" si="167">CO23/(CM23+CO23)</f>
        <v>0</v>
      </c>
      <c r="CQ23" s="166">
        <v>126</v>
      </c>
      <c r="CR23" s="34"/>
      <c r="CS23" s="34"/>
      <c r="CT23" s="37"/>
      <c r="CU23" s="33"/>
      <c r="CV23" s="34"/>
      <c r="CW23" s="34">
        <f>CW20-CU23</f>
        <v>766</v>
      </c>
      <c r="CX23" s="34">
        <f>CX20-CV23</f>
        <v>70</v>
      </c>
      <c r="CY23" s="34">
        <v>54</v>
      </c>
      <c r="CZ23" s="35">
        <f t="shared" ref="CZ23:CZ29" si="168">((CY23+DA23)/CW23)</f>
        <v>7.7023498694516968E-2</v>
      </c>
      <c r="DA23" s="34">
        <v>5</v>
      </c>
      <c r="DB23" s="35">
        <f t="shared" ref="DB23:DB29" si="169">DA23/(CY23+DA23)</f>
        <v>8.4745762711864403E-2</v>
      </c>
      <c r="DC23" s="166">
        <v>122.7</v>
      </c>
      <c r="DD23" s="34"/>
      <c r="DE23" s="34"/>
      <c r="DF23" s="37"/>
      <c r="DG23" s="33"/>
      <c r="DH23" s="34"/>
      <c r="DI23" s="34">
        <f>DI20-DG23</f>
        <v>768</v>
      </c>
      <c r="DJ23" s="34">
        <f>DJ20-DH23</f>
        <v>70</v>
      </c>
      <c r="DK23" s="34">
        <v>52</v>
      </c>
      <c r="DL23" s="35">
        <f t="shared" ref="DL23:DL29" si="170">((DK23+DM23)/DI23)</f>
        <v>7.2916666666666671E-2</v>
      </c>
      <c r="DM23" s="34">
        <v>4</v>
      </c>
      <c r="DN23" s="35">
        <f t="shared" ref="DN23:DN29" si="171">DM23/(DK23+DM23)</f>
        <v>7.1428571428571425E-2</v>
      </c>
      <c r="DO23" s="166">
        <v>121.8</v>
      </c>
      <c r="DP23" s="34"/>
      <c r="DQ23" s="34"/>
      <c r="DR23" s="37"/>
      <c r="DS23" s="33"/>
      <c r="DT23" s="34"/>
      <c r="DU23" s="34">
        <f>DU20-DS23</f>
        <v>868</v>
      </c>
      <c r="DV23" s="34">
        <f>DV20-DT23</f>
        <v>78</v>
      </c>
      <c r="DW23" s="34">
        <v>18</v>
      </c>
      <c r="DX23" s="35">
        <f t="shared" ref="DX23:DX29" si="172">((DW23+DY23)/DU23)</f>
        <v>2.0737327188940093E-2</v>
      </c>
      <c r="DY23" s="34"/>
      <c r="DZ23" s="35">
        <f t="shared" ref="DZ23:DZ29" si="173">DY23/(DW23+DY23)</f>
        <v>0</v>
      </c>
      <c r="EA23" s="36"/>
      <c r="EB23" s="34"/>
      <c r="EC23" s="34"/>
      <c r="ED23" s="37"/>
      <c r="EE23" s="33"/>
      <c r="EF23" s="34"/>
      <c r="EG23" s="34">
        <f>EG20-EE23</f>
        <v>869</v>
      </c>
      <c r="EH23" s="34">
        <f>EH20-EF23</f>
        <v>79</v>
      </c>
      <c r="EI23" s="34">
        <v>16</v>
      </c>
      <c r="EJ23" s="35">
        <f t="shared" ref="EJ23:EJ29" si="174">((EI23+EK23)/EG23)</f>
        <v>1.8411967779056387E-2</v>
      </c>
      <c r="EK23" s="34"/>
      <c r="EL23" s="35">
        <f t="shared" ref="EL23:EL29" si="175">EK23/(EI23+EK23)</f>
        <v>0</v>
      </c>
      <c r="EM23" s="36"/>
      <c r="EN23" s="34"/>
      <c r="EO23" s="34"/>
      <c r="EP23" s="37"/>
      <c r="EQ23" s="33"/>
      <c r="ER23" s="34"/>
      <c r="ES23" s="34">
        <f>ES20-EQ23</f>
        <v>219</v>
      </c>
      <c r="ET23" s="34">
        <f>ET20-ER23</f>
        <v>18</v>
      </c>
      <c r="EU23" s="34">
        <v>2</v>
      </c>
      <c r="EV23" s="35">
        <f t="shared" ref="EV23:EV29" si="176">((EU23+EW23)/ES23)</f>
        <v>9.1324200913242004E-3</v>
      </c>
      <c r="EW23" s="34"/>
      <c r="EX23" s="35">
        <f t="shared" ref="EX23:EX29" si="177">EW23/(EU23+EW23)</f>
        <v>0</v>
      </c>
      <c r="EY23" s="36"/>
      <c r="EZ23" s="34"/>
      <c r="FA23" s="34"/>
      <c r="FB23" s="37"/>
      <c r="FC23" s="33"/>
      <c r="FD23" s="34"/>
      <c r="FE23" s="34">
        <f>FE20-FC23</f>
        <v>868</v>
      </c>
      <c r="FF23" s="34">
        <f>FF20-FD23</f>
        <v>79</v>
      </c>
      <c r="FG23" s="34">
        <v>19</v>
      </c>
      <c r="FH23" s="35">
        <f t="shared" ref="FH23:FH29" si="178">((FG23+FI23)/FE23)</f>
        <v>2.1889400921658985E-2</v>
      </c>
      <c r="FI23" s="34"/>
      <c r="FJ23" s="35">
        <f t="shared" ref="FJ23:FJ29" si="179">FI23/(FG23+FI23)</f>
        <v>0</v>
      </c>
      <c r="FK23" s="36"/>
      <c r="FL23" s="34"/>
      <c r="FM23" s="34"/>
      <c r="FN23" s="37"/>
      <c r="FO23" s="33"/>
      <c r="FP23" s="34"/>
      <c r="FQ23" s="34">
        <f>FQ20-FO23</f>
        <v>913</v>
      </c>
      <c r="FR23" s="34">
        <f>FR20-FP23</f>
        <v>82</v>
      </c>
      <c r="FS23" s="34">
        <v>23</v>
      </c>
      <c r="FT23" s="35">
        <f t="shared" ref="FT23:FT29" si="180">((FS23+FU23)/FQ23)</f>
        <v>2.5191675794085433E-2</v>
      </c>
      <c r="FU23" s="34"/>
      <c r="FV23" s="35">
        <f t="shared" ref="FV23:FV29" si="181">FU23/(FS23+FU23)</f>
        <v>0</v>
      </c>
      <c r="FW23" s="36"/>
      <c r="FX23" s="34"/>
      <c r="FY23" s="34"/>
      <c r="FZ23" s="37"/>
      <c r="GA23" s="33"/>
      <c r="GB23" s="34"/>
      <c r="GC23" s="34">
        <f>GC20-GA23</f>
        <v>912</v>
      </c>
      <c r="GD23" s="34">
        <f>GD20-GB23</f>
        <v>82</v>
      </c>
      <c r="GE23" s="34">
        <v>23</v>
      </c>
      <c r="GF23" s="35">
        <f t="shared" ref="GF23:GF29" si="182">((GE23+GG23)/GC23)</f>
        <v>2.5219298245614034E-2</v>
      </c>
      <c r="GG23" s="34"/>
      <c r="GH23" s="35">
        <f t="shared" ref="GH23:GH29" si="183">GG23/(GE23+GG23)</f>
        <v>0</v>
      </c>
      <c r="GI23" s="36"/>
      <c r="GJ23" s="34"/>
      <c r="GK23" s="34"/>
      <c r="GL23" s="37"/>
      <c r="GM23" s="33"/>
      <c r="GN23" s="34"/>
      <c r="GO23" s="34">
        <f>GO20-GM23</f>
        <v>200</v>
      </c>
      <c r="GP23" s="34">
        <f>GP20-GN23</f>
        <v>19</v>
      </c>
      <c r="GQ23" s="34">
        <v>8</v>
      </c>
      <c r="GR23" s="35">
        <f t="shared" ref="GR23:GR29" si="184">((GQ23+GS23)/GO23)</f>
        <v>0.04</v>
      </c>
      <c r="GS23" s="34"/>
      <c r="GT23" s="35">
        <f t="shared" ref="GT23:GT29" si="185">GS23/(GQ23+GS23)</f>
        <v>0</v>
      </c>
      <c r="GU23" s="36"/>
      <c r="GV23" s="34"/>
      <c r="GW23" s="34"/>
      <c r="GX23" s="37"/>
      <c r="GY23" s="33"/>
      <c r="GZ23" s="34"/>
      <c r="HA23" s="34">
        <f>HA20-GY23</f>
        <v>913</v>
      </c>
      <c r="HB23" s="34">
        <f>HB20-GZ23</f>
        <v>82</v>
      </c>
      <c r="HC23" s="34">
        <v>38</v>
      </c>
      <c r="HD23" s="35">
        <f t="shared" ref="HD23:HD29" si="186">((HC23+HE23)/HA23)</f>
        <v>4.1621029572836803E-2</v>
      </c>
      <c r="HE23" s="34"/>
      <c r="HF23" s="35">
        <f t="shared" ref="HF23:HF29" si="187">HE23/(HC23+HE23)</f>
        <v>0</v>
      </c>
      <c r="HG23" s="36"/>
      <c r="HH23" s="34"/>
      <c r="HI23" s="34"/>
      <c r="HJ23" s="37"/>
      <c r="HK23" s="33">
        <f t="shared" ref="HK23:HK30" si="188">+C23+O23+AA23+AM23+AY23+BK23+BW23+CI23+CU23+DG23+DS23+EE23+EQ23+FC23+FO23+GA23+GM23+GY23</f>
        <v>0</v>
      </c>
      <c r="HL23" s="34">
        <f t="shared" ref="HL23:HL30" si="189">+D23+P23+AB23+AN23+AZ23+BL23+BX23+CJ23+CV23+DH23+DT23+EF23+ER23+FD23+FP23+GB23+GN23+GZ23</f>
        <v>0</v>
      </c>
      <c r="HM23" s="34">
        <f t="shared" ref="HM23:HM30" si="190">+E23+Q23+AC23+AO23+BA23+BM23+BY23+CK23+CW23+DI23+DU23+EG23+ES23+FE23+FQ23+GC23+GO23+HA23</f>
        <v>12487</v>
      </c>
      <c r="HN23" s="34">
        <f t="shared" ref="HN23:HN30" si="191">+F23+R23+AD23+AP23+BB23+BN23+BZ23+CL23+CX23+DJ23+DV23+EH23+ET23+FF23+FR23+GD23+GP23+HB23</f>
        <v>1120</v>
      </c>
      <c r="HO23" s="34">
        <f t="shared" ref="HO23:HO30" si="192">+G23+S23+AE23+AQ23+BC23+BO23+CA23+CM23+CY23+DK23+DW23+EI23+EU23+FG23+FS23+GE23+GQ23+HC23+I23+U23+AG23+AS23+BE23+BQ23+CC23+CO23+DA23+DM23+DY23+EK23+EW23+FI23+FU23+GG23+GS23+HE23</f>
        <v>516</v>
      </c>
      <c r="HP23" s="94">
        <f t="shared" ref="HP23:HP29" si="193">+(HO23)/HM23</f>
        <v>4.1322975894930725E-2</v>
      </c>
      <c r="HQ23" s="48">
        <f t="shared" ref="HQ23:HQ30" si="194">+I23+U23+AG23+AS23+BE23+BQ23+CC23+CO23+DA23+DM23+DY23+EK23+EW23+FI23+FU23+GG23+GS23+HE23</f>
        <v>13</v>
      </c>
      <c r="HR23" s="35">
        <f t="shared" ref="HR23:HR30" si="195">+(HQ23/(HO23))</f>
        <v>2.5193798449612403E-2</v>
      </c>
      <c r="HS23" s="49"/>
      <c r="HT23" s="50"/>
      <c r="HU23" s="49">
        <f t="shared" ref="HU23:HU29" si="196">+HT23/HO23*100</f>
        <v>0</v>
      </c>
      <c r="HV23" s="48"/>
      <c r="HW23" s="37"/>
      <c r="HX23" s="73">
        <f t="shared" ref="HX23:HX29" si="197">SUM(G23,I23,S23,U23,AE23,AG23,AQ23,AS23,BC23,BE23)/SUM(E23,Q23,AC23,AO23,BA23)</f>
        <v>3.7015102161681968E-2</v>
      </c>
      <c r="HY23" s="73">
        <f t="shared" ref="HY23:HY29" si="198">SUM(BO23,BQ23,CA23,CC23,CM23,CO23,CY23,DA23,DK23,DM23)/SUM(BM23,BY23,CK23,CW23,DI23)</f>
        <v>7.2879330943847076E-2</v>
      </c>
      <c r="HZ23" s="73">
        <f t="shared" ref="HZ23:HZ29" si="199">SUM(DW23,DY23,EI23,EK23,EU23,EW23,FG23,FI23)/SUM(DU23,EG23,ES23,FE23)</f>
        <v>1.9475920679886686E-2</v>
      </c>
      <c r="IA23" s="73">
        <f t="shared" ref="IA23:IA29" si="200">SUM(FS23,FU23,GE23,GG23,GQ23,GS23,HC23,HE23)/SUM(FQ23,GC23,GO23,HA23)</f>
        <v>3.1313818924438394E-2</v>
      </c>
    </row>
    <row r="24" spans="1:244" x14ac:dyDescent="0.25">
      <c r="A24" s="374"/>
      <c r="B24" s="41">
        <f t="shared" ref="B24:B29" si="201">+B23+1</f>
        <v>44956</v>
      </c>
      <c r="C24" s="10"/>
      <c r="D24" s="11"/>
      <c r="E24" s="69">
        <f t="shared" ref="E24:F29" si="202">E23-C24</f>
        <v>850</v>
      </c>
      <c r="F24" s="69">
        <f t="shared" si="202"/>
        <v>75</v>
      </c>
      <c r="G24" s="11">
        <v>61</v>
      </c>
      <c r="H24" s="12">
        <f t="shared" si="153"/>
        <v>8.8235294117647065E-2</v>
      </c>
      <c r="I24" s="11">
        <v>14</v>
      </c>
      <c r="J24" s="12">
        <f t="shared" ref="J24:J29" si="203">I24/(G24+I24)</f>
        <v>0.18666666666666668</v>
      </c>
      <c r="K24" s="13"/>
      <c r="L24" s="11"/>
      <c r="M24" s="11"/>
      <c r="N24" s="14"/>
      <c r="O24" s="10"/>
      <c r="P24" s="11"/>
      <c r="Q24" s="69">
        <f t="shared" ref="Q24:Q29" si="204">Q23-O24</f>
        <v>776</v>
      </c>
      <c r="R24" s="69">
        <f t="shared" ref="R24:R29" si="205">R23-P24</f>
        <v>69</v>
      </c>
      <c r="S24" s="11">
        <v>66</v>
      </c>
      <c r="T24" s="12">
        <f t="shared" si="154"/>
        <v>9.1494845360824736E-2</v>
      </c>
      <c r="U24" s="11">
        <v>5</v>
      </c>
      <c r="V24" s="12">
        <f t="shared" si="155"/>
        <v>7.0422535211267609E-2</v>
      </c>
      <c r="W24" s="13"/>
      <c r="X24" s="11"/>
      <c r="Y24" s="11"/>
      <c r="Z24" s="14"/>
      <c r="AA24" s="10"/>
      <c r="AB24" s="11"/>
      <c r="AC24" s="69">
        <f t="shared" ref="AC24:AC29" si="206">AC23-AA24</f>
        <v>198</v>
      </c>
      <c r="AD24" s="69">
        <f t="shared" ref="AD24:AD29" si="207">AD23-AB24</f>
        <v>16</v>
      </c>
      <c r="AE24" s="11">
        <v>8</v>
      </c>
      <c r="AF24" s="12">
        <f t="shared" si="156"/>
        <v>5.5555555555555552E-2</v>
      </c>
      <c r="AG24" s="11">
        <v>3</v>
      </c>
      <c r="AH24" s="12">
        <f t="shared" si="157"/>
        <v>0.27272727272727271</v>
      </c>
      <c r="AI24" s="167">
        <v>125.6283</v>
      </c>
      <c r="AJ24" s="11"/>
      <c r="AK24" s="11"/>
      <c r="AL24" s="14"/>
      <c r="AM24" s="10"/>
      <c r="AN24" s="11"/>
      <c r="AO24" s="69">
        <f t="shared" ref="AO24:AO29" si="208">AO23-AM24</f>
        <v>776</v>
      </c>
      <c r="AP24" s="69">
        <f t="shared" ref="AP24:AP29" si="209">AP23-AN24</f>
        <v>69</v>
      </c>
      <c r="AQ24" s="11">
        <v>40</v>
      </c>
      <c r="AR24" s="12">
        <f t="shared" si="158"/>
        <v>6.4432989690721643E-2</v>
      </c>
      <c r="AS24" s="11">
        <v>10</v>
      </c>
      <c r="AT24" s="12">
        <f t="shared" si="159"/>
        <v>0.2</v>
      </c>
      <c r="AU24" s="167">
        <v>117.8683</v>
      </c>
      <c r="AV24" s="11"/>
      <c r="AW24" s="11"/>
      <c r="AX24" s="14"/>
      <c r="AY24" s="10"/>
      <c r="AZ24" s="11"/>
      <c r="BA24" s="69">
        <f t="shared" ref="BA24:BA29" si="210">BA23-AY24</f>
        <v>777</v>
      </c>
      <c r="BB24" s="69">
        <f t="shared" ref="BB24:BB29" si="211">BB23-AZ24</f>
        <v>69</v>
      </c>
      <c r="BC24" s="11">
        <v>36</v>
      </c>
      <c r="BD24" s="12">
        <f t="shared" si="160"/>
        <v>6.1776061776061778E-2</v>
      </c>
      <c r="BE24" s="11">
        <v>12</v>
      </c>
      <c r="BF24" s="12">
        <f t="shared" si="161"/>
        <v>0.25</v>
      </c>
      <c r="BG24" s="167">
        <v>118.3533</v>
      </c>
      <c r="BH24" s="11"/>
      <c r="BI24" s="11"/>
      <c r="BJ24" s="14"/>
      <c r="BK24" s="10"/>
      <c r="BL24" s="11"/>
      <c r="BM24" s="69">
        <f t="shared" ref="BM24:BM29" si="212">BM23-BK24</f>
        <v>849</v>
      </c>
      <c r="BN24" s="69">
        <f t="shared" ref="BN24:BN29" si="213">BN23-BL24</f>
        <v>77</v>
      </c>
      <c r="BO24" s="11">
        <v>100</v>
      </c>
      <c r="BP24" s="12">
        <f t="shared" si="162"/>
        <v>0.12720848056537101</v>
      </c>
      <c r="BQ24" s="11">
        <v>8</v>
      </c>
      <c r="BR24" s="12">
        <f t="shared" si="163"/>
        <v>7.407407407407407E-2</v>
      </c>
      <c r="BS24" s="13"/>
      <c r="BT24" s="11"/>
      <c r="BU24" s="11"/>
      <c r="BV24" s="14"/>
      <c r="BW24" s="10"/>
      <c r="BX24" s="11"/>
      <c r="BY24" s="69">
        <f t="shared" ref="BY24:BY29" si="214">BY23-BW24</f>
        <v>767</v>
      </c>
      <c r="BZ24" s="69">
        <f t="shared" ref="BZ24:BZ29" si="215">BZ23-BX24</f>
        <v>69</v>
      </c>
      <c r="CA24" s="11">
        <v>73</v>
      </c>
      <c r="CB24" s="12">
        <f t="shared" si="164"/>
        <v>0.10951760104302477</v>
      </c>
      <c r="CC24" s="11">
        <v>11</v>
      </c>
      <c r="CD24" s="12">
        <f t="shared" si="165"/>
        <v>0.13095238095238096</v>
      </c>
      <c r="CE24" s="13"/>
      <c r="CF24" s="11"/>
      <c r="CG24" s="11"/>
      <c r="CH24" s="14"/>
      <c r="CI24" s="10"/>
      <c r="CJ24" s="11"/>
      <c r="CK24" s="69">
        <f t="shared" ref="CK24:CK29" si="216">CK23-CI24</f>
        <v>198</v>
      </c>
      <c r="CL24" s="69">
        <f t="shared" ref="CL24:CL29" si="217">CL23-CJ24</f>
        <v>17</v>
      </c>
      <c r="CM24" s="11">
        <v>11</v>
      </c>
      <c r="CN24" s="12">
        <f t="shared" si="166"/>
        <v>6.0606060606060608E-2</v>
      </c>
      <c r="CO24" s="11">
        <v>1</v>
      </c>
      <c r="CP24" s="12">
        <f t="shared" si="167"/>
        <v>8.3333333333333329E-2</v>
      </c>
      <c r="CQ24" s="13"/>
      <c r="CR24" s="11"/>
      <c r="CS24" s="11"/>
      <c r="CT24" s="14"/>
      <c r="CU24" s="10"/>
      <c r="CV24" s="11"/>
      <c r="CW24" s="69">
        <f t="shared" ref="CW24:CW29" si="218">CW23-CU24</f>
        <v>766</v>
      </c>
      <c r="CX24" s="69">
        <f t="shared" ref="CX24:CX29" si="219">CX23-CV24</f>
        <v>70</v>
      </c>
      <c r="CY24" s="11">
        <v>85</v>
      </c>
      <c r="CZ24" s="12">
        <f t="shared" si="168"/>
        <v>0.12663185378590078</v>
      </c>
      <c r="DA24" s="11">
        <v>12</v>
      </c>
      <c r="DB24" s="12">
        <f t="shared" si="169"/>
        <v>0.12371134020618557</v>
      </c>
      <c r="DC24" s="13"/>
      <c r="DD24" s="11"/>
      <c r="DE24" s="11"/>
      <c r="DF24" s="14"/>
      <c r="DG24" s="10"/>
      <c r="DH24" s="11"/>
      <c r="DI24" s="69">
        <f t="shared" ref="DI24:DI29" si="220">DI23-DG24</f>
        <v>768</v>
      </c>
      <c r="DJ24" s="69">
        <f t="shared" ref="DJ24:DJ29" si="221">DJ23-DH24</f>
        <v>70</v>
      </c>
      <c r="DK24" s="11">
        <v>78</v>
      </c>
      <c r="DL24" s="12">
        <f t="shared" si="170"/>
        <v>0.11067708333333333</v>
      </c>
      <c r="DM24" s="11">
        <v>7</v>
      </c>
      <c r="DN24" s="12">
        <f t="shared" si="171"/>
        <v>8.2352941176470587E-2</v>
      </c>
      <c r="DO24" s="13"/>
      <c r="DP24" s="11"/>
      <c r="DQ24" s="11"/>
      <c r="DR24" s="14"/>
      <c r="DS24" s="10"/>
      <c r="DT24" s="11"/>
      <c r="DU24" s="69">
        <f t="shared" ref="DU24:DU29" si="222">DU23-DS24</f>
        <v>868</v>
      </c>
      <c r="DV24" s="69">
        <f t="shared" ref="DV24:DV29" si="223">DV23-DT24</f>
        <v>78</v>
      </c>
      <c r="DW24" s="11">
        <v>29</v>
      </c>
      <c r="DX24" s="12">
        <f t="shared" si="172"/>
        <v>3.3410138248847927E-2</v>
      </c>
      <c r="DY24" s="11"/>
      <c r="DZ24" s="12">
        <f t="shared" si="173"/>
        <v>0</v>
      </c>
      <c r="EA24" s="13"/>
      <c r="EB24" s="11"/>
      <c r="EC24" s="11"/>
      <c r="ED24" s="14"/>
      <c r="EE24" s="10"/>
      <c r="EF24" s="11"/>
      <c r="EG24" s="69">
        <f t="shared" ref="EG24:EG29" si="224">EG23-EE24</f>
        <v>869</v>
      </c>
      <c r="EH24" s="69">
        <f t="shared" ref="EH24:EH29" si="225">EH23-EF24</f>
        <v>79</v>
      </c>
      <c r="EI24" s="11">
        <v>34</v>
      </c>
      <c r="EJ24" s="12">
        <f t="shared" si="174"/>
        <v>3.9125431530494824E-2</v>
      </c>
      <c r="EK24" s="11"/>
      <c r="EL24" s="12">
        <f t="shared" si="175"/>
        <v>0</v>
      </c>
      <c r="EM24" s="13"/>
      <c r="EN24" s="11"/>
      <c r="EO24" s="11"/>
      <c r="EP24" s="14"/>
      <c r="EQ24" s="10">
        <v>2</v>
      </c>
      <c r="ER24" s="11"/>
      <c r="ES24" s="69">
        <f t="shared" ref="ES24:ES29" si="226">ES23-EQ24</f>
        <v>217</v>
      </c>
      <c r="ET24" s="69">
        <f t="shared" ref="ET24:ET29" si="227">ET23-ER24</f>
        <v>18</v>
      </c>
      <c r="EU24" s="11">
        <v>4</v>
      </c>
      <c r="EV24" s="12">
        <f t="shared" si="176"/>
        <v>1.8433179723502304E-2</v>
      </c>
      <c r="EW24" s="11"/>
      <c r="EX24" s="12">
        <f t="shared" si="177"/>
        <v>0</v>
      </c>
      <c r="EY24" s="13"/>
      <c r="EZ24" s="11"/>
      <c r="FA24" s="11"/>
      <c r="FB24" s="14"/>
      <c r="FC24" s="10"/>
      <c r="FD24" s="11"/>
      <c r="FE24" s="69">
        <f t="shared" ref="FE24:FE29" si="228">FE23-FC24</f>
        <v>868</v>
      </c>
      <c r="FF24" s="69">
        <f t="shared" ref="FF24:FF29" si="229">FF23-FD24</f>
        <v>79</v>
      </c>
      <c r="FG24" s="11">
        <v>29</v>
      </c>
      <c r="FH24" s="12">
        <f t="shared" si="178"/>
        <v>3.3410138248847927E-2</v>
      </c>
      <c r="FI24" s="11"/>
      <c r="FJ24" s="12">
        <f t="shared" si="179"/>
        <v>0</v>
      </c>
      <c r="FK24" s="13"/>
      <c r="FL24" s="11"/>
      <c r="FM24" s="11"/>
      <c r="FN24" s="14"/>
      <c r="FO24" s="10"/>
      <c r="FP24" s="11"/>
      <c r="FQ24" s="69">
        <f t="shared" ref="FQ24:FQ29" si="230">FQ23-FO24</f>
        <v>913</v>
      </c>
      <c r="FR24" s="69">
        <f t="shared" ref="FR24:FR29" si="231">FR23-FP24</f>
        <v>82</v>
      </c>
      <c r="FS24" s="11">
        <v>55</v>
      </c>
      <c r="FT24" s="12">
        <f t="shared" si="180"/>
        <v>6.0240963855421686E-2</v>
      </c>
      <c r="FU24" s="11"/>
      <c r="FV24" s="12">
        <f t="shared" si="181"/>
        <v>0</v>
      </c>
      <c r="FW24" s="167">
        <v>126.43904000000001</v>
      </c>
      <c r="FX24" s="11"/>
      <c r="FY24" s="11"/>
      <c r="FZ24" s="14"/>
      <c r="GA24" s="10"/>
      <c r="GB24" s="11"/>
      <c r="GC24" s="69">
        <f t="shared" ref="GC24:GC29" si="232">GC23-GA24</f>
        <v>912</v>
      </c>
      <c r="GD24" s="69">
        <f t="shared" ref="GD24:GD29" si="233">GD23-GB24</f>
        <v>82</v>
      </c>
      <c r="GE24" s="11">
        <v>47</v>
      </c>
      <c r="GF24" s="12">
        <f t="shared" si="182"/>
        <v>5.1535087719298246E-2</v>
      </c>
      <c r="GG24" s="11"/>
      <c r="GH24" s="12">
        <f t="shared" si="183"/>
        <v>0</v>
      </c>
      <c r="GI24" s="167">
        <v>124.56704000000001</v>
      </c>
      <c r="GJ24" s="11"/>
      <c r="GK24" s="11"/>
      <c r="GL24" s="14"/>
      <c r="GM24" s="10">
        <v>1</v>
      </c>
      <c r="GN24" s="11"/>
      <c r="GO24" s="69">
        <f t="shared" ref="GO24:GO29" si="234">GO23-GM24</f>
        <v>199</v>
      </c>
      <c r="GP24" s="69">
        <f t="shared" ref="GP24:GP29" si="235">GP23-GN24</f>
        <v>19</v>
      </c>
      <c r="GQ24" s="11">
        <v>9</v>
      </c>
      <c r="GR24" s="12">
        <f t="shared" si="184"/>
        <v>4.5226130653266333E-2</v>
      </c>
      <c r="GS24" s="11"/>
      <c r="GT24" s="12">
        <f t="shared" si="185"/>
        <v>0</v>
      </c>
      <c r="GU24" s="167">
        <v>124.1</v>
      </c>
      <c r="GV24" s="11"/>
      <c r="GW24" s="11"/>
      <c r="GX24" s="14"/>
      <c r="GY24" s="10"/>
      <c r="GZ24" s="11"/>
      <c r="HA24" s="69">
        <f t="shared" ref="HA24:HA29" si="236">HA23-GY24</f>
        <v>913</v>
      </c>
      <c r="HB24" s="69">
        <f t="shared" ref="HB24:HB29" si="237">HB23-GZ24</f>
        <v>82</v>
      </c>
      <c r="HC24" s="11">
        <v>60</v>
      </c>
      <c r="HD24" s="12">
        <f t="shared" si="186"/>
        <v>6.5717415115005479E-2</v>
      </c>
      <c r="HE24" s="11"/>
      <c r="HF24" s="12">
        <f t="shared" si="187"/>
        <v>0</v>
      </c>
      <c r="HG24" s="167">
        <v>120.35504</v>
      </c>
      <c r="HH24" s="11"/>
      <c r="HI24" s="11"/>
      <c r="HJ24" s="14"/>
      <c r="HK24" s="10">
        <f t="shared" si="188"/>
        <v>3</v>
      </c>
      <c r="HL24" s="11">
        <f t="shared" si="189"/>
        <v>0</v>
      </c>
      <c r="HM24" s="11">
        <f t="shared" si="190"/>
        <v>12484</v>
      </c>
      <c r="HN24" s="11">
        <f t="shared" si="191"/>
        <v>1120</v>
      </c>
      <c r="HO24" s="11">
        <f t="shared" si="192"/>
        <v>908</v>
      </c>
      <c r="HP24" s="95">
        <f t="shared" si="193"/>
        <v>7.2733098365908369E-2</v>
      </c>
      <c r="HQ24" s="15">
        <f t="shared" si="194"/>
        <v>83</v>
      </c>
      <c r="HR24" s="12">
        <f t="shared" si="195"/>
        <v>9.140969162995595E-2</v>
      </c>
      <c r="HS24" s="16">
        <v>46.2</v>
      </c>
      <c r="HT24" s="17">
        <v>541</v>
      </c>
      <c r="HU24" s="16">
        <f t="shared" si="196"/>
        <v>59.581497797356832</v>
      </c>
      <c r="HV24" s="15"/>
      <c r="HW24" s="14"/>
      <c r="HX24" s="73">
        <f t="shared" si="197"/>
        <v>7.5510808409831209E-2</v>
      </c>
      <c r="HY24" s="73">
        <f t="shared" si="198"/>
        <v>0.11529271206690561</v>
      </c>
      <c r="HZ24" s="73">
        <f t="shared" si="199"/>
        <v>3.4018426647767538E-2</v>
      </c>
      <c r="IA24" s="73">
        <f t="shared" si="200"/>
        <v>5.8222676200204292E-2</v>
      </c>
    </row>
    <row r="25" spans="1:244" x14ac:dyDescent="0.25">
      <c r="A25" s="374"/>
      <c r="B25" s="41">
        <f t="shared" si="201"/>
        <v>44957</v>
      </c>
      <c r="C25" s="10"/>
      <c r="D25" s="11"/>
      <c r="E25" s="69">
        <f t="shared" si="202"/>
        <v>850</v>
      </c>
      <c r="F25" s="69">
        <f t="shared" si="202"/>
        <v>75</v>
      </c>
      <c r="G25" s="11">
        <v>81</v>
      </c>
      <c r="H25" s="12">
        <f t="shared" si="153"/>
        <v>0.11058823529411765</v>
      </c>
      <c r="I25" s="11">
        <v>13</v>
      </c>
      <c r="J25" s="12">
        <f t="shared" si="203"/>
        <v>0.13829787234042554</v>
      </c>
      <c r="K25" s="168">
        <v>122.26965</v>
      </c>
      <c r="L25" s="11"/>
      <c r="M25" s="11"/>
      <c r="N25" s="14"/>
      <c r="O25" s="10"/>
      <c r="P25" s="11"/>
      <c r="Q25" s="69">
        <f t="shared" si="204"/>
        <v>776</v>
      </c>
      <c r="R25" s="69">
        <f t="shared" si="205"/>
        <v>69</v>
      </c>
      <c r="S25" s="11">
        <v>78</v>
      </c>
      <c r="T25" s="12">
        <f t="shared" si="154"/>
        <v>0.1134020618556701</v>
      </c>
      <c r="U25" s="11">
        <v>10</v>
      </c>
      <c r="V25" s="12">
        <f t="shared" si="155"/>
        <v>0.11363636363636363</v>
      </c>
      <c r="W25" s="168">
        <v>119.9</v>
      </c>
      <c r="X25" s="11"/>
      <c r="Y25" s="11"/>
      <c r="Z25" s="14"/>
      <c r="AA25" s="10"/>
      <c r="AB25" s="11">
        <v>1</v>
      </c>
      <c r="AC25" s="69">
        <f t="shared" si="206"/>
        <v>198</v>
      </c>
      <c r="AD25" s="69">
        <f t="shared" si="207"/>
        <v>15</v>
      </c>
      <c r="AE25" s="11">
        <v>15</v>
      </c>
      <c r="AF25" s="12">
        <f t="shared" si="156"/>
        <v>8.5858585858585856E-2</v>
      </c>
      <c r="AG25" s="11">
        <v>2</v>
      </c>
      <c r="AH25" s="12">
        <f t="shared" si="157"/>
        <v>0.11764705882352941</v>
      </c>
      <c r="AI25" s="13"/>
      <c r="AJ25" s="11"/>
      <c r="AK25" s="11"/>
      <c r="AL25" s="14"/>
      <c r="AM25" s="10"/>
      <c r="AN25" s="11"/>
      <c r="AO25" s="69">
        <f t="shared" si="208"/>
        <v>776</v>
      </c>
      <c r="AP25" s="69">
        <f t="shared" si="209"/>
        <v>69</v>
      </c>
      <c r="AQ25" s="11">
        <v>66</v>
      </c>
      <c r="AR25" s="12">
        <f t="shared" si="158"/>
        <v>0.10180412371134021</v>
      </c>
      <c r="AS25" s="11">
        <v>13</v>
      </c>
      <c r="AT25" s="12">
        <f t="shared" si="159"/>
        <v>0.16455696202531644</v>
      </c>
      <c r="AU25" s="168">
        <v>119.5</v>
      </c>
      <c r="AV25" s="11"/>
      <c r="AW25" s="11"/>
      <c r="AX25" s="14"/>
      <c r="AY25" s="10"/>
      <c r="AZ25" s="11"/>
      <c r="BA25" s="69">
        <f t="shared" si="210"/>
        <v>777</v>
      </c>
      <c r="BB25" s="69">
        <f t="shared" si="211"/>
        <v>69</v>
      </c>
      <c r="BC25" s="11">
        <v>64</v>
      </c>
      <c r="BD25" s="12">
        <f t="shared" si="160"/>
        <v>9.3951093951093953E-2</v>
      </c>
      <c r="BE25" s="11">
        <v>9</v>
      </c>
      <c r="BF25" s="12">
        <f t="shared" si="161"/>
        <v>0.12328767123287671</v>
      </c>
      <c r="BG25" s="168">
        <v>119.93215000000001</v>
      </c>
      <c r="BH25" s="11"/>
      <c r="BI25" s="11"/>
      <c r="BJ25" s="14"/>
      <c r="BK25" s="10"/>
      <c r="BL25" s="11"/>
      <c r="BM25" s="69">
        <f t="shared" si="212"/>
        <v>849</v>
      </c>
      <c r="BN25" s="69">
        <f t="shared" si="213"/>
        <v>77</v>
      </c>
      <c r="BO25" s="11">
        <v>111</v>
      </c>
      <c r="BP25" s="12">
        <f t="shared" si="162"/>
        <v>0.14252061248527681</v>
      </c>
      <c r="BQ25" s="11">
        <v>10</v>
      </c>
      <c r="BR25" s="12">
        <f t="shared" si="163"/>
        <v>8.2644628099173556E-2</v>
      </c>
      <c r="BS25" s="168">
        <v>127.6</v>
      </c>
      <c r="BT25" s="11"/>
      <c r="BU25" s="11"/>
      <c r="BV25" s="14"/>
      <c r="BW25" s="10"/>
      <c r="BX25" s="11"/>
      <c r="BY25" s="69">
        <f t="shared" si="214"/>
        <v>767</v>
      </c>
      <c r="BZ25" s="69">
        <f t="shared" si="215"/>
        <v>69</v>
      </c>
      <c r="CA25" s="11">
        <v>85</v>
      </c>
      <c r="CB25" s="12">
        <f t="shared" si="164"/>
        <v>0.12385919165580182</v>
      </c>
      <c r="CC25" s="11">
        <v>10</v>
      </c>
      <c r="CD25" s="12">
        <f t="shared" si="165"/>
        <v>0.10526315789473684</v>
      </c>
      <c r="CE25" s="13"/>
      <c r="CF25" s="11"/>
      <c r="CG25" s="11"/>
      <c r="CH25" s="14"/>
      <c r="CI25" s="10"/>
      <c r="CJ25" s="11"/>
      <c r="CK25" s="69">
        <f t="shared" si="216"/>
        <v>198</v>
      </c>
      <c r="CL25" s="69">
        <f t="shared" si="217"/>
        <v>17</v>
      </c>
      <c r="CM25" s="11">
        <v>18</v>
      </c>
      <c r="CN25" s="12">
        <f t="shared" si="166"/>
        <v>9.5959595959595953E-2</v>
      </c>
      <c r="CO25" s="11">
        <v>1</v>
      </c>
      <c r="CP25" s="12">
        <f t="shared" si="167"/>
        <v>5.2631578947368418E-2</v>
      </c>
      <c r="CQ25" s="13"/>
      <c r="CR25" s="11"/>
      <c r="CS25" s="11"/>
      <c r="CT25" s="14"/>
      <c r="CU25" s="10"/>
      <c r="CV25" s="11"/>
      <c r="CW25" s="69">
        <f t="shared" si="218"/>
        <v>766</v>
      </c>
      <c r="CX25" s="69">
        <f t="shared" si="219"/>
        <v>70</v>
      </c>
      <c r="CY25" s="11">
        <v>112</v>
      </c>
      <c r="CZ25" s="12">
        <f t="shared" si="168"/>
        <v>0.16318537859007834</v>
      </c>
      <c r="DA25" s="11">
        <v>13</v>
      </c>
      <c r="DB25" s="12">
        <f t="shared" si="169"/>
        <v>0.104</v>
      </c>
      <c r="DC25" s="168">
        <v>125.9</v>
      </c>
      <c r="DD25" s="11"/>
      <c r="DE25" s="11"/>
      <c r="DF25" s="14"/>
      <c r="DG25" s="10"/>
      <c r="DH25" s="11"/>
      <c r="DI25" s="69">
        <f t="shared" si="220"/>
        <v>768</v>
      </c>
      <c r="DJ25" s="69">
        <f t="shared" si="221"/>
        <v>70</v>
      </c>
      <c r="DK25" s="11">
        <v>112</v>
      </c>
      <c r="DL25" s="12">
        <f t="shared" si="170"/>
        <v>0.16536458333333334</v>
      </c>
      <c r="DM25" s="11">
        <v>15</v>
      </c>
      <c r="DN25" s="12">
        <f t="shared" si="171"/>
        <v>0.11811023622047244</v>
      </c>
      <c r="DO25" s="168">
        <v>125</v>
      </c>
      <c r="DP25" s="11"/>
      <c r="DQ25" s="11"/>
      <c r="DR25" s="14"/>
      <c r="DS25" s="10"/>
      <c r="DT25" s="11"/>
      <c r="DU25" s="69">
        <f t="shared" si="222"/>
        <v>868</v>
      </c>
      <c r="DV25" s="69">
        <f t="shared" si="223"/>
        <v>78</v>
      </c>
      <c r="DW25" s="11">
        <v>47</v>
      </c>
      <c r="DX25" s="12">
        <f t="shared" si="172"/>
        <v>5.5299539170506916E-2</v>
      </c>
      <c r="DY25" s="11">
        <v>1</v>
      </c>
      <c r="DZ25" s="12">
        <f t="shared" si="173"/>
        <v>2.0833333333333332E-2</v>
      </c>
      <c r="EA25" s="167">
        <v>125.6</v>
      </c>
      <c r="EB25" s="11"/>
      <c r="EC25" s="11"/>
      <c r="ED25" s="14"/>
      <c r="EE25" s="10"/>
      <c r="EF25" s="11"/>
      <c r="EG25" s="69">
        <f t="shared" si="224"/>
        <v>869</v>
      </c>
      <c r="EH25" s="69">
        <f t="shared" si="225"/>
        <v>79</v>
      </c>
      <c r="EI25" s="11">
        <v>62</v>
      </c>
      <c r="EJ25" s="12">
        <f t="shared" si="174"/>
        <v>7.1346375143843496E-2</v>
      </c>
      <c r="EK25" s="11">
        <v>0</v>
      </c>
      <c r="EL25" s="12">
        <f t="shared" si="175"/>
        <v>0</v>
      </c>
      <c r="EM25" s="167">
        <v>127.1</v>
      </c>
      <c r="EN25" s="11"/>
      <c r="EO25" s="11"/>
      <c r="EP25" s="14"/>
      <c r="EQ25" s="10"/>
      <c r="ER25" s="11"/>
      <c r="ES25" s="69">
        <f t="shared" si="226"/>
        <v>217</v>
      </c>
      <c r="ET25" s="69">
        <f t="shared" si="227"/>
        <v>18</v>
      </c>
      <c r="EU25" s="11">
        <v>15</v>
      </c>
      <c r="EV25" s="12">
        <f t="shared" si="176"/>
        <v>6.9124423963133647E-2</v>
      </c>
      <c r="EW25" s="11">
        <v>0</v>
      </c>
      <c r="EX25" s="12">
        <f t="shared" si="177"/>
        <v>0</v>
      </c>
      <c r="EY25" s="167">
        <v>124.2</v>
      </c>
      <c r="EZ25" s="11"/>
      <c r="FA25" s="11"/>
      <c r="FB25" s="14"/>
      <c r="FC25" s="10"/>
      <c r="FD25" s="11"/>
      <c r="FE25" s="69">
        <f t="shared" si="228"/>
        <v>868</v>
      </c>
      <c r="FF25" s="69">
        <f t="shared" si="229"/>
        <v>79</v>
      </c>
      <c r="FG25" s="11">
        <v>42</v>
      </c>
      <c r="FH25" s="12">
        <f t="shared" si="178"/>
        <v>5.0691244239631339E-2</v>
      </c>
      <c r="FI25" s="11">
        <v>2</v>
      </c>
      <c r="FJ25" s="12">
        <f t="shared" si="179"/>
        <v>4.5454545454545456E-2</v>
      </c>
      <c r="FK25" s="167">
        <v>122.2</v>
      </c>
      <c r="FL25" s="11"/>
      <c r="FM25" s="11"/>
      <c r="FN25" s="14"/>
      <c r="FO25" s="10"/>
      <c r="FP25" s="11"/>
      <c r="FQ25" s="69">
        <f t="shared" si="230"/>
        <v>913</v>
      </c>
      <c r="FR25" s="69">
        <f t="shared" si="231"/>
        <v>82</v>
      </c>
      <c r="FS25" s="11">
        <v>65</v>
      </c>
      <c r="FT25" s="12">
        <f t="shared" si="180"/>
        <v>7.8860898138006577E-2</v>
      </c>
      <c r="FU25" s="11">
        <v>7</v>
      </c>
      <c r="FV25" s="12">
        <f t="shared" si="181"/>
        <v>9.7222222222222224E-2</v>
      </c>
      <c r="FW25" s="13"/>
      <c r="FX25" s="11"/>
      <c r="FY25" s="11"/>
      <c r="FZ25" s="14"/>
      <c r="GA25" s="10"/>
      <c r="GB25" s="11"/>
      <c r="GC25" s="69">
        <f t="shared" si="232"/>
        <v>912</v>
      </c>
      <c r="GD25" s="69">
        <f t="shared" si="233"/>
        <v>82</v>
      </c>
      <c r="GE25" s="11">
        <v>68</v>
      </c>
      <c r="GF25" s="12">
        <f t="shared" si="182"/>
        <v>8.9912280701754388E-2</v>
      </c>
      <c r="GG25" s="11">
        <v>14</v>
      </c>
      <c r="GH25" s="12">
        <f t="shared" si="183"/>
        <v>0.17073170731707318</v>
      </c>
      <c r="GI25" s="13"/>
      <c r="GJ25" s="11"/>
      <c r="GK25" s="11"/>
      <c r="GL25" s="14"/>
      <c r="GM25" s="10"/>
      <c r="GN25" s="11"/>
      <c r="GO25" s="69">
        <f t="shared" si="234"/>
        <v>199</v>
      </c>
      <c r="GP25" s="69">
        <f t="shared" si="235"/>
        <v>19</v>
      </c>
      <c r="GQ25" s="11">
        <v>15</v>
      </c>
      <c r="GR25" s="12">
        <f t="shared" si="184"/>
        <v>8.5427135678391955E-2</v>
      </c>
      <c r="GS25" s="11">
        <v>2</v>
      </c>
      <c r="GT25" s="12">
        <f t="shared" si="185"/>
        <v>0.11764705882352941</v>
      </c>
      <c r="GU25" s="13"/>
      <c r="GV25" s="11"/>
      <c r="GW25" s="11"/>
      <c r="GX25" s="14"/>
      <c r="GY25" s="10"/>
      <c r="GZ25" s="11"/>
      <c r="HA25" s="69">
        <f t="shared" si="236"/>
        <v>913</v>
      </c>
      <c r="HB25" s="69">
        <f t="shared" si="237"/>
        <v>82</v>
      </c>
      <c r="HC25" s="11">
        <v>81</v>
      </c>
      <c r="HD25" s="12">
        <f t="shared" si="186"/>
        <v>9.8576122672508218E-2</v>
      </c>
      <c r="HE25" s="11">
        <v>9</v>
      </c>
      <c r="HF25" s="12">
        <f t="shared" si="187"/>
        <v>0.1</v>
      </c>
      <c r="HG25" s="13"/>
      <c r="HH25" s="11"/>
      <c r="HI25" s="11"/>
      <c r="HJ25" s="14"/>
      <c r="HK25" s="10">
        <f t="shared" si="188"/>
        <v>0</v>
      </c>
      <c r="HL25" s="11">
        <f t="shared" si="189"/>
        <v>1</v>
      </c>
      <c r="HM25" s="11">
        <f t="shared" si="190"/>
        <v>12484</v>
      </c>
      <c r="HN25" s="11">
        <f t="shared" si="191"/>
        <v>1119</v>
      </c>
      <c r="HO25" s="11">
        <f t="shared" si="192"/>
        <v>1268</v>
      </c>
      <c r="HP25" s="95">
        <f t="shared" si="193"/>
        <v>0.10157000961230375</v>
      </c>
      <c r="HQ25" s="15">
        <f t="shared" si="194"/>
        <v>131</v>
      </c>
      <c r="HR25" s="12">
        <f t="shared" si="195"/>
        <v>0.10331230283911672</v>
      </c>
      <c r="HS25" s="16">
        <v>47.2</v>
      </c>
      <c r="HT25" s="17">
        <v>970</v>
      </c>
      <c r="HU25" s="16">
        <f t="shared" si="196"/>
        <v>76.49842271293376</v>
      </c>
      <c r="HV25" s="15"/>
      <c r="HW25" s="14"/>
      <c r="HX25" s="73">
        <f t="shared" si="197"/>
        <v>0.10393840687000296</v>
      </c>
      <c r="HY25" s="73">
        <f t="shared" si="198"/>
        <v>0.14545997610513739</v>
      </c>
      <c r="HZ25" s="73">
        <f t="shared" si="199"/>
        <v>5.9886605244507445E-2</v>
      </c>
      <c r="IA25" s="73">
        <f t="shared" si="200"/>
        <v>8.8866189989785502E-2</v>
      </c>
    </row>
    <row r="26" spans="1:244" x14ac:dyDescent="0.25">
      <c r="A26" s="374"/>
      <c r="B26" s="41">
        <f t="shared" si="201"/>
        <v>44958</v>
      </c>
      <c r="C26" s="10"/>
      <c r="D26" s="11"/>
      <c r="E26" s="69">
        <f t="shared" si="202"/>
        <v>850</v>
      </c>
      <c r="F26" s="69">
        <f t="shared" si="202"/>
        <v>75</v>
      </c>
      <c r="G26" s="11">
        <v>125</v>
      </c>
      <c r="H26" s="12">
        <f t="shared" si="153"/>
        <v>0.17058823529411765</v>
      </c>
      <c r="I26" s="11">
        <v>20</v>
      </c>
      <c r="J26" s="12">
        <f t="shared" si="203"/>
        <v>0.13793103448275862</v>
      </c>
      <c r="K26" s="169">
        <v>124</v>
      </c>
      <c r="L26" s="11"/>
      <c r="M26" s="18"/>
      <c r="N26" s="20"/>
      <c r="O26" s="10"/>
      <c r="P26" s="11"/>
      <c r="Q26" s="69">
        <f t="shared" si="204"/>
        <v>776</v>
      </c>
      <c r="R26" s="69">
        <f t="shared" si="205"/>
        <v>69</v>
      </c>
      <c r="S26" s="11">
        <v>99</v>
      </c>
      <c r="T26" s="12">
        <f t="shared" si="154"/>
        <v>0.15077319587628865</v>
      </c>
      <c r="U26" s="11">
        <v>18</v>
      </c>
      <c r="V26" s="12">
        <f t="shared" si="155"/>
        <v>0.15384615384615385</v>
      </c>
      <c r="W26" s="169">
        <v>121.7</v>
      </c>
      <c r="X26" s="11"/>
      <c r="Y26" s="18"/>
      <c r="Z26" s="20"/>
      <c r="AA26" s="10"/>
      <c r="AB26" s="11"/>
      <c r="AC26" s="69">
        <f t="shared" si="206"/>
        <v>198</v>
      </c>
      <c r="AD26" s="69">
        <f t="shared" si="207"/>
        <v>15</v>
      </c>
      <c r="AE26" s="11">
        <v>20</v>
      </c>
      <c r="AF26" s="12">
        <f t="shared" si="156"/>
        <v>0.11616161616161616</v>
      </c>
      <c r="AG26" s="11">
        <v>3</v>
      </c>
      <c r="AH26" s="12">
        <f t="shared" si="157"/>
        <v>0.13043478260869565</v>
      </c>
      <c r="AI26" s="170">
        <v>126.94465</v>
      </c>
      <c r="AJ26" s="11"/>
      <c r="AK26" s="18"/>
      <c r="AL26" s="20"/>
      <c r="AM26" s="10"/>
      <c r="AN26" s="11"/>
      <c r="AO26" s="69">
        <f t="shared" si="208"/>
        <v>776</v>
      </c>
      <c r="AP26" s="69">
        <f t="shared" si="209"/>
        <v>69</v>
      </c>
      <c r="AQ26" s="11">
        <v>72</v>
      </c>
      <c r="AR26" s="12">
        <f t="shared" si="158"/>
        <v>0.11211340206185567</v>
      </c>
      <c r="AS26" s="11">
        <v>15</v>
      </c>
      <c r="AT26" s="12">
        <f t="shared" si="159"/>
        <v>0.17241379310344829</v>
      </c>
      <c r="AU26" s="11"/>
      <c r="AV26" s="11"/>
      <c r="AW26" s="18"/>
      <c r="AX26" s="20"/>
      <c r="AY26" s="10"/>
      <c r="AZ26" s="11"/>
      <c r="BA26" s="69">
        <f t="shared" si="210"/>
        <v>777</v>
      </c>
      <c r="BB26" s="69">
        <f t="shared" si="211"/>
        <v>69</v>
      </c>
      <c r="BC26" s="11">
        <v>93</v>
      </c>
      <c r="BD26" s="12">
        <f t="shared" si="160"/>
        <v>0.14929214929214929</v>
      </c>
      <c r="BE26" s="11">
        <v>23</v>
      </c>
      <c r="BF26" s="12">
        <f t="shared" si="161"/>
        <v>0.19827586206896552</v>
      </c>
      <c r="BG26" s="169">
        <v>121.73655000000001</v>
      </c>
      <c r="BH26" s="11"/>
      <c r="BI26" s="18"/>
      <c r="BJ26" s="20"/>
      <c r="BK26" s="10"/>
      <c r="BL26" s="11"/>
      <c r="BM26" s="69">
        <f t="shared" si="212"/>
        <v>849</v>
      </c>
      <c r="BN26" s="69">
        <f t="shared" si="213"/>
        <v>77</v>
      </c>
      <c r="BO26" s="11">
        <v>138</v>
      </c>
      <c r="BP26" s="12">
        <f t="shared" si="162"/>
        <v>0.18138987043580684</v>
      </c>
      <c r="BQ26" s="11">
        <v>16</v>
      </c>
      <c r="BR26" s="12">
        <f t="shared" si="163"/>
        <v>0.1038961038961039</v>
      </c>
      <c r="BS26" s="11"/>
      <c r="BT26" s="11"/>
      <c r="BU26" s="18"/>
      <c r="BV26" s="20"/>
      <c r="BW26" s="10"/>
      <c r="BX26" s="11"/>
      <c r="BY26" s="69">
        <f t="shared" si="214"/>
        <v>767</v>
      </c>
      <c r="BZ26" s="69">
        <f t="shared" si="215"/>
        <v>69</v>
      </c>
      <c r="CA26" s="11">
        <v>120</v>
      </c>
      <c r="CB26" s="12">
        <f t="shared" si="164"/>
        <v>0.17861799217731422</v>
      </c>
      <c r="CC26" s="11">
        <v>17</v>
      </c>
      <c r="CD26" s="12">
        <f t="shared" si="165"/>
        <v>0.12408759124087591</v>
      </c>
      <c r="CE26" s="171">
        <v>126.28379</v>
      </c>
      <c r="CF26" s="11"/>
      <c r="CG26" s="18"/>
      <c r="CH26" s="20"/>
      <c r="CI26" s="10"/>
      <c r="CJ26" s="11"/>
      <c r="CK26" s="69">
        <f t="shared" si="216"/>
        <v>198</v>
      </c>
      <c r="CL26" s="69">
        <f t="shared" si="217"/>
        <v>17</v>
      </c>
      <c r="CM26" s="11">
        <v>28</v>
      </c>
      <c r="CN26" s="12">
        <f t="shared" si="166"/>
        <v>0.15151515151515152</v>
      </c>
      <c r="CO26" s="11">
        <v>2</v>
      </c>
      <c r="CP26" s="12">
        <f t="shared" si="167"/>
        <v>6.6666666666666666E-2</v>
      </c>
      <c r="CQ26" s="171">
        <v>128.86679000000001</v>
      </c>
      <c r="CR26" s="11"/>
      <c r="CS26" s="18"/>
      <c r="CT26" s="20"/>
      <c r="CU26" s="10"/>
      <c r="CV26" s="11"/>
      <c r="CW26" s="69">
        <f t="shared" si="218"/>
        <v>766</v>
      </c>
      <c r="CX26" s="69">
        <f t="shared" si="219"/>
        <v>70</v>
      </c>
      <c r="CY26" s="11">
        <v>135</v>
      </c>
      <c r="CZ26" s="12">
        <f t="shared" si="168"/>
        <v>0.20496083550913838</v>
      </c>
      <c r="DA26" s="11">
        <v>22</v>
      </c>
      <c r="DB26" s="12">
        <f t="shared" si="169"/>
        <v>0.14012738853503184</v>
      </c>
      <c r="DC26" s="11"/>
      <c r="DD26" s="11"/>
      <c r="DE26" s="18"/>
      <c r="DF26" s="20"/>
      <c r="DG26" s="10"/>
      <c r="DH26" s="11"/>
      <c r="DI26" s="69">
        <f t="shared" si="220"/>
        <v>768</v>
      </c>
      <c r="DJ26" s="69">
        <f t="shared" si="221"/>
        <v>70</v>
      </c>
      <c r="DK26" s="11">
        <v>134</v>
      </c>
      <c r="DL26" s="12">
        <f t="shared" si="170"/>
        <v>0.19010416666666666</v>
      </c>
      <c r="DM26" s="11">
        <v>12</v>
      </c>
      <c r="DN26" s="12">
        <f t="shared" si="171"/>
        <v>8.2191780821917804E-2</v>
      </c>
      <c r="DO26" s="11"/>
      <c r="DP26" s="11"/>
      <c r="DQ26" s="18"/>
      <c r="DR26" s="20"/>
      <c r="DS26" s="10"/>
      <c r="DT26" s="11"/>
      <c r="DU26" s="69">
        <f t="shared" si="222"/>
        <v>868</v>
      </c>
      <c r="DV26" s="69">
        <f t="shared" si="223"/>
        <v>78</v>
      </c>
      <c r="DW26" s="11">
        <v>70</v>
      </c>
      <c r="DX26" s="12">
        <f t="shared" si="172"/>
        <v>8.755760368663594E-2</v>
      </c>
      <c r="DY26" s="11">
        <v>6</v>
      </c>
      <c r="DZ26" s="12">
        <f t="shared" si="173"/>
        <v>7.8947368421052627E-2</v>
      </c>
      <c r="EA26" s="11"/>
      <c r="EB26" s="11"/>
      <c r="EC26" s="18"/>
      <c r="ED26" s="20"/>
      <c r="EE26" s="10"/>
      <c r="EF26" s="11"/>
      <c r="EG26" s="69">
        <f t="shared" si="224"/>
        <v>869</v>
      </c>
      <c r="EH26" s="69">
        <f t="shared" si="225"/>
        <v>79</v>
      </c>
      <c r="EI26" s="11">
        <v>80</v>
      </c>
      <c r="EJ26" s="12">
        <f t="shared" si="174"/>
        <v>0.10701956271576525</v>
      </c>
      <c r="EK26" s="11">
        <v>13</v>
      </c>
      <c r="EL26" s="12">
        <f t="shared" si="175"/>
        <v>0.13978494623655913</v>
      </c>
      <c r="EM26" s="171">
        <v>128.34715</v>
      </c>
      <c r="EN26" s="11"/>
      <c r="EO26" s="18"/>
      <c r="EP26" s="20"/>
      <c r="EQ26" s="10"/>
      <c r="ER26" s="11"/>
      <c r="ES26" s="69">
        <f t="shared" si="226"/>
        <v>217</v>
      </c>
      <c r="ET26" s="69">
        <f t="shared" si="227"/>
        <v>18</v>
      </c>
      <c r="EU26" s="11">
        <v>5</v>
      </c>
      <c r="EV26" s="12">
        <f t="shared" si="176"/>
        <v>2.7649769585253458E-2</v>
      </c>
      <c r="EW26" s="11">
        <v>1</v>
      </c>
      <c r="EX26" s="12">
        <f t="shared" si="177"/>
        <v>0.16666666666666666</v>
      </c>
      <c r="EY26" s="11"/>
      <c r="EZ26" s="11"/>
      <c r="FA26" s="18"/>
      <c r="FB26" s="20"/>
      <c r="FC26" s="10"/>
      <c r="FD26" s="11"/>
      <c r="FE26" s="69">
        <f t="shared" si="228"/>
        <v>868</v>
      </c>
      <c r="FF26" s="69">
        <f t="shared" si="229"/>
        <v>79</v>
      </c>
      <c r="FG26" s="11">
        <v>71</v>
      </c>
      <c r="FH26" s="12">
        <f t="shared" si="178"/>
        <v>9.1013824884792621E-2</v>
      </c>
      <c r="FI26" s="11">
        <v>8</v>
      </c>
      <c r="FJ26" s="12">
        <f t="shared" si="179"/>
        <v>0.10126582278481013</v>
      </c>
      <c r="FK26" s="171">
        <v>123.67215</v>
      </c>
      <c r="FL26" s="11"/>
      <c r="FM26" s="18"/>
      <c r="FN26" s="20"/>
      <c r="FO26" s="10"/>
      <c r="FP26" s="11"/>
      <c r="FQ26" s="69">
        <f t="shared" si="230"/>
        <v>913</v>
      </c>
      <c r="FR26" s="69">
        <f t="shared" si="231"/>
        <v>82</v>
      </c>
      <c r="FS26" s="11">
        <v>84</v>
      </c>
      <c r="FT26" s="12">
        <f t="shared" si="180"/>
        <v>0.11829134720700986</v>
      </c>
      <c r="FU26" s="11">
        <v>24</v>
      </c>
      <c r="FV26" s="12">
        <f t="shared" si="181"/>
        <v>0.22222222222222221</v>
      </c>
      <c r="FW26" s="11"/>
      <c r="FX26" s="11"/>
      <c r="FY26" s="18"/>
      <c r="FZ26" s="20"/>
      <c r="GA26" s="10"/>
      <c r="GB26" s="11"/>
      <c r="GC26" s="69">
        <f t="shared" si="232"/>
        <v>912</v>
      </c>
      <c r="GD26" s="69">
        <f t="shared" si="233"/>
        <v>82</v>
      </c>
      <c r="GE26" s="11">
        <v>100</v>
      </c>
      <c r="GF26" s="12">
        <f t="shared" si="182"/>
        <v>0.14254385964912281</v>
      </c>
      <c r="GG26" s="11">
        <v>30</v>
      </c>
      <c r="GH26" s="12">
        <f t="shared" si="183"/>
        <v>0.23076923076923078</v>
      </c>
      <c r="GI26" s="171">
        <v>127.57529000000001</v>
      </c>
      <c r="GJ26" s="11"/>
      <c r="GK26" s="18"/>
      <c r="GL26" s="20"/>
      <c r="GM26" s="10"/>
      <c r="GN26" s="11"/>
      <c r="GO26" s="69">
        <f t="shared" si="234"/>
        <v>199</v>
      </c>
      <c r="GP26" s="69">
        <f t="shared" si="235"/>
        <v>19</v>
      </c>
      <c r="GQ26" s="11">
        <v>14</v>
      </c>
      <c r="GR26" s="12">
        <f t="shared" si="184"/>
        <v>0.10552763819095477</v>
      </c>
      <c r="GS26" s="11">
        <v>7</v>
      </c>
      <c r="GT26" s="12">
        <f t="shared" si="185"/>
        <v>0.33333333333333331</v>
      </c>
      <c r="GU26" s="11"/>
      <c r="GV26" s="11"/>
      <c r="GW26" s="18"/>
      <c r="GX26" s="20"/>
      <c r="GY26" s="10"/>
      <c r="GZ26" s="11"/>
      <c r="HA26" s="69">
        <f t="shared" si="236"/>
        <v>913</v>
      </c>
      <c r="HB26" s="69">
        <f t="shared" si="237"/>
        <v>82</v>
      </c>
      <c r="HC26" s="11">
        <v>88</v>
      </c>
      <c r="HD26" s="12">
        <f t="shared" si="186"/>
        <v>0.12267250821467689</v>
      </c>
      <c r="HE26" s="11">
        <v>24</v>
      </c>
      <c r="HF26" s="12">
        <f t="shared" si="187"/>
        <v>0.21428571428571427</v>
      </c>
      <c r="HG26" s="11"/>
      <c r="HH26" s="11"/>
      <c r="HI26" s="18"/>
      <c r="HJ26" s="20"/>
      <c r="HK26" s="10">
        <f t="shared" si="188"/>
        <v>0</v>
      </c>
      <c r="HL26" s="11">
        <f t="shared" si="189"/>
        <v>0</v>
      </c>
      <c r="HM26" s="11">
        <f t="shared" si="190"/>
        <v>12484</v>
      </c>
      <c r="HN26" s="11">
        <f t="shared" si="191"/>
        <v>1119</v>
      </c>
      <c r="HO26" s="11">
        <f t="shared" si="192"/>
        <v>1737</v>
      </c>
      <c r="HP26" s="95">
        <f t="shared" si="193"/>
        <v>0.13913809676385774</v>
      </c>
      <c r="HQ26" s="15">
        <f t="shared" si="194"/>
        <v>261</v>
      </c>
      <c r="HR26" s="12">
        <f t="shared" si="195"/>
        <v>0.15025906735751296</v>
      </c>
      <c r="HS26" s="16">
        <v>49.3</v>
      </c>
      <c r="HT26" s="17">
        <v>1434</v>
      </c>
      <c r="HU26" s="16">
        <f t="shared" si="196"/>
        <v>82.556131260794473</v>
      </c>
      <c r="HV26" s="18"/>
      <c r="HW26" s="20"/>
      <c r="HX26" s="73">
        <f t="shared" si="197"/>
        <v>0.14450695883920639</v>
      </c>
      <c r="HY26" s="73">
        <f t="shared" si="198"/>
        <v>0.1863799283154122</v>
      </c>
      <c r="HZ26" s="73">
        <f t="shared" si="199"/>
        <v>9.0007087172218281E-2</v>
      </c>
      <c r="IA26" s="73">
        <f t="shared" si="200"/>
        <v>0.12631937351038475</v>
      </c>
    </row>
    <row r="27" spans="1:244" x14ac:dyDescent="0.25">
      <c r="A27" s="374"/>
      <c r="B27" s="41">
        <f>+B26+1</f>
        <v>44959</v>
      </c>
      <c r="C27" s="10"/>
      <c r="D27" s="11"/>
      <c r="E27" s="69">
        <f t="shared" si="202"/>
        <v>850</v>
      </c>
      <c r="F27" s="69">
        <f t="shared" si="202"/>
        <v>75</v>
      </c>
      <c r="G27" s="11">
        <v>162</v>
      </c>
      <c r="H27" s="12">
        <f t="shared" si="153"/>
        <v>0.22</v>
      </c>
      <c r="I27" s="11">
        <v>25</v>
      </c>
      <c r="J27" s="12">
        <f t="shared" si="203"/>
        <v>0.13368983957219252</v>
      </c>
      <c r="K27" s="172">
        <v>125.89150000000001</v>
      </c>
      <c r="L27" s="13"/>
      <c r="M27" s="25">
        <v>3550</v>
      </c>
      <c r="N27" s="38">
        <v>4010</v>
      </c>
      <c r="O27" s="10"/>
      <c r="P27" s="11"/>
      <c r="Q27" s="69">
        <f t="shared" si="204"/>
        <v>776</v>
      </c>
      <c r="R27" s="69">
        <f t="shared" si="205"/>
        <v>69</v>
      </c>
      <c r="S27" s="11">
        <v>130</v>
      </c>
      <c r="T27" s="12">
        <f t="shared" si="154"/>
        <v>0.19974226804123713</v>
      </c>
      <c r="U27" s="11">
        <v>25</v>
      </c>
      <c r="V27" s="12">
        <f t="shared" si="155"/>
        <v>0.16129032258064516</v>
      </c>
      <c r="W27" s="172">
        <v>123.76650000000001</v>
      </c>
      <c r="X27" s="13"/>
      <c r="Y27" s="25">
        <v>3550</v>
      </c>
      <c r="Z27" s="38">
        <v>4010</v>
      </c>
      <c r="AA27" s="10"/>
      <c r="AB27" s="11"/>
      <c r="AC27" s="69">
        <f t="shared" si="206"/>
        <v>198</v>
      </c>
      <c r="AD27" s="69">
        <f t="shared" si="207"/>
        <v>15</v>
      </c>
      <c r="AE27" s="11">
        <v>21</v>
      </c>
      <c r="AF27" s="12">
        <f t="shared" si="156"/>
        <v>0.13131313131313133</v>
      </c>
      <c r="AG27" s="11">
        <v>5</v>
      </c>
      <c r="AH27" s="12">
        <f t="shared" si="157"/>
        <v>0.19230769230769232</v>
      </c>
      <c r="AI27" s="13"/>
      <c r="AJ27" s="13"/>
      <c r="AK27" s="25">
        <v>3550</v>
      </c>
      <c r="AL27" s="38">
        <v>4010</v>
      </c>
      <c r="AM27" s="10"/>
      <c r="AN27" s="11"/>
      <c r="AO27" s="69">
        <f t="shared" si="208"/>
        <v>776</v>
      </c>
      <c r="AP27" s="69">
        <f t="shared" si="209"/>
        <v>69</v>
      </c>
      <c r="AQ27" s="11">
        <v>92</v>
      </c>
      <c r="AR27" s="12">
        <f t="shared" si="158"/>
        <v>0.14690721649484537</v>
      </c>
      <c r="AS27" s="11">
        <v>22</v>
      </c>
      <c r="AT27" s="12">
        <f t="shared" si="159"/>
        <v>0.19298245614035087</v>
      </c>
      <c r="AU27" s="172">
        <v>121.28905</v>
      </c>
      <c r="AV27" s="13"/>
      <c r="AW27" s="25">
        <v>3550</v>
      </c>
      <c r="AX27" s="38">
        <v>4010</v>
      </c>
      <c r="AY27" s="10"/>
      <c r="AZ27" s="11"/>
      <c r="BA27" s="69">
        <f t="shared" si="210"/>
        <v>777</v>
      </c>
      <c r="BB27" s="69">
        <f t="shared" si="211"/>
        <v>69</v>
      </c>
      <c r="BC27" s="11">
        <v>104</v>
      </c>
      <c r="BD27" s="12">
        <f t="shared" si="160"/>
        <v>0.16087516087516088</v>
      </c>
      <c r="BE27" s="11">
        <v>21</v>
      </c>
      <c r="BF27" s="12">
        <f t="shared" si="161"/>
        <v>0.16800000000000001</v>
      </c>
      <c r="BG27" s="13"/>
      <c r="BH27" s="13"/>
      <c r="BI27" s="25">
        <v>3550</v>
      </c>
      <c r="BJ27" s="38">
        <v>4010</v>
      </c>
      <c r="BK27" s="10"/>
      <c r="BL27" s="11"/>
      <c r="BM27" s="69">
        <f t="shared" si="212"/>
        <v>849</v>
      </c>
      <c r="BN27" s="69">
        <f t="shared" si="213"/>
        <v>77</v>
      </c>
      <c r="BO27" s="11">
        <v>182</v>
      </c>
      <c r="BP27" s="12">
        <f t="shared" si="162"/>
        <v>0.25206124852767964</v>
      </c>
      <c r="BQ27" s="11">
        <v>32</v>
      </c>
      <c r="BR27" s="12">
        <f t="shared" si="163"/>
        <v>0.14953271028037382</v>
      </c>
      <c r="BS27" s="172">
        <v>131.1</v>
      </c>
      <c r="BT27" s="13"/>
      <c r="BU27" s="25">
        <v>3550</v>
      </c>
      <c r="BV27" s="38">
        <v>4010</v>
      </c>
      <c r="BW27" s="10"/>
      <c r="BX27" s="11"/>
      <c r="BY27" s="69">
        <f t="shared" si="214"/>
        <v>767</v>
      </c>
      <c r="BZ27" s="69">
        <f t="shared" si="215"/>
        <v>69</v>
      </c>
      <c r="CA27" s="11">
        <v>142</v>
      </c>
      <c r="CB27" s="12">
        <f t="shared" si="164"/>
        <v>0.21903520208604954</v>
      </c>
      <c r="CC27" s="11">
        <v>26</v>
      </c>
      <c r="CD27" s="12">
        <f t="shared" si="165"/>
        <v>0.15476190476190477</v>
      </c>
      <c r="CE27" s="13"/>
      <c r="CF27" s="13"/>
      <c r="CG27" s="25">
        <v>3550</v>
      </c>
      <c r="CH27" s="38">
        <v>4010</v>
      </c>
      <c r="CI27" s="10"/>
      <c r="CJ27" s="11"/>
      <c r="CK27" s="69">
        <f t="shared" si="216"/>
        <v>198</v>
      </c>
      <c r="CL27" s="69">
        <f t="shared" si="217"/>
        <v>17</v>
      </c>
      <c r="CM27" s="11">
        <v>30</v>
      </c>
      <c r="CN27" s="12">
        <f t="shared" si="166"/>
        <v>0.17171717171717171</v>
      </c>
      <c r="CO27" s="11">
        <v>4</v>
      </c>
      <c r="CP27" s="12">
        <f t="shared" si="167"/>
        <v>0.11764705882352941</v>
      </c>
      <c r="CQ27" s="13"/>
      <c r="CR27" s="13"/>
      <c r="CS27" s="25">
        <v>3550</v>
      </c>
      <c r="CT27" s="38">
        <v>4010</v>
      </c>
      <c r="CU27" s="10"/>
      <c r="CV27" s="11"/>
      <c r="CW27" s="69">
        <f t="shared" si="218"/>
        <v>766</v>
      </c>
      <c r="CX27" s="69">
        <f t="shared" si="219"/>
        <v>70</v>
      </c>
      <c r="CY27" s="11">
        <v>186</v>
      </c>
      <c r="CZ27" s="12">
        <f t="shared" si="168"/>
        <v>0.27676240208877284</v>
      </c>
      <c r="DA27" s="11">
        <v>26</v>
      </c>
      <c r="DB27" s="12">
        <f t="shared" si="169"/>
        <v>0.12264150943396226</v>
      </c>
      <c r="DC27" s="172">
        <v>129.51686000000001</v>
      </c>
      <c r="DD27" s="13"/>
      <c r="DE27" s="25">
        <v>3550</v>
      </c>
      <c r="DF27" s="38">
        <v>4010</v>
      </c>
      <c r="DG27" s="10"/>
      <c r="DH27" s="11"/>
      <c r="DI27" s="69">
        <f t="shared" si="220"/>
        <v>768</v>
      </c>
      <c r="DJ27" s="69">
        <f t="shared" si="221"/>
        <v>70</v>
      </c>
      <c r="DK27" s="11">
        <v>145</v>
      </c>
      <c r="DL27" s="12">
        <f t="shared" si="170"/>
        <v>0.22395833333333334</v>
      </c>
      <c r="DM27" s="11">
        <v>27</v>
      </c>
      <c r="DN27" s="12">
        <f t="shared" si="171"/>
        <v>0.15697674418604651</v>
      </c>
      <c r="DO27" s="13"/>
      <c r="DP27" s="13"/>
      <c r="DQ27" s="25">
        <v>3550</v>
      </c>
      <c r="DR27" s="38">
        <v>4010</v>
      </c>
      <c r="DS27" s="10"/>
      <c r="DT27" s="11"/>
      <c r="DU27" s="69">
        <f t="shared" si="222"/>
        <v>868</v>
      </c>
      <c r="DV27" s="69">
        <f t="shared" si="223"/>
        <v>78</v>
      </c>
      <c r="DW27" s="11">
        <v>100</v>
      </c>
      <c r="DX27" s="12">
        <f t="shared" si="172"/>
        <v>0.13018433179723501</v>
      </c>
      <c r="DY27" s="11">
        <v>13</v>
      </c>
      <c r="DZ27" s="12">
        <f t="shared" si="173"/>
        <v>0.11504424778761062</v>
      </c>
      <c r="EA27" s="172">
        <v>126.94465</v>
      </c>
      <c r="EB27" s="13"/>
      <c r="EC27" s="25">
        <v>3550</v>
      </c>
      <c r="ED27" s="38">
        <v>4010</v>
      </c>
      <c r="EE27" s="10"/>
      <c r="EF27" s="11"/>
      <c r="EG27" s="69">
        <f t="shared" si="224"/>
        <v>869</v>
      </c>
      <c r="EH27" s="69">
        <f t="shared" si="225"/>
        <v>79</v>
      </c>
      <c r="EI27" s="11">
        <v>119</v>
      </c>
      <c r="EJ27" s="12">
        <f t="shared" si="174"/>
        <v>0.15995397008055237</v>
      </c>
      <c r="EK27" s="11">
        <v>20</v>
      </c>
      <c r="EL27" s="12">
        <f t="shared" si="175"/>
        <v>0.14388489208633093</v>
      </c>
      <c r="EM27" s="172">
        <v>129.79155</v>
      </c>
      <c r="EN27" s="13"/>
      <c r="EO27" s="25">
        <v>3550</v>
      </c>
      <c r="EP27" s="38">
        <v>4010</v>
      </c>
      <c r="EQ27" s="10"/>
      <c r="ER27" s="11"/>
      <c r="ES27" s="69">
        <f t="shared" si="226"/>
        <v>217</v>
      </c>
      <c r="ET27" s="69">
        <f t="shared" si="227"/>
        <v>18</v>
      </c>
      <c r="EU27" s="11">
        <v>7</v>
      </c>
      <c r="EV27" s="12">
        <f t="shared" si="176"/>
        <v>3.6866359447004608E-2</v>
      </c>
      <c r="EW27" s="11">
        <v>1</v>
      </c>
      <c r="EX27" s="12">
        <f t="shared" si="177"/>
        <v>0.125</v>
      </c>
      <c r="EY27" s="13"/>
      <c r="EZ27" s="13"/>
      <c r="FA27" s="25">
        <v>3550</v>
      </c>
      <c r="FB27" s="38">
        <v>4010</v>
      </c>
      <c r="FC27" s="10"/>
      <c r="FD27" s="11"/>
      <c r="FE27" s="69">
        <f t="shared" si="228"/>
        <v>868</v>
      </c>
      <c r="FF27" s="69">
        <f t="shared" si="229"/>
        <v>79</v>
      </c>
      <c r="FG27" s="11">
        <v>88</v>
      </c>
      <c r="FH27" s="12">
        <f t="shared" si="178"/>
        <v>0.11981566820276497</v>
      </c>
      <c r="FI27" s="11">
        <v>16</v>
      </c>
      <c r="FJ27" s="12">
        <f t="shared" si="179"/>
        <v>0.15384615384615385</v>
      </c>
      <c r="FK27" s="13"/>
      <c r="FL27" s="13"/>
      <c r="FM27" s="25">
        <v>3550</v>
      </c>
      <c r="FN27" s="38">
        <v>4010</v>
      </c>
      <c r="FO27" s="10"/>
      <c r="FP27" s="11"/>
      <c r="FQ27" s="69">
        <f t="shared" si="230"/>
        <v>913</v>
      </c>
      <c r="FR27" s="69">
        <f t="shared" si="231"/>
        <v>82</v>
      </c>
      <c r="FS27" s="11">
        <v>101</v>
      </c>
      <c r="FT27" s="12">
        <f t="shared" si="180"/>
        <v>0.14019715224534501</v>
      </c>
      <c r="FU27" s="11">
        <v>27</v>
      </c>
      <c r="FV27" s="12">
        <f t="shared" si="181"/>
        <v>0.2109375</v>
      </c>
      <c r="FW27" s="172">
        <v>129.29729</v>
      </c>
      <c r="FX27" s="13"/>
      <c r="FY27" s="25">
        <v>3550</v>
      </c>
      <c r="FZ27" s="38">
        <v>4010</v>
      </c>
      <c r="GA27" s="10"/>
      <c r="GB27" s="11"/>
      <c r="GC27" s="69">
        <f t="shared" si="232"/>
        <v>912</v>
      </c>
      <c r="GD27" s="69">
        <f t="shared" si="233"/>
        <v>82</v>
      </c>
      <c r="GE27" s="11">
        <v>136</v>
      </c>
      <c r="GF27" s="12">
        <f t="shared" si="182"/>
        <v>0.17434210526315788</v>
      </c>
      <c r="GG27" s="11">
        <v>23</v>
      </c>
      <c r="GH27" s="12">
        <f t="shared" si="183"/>
        <v>0.14465408805031446</v>
      </c>
      <c r="GI27" s="13"/>
      <c r="GJ27" s="13"/>
      <c r="GK27" s="25">
        <v>3550</v>
      </c>
      <c r="GL27" s="38">
        <v>4010</v>
      </c>
      <c r="GM27" s="10"/>
      <c r="GN27" s="11"/>
      <c r="GO27" s="69">
        <f t="shared" si="234"/>
        <v>199</v>
      </c>
      <c r="GP27" s="69">
        <f t="shared" si="235"/>
        <v>19</v>
      </c>
      <c r="GQ27" s="11">
        <v>27</v>
      </c>
      <c r="GR27" s="12">
        <f t="shared" si="184"/>
        <v>0.1407035175879397</v>
      </c>
      <c r="GS27" s="11">
        <v>1</v>
      </c>
      <c r="GT27" s="12">
        <f t="shared" si="185"/>
        <v>3.5714285714285712E-2</v>
      </c>
      <c r="GU27" s="172">
        <v>127.14479</v>
      </c>
      <c r="GV27" s="13"/>
      <c r="GW27" s="25">
        <v>3550</v>
      </c>
      <c r="GX27" s="38">
        <v>4010</v>
      </c>
      <c r="GY27" s="10"/>
      <c r="GZ27" s="11"/>
      <c r="HA27" s="69">
        <f t="shared" si="236"/>
        <v>913</v>
      </c>
      <c r="HB27" s="69">
        <f t="shared" si="237"/>
        <v>82</v>
      </c>
      <c r="HC27" s="11">
        <v>135</v>
      </c>
      <c r="HD27" s="12">
        <f t="shared" si="186"/>
        <v>0.1774370208105148</v>
      </c>
      <c r="HE27" s="11">
        <v>27</v>
      </c>
      <c r="HF27" s="12">
        <f t="shared" si="187"/>
        <v>0.16666666666666666</v>
      </c>
      <c r="HG27" s="172">
        <v>123.70079</v>
      </c>
      <c r="HH27" s="13"/>
      <c r="HI27" s="25">
        <v>3550</v>
      </c>
      <c r="HJ27" s="38">
        <v>4010</v>
      </c>
      <c r="HK27" s="10">
        <f t="shared" si="188"/>
        <v>0</v>
      </c>
      <c r="HL27" s="11">
        <f t="shared" si="189"/>
        <v>0</v>
      </c>
      <c r="HM27" s="11">
        <f t="shared" si="190"/>
        <v>12484</v>
      </c>
      <c r="HN27" s="11">
        <f t="shared" si="191"/>
        <v>1119</v>
      </c>
      <c r="HO27" s="11">
        <f t="shared" si="192"/>
        <v>2248</v>
      </c>
      <c r="HP27" s="95">
        <f t="shared" si="193"/>
        <v>0.18007049022749119</v>
      </c>
      <c r="HQ27" s="15">
        <f t="shared" si="194"/>
        <v>341</v>
      </c>
      <c r="HR27" s="12">
        <f t="shared" si="195"/>
        <v>0.15169039145907473</v>
      </c>
      <c r="HS27" s="16">
        <v>49.7</v>
      </c>
      <c r="HT27" s="17">
        <v>1848</v>
      </c>
      <c r="HU27" s="16">
        <f t="shared" si="196"/>
        <v>82.206405693950174</v>
      </c>
      <c r="HV27" s="23">
        <v>3550</v>
      </c>
      <c r="HW27" s="22">
        <v>4010</v>
      </c>
      <c r="HX27" s="73">
        <f t="shared" si="197"/>
        <v>0.17974533609712762</v>
      </c>
      <c r="HY27" s="73">
        <f t="shared" si="198"/>
        <v>0.23894862604540024</v>
      </c>
      <c r="HZ27" s="73">
        <f t="shared" si="199"/>
        <v>0.12898653437278526</v>
      </c>
      <c r="IA27" s="73">
        <f t="shared" si="200"/>
        <v>0.16241062308478038</v>
      </c>
    </row>
    <row r="28" spans="1:244" ht="21" customHeight="1" x14ac:dyDescent="0.25">
      <c r="A28" s="374"/>
      <c r="B28" s="41">
        <f t="shared" si="201"/>
        <v>44960</v>
      </c>
      <c r="C28" s="10"/>
      <c r="D28" s="11"/>
      <c r="E28" s="69">
        <f t="shared" si="202"/>
        <v>850</v>
      </c>
      <c r="F28" s="69">
        <f t="shared" si="202"/>
        <v>75</v>
      </c>
      <c r="G28" s="11">
        <v>205</v>
      </c>
      <c r="H28" s="12">
        <f t="shared" si="153"/>
        <v>0.28117647058823531</v>
      </c>
      <c r="I28" s="11">
        <v>34</v>
      </c>
      <c r="J28" s="12">
        <f t="shared" si="203"/>
        <v>0.14225941422594143</v>
      </c>
      <c r="K28" s="173">
        <v>128.02200000000002</v>
      </c>
      <c r="L28" s="11"/>
      <c r="M28" s="25">
        <v>3690</v>
      </c>
      <c r="N28" s="38">
        <v>4106.875</v>
      </c>
      <c r="O28" s="10"/>
      <c r="P28" s="11"/>
      <c r="Q28" s="69">
        <f t="shared" si="204"/>
        <v>776</v>
      </c>
      <c r="R28" s="69">
        <f t="shared" si="205"/>
        <v>69</v>
      </c>
      <c r="S28" s="11">
        <v>204</v>
      </c>
      <c r="T28" s="12">
        <f t="shared" si="154"/>
        <v>0.28350515463917525</v>
      </c>
      <c r="U28" s="11">
        <v>16</v>
      </c>
      <c r="V28" s="12">
        <f t="shared" si="155"/>
        <v>7.2727272727272724E-2</v>
      </c>
      <c r="W28" s="173">
        <v>126.02200000000001</v>
      </c>
      <c r="X28" s="11"/>
      <c r="Y28" s="25">
        <v>3758.5</v>
      </c>
      <c r="Z28" s="38">
        <v>4084.2857142857142</v>
      </c>
      <c r="AA28" s="10"/>
      <c r="AB28" s="11"/>
      <c r="AC28" s="69">
        <f t="shared" si="206"/>
        <v>198</v>
      </c>
      <c r="AD28" s="69">
        <f t="shared" si="207"/>
        <v>15</v>
      </c>
      <c r="AE28" s="11">
        <v>40</v>
      </c>
      <c r="AF28" s="12">
        <f t="shared" si="156"/>
        <v>0.22222222222222221</v>
      </c>
      <c r="AG28" s="11">
        <v>4</v>
      </c>
      <c r="AH28" s="12">
        <f t="shared" si="157"/>
        <v>9.0909090909090912E-2</v>
      </c>
      <c r="AI28" s="173">
        <v>128.44905</v>
      </c>
      <c r="AJ28" s="11"/>
      <c r="AK28" s="25">
        <v>3687.5</v>
      </c>
      <c r="AL28" s="38">
        <v>3958</v>
      </c>
      <c r="AM28" s="10"/>
      <c r="AN28" s="11"/>
      <c r="AO28" s="69">
        <f t="shared" si="208"/>
        <v>776</v>
      </c>
      <c r="AP28" s="69">
        <f t="shared" si="209"/>
        <v>69</v>
      </c>
      <c r="AQ28" s="11">
        <v>146</v>
      </c>
      <c r="AR28" s="12">
        <f t="shared" si="158"/>
        <v>0.21262886597938144</v>
      </c>
      <c r="AS28" s="11">
        <v>19</v>
      </c>
      <c r="AT28" s="12">
        <f t="shared" si="159"/>
        <v>0.11515151515151516</v>
      </c>
      <c r="AU28" s="173">
        <v>123.3415</v>
      </c>
      <c r="AV28" s="11"/>
      <c r="AW28" s="25">
        <v>3707.25</v>
      </c>
      <c r="AX28" s="38">
        <v>4190.666666666667</v>
      </c>
      <c r="AY28" s="10"/>
      <c r="AZ28" s="11"/>
      <c r="BA28" s="69">
        <f t="shared" si="210"/>
        <v>777</v>
      </c>
      <c r="BB28" s="69">
        <f t="shared" si="211"/>
        <v>69</v>
      </c>
      <c r="BC28" s="11">
        <v>159</v>
      </c>
      <c r="BD28" s="12">
        <f t="shared" si="160"/>
        <v>0.23423423423423423</v>
      </c>
      <c r="BE28" s="11">
        <v>23</v>
      </c>
      <c r="BF28" s="12">
        <f t="shared" si="161"/>
        <v>0.12637362637362637</v>
      </c>
      <c r="BG28" s="173">
        <v>123.76650000000001</v>
      </c>
      <c r="BH28" s="11"/>
      <c r="BI28" s="25">
        <v>3790.2325581395348</v>
      </c>
      <c r="BJ28" s="38">
        <v>4243.125</v>
      </c>
      <c r="BK28" s="10">
        <v>1</v>
      </c>
      <c r="BL28" s="11"/>
      <c r="BM28" s="69">
        <f t="shared" si="212"/>
        <v>848</v>
      </c>
      <c r="BN28" s="69">
        <f t="shared" si="213"/>
        <v>77</v>
      </c>
      <c r="BO28" s="11">
        <v>226</v>
      </c>
      <c r="BP28" s="12">
        <f t="shared" si="162"/>
        <v>0.31014150943396224</v>
      </c>
      <c r="BQ28" s="11">
        <v>37</v>
      </c>
      <c r="BR28" s="12">
        <f t="shared" si="163"/>
        <v>0.14068441064638784</v>
      </c>
      <c r="BS28" s="13"/>
      <c r="BT28" s="11"/>
      <c r="BU28" s="25">
        <v>3785.9459459459458</v>
      </c>
      <c r="BV28" s="38">
        <v>3945.625</v>
      </c>
      <c r="BW28" s="10"/>
      <c r="BX28" s="11"/>
      <c r="BY28" s="69">
        <f t="shared" si="214"/>
        <v>767</v>
      </c>
      <c r="BZ28" s="69">
        <f t="shared" si="215"/>
        <v>69</v>
      </c>
      <c r="CA28" s="11">
        <v>184</v>
      </c>
      <c r="CB28" s="12">
        <f t="shared" si="164"/>
        <v>0.27640156453715775</v>
      </c>
      <c r="CC28" s="11">
        <v>28</v>
      </c>
      <c r="CD28" s="12">
        <f t="shared" si="165"/>
        <v>0.13207547169811321</v>
      </c>
      <c r="CE28" s="173">
        <v>129.90386000000001</v>
      </c>
      <c r="CF28" s="11"/>
      <c r="CG28" s="25">
        <v>3738.6842105263158</v>
      </c>
      <c r="CH28" s="38">
        <v>4238.333333333333</v>
      </c>
      <c r="CI28" s="10"/>
      <c r="CJ28" s="11"/>
      <c r="CK28" s="69">
        <f t="shared" si="216"/>
        <v>198</v>
      </c>
      <c r="CL28" s="69">
        <f t="shared" si="217"/>
        <v>17</v>
      </c>
      <c r="CM28" s="11">
        <v>22</v>
      </c>
      <c r="CN28" s="12">
        <f t="shared" si="166"/>
        <v>0.12626262626262627</v>
      </c>
      <c r="CO28" s="11">
        <v>3</v>
      </c>
      <c r="CP28" s="12">
        <f t="shared" si="167"/>
        <v>0.12</v>
      </c>
      <c r="CQ28" s="13"/>
      <c r="CR28" s="11"/>
      <c r="CS28" s="25">
        <v>3780.909090909091</v>
      </c>
      <c r="CT28" s="38">
        <v>4034</v>
      </c>
      <c r="CU28" s="10"/>
      <c r="CV28" s="11"/>
      <c r="CW28" s="69">
        <f t="shared" si="218"/>
        <v>766</v>
      </c>
      <c r="CX28" s="69">
        <f t="shared" si="219"/>
        <v>70</v>
      </c>
      <c r="CY28" s="11">
        <v>242</v>
      </c>
      <c r="CZ28" s="12">
        <f t="shared" si="168"/>
        <v>0.34464751958224543</v>
      </c>
      <c r="DA28" s="11">
        <v>22</v>
      </c>
      <c r="DB28" s="12">
        <f t="shared" si="169"/>
        <v>8.3333333333333329E-2</v>
      </c>
      <c r="DC28" s="173">
        <v>133.68575000000001</v>
      </c>
      <c r="DD28" s="11"/>
      <c r="DE28" s="25">
        <v>3786.3888888888887</v>
      </c>
      <c r="DF28" s="38">
        <v>4249.375</v>
      </c>
      <c r="DG28" s="10"/>
      <c r="DH28" s="11"/>
      <c r="DI28" s="69">
        <f t="shared" si="220"/>
        <v>768</v>
      </c>
      <c r="DJ28" s="69">
        <f t="shared" si="221"/>
        <v>70</v>
      </c>
      <c r="DK28" s="11">
        <v>191</v>
      </c>
      <c r="DL28" s="12">
        <f t="shared" si="170"/>
        <v>0.28125</v>
      </c>
      <c r="DM28" s="11">
        <v>25</v>
      </c>
      <c r="DN28" s="12">
        <f t="shared" si="171"/>
        <v>0.11574074074074074</v>
      </c>
      <c r="DO28" s="173">
        <v>128.74286000000001</v>
      </c>
      <c r="DP28" s="11"/>
      <c r="DQ28" s="25">
        <v>3743.5135135135133</v>
      </c>
      <c r="DR28" s="38">
        <v>4207.333333333333</v>
      </c>
      <c r="DS28" s="10">
        <v>1</v>
      </c>
      <c r="DT28" s="11"/>
      <c r="DU28" s="69">
        <f t="shared" si="222"/>
        <v>867</v>
      </c>
      <c r="DV28" s="69">
        <f t="shared" si="223"/>
        <v>78</v>
      </c>
      <c r="DW28" s="11">
        <v>115</v>
      </c>
      <c r="DX28" s="12">
        <f t="shared" si="172"/>
        <v>0.15686274509803921</v>
      </c>
      <c r="DY28" s="11">
        <v>21</v>
      </c>
      <c r="DZ28" s="12">
        <f t="shared" si="173"/>
        <v>0.15441176470588236</v>
      </c>
      <c r="EA28" s="173">
        <v>128.44905</v>
      </c>
      <c r="EB28" s="11"/>
      <c r="EC28" s="25">
        <v>3751.9512195121952</v>
      </c>
      <c r="ED28" s="38">
        <v>3986.6666666666665</v>
      </c>
      <c r="EE28" s="10"/>
      <c r="EF28" s="11"/>
      <c r="EG28" s="69">
        <f t="shared" si="224"/>
        <v>869</v>
      </c>
      <c r="EH28" s="69">
        <f t="shared" si="225"/>
        <v>79</v>
      </c>
      <c r="EI28" s="11">
        <v>137</v>
      </c>
      <c r="EJ28" s="12">
        <f t="shared" si="174"/>
        <v>0.18757192174913695</v>
      </c>
      <c r="EK28" s="11">
        <v>26</v>
      </c>
      <c r="EL28" s="12">
        <f t="shared" si="175"/>
        <v>0.15950920245398773</v>
      </c>
      <c r="EM28" s="13"/>
      <c r="EN28" s="11"/>
      <c r="EO28" s="25">
        <v>3721.7647058823532</v>
      </c>
      <c r="EP28" s="38">
        <v>4016</v>
      </c>
      <c r="EQ28" s="10"/>
      <c r="ER28" s="11"/>
      <c r="ES28" s="69">
        <f t="shared" si="226"/>
        <v>217</v>
      </c>
      <c r="ET28" s="69">
        <f t="shared" si="227"/>
        <v>18</v>
      </c>
      <c r="EU28" s="11">
        <v>13</v>
      </c>
      <c r="EV28" s="12">
        <f t="shared" si="176"/>
        <v>6.4516129032258063E-2</v>
      </c>
      <c r="EW28" s="11">
        <v>1</v>
      </c>
      <c r="EX28" s="12">
        <f t="shared" si="177"/>
        <v>7.1428571428571425E-2</v>
      </c>
      <c r="EY28" s="13"/>
      <c r="EZ28" s="11"/>
      <c r="FA28" s="25">
        <v>3547.2727272727275</v>
      </c>
      <c r="FB28" s="38">
        <v>4093.3333333333335</v>
      </c>
      <c r="FC28" s="10"/>
      <c r="FD28" s="11"/>
      <c r="FE28" s="69">
        <f t="shared" si="228"/>
        <v>868</v>
      </c>
      <c r="FF28" s="69">
        <f t="shared" si="229"/>
        <v>79</v>
      </c>
      <c r="FG28" s="11">
        <v>130</v>
      </c>
      <c r="FH28" s="12">
        <f t="shared" si="178"/>
        <v>0.17050691244239632</v>
      </c>
      <c r="FI28" s="11">
        <v>18</v>
      </c>
      <c r="FJ28" s="12">
        <f t="shared" si="179"/>
        <v>0.12162162162162163</v>
      </c>
      <c r="FK28" s="173">
        <v>125.31655000000001</v>
      </c>
      <c r="FL28" s="11"/>
      <c r="FM28" s="25">
        <v>3626.1111111111113</v>
      </c>
      <c r="FN28" s="38">
        <v>4142.2222222222226</v>
      </c>
      <c r="FO28" s="10"/>
      <c r="FP28" s="11"/>
      <c r="FQ28" s="69">
        <f t="shared" si="230"/>
        <v>913</v>
      </c>
      <c r="FR28" s="69">
        <f t="shared" si="231"/>
        <v>82</v>
      </c>
      <c r="FS28" s="11">
        <v>155</v>
      </c>
      <c r="FT28" s="12">
        <f t="shared" si="180"/>
        <v>0.19715224534501644</v>
      </c>
      <c r="FU28" s="11">
        <v>25</v>
      </c>
      <c r="FV28" s="12">
        <f t="shared" si="181"/>
        <v>0.1388888888888889</v>
      </c>
      <c r="FW28" s="13"/>
      <c r="FX28" s="11"/>
      <c r="FY28" s="25">
        <v>3640.4761904761904</v>
      </c>
      <c r="FZ28" s="38">
        <v>4001.3333333333335</v>
      </c>
      <c r="GA28" s="10"/>
      <c r="GB28" s="11"/>
      <c r="GC28" s="69">
        <f t="shared" si="232"/>
        <v>912</v>
      </c>
      <c r="GD28" s="69">
        <f t="shared" si="233"/>
        <v>82</v>
      </c>
      <c r="GE28" s="11">
        <v>166</v>
      </c>
      <c r="GF28" s="12">
        <f t="shared" si="182"/>
        <v>0.21381578947368421</v>
      </c>
      <c r="GG28" s="11">
        <v>29</v>
      </c>
      <c r="GH28" s="12">
        <f t="shared" si="183"/>
        <v>0.14871794871794872</v>
      </c>
      <c r="GI28" s="13"/>
      <c r="GJ28" s="11"/>
      <c r="GK28" s="25">
        <v>3607.1428571428573</v>
      </c>
      <c r="GL28" s="38">
        <v>3931.875</v>
      </c>
      <c r="GM28" s="10"/>
      <c r="GN28" s="11"/>
      <c r="GO28" s="69">
        <f t="shared" si="234"/>
        <v>199</v>
      </c>
      <c r="GP28" s="69">
        <f t="shared" si="235"/>
        <v>19</v>
      </c>
      <c r="GQ28" s="11">
        <v>25</v>
      </c>
      <c r="GR28" s="12">
        <f t="shared" si="184"/>
        <v>0.14572864321608039</v>
      </c>
      <c r="GS28" s="11">
        <v>4</v>
      </c>
      <c r="GT28" s="12">
        <f t="shared" si="185"/>
        <v>0.13793103448275862</v>
      </c>
      <c r="GU28" s="13"/>
      <c r="GV28" s="11"/>
      <c r="GW28" s="25">
        <v>3505</v>
      </c>
      <c r="GX28" s="38">
        <v>3848</v>
      </c>
      <c r="GY28" s="10"/>
      <c r="GZ28" s="11"/>
      <c r="HA28" s="69">
        <f t="shared" si="236"/>
        <v>913</v>
      </c>
      <c r="HB28" s="69">
        <f t="shared" si="237"/>
        <v>82</v>
      </c>
      <c r="HC28" s="11">
        <v>188</v>
      </c>
      <c r="HD28" s="12">
        <f t="shared" si="186"/>
        <v>0.23548740416210295</v>
      </c>
      <c r="HE28" s="11">
        <v>27</v>
      </c>
      <c r="HF28" s="12">
        <f t="shared" si="187"/>
        <v>0.12558139534883722</v>
      </c>
      <c r="HG28" s="13"/>
      <c r="HH28" s="11"/>
      <c r="HI28" s="25">
        <v>3305</v>
      </c>
      <c r="HJ28" s="38">
        <v>3942.3076923076924</v>
      </c>
      <c r="HK28" s="10">
        <f t="shared" si="188"/>
        <v>2</v>
      </c>
      <c r="HL28" s="11">
        <f t="shared" si="189"/>
        <v>0</v>
      </c>
      <c r="HM28" s="11">
        <f t="shared" si="190"/>
        <v>12482</v>
      </c>
      <c r="HN28" s="11">
        <f t="shared" si="191"/>
        <v>1119</v>
      </c>
      <c r="HO28" s="11">
        <f t="shared" si="192"/>
        <v>2910</v>
      </c>
      <c r="HP28" s="95">
        <f t="shared" si="193"/>
        <v>0.23313571543021952</v>
      </c>
      <c r="HQ28" s="15">
        <f t="shared" si="194"/>
        <v>362</v>
      </c>
      <c r="HR28" s="12">
        <f t="shared" si="195"/>
        <v>0.12439862542955327</v>
      </c>
      <c r="HS28" s="16">
        <v>49.4</v>
      </c>
      <c r="HT28" s="17">
        <v>2470</v>
      </c>
      <c r="HU28" s="16">
        <f t="shared" si="196"/>
        <v>84.87972508591065</v>
      </c>
      <c r="HV28" s="23">
        <v>3682.811447811448</v>
      </c>
      <c r="HW28" s="22">
        <v>4080.3125</v>
      </c>
      <c r="HX28" s="73">
        <f t="shared" si="197"/>
        <v>0.25170269469943735</v>
      </c>
      <c r="HY28" s="73">
        <f t="shared" si="198"/>
        <v>0.29279952195996417</v>
      </c>
      <c r="HZ28" s="73">
        <f t="shared" si="199"/>
        <v>0.16341722793335697</v>
      </c>
      <c r="IA28" s="73">
        <f t="shared" si="200"/>
        <v>0.2107592781750085</v>
      </c>
    </row>
    <row r="29" spans="1:244" x14ac:dyDescent="0.25">
      <c r="A29" s="374"/>
      <c r="B29" s="41">
        <f t="shared" si="201"/>
        <v>44961</v>
      </c>
      <c r="C29" s="10"/>
      <c r="D29" s="11"/>
      <c r="E29" s="69">
        <f t="shared" si="202"/>
        <v>850</v>
      </c>
      <c r="F29" s="69">
        <f t="shared" si="202"/>
        <v>75</v>
      </c>
      <c r="G29" s="11">
        <v>248</v>
      </c>
      <c r="H29" s="12">
        <f t="shared" si="153"/>
        <v>0.32823529411764707</v>
      </c>
      <c r="I29" s="11">
        <v>31</v>
      </c>
      <c r="J29" s="12">
        <f t="shared" si="203"/>
        <v>0.1111111111111111</v>
      </c>
      <c r="K29" s="174">
        <v>130.4</v>
      </c>
      <c r="L29" s="11"/>
      <c r="M29" s="39">
        <v>88.095238095238102</v>
      </c>
      <c r="N29" s="43">
        <v>100</v>
      </c>
      <c r="O29" s="10"/>
      <c r="P29" s="11"/>
      <c r="Q29" s="69">
        <f t="shared" si="204"/>
        <v>776</v>
      </c>
      <c r="R29" s="69">
        <f t="shared" si="205"/>
        <v>69</v>
      </c>
      <c r="S29" s="11">
        <v>216</v>
      </c>
      <c r="T29" s="12">
        <f t="shared" si="154"/>
        <v>0.30412371134020616</v>
      </c>
      <c r="U29" s="11">
        <v>20</v>
      </c>
      <c r="V29" s="12">
        <f t="shared" si="155"/>
        <v>8.4745762711864403E-2</v>
      </c>
      <c r="W29" s="174">
        <v>128.50305</v>
      </c>
      <c r="X29" s="11"/>
      <c r="Y29" s="39">
        <v>90</v>
      </c>
      <c r="Z29" s="43">
        <v>100</v>
      </c>
      <c r="AA29" s="10">
        <v>1</v>
      </c>
      <c r="AB29" s="11"/>
      <c r="AC29" s="69">
        <f t="shared" si="206"/>
        <v>197</v>
      </c>
      <c r="AD29" s="69">
        <f t="shared" si="207"/>
        <v>15</v>
      </c>
      <c r="AE29" s="11">
        <v>41</v>
      </c>
      <c r="AF29" s="12">
        <f t="shared" si="156"/>
        <v>0.21827411167512689</v>
      </c>
      <c r="AG29" s="11">
        <v>2</v>
      </c>
      <c r="AH29" s="12">
        <f t="shared" si="157"/>
        <v>4.6511627906976744E-2</v>
      </c>
      <c r="AI29" s="174">
        <v>130.14150000000001</v>
      </c>
      <c r="AJ29" s="11"/>
      <c r="AK29" s="39">
        <v>83.333333333333329</v>
      </c>
      <c r="AL29" s="43">
        <v>100</v>
      </c>
      <c r="AM29" s="10"/>
      <c r="AN29" s="11"/>
      <c r="AO29" s="69">
        <f t="shared" si="208"/>
        <v>776</v>
      </c>
      <c r="AP29" s="69">
        <f t="shared" si="209"/>
        <v>69</v>
      </c>
      <c r="AQ29" s="11">
        <v>179</v>
      </c>
      <c r="AR29" s="12">
        <f t="shared" si="158"/>
        <v>0.24742268041237114</v>
      </c>
      <c r="AS29" s="11">
        <v>13</v>
      </c>
      <c r="AT29" s="12">
        <f t="shared" si="159"/>
        <v>6.7708333333333329E-2</v>
      </c>
      <c r="AU29" s="174">
        <v>125.622</v>
      </c>
      <c r="AV29" s="11"/>
      <c r="AW29" s="39">
        <v>87.5</v>
      </c>
      <c r="AX29" s="43">
        <v>100</v>
      </c>
      <c r="AY29" s="10"/>
      <c r="AZ29" s="11"/>
      <c r="BA29" s="69">
        <f t="shared" si="210"/>
        <v>777</v>
      </c>
      <c r="BB29" s="69">
        <f t="shared" si="211"/>
        <v>69</v>
      </c>
      <c r="BC29" s="11">
        <v>203</v>
      </c>
      <c r="BD29" s="12">
        <f t="shared" si="160"/>
        <v>0.28957528957528955</v>
      </c>
      <c r="BE29" s="11">
        <v>22</v>
      </c>
      <c r="BF29" s="12">
        <f t="shared" si="161"/>
        <v>9.7777777777777783E-2</v>
      </c>
      <c r="BG29" s="174">
        <v>126.02200000000001</v>
      </c>
      <c r="BH29" s="11"/>
      <c r="BI29" s="39">
        <v>86.04651162790698</v>
      </c>
      <c r="BJ29" s="43">
        <v>100</v>
      </c>
      <c r="BK29" s="10"/>
      <c r="BL29" s="11"/>
      <c r="BM29" s="69">
        <f t="shared" si="212"/>
        <v>848</v>
      </c>
      <c r="BN29" s="69">
        <f t="shared" si="213"/>
        <v>77</v>
      </c>
      <c r="BO29" s="11">
        <v>243</v>
      </c>
      <c r="BP29" s="12">
        <f t="shared" si="162"/>
        <v>0.30896226415094341</v>
      </c>
      <c r="BQ29" s="11">
        <v>19</v>
      </c>
      <c r="BR29" s="12">
        <f t="shared" si="163"/>
        <v>7.2519083969465645E-2</v>
      </c>
      <c r="BS29" s="13"/>
      <c r="BT29" s="11"/>
      <c r="BU29" s="39">
        <v>75.675675675675677</v>
      </c>
      <c r="BV29" s="43">
        <v>93.75</v>
      </c>
      <c r="BW29" s="10"/>
      <c r="BX29" s="11"/>
      <c r="BY29" s="69">
        <f t="shared" si="214"/>
        <v>767</v>
      </c>
      <c r="BZ29" s="69">
        <f t="shared" si="215"/>
        <v>69</v>
      </c>
      <c r="CA29" s="11">
        <v>230</v>
      </c>
      <c r="CB29" s="12">
        <f t="shared" si="164"/>
        <v>0.33767926988265973</v>
      </c>
      <c r="CC29" s="11">
        <v>29</v>
      </c>
      <c r="CD29" s="12">
        <f t="shared" si="165"/>
        <v>0.11196911196911197</v>
      </c>
      <c r="CE29" s="13"/>
      <c r="CF29" s="11"/>
      <c r="CG29" s="39">
        <v>86.84210526315789</v>
      </c>
      <c r="CH29" s="43">
        <v>100</v>
      </c>
      <c r="CI29" s="10">
        <v>1</v>
      </c>
      <c r="CJ29" s="11"/>
      <c r="CK29" s="69">
        <f t="shared" si="216"/>
        <v>197</v>
      </c>
      <c r="CL29" s="69">
        <f t="shared" si="217"/>
        <v>17</v>
      </c>
      <c r="CM29" s="11">
        <v>43</v>
      </c>
      <c r="CN29" s="12">
        <f t="shared" si="166"/>
        <v>0.24873096446700507</v>
      </c>
      <c r="CO29" s="11">
        <v>6</v>
      </c>
      <c r="CP29" s="12">
        <f t="shared" si="167"/>
        <v>0.12244897959183673</v>
      </c>
      <c r="CQ29" s="174">
        <v>132.22586000000001</v>
      </c>
      <c r="CR29" s="11"/>
      <c r="CS29" s="39">
        <v>100</v>
      </c>
      <c r="CT29" s="43">
        <v>100</v>
      </c>
      <c r="CU29" s="10"/>
      <c r="CV29" s="11"/>
      <c r="CW29" s="69">
        <f t="shared" si="218"/>
        <v>766</v>
      </c>
      <c r="CX29" s="69">
        <f t="shared" si="219"/>
        <v>70</v>
      </c>
      <c r="CY29" s="11">
        <v>266</v>
      </c>
      <c r="CZ29" s="12">
        <f t="shared" si="168"/>
        <v>0.38642297650130547</v>
      </c>
      <c r="DA29" s="11">
        <v>30</v>
      </c>
      <c r="DB29" s="12">
        <f t="shared" si="169"/>
        <v>0.10135135135135136</v>
      </c>
      <c r="DC29" s="13"/>
      <c r="DD29" s="11"/>
      <c r="DE29" s="39">
        <v>86.111111111111114</v>
      </c>
      <c r="DF29" s="43">
        <v>93.75</v>
      </c>
      <c r="DG29" s="10"/>
      <c r="DH29" s="11"/>
      <c r="DI29" s="69">
        <f t="shared" si="220"/>
        <v>768</v>
      </c>
      <c r="DJ29" s="69">
        <f t="shared" si="221"/>
        <v>70</v>
      </c>
      <c r="DK29" s="11">
        <v>227</v>
      </c>
      <c r="DL29" s="12">
        <f t="shared" si="170"/>
        <v>0.33723958333333331</v>
      </c>
      <c r="DM29" s="11">
        <v>32</v>
      </c>
      <c r="DN29" s="12">
        <f t="shared" si="171"/>
        <v>0.12355212355212356</v>
      </c>
      <c r="DO29" s="13"/>
      <c r="DP29" s="11"/>
      <c r="DQ29" s="39">
        <v>100</v>
      </c>
      <c r="DR29" s="43">
        <v>93.333333333333329</v>
      </c>
      <c r="DS29" s="10"/>
      <c r="DT29" s="11"/>
      <c r="DU29" s="69">
        <f t="shared" si="222"/>
        <v>867</v>
      </c>
      <c r="DV29" s="69">
        <f t="shared" si="223"/>
        <v>78</v>
      </c>
      <c r="DW29" s="11">
        <v>150</v>
      </c>
      <c r="DX29" s="12">
        <f t="shared" si="172"/>
        <v>0.20299884659746251</v>
      </c>
      <c r="DY29" s="11">
        <v>26</v>
      </c>
      <c r="DZ29" s="12">
        <f t="shared" si="173"/>
        <v>0.14772727272727273</v>
      </c>
      <c r="EA29" s="174">
        <v>130.14150000000001</v>
      </c>
      <c r="EB29" s="11"/>
      <c r="EC29" s="39">
        <v>80.487804878048777</v>
      </c>
      <c r="ED29" s="43">
        <v>100</v>
      </c>
      <c r="EE29" s="10"/>
      <c r="EF29" s="11"/>
      <c r="EG29" s="69">
        <f t="shared" si="224"/>
        <v>869</v>
      </c>
      <c r="EH29" s="69">
        <f t="shared" si="225"/>
        <v>79</v>
      </c>
      <c r="EI29" s="11">
        <v>172</v>
      </c>
      <c r="EJ29" s="12">
        <f t="shared" si="174"/>
        <v>0.2243958573072497</v>
      </c>
      <c r="EK29" s="11">
        <v>23</v>
      </c>
      <c r="EL29" s="12">
        <f t="shared" si="175"/>
        <v>0.11794871794871795</v>
      </c>
      <c r="EM29" s="174">
        <v>131.41650000000001</v>
      </c>
      <c r="EN29" s="11"/>
      <c r="EO29" s="39">
        <v>79.411764705882348</v>
      </c>
      <c r="EP29" s="43">
        <v>100</v>
      </c>
      <c r="EQ29" s="10">
        <v>1</v>
      </c>
      <c r="ER29" s="11"/>
      <c r="ES29" s="69">
        <f t="shared" si="226"/>
        <v>216</v>
      </c>
      <c r="ET29" s="69">
        <f t="shared" si="227"/>
        <v>18</v>
      </c>
      <c r="EU29" s="11">
        <v>23</v>
      </c>
      <c r="EV29" s="12">
        <f t="shared" si="176"/>
        <v>0.1111111111111111</v>
      </c>
      <c r="EW29" s="11">
        <v>1</v>
      </c>
      <c r="EX29" s="12">
        <f t="shared" si="177"/>
        <v>4.1666666666666664E-2</v>
      </c>
      <c r="EY29" s="174">
        <v>125.54214999999999</v>
      </c>
      <c r="EZ29" s="11"/>
      <c r="FA29" s="39">
        <v>90.909090909090907</v>
      </c>
      <c r="FB29" s="43">
        <v>100</v>
      </c>
      <c r="FC29" s="10"/>
      <c r="FD29" s="11"/>
      <c r="FE29" s="69">
        <f t="shared" si="228"/>
        <v>868</v>
      </c>
      <c r="FF29" s="69">
        <f t="shared" si="229"/>
        <v>79</v>
      </c>
      <c r="FG29" s="11">
        <v>166</v>
      </c>
      <c r="FH29" s="12">
        <f t="shared" si="178"/>
        <v>0.21658986175115208</v>
      </c>
      <c r="FI29" s="11">
        <v>22</v>
      </c>
      <c r="FJ29" s="12">
        <f t="shared" si="179"/>
        <v>0.11702127659574468</v>
      </c>
      <c r="FK29" s="174">
        <v>127.16650000000001</v>
      </c>
      <c r="FL29" s="11"/>
      <c r="FM29" s="39">
        <v>88.888888888888886</v>
      </c>
      <c r="FN29" s="43">
        <v>100</v>
      </c>
      <c r="FO29" s="10"/>
      <c r="FP29" s="11"/>
      <c r="FQ29" s="69">
        <f t="shared" si="230"/>
        <v>913</v>
      </c>
      <c r="FR29" s="69">
        <f t="shared" si="231"/>
        <v>82</v>
      </c>
      <c r="FS29" s="11">
        <v>186</v>
      </c>
      <c r="FT29" s="12">
        <f t="shared" si="180"/>
        <v>0.25410733844468786</v>
      </c>
      <c r="FU29" s="11">
        <v>46</v>
      </c>
      <c r="FV29" s="12">
        <f t="shared" si="181"/>
        <v>0.19827586206896552</v>
      </c>
      <c r="FW29" s="174">
        <v>132.61286000000001</v>
      </c>
      <c r="FX29" s="11"/>
      <c r="FY29" s="39">
        <v>83.333333333333329</v>
      </c>
      <c r="FZ29" s="43">
        <v>100</v>
      </c>
      <c r="GA29" s="10"/>
      <c r="GB29" s="11"/>
      <c r="GC29" s="69">
        <f t="shared" si="232"/>
        <v>912</v>
      </c>
      <c r="GD29" s="69">
        <f t="shared" si="233"/>
        <v>82</v>
      </c>
      <c r="GE29" s="11">
        <v>244</v>
      </c>
      <c r="GF29" s="12">
        <f t="shared" si="182"/>
        <v>0.30043859649122806</v>
      </c>
      <c r="GG29" s="11">
        <v>30</v>
      </c>
      <c r="GH29" s="12">
        <f t="shared" si="183"/>
        <v>0.10948905109489052</v>
      </c>
      <c r="GI29" s="174">
        <v>131.06486000000001</v>
      </c>
      <c r="GJ29" s="11"/>
      <c r="GK29" s="39">
        <v>85.714285714285708</v>
      </c>
      <c r="GL29" s="43">
        <v>100</v>
      </c>
      <c r="GM29" s="10"/>
      <c r="GN29" s="11"/>
      <c r="GO29" s="69">
        <f t="shared" si="234"/>
        <v>199</v>
      </c>
      <c r="GP29" s="69">
        <f t="shared" si="235"/>
        <v>19</v>
      </c>
      <c r="GQ29" s="11">
        <v>39</v>
      </c>
      <c r="GR29" s="12">
        <f t="shared" si="184"/>
        <v>0.24120603015075376</v>
      </c>
      <c r="GS29" s="11">
        <v>9</v>
      </c>
      <c r="GT29" s="12">
        <f t="shared" si="185"/>
        <v>0.1875</v>
      </c>
      <c r="GU29" s="174">
        <v>130.67786000000001</v>
      </c>
      <c r="GV29" s="11"/>
      <c r="GW29" s="39">
        <v>80</v>
      </c>
      <c r="GX29" s="43">
        <v>100</v>
      </c>
      <c r="GY29" s="10"/>
      <c r="GZ29" s="11"/>
      <c r="HA29" s="69">
        <f t="shared" si="236"/>
        <v>913</v>
      </c>
      <c r="HB29" s="69">
        <f t="shared" si="237"/>
        <v>82</v>
      </c>
      <c r="HC29" s="11">
        <v>216</v>
      </c>
      <c r="HD29" s="12">
        <f t="shared" si="186"/>
        <v>0.26615553121577218</v>
      </c>
      <c r="HE29" s="11">
        <v>27</v>
      </c>
      <c r="HF29" s="12">
        <f t="shared" si="187"/>
        <v>0.1111111111111111</v>
      </c>
      <c r="HG29" s="174">
        <v>127.6</v>
      </c>
      <c r="HH29" s="11"/>
      <c r="HI29" s="39">
        <v>90.476190476190482</v>
      </c>
      <c r="HJ29" s="43">
        <v>100</v>
      </c>
      <c r="HK29" s="10">
        <f t="shared" si="188"/>
        <v>3</v>
      </c>
      <c r="HL29" s="11">
        <f t="shared" si="189"/>
        <v>0</v>
      </c>
      <c r="HM29" s="11">
        <f t="shared" si="190"/>
        <v>12479</v>
      </c>
      <c r="HN29" s="11">
        <f t="shared" si="191"/>
        <v>1119</v>
      </c>
      <c r="HO29" s="11">
        <f t="shared" si="192"/>
        <v>3480</v>
      </c>
      <c r="HP29" s="95">
        <f t="shared" si="193"/>
        <v>0.27886849907845179</v>
      </c>
      <c r="HQ29" s="15">
        <f t="shared" si="194"/>
        <v>388</v>
      </c>
      <c r="HR29" s="12">
        <f t="shared" si="195"/>
        <v>0.11149425287356322</v>
      </c>
      <c r="HS29" s="16">
        <v>50.2</v>
      </c>
      <c r="HT29" s="17">
        <v>3014</v>
      </c>
      <c r="HU29" s="16">
        <f t="shared" si="196"/>
        <v>86.609195402298852</v>
      </c>
      <c r="HV29" s="23">
        <v>81.986531986531986</v>
      </c>
      <c r="HW29" s="22">
        <v>96.875</v>
      </c>
      <c r="HX29" s="73">
        <f t="shared" si="197"/>
        <v>0.288803317535545</v>
      </c>
      <c r="HY29" s="73">
        <f t="shared" si="198"/>
        <v>0.33622235505080694</v>
      </c>
      <c r="HZ29" s="73">
        <f t="shared" si="199"/>
        <v>0.20673758865248226</v>
      </c>
      <c r="IA29" s="73">
        <f t="shared" si="200"/>
        <v>0.27136533878106911</v>
      </c>
      <c r="IF29" s="85">
        <f>IF30/IF31</f>
        <v>2.9612081729345571E-4</v>
      </c>
      <c r="IG29" s="85">
        <f>IG30/IG31</f>
        <v>5.9737156511350056E-4</v>
      </c>
      <c r="IH29" s="85">
        <f>IH30/IH31</f>
        <v>1.4164305949008499E-3</v>
      </c>
      <c r="II29" s="85">
        <f>II30/II31</f>
        <v>3.4036759700476512E-4</v>
      </c>
      <c r="IJ29" s="88" t="s">
        <v>90</v>
      </c>
    </row>
    <row r="30" spans="1:244" ht="19.5" thickBot="1" x14ac:dyDescent="0.3">
      <c r="A30" s="374"/>
      <c r="B30" s="42"/>
      <c r="C30" s="26">
        <f>SUM(C23:C29)</f>
        <v>0</v>
      </c>
      <c r="D30" s="27">
        <f>SUM(D23:D29)</f>
        <v>0</v>
      </c>
      <c r="E30" s="27"/>
      <c r="F30" s="27"/>
      <c r="G30" s="27">
        <f>SUM(G23:G29)</f>
        <v>919</v>
      </c>
      <c r="H30" s="28">
        <f>((G30+I30)/7)/E29</f>
        <v>0.17747899159663866</v>
      </c>
      <c r="I30" s="27">
        <f>SUM(I23:I29)</f>
        <v>137</v>
      </c>
      <c r="J30" s="28">
        <f>(I30/(I30+G30))</f>
        <v>0.12973484848484848</v>
      </c>
      <c r="K30" s="27"/>
      <c r="L30" s="27"/>
      <c r="M30" s="29">
        <f>M28/M27*100-100</f>
        <v>3.9436619718309771</v>
      </c>
      <c r="N30" s="67">
        <f>N28/N27*100-100</f>
        <v>2.4158354114713205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826</v>
      </c>
      <c r="T30" s="28">
        <f>((S30+U30)/7)/Q29</f>
        <v>0.16936671575846832</v>
      </c>
      <c r="U30" s="27">
        <f>SUM(U23:U29)</f>
        <v>94</v>
      </c>
      <c r="V30" s="28">
        <f>(U30/(U30+S30))</f>
        <v>0.10217391304347827</v>
      </c>
      <c r="W30" s="27"/>
      <c r="X30" s="27"/>
      <c r="Y30" s="29">
        <f>Y28/Y27*100-100</f>
        <v>5.8732394366197269</v>
      </c>
      <c r="Z30" s="67">
        <f>Z28/Z27*100-100</f>
        <v>1.8525115781973653</v>
      </c>
      <c r="AA30" s="26">
        <f>SUM(AA23:AA29)</f>
        <v>1</v>
      </c>
      <c r="AB30" s="27">
        <f>SUM(AB23:AB29)</f>
        <v>1</v>
      </c>
      <c r="AC30" s="27"/>
      <c r="AD30" s="27"/>
      <c r="AE30" s="27">
        <f>SUM(AE23:AE29)</f>
        <v>148</v>
      </c>
      <c r="AF30" s="28">
        <f>((AE30+AG30)/7)/AC29</f>
        <v>0.12110224800580131</v>
      </c>
      <c r="AG30" s="27">
        <f>SUM(AG23:AG29)</f>
        <v>19</v>
      </c>
      <c r="AH30" s="28">
        <f>(AG30/(AG30+AE30))</f>
        <v>0.11377245508982035</v>
      </c>
      <c r="AI30" s="27"/>
      <c r="AJ30" s="27"/>
      <c r="AK30" s="29">
        <f>AK28/AK27*100-100</f>
        <v>3.8732394366197269</v>
      </c>
      <c r="AL30" s="67">
        <f>AL28/AL27*100-100</f>
        <v>-1.2967581047381458</v>
      </c>
      <c r="AM30" s="26">
        <f>SUM(AM23:AM29)</f>
        <v>0</v>
      </c>
      <c r="AN30" s="27">
        <f>SUM(AN23:AN29)</f>
        <v>0</v>
      </c>
      <c r="AO30" s="27"/>
      <c r="AP30" s="27"/>
      <c r="AQ30" s="27">
        <f>SUM(AQ23:AQ29)</f>
        <v>620</v>
      </c>
      <c r="AR30" s="28">
        <f>((AQ30+AS30)/7)/AO29</f>
        <v>0.13107511045655373</v>
      </c>
      <c r="AS30" s="27">
        <f>SUM(AS23:AS29)</f>
        <v>92</v>
      </c>
      <c r="AT30" s="28">
        <f>(AS30/(AS30+AQ30))</f>
        <v>0.12921348314606743</v>
      </c>
      <c r="AU30" s="27"/>
      <c r="AV30" s="27"/>
      <c r="AW30" s="29">
        <f>AW28/AW27*100-100</f>
        <v>4.4295774647887356</v>
      </c>
      <c r="AX30" s="67">
        <f>AX28/AX27*100-100</f>
        <v>4.5054031587697523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686</v>
      </c>
      <c r="BD30" s="28">
        <f>((BC30+BE30)/7)/BA29</f>
        <v>0.14635043206471776</v>
      </c>
      <c r="BE30" s="27">
        <f>SUM(BE23:BE29)</f>
        <v>110</v>
      </c>
      <c r="BF30" s="28">
        <f>(BE30/(BE30+BC30))</f>
        <v>0.13819095477386933</v>
      </c>
      <c r="BG30" s="27"/>
      <c r="BH30" s="27"/>
      <c r="BI30" s="29">
        <f>BI28/BI27*100-100</f>
        <v>6.7671143137897189</v>
      </c>
      <c r="BJ30" s="67">
        <f>BJ28/BJ27*100-100</f>
        <v>5.8135910224439016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1060</v>
      </c>
      <c r="BP30" s="28">
        <f>((BO30+BQ30)/7)/BM29</f>
        <v>0.19929245283018868</v>
      </c>
      <c r="BQ30" s="27">
        <f>SUM(BQ23:BQ29)</f>
        <v>123</v>
      </c>
      <c r="BR30" s="28">
        <f>(BQ30/(BQ30+BO30))</f>
        <v>0.10397295012679628</v>
      </c>
      <c r="BS30" s="27"/>
      <c r="BT30" s="27"/>
      <c r="BU30" s="29">
        <f>BU28/BU27*100-100</f>
        <v>6.6463646745336717</v>
      </c>
      <c r="BV30" s="67">
        <f>BV28/BV27*100-100</f>
        <v>-1.6053615960099847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889</v>
      </c>
      <c r="CB30" s="28">
        <f>((CA30+CC30)/7)/BY29</f>
        <v>0.18867573104861241</v>
      </c>
      <c r="CC30" s="27">
        <f>SUM(CC23:CC29)</f>
        <v>124</v>
      </c>
      <c r="CD30" s="28">
        <f>(CC30/(CC30+CA30))</f>
        <v>0.12240868706811452</v>
      </c>
      <c r="CE30" s="27"/>
      <c r="CF30" s="27"/>
      <c r="CG30" s="29">
        <f>CG28/CG27*100-100</f>
        <v>5.3150481838398775</v>
      </c>
      <c r="CH30" s="67">
        <f>CH28/CH27*100-100</f>
        <v>5.6940980881130514</v>
      </c>
      <c r="CI30" s="26">
        <f>SUM(CI23:CI29)</f>
        <v>1</v>
      </c>
      <c r="CJ30" s="27">
        <f>SUM(CJ23:CJ29)</f>
        <v>0</v>
      </c>
      <c r="CK30" s="27"/>
      <c r="CL30" s="27"/>
      <c r="CM30" s="27">
        <f>SUM(CM23:CM29)</f>
        <v>162</v>
      </c>
      <c r="CN30" s="28">
        <f>((CM30+CO30)/7)/CK29</f>
        <v>0.12980420594633793</v>
      </c>
      <c r="CO30" s="27">
        <f>SUM(CO23:CO29)</f>
        <v>17</v>
      </c>
      <c r="CP30" s="28">
        <f>(CO30/(CO30+CM30))</f>
        <v>9.4972067039106142E-2</v>
      </c>
      <c r="CQ30" s="27"/>
      <c r="CR30" s="27"/>
      <c r="CS30" s="29">
        <f>CS28/CS27*100-100</f>
        <v>6.5044814340589028</v>
      </c>
      <c r="CT30" s="67">
        <f>CT28/CT27*100-100</f>
        <v>0.59850374064838263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1080</v>
      </c>
      <c r="CZ30" s="28">
        <f>((CY30+DA30)/7)/CW29</f>
        <v>0.22566206639313691</v>
      </c>
      <c r="DA30" s="27">
        <f>SUM(DA23:DA29)</f>
        <v>130</v>
      </c>
      <c r="DB30" s="28">
        <f>(DA30/(DA30+CY30))</f>
        <v>0.10743801652892562</v>
      </c>
      <c r="DC30" s="27"/>
      <c r="DD30" s="27"/>
      <c r="DE30" s="29">
        <f>DE28/DE27*100-100</f>
        <v>6.6588419405320849</v>
      </c>
      <c r="DF30" s="67">
        <f>DF28/DF27*100-100</f>
        <v>5.9694513715710826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939</v>
      </c>
      <c r="DL30" s="28">
        <f>((DK30+DM30)/7)/DI29</f>
        <v>0.19735863095238096</v>
      </c>
      <c r="DM30" s="27">
        <f>SUM(DM23:DM29)</f>
        <v>122</v>
      </c>
      <c r="DN30" s="28">
        <f>(DM30/(DM30+DK30))</f>
        <v>0.11498586239396795</v>
      </c>
      <c r="DO30" s="27"/>
      <c r="DP30" s="27"/>
      <c r="DQ30" s="29">
        <f>DQ28/DQ27*100-100</f>
        <v>5.4510848877046101</v>
      </c>
      <c r="DR30" s="67">
        <f>DR28/DR27*100-100</f>
        <v>4.9210307564422067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529</v>
      </c>
      <c r="DX30" s="28">
        <f>((DW30+DY30)/7)/DU29</f>
        <v>9.8203987477343879E-2</v>
      </c>
      <c r="DY30" s="27">
        <f>SUM(DY23:DY29)</f>
        <v>67</v>
      </c>
      <c r="DZ30" s="28">
        <f>(DY30/(DY30+DW30))</f>
        <v>0.11241610738255034</v>
      </c>
      <c r="EA30" s="27"/>
      <c r="EB30" s="27"/>
      <c r="EC30" s="29">
        <f>EC28/EC27*100-100</f>
        <v>5.6887667468223952</v>
      </c>
      <c r="ED30" s="67">
        <f>ED28/ED27*100-100</f>
        <v>-0.58187863674147877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620</v>
      </c>
      <c r="EJ30" s="28">
        <f>((EI30+EK30)/7)/EG29</f>
        <v>0.11540358375801414</v>
      </c>
      <c r="EK30" s="27">
        <f>SUM(EK23:EK29)</f>
        <v>82</v>
      </c>
      <c r="EL30" s="28">
        <f>(EK30/(EK30+EI30))</f>
        <v>0.11680911680911681</v>
      </c>
      <c r="EM30" s="27"/>
      <c r="EN30" s="27"/>
      <c r="EO30" s="29">
        <f>EO28/EO27*100-100</f>
        <v>4.8384424192212236</v>
      </c>
      <c r="EP30" s="67">
        <f>EP28/EP27*100-100</f>
        <v>0.14962593516210632</v>
      </c>
      <c r="EQ30" s="26">
        <f>SUM(EQ23:EQ29)</f>
        <v>3</v>
      </c>
      <c r="ER30" s="27">
        <f>SUM(ER23:ER29)</f>
        <v>0</v>
      </c>
      <c r="ES30" s="27"/>
      <c r="ET30" s="27"/>
      <c r="EU30" s="27">
        <f>SUM(EU23:EU29)</f>
        <v>69</v>
      </c>
      <c r="EV30" s="28">
        <f>((EU30+EW30)/7)/ES29</f>
        <v>4.8280423280423285E-2</v>
      </c>
      <c r="EW30" s="27">
        <f>SUM(EW23:EW29)</f>
        <v>4</v>
      </c>
      <c r="EX30" s="28">
        <f>(EW30/(EW30+EU30))</f>
        <v>5.4794520547945202E-2</v>
      </c>
      <c r="EY30" s="27"/>
      <c r="EZ30" s="27"/>
      <c r="FA30" s="29">
        <f>FA28/FA27*100-100</f>
        <v>-7.6824583866823559E-2</v>
      </c>
      <c r="FB30" s="67">
        <f>FB28/FB27*100-100</f>
        <v>2.0781379883624282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545</v>
      </c>
      <c r="FH30" s="28">
        <f>((FG30+FI30)/7)/FE29</f>
        <v>0.10055957867017776</v>
      </c>
      <c r="FI30" s="27">
        <f>SUM(FI23:FI29)</f>
        <v>66</v>
      </c>
      <c r="FJ30" s="28">
        <f>(FI30/(FI30+FG30))</f>
        <v>0.10801963993453355</v>
      </c>
      <c r="FK30" s="27"/>
      <c r="FL30" s="27"/>
      <c r="FM30" s="29">
        <f>FM28/FM27*100-100</f>
        <v>2.1439749608763776</v>
      </c>
      <c r="FN30" s="67">
        <f>FN28/FN27*100-100</f>
        <v>3.2973122748684034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669</v>
      </c>
      <c r="FT30" s="28">
        <f>((FS30+FU30)/7)/FQ29</f>
        <v>0.1248630887185104</v>
      </c>
      <c r="FU30" s="27">
        <f>SUM(FU23:FU29)</f>
        <v>129</v>
      </c>
      <c r="FV30" s="28">
        <f>(FU30/(FU30+FS30))</f>
        <v>0.16165413533834586</v>
      </c>
      <c r="FW30" s="27"/>
      <c r="FX30" s="27"/>
      <c r="FY30" s="29">
        <f>FY28/FY27*100-100</f>
        <v>2.548625083836356</v>
      </c>
      <c r="FZ30" s="67">
        <f>FZ28/FZ27*100-100</f>
        <v>-0.21612635078969333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784</v>
      </c>
      <c r="GF30" s="28">
        <f>((GE30+GG30)/7)/GC29</f>
        <v>0.14254385964912281</v>
      </c>
      <c r="GG30" s="27">
        <f>SUM(GG23:GG29)</f>
        <v>126</v>
      </c>
      <c r="GH30" s="28">
        <f>(GG30/(GG30+GE30))</f>
        <v>0.13846153846153847</v>
      </c>
      <c r="GI30" s="27"/>
      <c r="GJ30" s="27"/>
      <c r="GK30" s="29">
        <f>GK28/GK27*100-100</f>
        <v>1.6096579476861308</v>
      </c>
      <c r="GL30" s="67">
        <f>GL28/GL27*100-100</f>
        <v>-1.9482543640897774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137</v>
      </c>
      <c r="GR30" s="28">
        <f>((GQ30+GS30)/7)/GO29</f>
        <v>0.1148600143575018</v>
      </c>
      <c r="GS30" s="27">
        <f>SUM(GS23:GS29)</f>
        <v>23</v>
      </c>
      <c r="GT30" s="28">
        <f>(GS30/(GS30+GQ30))</f>
        <v>0.14374999999999999</v>
      </c>
      <c r="GU30" s="27"/>
      <c r="GV30" s="27"/>
      <c r="GW30" s="29">
        <f>GW28/GW27*100-100</f>
        <v>-1.2676056338028161</v>
      </c>
      <c r="GX30" s="67">
        <f>GX28/GX27*100-100</f>
        <v>-4.0399002493765579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806</v>
      </c>
      <c r="HD30" s="28">
        <f>((HC30+HE30)/7)/HA29</f>
        <v>0.14395243310905961</v>
      </c>
      <c r="HE30" s="27">
        <f>SUM(HE23:HE29)</f>
        <v>114</v>
      </c>
      <c r="HF30" s="28">
        <f>(HE30/(HE30+HC30))</f>
        <v>0.12391304347826088</v>
      </c>
      <c r="HG30" s="27"/>
      <c r="HH30" s="27"/>
      <c r="HI30" s="29">
        <f>HI28/HI27*100-100</f>
        <v>-6.9014084507042242</v>
      </c>
      <c r="HJ30" s="67">
        <f>HJ28/HJ27*100-100</f>
        <v>-1.6880874736236393</v>
      </c>
      <c r="HK30" s="26">
        <f t="shared" si="188"/>
        <v>8</v>
      </c>
      <c r="HL30" s="27">
        <f t="shared" si="189"/>
        <v>1</v>
      </c>
      <c r="HM30" s="27">
        <f t="shared" si="190"/>
        <v>0</v>
      </c>
      <c r="HN30" s="27">
        <f t="shared" si="191"/>
        <v>0</v>
      </c>
      <c r="HO30" s="27">
        <f t="shared" si="192"/>
        <v>13067</v>
      </c>
      <c r="HP30" s="96">
        <f>+((HO30)/HM29)/7</f>
        <v>0.14958845145558824</v>
      </c>
      <c r="HQ30" s="62">
        <f t="shared" si="194"/>
        <v>1579</v>
      </c>
      <c r="HR30" s="52">
        <f t="shared" si="195"/>
        <v>0.12083875411341548</v>
      </c>
      <c r="HS30" s="53">
        <f>SUM(HS23:HS29)/7</f>
        <v>41.714285714285715</v>
      </c>
      <c r="HT30" s="54">
        <f>SUM(HT23:HT29)</f>
        <v>10277</v>
      </c>
      <c r="HU30" s="53">
        <f>AVERAGE(HU23:HU29)</f>
        <v>67.475911136177814</v>
      </c>
      <c r="HV30" s="63">
        <f>HV28/HV27*100-100</f>
        <v>3.7411675439844601</v>
      </c>
      <c r="HW30" s="67">
        <f>HW28/HW27*100-100</f>
        <v>1.7534289276808011</v>
      </c>
      <c r="HX30" s="73">
        <f>SUM(G30,I30,S30,U30,AE30,AG30,AQ30,AS30,BC30,BE30)/7/SUM(E29,Q29,AC29,AO29,BA29)</f>
        <v>0.15449390656736628</v>
      </c>
      <c r="HY30" s="73">
        <f>SUM(BO30,BQ30,CA30,CC30,CM30,CO30,CY30,DA30,DK30,DM30)/7/SUM(BM29,BY29,CK29,CW29,DI29)</f>
        <v>0.1983605157544189</v>
      </c>
      <c r="HZ30" s="73">
        <f>SUM(DW30,DY30,EI30,EK30,EU30,EW30,FG30,FI30)/7/SUM(DU29,EG29,ES29,FE29)</f>
        <v>0.10040526849037489</v>
      </c>
      <c r="IA30" s="73">
        <f>SUM(FS30,FU30,GE30,GG30,GQ30,GS30,HC30,HE30)/7/SUM(FQ29,GC29,GO29,HA29)</f>
        <v>0.13560970864341651</v>
      </c>
      <c r="IB30" s="84">
        <f>SUM(I30,U30,AG30,AS30,BE30)/SUM(G30,I30,S30,U30,AE30,AG30,AQ30,AS30,BC30,BE30)</f>
        <v>0.12380169816488633</v>
      </c>
      <c r="IC30" s="84">
        <f>SUM(BQ30,CC30,CO30,DA30,DM30)/SUM(BO30,BQ30,CA30,CC30,CM30,CO30,CY30,DA30,DK30,DM30)</f>
        <v>0.11106328024106758</v>
      </c>
      <c r="ID30" s="84">
        <f>SUM(DY30,EK30,EW30,FI30)/SUM(DW30,DY30,EI30,EK30,EU30,EW30,FG30,FI30)</f>
        <v>0.11049445005045409</v>
      </c>
      <c r="IE30" s="84">
        <f>SUM(FU30,GG30,GS30,HE30)/SUM(FS30,FU30,GE30,GG30,GQ30,GS30,HC30,HE30)</f>
        <v>0.14060258249641319</v>
      </c>
      <c r="IF30" s="86">
        <f>SUM(C30,O30,AA30,AM30,AY30)</f>
        <v>1</v>
      </c>
      <c r="IG30" s="86">
        <f>SUM(BK30,BW30,CI30,CU30,DG30)</f>
        <v>2</v>
      </c>
      <c r="IH30" s="86">
        <f>SUM(DS30,EE30,EQ30,FC30)</f>
        <v>4</v>
      </c>
      <c r="II30" s="86">
        <f>SUM(FO30,GA30,GM30,GY30)</f>
        <v>1</v>
      </c>
      <c r="IJ30" s="88" t="s">
        <v>89</v>
      </c>
    </row>
    <row r="31" spans="1:244" ht="19.5" thickBot="1" x14ac:dyDescent="0.3">
      <c r="A31" s="56"/>
      <c r="B31" s="83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HK30/HM23</f>
        <v>6.4066629294466247E-4</v>
      </c>
      <c r="HL31" s="66">
        <f>HL30/HN23</f>
        <v>8.9285714285714283E-4</v>
      </c>
      <c r="HM31" s="45"/>
      <c r="HN31" s="45"/>
      <c r="HO31" s="45"/>
      <c r="HP31" s="98"/>
      <c r="HQ31" s="45"/>
      <c r="HR31" s="45"/>
      <c r="HS31" s="45"/>
      <c r="HT31" s="55"/>
      <c r="HU31" s="45"/>
      <c r="HV31" s="45"/>
      <c r="HW31" s="46"/>
      <c r="HY31" s="72"/>
      <c r="HZ31" s="72"/>
      <c r="IA31" s="72"/>
      <c r="IF31" s="86">
        <f>SUM(E20,Q20,AC20,AO20,BA20)</f>
        <v>3377</v>
      </c>
      <c r="IG31" s="86">
        <f>SUM(BM20,BY20,CK20,CW20,DI20)</f>
        <v>3348</v>
      </c>
      <c r="IH31" s="86">
        <f>SUM(DU20,EG20,ES20,FE20)</f>
        <v>2824</v>
      </c>
      <c r="II31" s="86">
        <f>SUM(FQ20,GC20,GO20,HA20)</f>
        <v>2938</v>
      </c>
      <c r="IJ31" s="88" t="s">
        <v>84</v>
      </c>
    </row>
    <row r="32" spans="1:244" x14ac:dyDescent="0.25">
      <c r="A32" s="373">
        <v>28</v>
      </c>
      <c r="B32" s="68">
        <f>B29+1</f>
        <v>44962</v>
      </c>
      <c r="C32" s="33"/>
      <c r="D32" s="34"/>
      <c r="E32" s="34">
        <f>E29-C32</f>
        <v>850</v>
      </c>
      <c r="F32" s="34">
        <f>F29-D32</f>
        <v>75</v>
      </c>
      <c r="G32" s="34">
        <v>298</v>
      </c>
      <c r="H32" s="35">
        <f t="shared" ref="H32:H38" si="238">((G32+I32)/E32)</f>
        <v>0.37529411764705883</v>
      </c>
      <c r="I32" s="34">
        <v>21</v>
      </c>
      <c r="J32" s="35">
        <f>I32/(G32+I32)</f>
        <v>6.5830721003134793E-2</v>
      </c>
      <c r="K32" s="175">
        <v>132.9</v>
      </c>
      <c r="L32" s="34"/>
      <c r="M32" s="34"/>
      <c r="N32" s="37"/>
      <c r="O32" s="33"/>
      <c r="P32" s="34"/>
      <c r="Q32" s="34">
        <f>Q29-O32</f>
        <v>776</v>
      </c>
      <c r="R32" s="34">
        <f>R29-P32</f>
        <v>69</v>
      </c>
      <c r="S32" s="34">
        <v>275</v>
      </c>
      <c r="T32" s="35">
        <f t="shared" ref="T32:T38" si="239">((S32+U32)/Q32)</f>
        <v>0.38015463917525771</v>
      </c>
      <c r="U32" s="34">
        <v>20</v>
      </c>
      <c r="V32" s="35">
        <f t="shared" ref="V32:V38" si="240">U32/(S32+U32)</f>
        <v>6.7796610169491525E-2</v>
      </c>
      <c r="W32" s="175">
        <v>131.19999999999999</v>
      </c>
      <c r="X32" s="34"/>
      <c r="Y32" s="34"/>
      <c r="Z32" s="37"/>
      <c r="AA32" s="33"/>
      <c r="AB32" s="34"/>
      <c r="AC32" s="34">
        <f>AC29-AA32</f>
        <v>197</v>
      </c>
      <c r="AD32" s="34">
        <f>AD29-AB32</f>
        <v>15</v>
      </c>
      <c r="AE32" s="34">
        <v>47</v>
      </c>
      <c r="AF32" s="35">
        <f t="shared" ref="AF32:AF38" si="241">((AE32+AG32)/AC32)</f>
        <v>0.26903553299492383</v>
      </c>
      <c r="AG32" s="34">
        <v>6</v>
      </c>
      <c r="AH32" s="35">
        <f t="shared" ref="AH32:AH38" si="242">AG32/(AE32+AG32)</f>
        <v>0.11320754716981132</v>
      </c>
      <c r="AI32" s="175">
        <v>132</v>
      </c>
      <c r="AJ32" s="34"/>
      <c r="AK32" s="34"/>
      <c r="AL32" s="37"/>
      <c r="AM32" s="33"/>
      <c r="AN32" s="34"/>
      <c r="AO32" s="34">
        <f>AO29-AM32</f>
        <v>776</v>
      </c>
      <c r="AP32" s="34">
        <f>AP29-AN32</f>
        <v>69</v>
      </c>
      <c r="AQ32" s="34">
        <v>209</v>
      </c>
      <c r="AR32" s="35">
        <f t="shared" ref="AR32:AR38" si="243">((AQ32+AS32)/AO32)</f>
        <v>0.29896907216494845</v>
      </c>
      <c r="AS32" s="34">
        <v>23</v>
      </c>
      <c r="AT32" s="35">
        <f t="shared" ref="AT32:AT38" si="244">AS32/(AQ32+AS32)</f>
        <v>9.9137931034482762E-2</v>
      </c>
      <c r="AU32" s="175">
        <v>128.1</v>
      </c>
      <c r="AV32" s="34"/>
      <c r="AW32" s="34"/>
      <c r="AX32" s="37"/>
      <c r="AY32" s="33"/>
      <c r="AZ32" s="34"/>
      <c r="BA32" s="34">
        <f>BA29-AY32</f>
        <v>777</v>
      </c>
      <c r="BB32" s="34">
        <f>BB29-AZ32</f>
        <v>69</v>
      </c>
      <c r="BC32" s="34">
        <v>219</v>
      </c>
      <c r="BD32" s="35">
        <f t="shared" ref="BD32:BD38" si="245">((BC32+BE32)/BA32)</f>
        <v>0.32561132561132561</v>
      </c>
      <c r="BE32" s="34">
        <v>34</v>
      </c>
      <c r="BF32" s="35">
        <f t="shared" ref="BF32:BF38" si="246">BE32/(BC32+BE32)</f>
        <v>0.13438735177865613</v>
      </c>
      <c r="BG32" s="175">
        <v>128.5</v>
      </c>
      <c r="BH32" s="34"/>
      <c r="BI32" s="34"/>
      <c r="BJ32" s="37"/>
      <c r="BK32" s="33"/>
      <c r="BL32" s="34"/>
      <c r="BM32" s="34">
        <f>BM29-BK32</f>
        <v>848</v>
      </c>
      <c r="BN32" s="34">
        <f>BN29-BL32</f>
        <v>77</v>
      </c>
      <c r="BO32" s="34">
        <v>290</v>
      </c>
      <c r="BP32" s="35">
        <f t="shared" ref="BP32:BP38" si="247">((BO32+BQ32)/BM32)</f>
        <v>0.37146226415094341</v>
      </c>
      <c r="BQ32" s="34">
        <v>25</v>
      </c>
      <c r="BR32" s="35">
        <f t="shared" ref="BR32:BR38" si="248">BQ32/(BO32+BQ32)</f>
        <v>7.9365079365079361E-2</v>
      </c>
      <c r="BS32" s="175">
        <v>135</v>
      </c>
      <c r="BT32" s="34"/>
      <c r="BU32" s="34"/>
      <c r="BV32" s="37"/>
      <c r="BW32" s="33"/>
      <c r="BX32" s="34"/>
      <c r="BY32" s="34">
        <f>BY29-BW32</f>
        <v>767</v>
      </c>
      <c r="BZ32" s="34">
        <f>BZ29-BX32</f>
        <v>69</v>
      </c>
      <c r="CA32" s="34">
        <v>264</v>
      </c>
      <c r="CB32" s="35">
        <f t="shared" ref="CB32:CB38" si="249">((CA32+CC32)/BY32)</f>
        <v>0.37157757496740546</v>
      </c>
      <c r="CC32" s="34">
        <v>21</v>
      </c>
      <c r="CD32" s="35">
        <f t="shared" ref="CD32:CD38" si="250">CC32/(CA32+CC32)</f>
        <v>7.3684210526315783E-2</v>
      </c>
      <c r="CE32" s="175">
        <v>134</v>
      </c>
      <c r="CF32" s="34"/>
      <c r="CG32" s="34"/>
      <c r="CH32" s="37"/>
      <c r="CI32" s="33"/>
      <c r="CJ32" s="34"/>
      <c r="CK32" s="34">
        <f>CK29-CI32</f>
        <v>197</v>
      </c>
      <c r="CL32" s="34">
        <f>CL29-CJ32</f>
        <v>17</v>
      </c>
      <c r="CM32" s="34">
        <v>47</v>
      </c>
      <c r="CN32" s="35">
        <f t="shared" ref="CN32:CN38" si="251">((CM32+CO32)/CK32)</f>
        <v>0.26903553299492383</v>
      </c>
      <c r="CO32" s="34">
        <v>6</v>
      </c>
      <c r="CP32" s="35">
        <f t="shared" ref="CP32:CP38" si="252">CO32/(CM32+CO32)</f>
        <v>0.11320754716981132</v>
      </c>
      <c r="CQ32" s="36"/>
      <c r="CR32" s="34"/>
      <c r="CS32" s="34"/>
      <c r="CT32" s="37"/>
      <c r="CU32" s="33"/>
      <c r="CV32" s="34"/>
      <c r="CW32" s="34">
        <f>CW29-CU32</f>
        <v>766</v>
      </c>
      <c r="CX32" s="34">
        <f>CX29-CV32</f>
        <v>70</v>
      </c>
      <c r="CY32" s="34">
        <v>293</v>
      </c>
      <c r="CZ32" s="35">
        <f t="shared" ref="CZ32:CZ38" si="253">((CY32+DA32)/CW32)</f>
        <v>0.42689295039164493</v>
      </c>
      <c r="DA32" s="34">
        <v>34</v>
      </c>
      <c r="DB32" s="35">
        <f t="shared" ref="DB32:DB38" si="254">DA32/(CY32+DA32)</f>
        <v>0.10397553516819572</v>
      </c>
      <c r="DC32" s="36"/>
      <c r="DD32" s="34"/>
      <c r="DE32" s="34"/>
      <c r="DF32" s="37"/>
      <c r="DG32" s="33"/>
      <c r="DH32" s="34"/>
      <c r="DI32" s="34">
        <f>DI29-DG32</f>
        <v>768</v>
      </c>
      <c r="DJ32" s="34">
        <f>DJ29-DH32</f>
        <v>70</v>
      </c>
      <c r="DK32" s="34">
        <v>250</v>
      </c>
      <c r="DL32" s="35">
        <f t="shared" ref="DL32:DL38" si="255">((DK32+DM32)/DI32)</f>
        <v>0.35807291666666669</v>
      </c>
      <c r="DM32" s="34">
        <v>25</v>
      </c>
      <c r="DN32" s="35">
        <f t="shared" ref="DN32:DN38" si="256">DM32/(DK32+DM32)</f>
        <v>9.0909090909090912E-2</v>
      </c>
      <c r="DO32" s="175">
        <v>133</v>
      </c>
      <c r="DP32" s="34"/>
      <c r="DQ32" s="34"/>
      <c r="DR32" s="37"/>
      <c r="DS32" s="33"/>
      <c r="DT32" s="34"/>
      <c r="DU32" s="34">
        <f>DU29-DS32</f>
        <v>867</v>
      </c>
      <c r="DV32" s="34">
        <f>DV29-DT32</f>
        <v>78</v>
      </c>
      <c r="DW32" s="34">
        <v>186</v>
      </c>
      <c r="DX32" s="35">
        <f t="shared" ref="DX32:DX38" si="257">((DW32+DY32)/DU32)</f>
        <v>0.24567474048442905</v>
      </c>
      <c r="DY32" s="34">
        <v>27</v>
      </c>
      <c r="DZ32" s="35">
        <f t="shared" ref="DZ32:DZ38" si="258">DY32/(DW32+DY32)</f>
        <v>0.12676056338028169</v>
      </c>
      <c r="EA32" s="175">
        <v>132</v>
      </c>
      <c r="EB32" s="34"/>
      <c r="EC32" s="34"/>
      <c r="ED32" s="37"/>
      <c r="EE32" s="33"/>
      <c r="EF32" s="34"/>
      <c r="EG32" s="34">
        <f>EG29-EE32</f>
        <v>869</v>
      </c>
      <c r="EH32" s="34">
        <f>EH29-EF32</f>
        <v>79</v>
      </c>
      <c r="EI32" s="34">
        <v>220</v>
      </c>
      <c r="EJ32" s="35">
        <f t="shared" ref="EJ32:EJ38" si="259">((EI32+EK32)/EG32)</f>
        <v>0.28423475258918296</v>
      </c>
      <c r="EK32" s="34">
        <v>27</v>
      </c>
      <c r="EL32" s="35">
        <f t="shared" ref="EL32:EL38" si="260">EK32/(EI32+EK32)</f>
        <v>0.10931174089068826</v>
      </c>
      <c r="EM32" s="175">
        <v>133.19999999999999</v>
      </c>
      <c r="EN32" s="34"/>
      <c r="EO32" s="34"/>
      <c r="EP32" s="37"/>
      <c r="EQ32" s="33"/>
      <c r="ER32" s="34"/>
      <c r="ES32" s="34">
        <f>ES29-EQ32</f>
        <v>216</v>
      </c>
      <c r="ET32" s="34">
        <f>ET29-ER32</f>
        <v>18</v>
      </c>
      <c r="EU32" s="34">
        <v>28</v>
      </c>
      <c r="EV32" s="35">
        <f t="shared" ref="EV32:EV38" si="261">((EU32+EW32)/ES32)</f>
        <v>0.14814814814814814</v>
      </c>
      <c r="EW32" s="34">
        <v>4</v>
      </c>
      <c r="EX32" s="35">
        <f t="shared" ref="EX32:EX38" si="262">EW32/(EU32+EW32)</f>
        <v>0.125</v>
      </c>
      <c r="EY32" s="175">
        <v>127.1</v>
      </c>
      <c r="EZ32" s="34"/>
      <c r="FA32" s="34"/>
      <c r="FB32" s="37"/>
      <c r="FC32" s="33"/>
      <c r="FD32" s="34"/>
      <c r="FE32" s="34">
        <f>FE29-FC32</f>
        <v>868</v>
      </c>
      <c r="FF32" s="34">
        <f>FF29-FD32</f>
        <v>79</v>
      </c>
      <c r="FG32" s="34">
        <v>197</v>
      </c>
      <c r="FH32" s="35">
        <f t="shared" ref="FH32:FH38" si="263">((FG32+FI32)/FE32)</f>
        <v>0.26036866359447003</v>
      </c>
      <c r="FI32" s="34">
        <v>29</v>
      </c>
      <c r="FJ32" s="35">
        <f t="shared" ref="FJ32:FJ38" si="264">FI32/(FG32+FI32)</f>
        <v>0.12831858407079647</v>
      </c>
      <c r="FK32" s="175">
        <v>129.19999999999999</v>
      </c>
      <c r="FL32" s="34"/>
      <c r="FM32" s="34"/>
      <c r="FN32" s="37"/>
      <c r="FO32" s="33">
        <v>1</v>
      </c>
      <c r="FP32" s="34"/>
      <c r="FQ32" s="34">
        <f>FQ29-FO32</f>
        <v>912</v>
      </c>
      <c r="FR32" s="34">
        <f>FR29-FP32</f>
        <v>82</v>
      </c>
      <c r="FS32" s="34">
        <v>215</v>
      </c>
      <c r="FT32" s="35">
        <f t="shared" ref="FT32:FT38" si="265">((FS32+FU32)/FQ32)</f>
        <v>0.28399122807017546</v>
      </c>
      <c r="FU32" s="34">
        <v>44</v>
      </c>
      <c r="FV32" s="35">
        <f t="shared" ref="FV32:FV38" si="266">FU32/(FS32+FU32)</f>
        <v>0.16988416988416988</v>
      </c>
      <c r="FW32" s="36"/>
      <c r="FX32" s="34"/>
      <c r="FY32" s="34"/>
      <c r="FZ32" s="37"/>
      <c r="GA32" s="33"/>
      <c r="GB32" s="34"/>
      <c r="GC32" s="34">
        <f>GC29-GA32</f>
        <v>912</v>
      </c>
      <c r="GD32" s="34">
        <f>GD29-GB32</f>
        <v>82</v>
      </c>
      <c r="GE32" s="34">
        <v>239</v>
      </c>
      <c r="GF32" s="35">
        <f t="shared" ref="GF32:GF38" si="267">((GE32+GG32)/GC32)</f>
        <v>0.2982456140350877</v>
      </c>
      <c r="GG32" s="34">
        <v>33</v>
      </c>
      <c r="GH32" s="35">
        <f t="shared" ref="GH32:GH38" si="268">GG32/(GE32+GG32)</f>
        <v>0.12132352941176471</v>
      </c>
      <c r="GI32" s="36"/>
      <c r="GJ32" s="34"/>
      <c r="GK32" s="34"/>
      <c r="GL32" s="37"/>
      <c r="GM32" s="33"/>
      <c r="GN32" s="34"/>
      <c r="GO32" s="34">
        <f>GO29-GM32</f>
        <v>199</v>
      </c>
      <c r="GP32" s="34">
        <f>GP29-GN32</f>
        <v>19</v>
      </c>
      <c r="GQ32" s="34">
        <v>37</v>
      </c>
      <c r="GR32" s="35">
        <f t="shared" ref="GR32:GR38" si="269">((GQ32+GS32)/GO32)</f>
        <v>0.21608040201005024</v>
      </c>
      <c r="GS32" s="34">
        <v>6</v>
      </c>
      <c r="GT32" s="35">
        <f t="shared" ref="GT32:GT38" si="270">GS32/(GQ32+GS32)</f>
        <v>0.13953488372093023</v>
      </c>
      <c r="GU32" s="36"/>
      <c r="GV32" s="34"/>
      <c r="GW32" s="34"/>
      <c r="GX32" s="37"/>
      <c r="GY32" s="33"/>
      <c r="GZ32" s="34"/>
      <c r="HA32" s="34">
        <f>HA29-GY32</f>
        <v>913</v>
      </c>
      <c r="HB32" s="34">
        <f>HB29-GZ32</f>
        <v>82</v>
      </c>
      <c r="HC32" s="34">
        <v>246</v>
      </c>
      <c r="HD32" s="35">
        <f t="shared" ref="HD32:HD38" si="271">((HC32+HE32)/HA32)</f>
        <v>0.30120481927710846</v>
      </c>
      <c r="HE32" s="34">
        <v>29</v>
      </c>
      <c r="HF32" s="35">
        <f t="shared" ref="HF32:HF38" si="272">HE32/(HC32+HE32)</f>
        <v>0.10545454545454545</v>
      </c>
      <c r="HG32" s="36"/>
      <c r="HH32" s="34"/>
      <c r="HI32" s="34"/>
      <c r="HJ32" s="37"/>
      <c r="HK32" s="33">
        <f t="shared" ref="HK32:HK39" si="273">+C32+O32+AA32+AM32+AY32+BK32+BW32+CI32+CU32+DG32+DS32+EE32+EQ32+FC32+FO32+GA32+GM32+GY32</f>
        <v>1</v>
      </c>
      <c r="HL32" s="34">
        <f t="shared" ref="HL32:HL39" si="274">+D32+P32+AB32+AN32+AZ32+BL32+BX32+CJ32+CV32+DH32+DT32+EF32+ER32+FD32+FP32+GB32+GN32+GZ32</f>
        <v>0</v>
      </c>
      <c r="HM32" s="34">
        <f t="shared" ref="HM32:HM39" si="275">+E32+Q32+AC32+AO32+BA32+BM32+BY32+CK32+CW32+DI32+DU32+EG32+ES32+FE32+FQ32+GC32+GO32+HA32</f>
        <v>12478</v>
      </c>
      <c r="HN32" s="34">
        <f t="shared" ref="HN32:HN39" si="276">+F32+R32+AD32+AP32+BB32+BN32+BZ32+CL32+CX32+DJ32+DV32+EH32+ET32+FF32+FR32+GD32+GP32+HB32</f>
        <v>1119</v>
      </c>
      <c r="HO32" s="34">
        <f t="shared" ref="HO32:HO39" si="277">+G32+S32+AE32+AQ32+BC32+BO32+CA32+CM32+CY32+DK32+DW32+EI32+EU32+FG32+FS32+GE32+GQ32+HC32+I32+U32+AG32+AS32+BE32+BQ32+CC32+CO32+DA32+DM32+DY32+EK32+EW32+FI32+FU32+GG32+GS32+HE32</f>
        <v>3974</v>
      </c>
      <c r="HP32" s="94">
        <f t="shared" ref="HP32:HP38" si="278">+(HO32)/HM32</f>
        <v>0.31848052572527646</v>
      </c>
      <c r="HQ32" s="48">
        <f t="shared" ref="HQ32:HQ39" si="279">+I32+U32+AG32+AS32+BE32+BQ32+CC32+CO32+DA32+DM32+DY32+EK32+EW32+FI32+FU32+GG32+GS32+HE32</f>
        <v>414</v>
      </c>
      <c r="HR32" s="35">
        <f t="shared" ref="HR32:HR39" si="280">+(HQ32/(HO32))</f>
        <v>0.10417715148465023</v>
      </c>
      <c r="HS32" s="49">
        <v>51.1</v>
      </c>
      <c r="HT32" s="50">
        <v>3474</v>
      </c>
      <c r="HU32" s="49">
        <f t="shared" ref="HU32:HU38" si="281">+HT32/HO32*100</f>
        <v>87.418218419728234</v>
      </c>
      <c r="HV32" s="48"/>
      <c r="HW32" s="37"/>
      <c r="HX32" s="73">
        <f t="shared" ref="HX32:HX38" si="282">SUM(G32,I32,S32,U32,AE32,AG32,AQ32,AS32,BC32,BE32)/SUM(E32,Q32,AC32,AO32,BA32)</f>
        <v>0.34123222748815168</v>
      </c>
      <c r="HY32" s="73">
        <f t="shared" ref="HY32:HY38" si="283">SUM(BO32,BQ32,CA32,CC32,CM32,CO32,CY32,DA32,DK32,DM32)/SUM(BM32,BY32,CK32,CW32,DI32)</f>
        <v>0.37507471607890019</v>
      </c>
      <c r="HZ32" s="73">
        <f t="shared" ref="HZ32:HZ38" si="284">SUM(DW32,DY32,EI32,EK32,EU32,EW32,FG32,FI32)/SUM(DU32,EG32,ES32,FE32)</f>
        <v>0.25460992907801416</v>
      </c>
      <c r="IA32" s="73">
        <f t="shared" ref="IA32:IA38" si="285">SUM(FS32,FU32,GE32,GG32,GQ32,GS32,HC32,HE32)/SUM(FQ32,GC32,GO32,HA32)</f>
        <v>0.28916893732970028</v>
      </c>
    </row>
    <row r="33" spans="1:244" x14ac:dyDescent="0.25">
      <c r="A33" s="374"/>
      <c r="B33" s="41">
        <f t="shared" ref="B33:B38" si="286">+B32+1</f>
        <v>44963</v>
      </c>
      <c r="C33" s="10"/>
      <c r="D33" s="11"/>
      <c r="E33" s="69">
        <f t="shared" ref="E33:F38" si="287">E32-C33</f>
        <v>850</v>
      </c>
      <c r="F33" s="69">
        <f t="shared" si="287"/>
        <v>75</v>
      </c>
      <c r="G33" s="11">
        <v>352</v>
      </c>
      <c r="H33" s="12">
        <f t="shared" si="238"/>
        <v>0.44823529411764707</v>
      </c>
      <c r="I33" s="11">
        <v>29</v>
      </c>
      <c r="J33" s="12">
        <f t="shared" ref="J33:J38" si="288">I33/(G33+I33)</f>
        <v>7.6115485564304461E-2</v>
      </c>
      <c r="K33" s="167">
        <v>135.69999999999999</v>
      </c>
      <c r="L33" s="11"/>
      <c r="M33" s="11"/>
      <c r="N33" s="14"/>
      <c r="O33" s="10"/>
      <c r="P33" s="11"/>
      <c r="Q33" s="69">
        <f t="shared" ref="Q33:Q38" si="289">Q32-O33</f>
        <v>776</v>
      </c>
      <c r="R33" s="69">
        <f t="shared" ref="R33:R38" si="290">R32-P33</f>
        <v>69</v>
      </c>
      <c r="S33" s="11">
        <v>310</v>
      </c>
      <c r="T33" s="12">
        <f t="shared" si="239"/>
        <v>0.42010309278350516</v>
      </c>
      <c r="U33" s="11">
        <v>16</v>
      </c>
      <c r="V33" s="12">
        <f t="shared" si="240"/>
        <v>4.9079754601226995E-2</v>
      </c>
      <c r="W33" s="167">
        <v>134.1</v>
      </c>
      <c r="X33" s="11"/>
      <c r="Y33" s="11"/>
      <c r="Z33" s="14"/>
      <c r="AA33" s="10"/>
      <c r="AB33" s="11"/>
      <c r="AC33" s="69">
        <f t="shared" ref="AC33:AC38" si="291">AC32-AA33</f>
        <v>197</v>
      </c>
      <c r="AD33" s="69">
        <f t="shared" ref="AD33:AD38" si="292">AD32-AB33</f>
        <v>15</v>
      </c>
      <c r="AE33" s="11">
        <v>57</v>
      </c>
      <c r="AF33" s="12">
        <f t="shared" si="241"/>
        <v>0.30456852791878175</v>
      </c>
      <c r="AG33" s="11">
        <v>3</v>
      </c>
      <c r="AH33" s="12">
        <f t="shared" si="242"/>
        <v>0.05</v>
      </c>
      <c r="AI33" s="167">
        <v>134.1</v>
      </c>
      <c r="AJ33" s="11"/>
      <c r="AK33" s="11"/>
      <c r="AL33" s="14"/>
      <c r="AM33" s="10"/>
      <c r="AN33" s="11"/>
      <c r="AO33" s="69">
        <f t="shared" ref="AO33:AO38" si="293">AO32-AM33</f>
        <v>776</v>
      </c>
      <c r="AP33" s="69">
        <f t="shared" ref="AP33:AP38" si="294">AP32-AN33</f>
        <v>69</v>
      </c>
      <c r="AQ33" s="11">
        <v>228</v>
      </c>
      <c r="AR33" s="12">
        <f t="shared" si="243"/>
        <v>0.31829896907216493</v>
      </c>
      <c r="AS33" s="11">
        <v>19</v>
      </c>
      <c r="AT33" s="12">
        <f t="shared" si="244"/>
        <v>7.6923076923076927E-2</v>
      </c>
      <c r="AU33" s="13"/>
      <c r="AV33" s="11"/>
      <c r="AW33" s="11"/>
      <c r="AX33" s="14"/>
      <c r="AY33" s="10"/>
      <c r="AZ33" s="11"/>
      <c r="BA33" s="69">
        <f t="shared" ref="BA33:BA38" si="295">BA32-AY33</f>
        <v>777</v>
      </c>
      <c r="BB33" s="69">
        <f t="shared" ref="BB33:BB38" si="296">BB32-AZ33</f>
        <v>69</v>
      </c>
      <c r="BC33" s="11">
        <v>263</v>
      </c>
      <c r="BD33" s="12">
        <f t="shared" si="245"/>
        <v>0.38996138996138996</v>
      </c>
      <c r="BE33" s="11">
        <v>40</v>
      </c>
      <c r="BF33" s="12">
        <f t="shared" si="246"/>
        <v>0.132013201320132</v>
      </c>
      <c r="BG33" s="167">
        <v>131.19999999999999</v>
      </c>
      <c r="BH33" s="11"/>
      <c r="BI33" s="11"/>
      <c r="BJ33" s="14"/>
      <c r="BK33" s="10"/>
      <c r="BL33" s="11"/>
      <c r="BM33" s="69">
        <f t="shared" ref="BM33:BM38" si="297">BM32-BK33</f>
        <v>848</v>
      </c>
      <c r="BN33" s="69">
        <f t="shared" ref="BN33:BN38" si="298">BN32-BL33</f>
        <v>77</v>
      </c>
      <c r="BO33" s="11">
        <v>314</v>
      </c>
      <c r="BP33" s="12">
        <f t="shared" si="247"/>
        <v>0.42452830188679247</v>
      </c>
      <c r="BQ33" s="11">
        <v>46</v>
      </c>
      <c r="BR33" s="12">
        <f t="shared" si="248"/>
        <v>0.12777777777777777</v>
      </c>
      <c r="BS33" s="13"/>
      <c r="BT33" s="11"/>
      <c r="BU33" s="11"/>
      <c r="BV33" s="14"/>
      <c r="BW33" s="10"/>
      <c r="BX33" s="11"/>
      <c r="BY33" s="69">
        <f t="shared" ref="BY33:BY38" si="299">BY32-BW33</f>
        <v>767</v>
      </c>
      <c r="BZ33" s="69">
        <f t="shared" ref="BZ33:BZ38" si="300">BZ32-BX33</f>
        <v>69</v>
      </c>
      <c r="CA33" s="11">
        <v>275</v>
      </c>
      <c r="CB33" s="12">
        <f t="shared" si="249"/>
        <v>0.409387222946545</v>
      </c>
      <c r="CC33" s="11">
        <v>39</v>
      </c>
      <c r="CD33" s="12">
        <f t="shared" si="250"/>
        <v>0.12420382165605096</v>
      </c>
      <c r="CE33" s="13"/>
      <c r="CF33" s="11"/>
      <c r="CG33" s="11"/>
      <c r="CH33" s="14"/>
      <c r="CI33" s="10"/>
      <c r="CJ33" s="11"/>
      <c r="CK33" s="69">
        <f t="shared" ref="CK33:CK38" si="301">CK32-CI33</f>
        <v>197</v>
      </c>
      <c r="CL33" s="69">
        <f t="shared" ref="CL33:CL38" si="302">CL32-CJ33</f>
        <v>17</v>
      </c>
      <c r="CM33" s="11">
        <v>45</v>
      </c>
      <c r="CN33" s="12">
        <f t="shared" si="251"/>
        <v>0.26395939086294418</v>
      </c>
      <c r="CO33" s="11">
        <v>7</v>
      </c>
      <c r="CP33" s="12">
        <f t="shared" si="252"/>
        <v>0.13461538461538461</v>
      </c>
      <c r="CQ33" s="13"/>
      <c r="CR33" s="11"/>
      <c r="CS33" s="11"/>
      <c r="CT33" s="14"/>
      <c r="CU33" s="10"/>
      <c r="CV33" s="11"/>
      <c r="CW33" s="69">
        <f t="shared" ref="CW33:CW38" si="303">CW32-CU33</f>
        <v>766</v>
      </c>
      <c r="CX33" s="69">
        <f t="shared" ref="CX33:CX38" si="304">CX32-CV33</f>
        <v>70</v>
      </c>
      <c r="CY33" s="11">
        <v>318</v>
      </c>
      <c r="CZ33" s="12">
        <f t="shared" si="253"/>
        <v>0.4660574412532637</v>
      </c>
      <c r="DA33" s="11">
        <v>39</v>
      </c>
      <c r="DB33" s="12">
        <f t="shared" si="254"/>
        <v>0.1092436974789916</v>
      </c>
      <c r="DC33" s="167">
        <v>138.35996</v>
      </c>
      <c r="DD33" s="11"/>
      <c r="DE33" s="11"/>
      <c r="DF33" s="14"/>
      <c r="DG33" s="10"/>
      <c r="DH33" s="11"/>
      <c r="DI33" s="69">
        <f t="shared" ref="DI33:DI38" si="305">DI32-DG33</f>
        <v>768</v>
      </c>
      <c r="DJ33" s="69">
        <f t="shared" ref="DJ33:DJ38" si="306">DJ32-DH33</f>
        <v>70</v>
      </c>
      <c r="DK33" s="11">
        <v>304</v>
      </c>
      <c r="DL33" s="12">
        <f t="shared" si="255"/>
        <v>0.43359375</v>
      </c>
      <c r="DM33" s="11">
        <v>29</v>
      </c>
      <c r="DN33" s="12">
        <f t="shared" si="256"/>
        <v>8.7087087087087081E-2</v>
      </c>
      <c r="DO33" s="13"/>
      <c r="DP33" s="11"/>
      <c r="DQ33" s="11"/>
      <c r="DR33" s="14"/>
      <c r="DS33" s="10">
        <v>1</v>
      </c>
      <c r="DT33" s="11"/>
      <c r="DU33" s="69">
        <f t="shared" ref="DU33:DU38" si="307">DU32-DS33</f>
        <v>866</v>
      </c>
      <c r="DV33" s="69">
        <f t="shared" ref="DV33:DV38" si="308">DV32-DT33</f>
        <v>78</v>
      </c>
      <c r="DW33" s="11">
        <v>240</v>
      </c>
      <c r="DX33" s="12">
        <f t="shared" si="257"/>
        <v>0.32217090069284066</v>
      </c>
      <c r="DY33" s="11">
        <v>39</v>
      </c>
      <c r="DZ33" s="12">
        <f t="shared" si="258"/>
        <v>0.13978494623655913</v>
      </c>
      <c r="EA33" s="167">
        <v>134.09055000000001</v>
      </c>
      <c r="EB33" s="11"/>
      <c r="EC33" s="11"/>
      <c r="ED33" s="14"/>
      <c r="EE33" s="10"/>
      <c r="EF33" s="11"/>
      <c r="EG33" s="69">
        <f t="shared" ref="EG33:EG38" si="309">EG32-EE33</f>
        <v>869</v>
      </c>
      <c r="EH33" s="69">
        <f t="shared" ref="EH33:EH38" si="310">EH32-EF33</f>
        <v>79</v>
      </c>
      <c r="EI33" s="11">
        <v>257</v>
      </c>
      <c r="EJ33" s="12">
        <f t="shared" si="259"/>
        <v>0.33716915995397007</v>
      </c>
      <c r="EK33" s="11">
        <v>36</v>
      </c>
      <c r="EL33" s="12">
        <f t="shared" si="260"/>
        <v>0.12286689419795221</v>
      </c>
      <c r="EM33" s="167">
        <v>135.19999999999999</v>
      </c>
      <c r="EN33" s="11"/>
      <c r="EO33" s="11"/>
      <c r="EP33" s="14"/>
      <c r="EQ33" s="10"/>
      <c r="ER33" s="11"/>
      <c r="ES33" s="69">
        <f t="shared" ref="ES33:ES38" si="311">ES32-EQ33</f>
        <v>216</v>
      </c>
      <c r="ET33" s="69">
        <f t="shared" ref="ET33:ET38" si="312">ET32-ER33</f>
        <v>18</v>
      </c>
      <c r="EU33" s="11">
        <v>28</v>
      </c>
      <c r="EV33" s="12">
        <f t="shared" si="261"/>
        <v>0.15277777777777779</v>
      </c>
      <c r="EW33" s="11">
        <v>5</v>
      </c>
      <c r="EX33" s="12">
        <f t="shared" si="262"/>
        <v>0.15151515151515152</v>
      </c>
      <c r="EY33" s="13"/>
      <c r="EZ33" s="11"/>
      <c r="FA33" s="11"/>
      <c r="FB33" s="14"/>
      <c r="FC33" s="10"/>
      <c r="FD33" s="11"/>
      <c r="FE33" s="69">
        <f t="shared" ref="FE33:FE38" si="313">FE32-FC33</f>
        <v>868</v>
      </c>
      <c r="FF33" s="69">
        <f t="shared" ref="FF33:FF38" si="314">FF32-FD33</f>
        <v>79</v>
      </c>
      <c r="FG33" s="11">
        <v>264</v>
      </c>
      <c r="FH33" s="12">
        <f t="shared" si="263"/>
        <v>0.34677419354838712</v>
      </c>
      <c r="FI33" s="11">
        <v>37</v>
      </c>
      <c r="FJ33" s="12">
        <f t="shared" si="264"/>
        <v>0.12292358803986711</v>
      </c>
      <c r="FK33" s="167">
        <v>131.5</v>
      </c>
      <c r="FL33" s="11"/>
      <c r="FM33" s="11"/>
      <c r="FN33" s="14"/>
      <c r="FO33" s="10"/>
      <c r="FP33" s="11"/>
      <c r="FQ33" s="69">
        <f t="shared" ref="FQ33:FQ38" si="315">FQ32-FO33</f>
        <v>912</v>
      </c>
      <c r="FR33" s="69">
        <f t="shared" ref="FR33:FR38" si="316">FR32-FP33</f>
        <v>82</v>
      </c>
      <c r="FS33" s="11">
        <v>272</v>
      </c>
      <c r="FT33" s="12">
        <f t="shared" si="265"/>
        <v>0.3432017543859649</v>
      </c>
      <c r="FU33" s="11">
        <v>41</v>
      </c>
      <c r="FV33" s="12">
        <f t="shared" si="266"/>
        <v>0.13099041533546327</v>
      </c>
      <c r="FW33" s="167">
        <v>136.38575</v>
      </c>
      <c r="FX33" s="11"/>
      <c r="FY33" s="11"/>
      <c r="FZ33" s="14"/>
      <c r="GA33" s="10"/>
      <c r="GB33" s="11"/>
      <c r="GC33" s="69">
        <f t="shared" ref="GC33:GC38" si="317">GC32-GA33</f>
        <v>912</v>
      </c>
      <c r="GD33" s="69">
        <f t="shared" ref="GD33:GD38" si="318">GD32-GB33</f>
        <v>82</v>
      </c>
      <c r="GE33" s="11">
        <v>293</v>
      </c>
      <c r="GF33" s="12">
        <f t="shared" si="267"/>
        <v>0.36184210526315791</v>
      </c>
      <c r="GG33" s="11">
        <v>37</v>
      </c>
      <c r="GH33" s="12">
        <f t="shared" si="268"/>
        <v>0.11212121212121212</v>
      </c>
      <c r="GI33" s="167">
        <v>135</v>
      </c>
      <c r="GJ33" s="11"/>
      <c r="GK33" s="11"/>
      <c r="GL33" s="14"/>
      <c r="GM33" s="10"/>
      <c r="GN33" s="11"/>
      <c r="GO33" s="69">
        <f t="shared" ref="GO33:GO38" si="319">GO32-GM33</f>
        <v>199</v>
      </c>
      <c r="GP33" s="69">
        <f t="shared" ref="GP33:GP38" si="320">GP32-GN33</f>
        <v>19</v>
      </c>
      <c r="GQ33" s="11">
        <v>38</v>
      </c>
      <c r="GR33" s="12">
        <f t="shared" si="269"/>
        <v>0.23115577889447236</v>
      </c>
      <c r="GS33" s="11">
        <v>8</v>
      </c>
      <c r="GT33" s="12">
        <f t="shared" si="270"/>
        <v>0.17391304347826086</v>
      </c>
      <c r="GU33" s="13"/>
      <c r="GV33" s="11"/>
      <c r="GW33" s="11"/>
      <c r="GX33" s="14"/>
      <c r="GY33" s="10"/>
      <c r="GZ33" s="11"/>
      <c r="HA33" s="69">
        <f t="shared" ref="HA33:HA38" si="321">HA32-GY33</f>
        <v>913</v>
      </c>
      <c r="HB33" s="69">
        <f t="shared" ref="HB33:HB38" si="322">HB32-GZ33</f>
        <v>82</v>
      </c>
      <c r="HC33" s="11">
        <v>295</v>
      </c>
      <c r="HD33" s="12">
        <f t="shared" si="271"/>
        <v>0.36144578313253012</v>
      </c>
      <c r="HE33" s="11">
        <v>35</v>
      </c>
      <c r="HF33" s="12">
        <f t="shared" si="272"/>
        <v>0.10606060606060606</v>
      </c>
      <c r="HG33" s="167">
        <v>132</v>
      </c>
      <c r="HH33" s="11"/>
      <c r="HI33" s="11"/>
      <c r="HJ33" s="14"/>
      <c r="HK33" s="10">
        <f t="shared" si="273"/>
        <v>1</v>
      </c>
      <c r="HL33" s="11">
        <f t="shared" si="274"/>
        <v>0</v>
      </c>
      <c r="HM33" s="11">
        <f t="shared" si="275"/>
        <v>12477</v>
      </c>
      <c r="HN33" s="11">
        <f t="shared" si="276"/>
        <v>1119</v>
      </c>
      <c r="HO33" s="11">
        <f t="shared" si="277"/>
        <v>4658</v>
      </c>
      <c r="HP33" s="95">
        <f t="shared" si="278"/>
        <v>0.37332692153562558</v>
      </c>
      <c r="HQ33" s="15">
        <f t="shared" si="279"/>
        <v>505</v>
      </c>
      <c r="HR33" s="12">
        <f t="shared" si="280"/>
        <v>0.10841562902533276</v>
      </c>
      <c r="HS33" s="16">
        <v>52.1</v>
      </c>
      <c r="HT33" s="17">
        <v>4019</v>
      </c>
      <c r="HU33" s="16">
        <f t="shared" si="281"/>
        <v>86.281665951051963</v>
      </c>
      <c r="HV33" s="15"/>
      <c r="HW33" s="14"/>
      <c r="HX33" s="73">
        <f t="shared" si="282"/>
        <v>0.39010663507109006</v>
      </c>
      <c r="HY33" s="73">
        <f t="shared" si="283"/>
        <v>0.42319187089061566</v>
      </c>
      <c r="HZ33" s="73">
        <f t="shared" si="284"/>
        <v>0.32139056402979782</v>
      </c>
      <c r="IA33" s="73">
        <f t="shared" si="285"/>
        <v>0.34707084468664851</v>
      </c>
    </row>
    <row r="34" spans="1:244" x14ac:dyDescent="0.25">
      <c r="A34" s="374"/>
      <c r="B34" s="41">
        <f t="shared" si="286"/>
        <v>44964</v>
      </c>
      <c r="C34" s="10"/>
      <c r="D34" s="11"/>
      <c r="E34" s="69">
        <f t="shared" si="287"/>
        <v>850</v>
      </c>
      <c r="F34" s="69">
        <f t="shared" si="287"/>
        <v>75</v>
      </c>
      <c r="G34" s="11">
        <v>370</v>
      </c>
      <c r="H34" s="12">
        <f t="shared" si="238"/>
        <v>0.47058823529411764</v>
      </c>
      <c r="I34" s="11">
        <v>30</v>
      </c>
      <c r="J34" s="12">
        <f t="shared" si="288"/>
        <v>7.4999999999999997E-2</v>
      </c>
      <c r="K34" s="176">
        <v>138.69999999999999</v>
      </c>
      <c r="L34" s="11"/>
      <c r="M34" s="11"/>
      <c r="N34" s="14"/>
      <c r="O34" s="10"/>
      <c r="P34" s="11"/>
      <c r="Q34" s="69">
        <f t="shared" si="289"/>
        <v>776</v>
      </c>
      <c r="R34" s="69">
        <f t="shared" si="290"/>
        <v>69</v>
      </c>
      <c r="S34" s="11">
        <v>356</v>
      </c>
      <c r="T34" s="12">
        <f t="shared" si="239"/>
        <v>0.49355670103092786</v>
      </c>
      <c r="U34" s="11">
        <v>27</v>
      </c>
      <c r="V34" s="12">
        <f t="shared" si="240"/>
        <v>7.0496083550913843E-2</v>
      </c>
      <c r="W34" s="176">
        <v>137.30000000000001</v>
      </c>
      <c r="X34" s="11"/>
      <c r="Y34" s="11"/>
      <c r="Z34" s="14"/>
      <c r="AA34" s="10"/>
      <c r="AB34" s="11"/>
      <c r="AC34" s="69">
        <f t="shared" si="291"/>
        <v>197</v>
      </c>
      <c r="AD34" s="69">
        <f t="shared" si="292"/>
        <v>15</v>
      </c>
      <c r="AE34" s="11">
        <v>59</v>
      </c>
      <c r="AF34" s="12">
        <f t="shared" si="241"/>
        <v>0.32487309644670048</v>
      </c>
      <c r="AG34" s="11">
        <v>5</v>
      </c>
      <c r="AH34" s="12">
        <f t="shared" si="242"/>
        <v>7.8125E-2</v>
      </c>
      <c r="AI34" s="13"/>
      <c r="AJ34" s="11"/>
      <c r="AK34" s="11"/>
      <c r="AL34" s="14"/>
      <c r="AM34" s="10"/>
      <c r="AN34" s="11"/>
      <c r="AO34" s="69">
        <f t="shared" si="293"/>
        <v>776</v>
      </c>
      <c r="AP34" s="69">
        <f t="shared" si="294"/>
        <v>69</v>
      </c>
      <c r="AQ34" s="11">
        <v>269</v>
      </c>
      <c r="AR34" s="12">
        <f t="shared" si="243"/>
        <v>0.38402061855670105</v>
      </c>
      <c r="AS34" s="11">
        <v>29</v>
      </c>
      <c r="AT34" s="12">
        <f t="shared" si="244"/>
        <v>9.7315436241610737E-2</v>
      </c>
      <c r="AU34" s="176">
        <v>130.86715000000001</v>
      </c>
      <c r="AV34" s="11"/>
      <c r="AW34" s="11"/>
      <c r="AX34" s="14"/>
      <c r="AY34" s="10"/>
      <c r="AZ34" s="11"/>
      <c r="BA34" s="69">
        <f t="shared" si="295"/>
        <v>777</v>
      </c>
      <c r="BB34" s="69">
        <f t="shared" si="296"/>
        <v>69</v>
      </c>
      <c r="BC34" s="11">
        <v>296</v>
      </c>
      <c r="BD34" s="12">
        <f t="shared" si="245"/>
        <v>0.43243243243243246</v>
      </c>
      <c r="BE34" s="11">
        <v>40</v>
      </c>
      <c r="BF34" s="12">
        <f t="shared" si="246"/>
        <v>0.11904761904761904</v>
      </c>
      <c r="BG34" s="176">
        <v>134.14180000000002</v>
      </c>
      <c r="BH34" s="11"/>
      <c r="BI34" s="11"/>
      <c r="BJ34" s="14"/>
      <c r="BK34" s="10"/>
      <c r="BL34" s="11"/>
      <c r="BM34" s="69">
        <f t="shared" si="297"/>
        <v>848</v>
      </c>
      <c r="BN34" s="69">
        <f t="shared" si="298"/>
        <v>77</v>
      </c>
      <c r="BO34" s="11">
        <v>360</v>
      </c>
      <c r="BP34" s="12">
        <f t="shared" si="247"/>
        <v>0.46580188679245282</v>
      </c>
      <c r="BQ34" s="11">
        <v>35</v>
      </c>
      <c r="BR34" s="12">
        <f t="shared" si="248"/>
        <v>8.8607594936708861E-2</v>
      </c>
      <c r="BS34" s="176">
        <v>139.48796000000002</v>
      </c>
      <c r="BT34" s="11"/>
      <c r="BU34" s="11"/>
      <c r="BV34" s="14"/>
      <c r="BW34" s="10"/>
      <c r="BX34" s="11"/>
      <c r="BY34" s="69">
        <f t="shared" si="299"/>
        <v>767</v>
      </c>
      <c r="BZ34" s="69">
        <f t="shared" si="300"/>
        <v>69</v>
      </c>
      <c r="CA34" s="11">
        <v>347</v>
      </c>
      <c r="CB34" s="12">
        <f t="shared" si="249"/>
        <v>0.49934810951760106</v>
      </c>
      <c r="CC34" s="11">
        <v>36</v>
      </c>
      <c r="CD34" s="12">
        <f t="shared" si="250"/>
        <v>9.3994778067885115E-2</v>
      </c>
      <c r="CE34" s="176">
        <v>138.64196000000001</v>
      </c>
      <c r="CF34" s="11"/>
      <c r="CG34" s="11"/>
      <c r="CH34" s="14"/>
      <c r="CI34" s="10">
        <v>1</v>
      </c>
      <c r="CJ34" s="11"/>
      <c r="CK34" s="69">
        <f t="shared" si="301"/>
        <v>196</v>
      </c>
      <c r="CL34" s="69">
        <f t="shared" si="302"/>
        <v>17</v>
      </c>
      <c r="CM34" s="11">
        <v>46</v>
      </c>
      <c r="CN34" s="12">
        <f t="shared" si="251"/>
        <v>0.25510204081632654</v>
      </c>
      <c r="CO34" s="11">
        <v>4</v>
      </c>
      <c r="CP34" s="12">
        <f t="shared" si="252"/>
        <v>0.08</v>
      </c>
      <c r="CQ34" s="13"/>
      <c r="CR34" s="11"/>
      <c r="CS34" s="11"/>
      <c r="CT34" s="14"/>
      <c r="CU34" s="10"/>
      <c r="CV34" s="11"/>
      <c r="CW34" s="69">
        <f t="shared" si="303"/>
        <v>766</v>
      </c>
      <c r="CX34" s="69">
        <f t="shared" si="304"/>
        <v>70</v>
      </c>
      <c r="CY34" s="11">
        <v>347</v>
      </c>
      <c r="CZ34" s="12">
        <f t="shared" si="253"/>
        <v>0.49347258485639689</v>
      </c>
      <c r="DA34" s="11">
        <v>31</v>
      </c>
      <c r="DB34" s="12">
        <f t="shared" si="254"/>
        <v>8.2010582010582006E-2</v>
      </c>
      <c r="DC34" s="13"/>
      <c r="DD34" s="11"/>
      <c r="DE34" s="11"/>
      <c r="DF34" s="14"/>
      <c r="DG34" s="10"/>
      <c r="DH34" s="11"/>
      <c r="DI34" s="69">
        <f t="shared" si="305"/>
        <v>768</v>
      </c>
      <c r="DJ34" s="69">
        <f t="shared" si="306"/>
        <v>70</v>
      </c>
      <c r="DK34" s="11">
        <v>303</v>
      </c>
      <c r="DL34" s="12">
        <f t="shared" si="255"/>
        <v>0.4296875</v>
      </c>
      <c r="DM34" s="11">
        <v>27</v>
      </c>
      <c r="DN34" s="12">
        <f t="shared" si="256"/>
        <v>8.1818181818181818E-2</v>
      </c>
      <c r="DO34" s="13"/>
      <c r="DP34" s="11"/>
      <c r="DQ34" s="11"/>
      <c r="DR34" s="14"/>
      <c r="DS34" s="10"/>
      <c r="DT34" s="11"/>
      <c r="DU34" s="69">
        <f t="shared" si="307"/>
        <v>866</v>
      </c>
      <c r="DV34" s="69">
        <f t="shared" si="308"/>
        <v>78</v>
      </c>
      <c r="DW34" s="11">
        <v>277</v>
      </c>
      <c r="DX34" s="12">
        <f t="shared" si="257"/>
        <v>0.36836027713625868</v>
      </c>
      <c r="DY34" s="11">
        <v>42</v>
      </c>
      <c r="DZ34" s="12">
        <f t="shared" si="258"/>
        <v>0.13166144200626959</v>
      </c>
      <c r="EA34" s="176">
        <v>136.34715</v>
      </c>
      <c r="EB34" s="11"/>
      <c r="EC34" s="11"/>
      <c r="ED34" s="14"/>
      <c r="EE34" s="10"/>
      <c r="EF34" s="11"/>
      <c r="EG34" s="69">
        <f t="shared" si="309"/>
        <v>869</v>
      </c>
      <c r="EH34" s="69">
        <f t="shared" si="310"/>
        <v>79</v>
      </c>
      <c r="EI34" s="11">
        <v>300</v>
      </c>
      <c r="EJ34" s="12">
        <f t="shared" si="259"/>
        <v>0.39815880322209435</v>
      </c>
      <c r="EK34" s="11">
        <v>46</v>
      </c>
      <c r="EL34" s="12">
        <f t="shared" si="260"/>
        <v>0.13294797687861271</v>
      </c>
      <c r="EM34" s="176">
        <v>137.37465</v>
      </c>
      <c r="EN34" s="11"/>
      <c r="EO34" s="11"/>
      <c r="EP34" s="14"/>
      <c r="EQ34" s="10"/>
      <c r="ER34" s="11"/>
      <c r="ES34" s="69">
        <f t="shared" si="311"/>
        <v>216</v>
      </c>
      <c r="ET34" s="69">
        <f t="shared" si="312"/>
        <v>18</v>
      </c>
      <c r="EU34" s="11">
        <v>39</v>
      </c>
      <c r="EV34" s="12">
        <f t="shared" si="261"/>
        <v>0.21759259259259259</v>
      </c>
      <c r="EW34" s="11">
        <v>8</v>
      </c>
      <c r="EX34" s="12">
        <f t="shared" si="262"/>
        <v>0.1702127659574468</v>
      </c>
      <c r="EY34" s="176">
        <v>128.8665</v>
      </c>
      <c r="EZ34" s="11"/>
      <c r="FA34" s="11"/>
      <c r="FB34" s="14"/>
      <c r="FC34" s="10"/>
      <c r="FD34" s="11"/>
      <c r="FE34" s="69">
        <f t="shared" si="313"/>
        <v>868</v>
      </c>
      <c r="FF34" s="69">
        <f t="shared" si="314"/>
        <v>79</v>
      </c>
      <c r="FG34" s="11">
        <v>293</v>
      </c>
      <c r="FH34" s="12">
        <f t="shared" si="263"/>
        <v>0.38709677419354838</v>
      </c>
      <c r="FI34" s="11">
        <v>43</v>
      </c>
      <c r="FJ34" s="12">
        <f t="shared" si="264"/>
        <v>0.12797619047619047</v>
      </c>
      <c r="FK34" s="176">
        <v>133.94965000000002</v>
      </c>
      <c r="FL34" s="11"/>
      <c r="FM34" s="11"/>
      <c r="FN34" s="14"/>
      <c r="FO34" s="10"/>
      <c r="FP34" s="11"/>
      <c r="FQ34" s="69">
        <f t="shared" si="315"/>
        <v>912</v>
      </c>
      <c r="FR34" s="69">
        <f t="shared" si="316"/>
        <v>82</v>
      </c>
      <c r="FS34" s="11">
        <v>297</v>
      </c>
      <c r="FT34" s="12">
        <f t="shared" si="265"/>
        <v>0.37390350877192985</v>
      </c>
      <c r="FU34" s="11">
        <v>44</v>
      </c>
      <c r="FV34" s="12">
        <f t="shared" si="266"/>
        <v>0.12903225806451613</v>
      </c>
      <c r="FW34" s="13"/>
      <c r="FX34" s="11"/>
      <c r="FY34" s="11"/>
      <c r="FZ34" s="14"/>
      <c r="GA34" s="10"/>
      <c r="GB34" s="11"/>
      <c r="GC34" s="69">
        <f t="shared" si="317"/>
        <v>912</v>
      </c>
      <c r="GD34" s="69">
        <f t="shared" si="318"/>
        <v>82</v>
      </c>
      <c r="GE34" s="11">
        <v>348</v>
      </c>
      <c r="GF34" s="12">
        <f t="shared" si="267"/>
        <v>0.4232456140350877</v>
      </c>
      <c r="GG34" s="11">
        <v>38</v>
      </c>
      <c r="GH34" s="12">
        <f t="shared" si="268"/>
        <v>9.8445595854922283E-2</v>
      </c>
      <c r="GI34" s="13"/>
      <c r="GJ34" s="11"/>
      <c r="GK34" s="11"/>
      <c r="GL34" s="14"/>
      <c r="GM34" s="10"/>
      <c r="GN34" s="11"/>
      <c r="GO34" s="69">
        <f t="shared" si="319"/>
        <v>199</v>
      </c>
      <c r="GP34" s="69">
        <f t="shared" si="320"/>
        <v>19</v>
      </c>
      <c r="GQ34" s="11">
        <v>68</v>
      </c>
      <c r="GR34" s="12">
        <f t="shared" si="269"/>
        <v>0.38190954773869346</v>
      </c>
      <c r="GS34" s="11">
        <v>8</v>
      </c>
      <c r="GT34" s="12">
        <f t="shared" si="270"/>
        <v>0.10526315789473684</v>
      </c>
      <c r="GU34" s="176">
        <v>134.69825</v>
      </c>
      <c r="GV34" s="11"/>
      <c r="GW34" s="11"/>
      <c r="GX34" s="14"/>
      <c r="GY34" s="10"/>
      <c r="GZ34" s="11"/>
      <c r="HA34" s="69">
        <f t="shared" si="321"/>
        <v>913</v>
      </c>
      <c r="HB34" s="69">
        <f t="shared" si="322"/>
        <v>82</v>
      </c>
      <c r="HC34" s="11">
        <v>339</v>
      </c>
      <c r="HD34" s="12">
        <f t="shared" si="271"/>
        <v>0.41840087623220151</v>
      </c>
      <c r="HE34" s="11">
        <v>43</v>
      </c>
      <c r="HF34" s="12">
        <f t="shared" si="272"/>
        <v>0.112565445026178</v>
      </c>
      <c r="HG34" s="13"/>
      <c r="HH34" s="11"/>
      <c r="HI34" s="11"/>
      <c r="HJ34" s="14"/>
      <c r="HK34" s="10">
        <f t="shared" si="273"/>
        <v>1</v>
      </c>
      <c r="HL34" s="11">
        <f t="shared" si="274"/>
        <v>0</v>
      </c>
      <c r="HM34" s="11">
        <f t="shared" si="275"/>
        <v>12476</v>
      </c>
      <c r="HN34" s="11">
        <f t="shared" si="276"/>
        <v>1119</v>
      </c>
      <c r="HO34" s="11">
        <f t="shared" si="277"/>
        <v>5250</v>
      </c>
      <c r="HP34" s="95">
        <f t="shared" si="278"/>
        <v>0.42080795126643156</v>
      </c>
      <c r="HQ34" s="15">
        <f t="shared" si="279"/>
        <v>536</v>
      </c>
      <c r="HR34" s="12">
        <f t="shared" si="280"/>
        <v>0.1020952380952381</v>
      </c>
      <c r="HS34" s="16">
        <v>52.1</v>
      </c>
      <c r="HT34" s="17">
        <v>4589</v>
      </c>
      <c r="HU34" s="16">
        <f t="shared" si="281"/>
        <v>87.409523809523819</v>
      </c>
      <c r="HV34" s="15"/>
      <c r="HW34" s="14"/>
      <c r="HX34" s="73">
        <f t="shared" si="282"/>
        <v>0.43868483412322273</v>
      </c>
      <c r="HY34" s="73">
        <f t="shared" si="283"/>
        <v>0.45919282511210763</v>
      </c>
      <c r="HZ34" s="73">
        <f t="shared" si="284"/>
        <v>0.37176303653777937</v>
      </c>
      <c r="IA34" s="73">
        <f t="shared" si="285"/>
        <v>0.40361035422343322</v>
      </c>
    </row>
    <row r="35" spans="1:244" x14ac:dyDescent="0.25">
      <c r="A35" s="374"/>
      <c r="B35" s="41">
        <f t="shared" si="286"/>
        <v>44965</v>
      </c>
      <c r="C35" s="10"/>
      <c r="D35" s="11"/>
      <c r="E35" s="69">
        <f t="shared" si="287"/>
        <v>850</v>
      </c>
      <c r="F35" s="69">
        <f t="shared" si="287"/>
        <v>75</v>
      </c>
      <c r="G35" s="11">
        <v>420</v>
      </c>
      <c r="H35" s="12">
        <f t="shared" si="238"/>
        <v>0.5270588235294118</v>
      </c>
      <c r="I35" s="11">
        <v>28</v>
      </c>
      <c r="J35" s="12">
        <f t="shared" si="288"/>
        <v>6.25E-2</v>
      </c>
      <c r="K35" s="177">
        <v>141.9</v>
      </c>
      <c r="L35" s="11"/>
      <c r="M35" s="18"/>
      <c r="N35" s="20"/>
      <c r="O35" s="10"/>
      <c r="P35" s="11"/>
      <c r="Q35" s="69">
        <f t="shared" si="289"/>
        <v>776</v>
      </c>
      <c r="R35" s="69">
        <f t="shared" si="290"/>
        <v>69</v>
      </c>
      <c r="S35" s="11">
        <v>369</v>
      </c>
      <c r="T35" s="12">
        <f t="shared" si="239"/>
        <v>0.50515463917525771</v>
      </c>
      <c r="U35" s="11">
        <v>23</v>
      </c>
      <c r="V35" s="12">
        <f t="shared" si="240"/>
        <v>5.8673469387755105E-2</v>
      </c>
      <c r="W35" s="177">
        <v>140.69999999999999</v>
      </c>
      <c r="X35" s="11"/>
      <c r="Y35" s="18"/>
      <c r="Z35" s="20"/>
      <c r="AA35" s="10"/>
      <c r="AB35" s="11"/>
      <c r="AC35" s="69">
        <f t="shared" si="291"/>
        <v>197</v>
      </c>
      <c r="AD35" s="69">
        <f t="shared" si="292"/>
        <v>15</v>
      </c>
      <c r="AE35" s="11">
        <v>81</v>
      </c>
      <c r="AF35" s="12">
        <f t="shared" si="241"/>
        <v>0.43147208121827413</v>
      </c>
      <c r="AG35" s="11">
        <v>4</v>
      </c>
      <c r="AH35" s="12">
        <f t="shared" si="242"/>
        <v>4.7058823529411764E-2</v>
      </c>
      <c r="AI35" s="177">
        <v>136.30000000000001</v>
      </c>
      <c r="AJ35" s="11"/>
      <c r="AK35" s="18"/>
      <c r="AL35" s="20"/>
      <c r="AM35" s="10"/>
      <c r="AN35" s="11"/>
      <c r="AO35" s="69">
        <f t="shared" si="293"/>
        <v>776</v>
      </c>
      <c r="AP35" s="69">
        <f t="shared" si="294"/>
        <v>69</v>
      </c>
      <c r="AQ35" s="11">
        <v>315</v>
      </c>
      <c r="AR35" s="12">
        <f t="shared" si="243"/>
        <v>0.43685567010309279</v>
      </c>
      <c r="AS35" s="11">
        <v>24</v>
      </c>
      <c r="AT35" s="12">
        <f t="shared" si="244"/>
        <v>7.0796460176991149E-2</v>
      </c>
      <c r="AU35" s="177">
        <v>133.80000000000001</v>
      </c>
      <c r="AV35" s="11"/>
      <c r="AW35" s="18"/>
      <c r="AX35" s="20"/>
      <c r="AY35" s="10"/>
      <c r="AZ35" s="11"/>
      <c r="BA35" s="69">
        <f t="shared" si="295"/>
        <v>777</v>
      </c>
      <c r="BB35" s="69">
        <f t="shared" si="296"/>
        <v>69</v>
      </c>
      <c r="BC35" s="11">
        <v>339</v>
      </c>
      <c r="BD35" s="12">
        <f t="shared" si="245"/>
        <v>0.47619047619047616</v>
      </c>
      <c r="BE35" s="11">
        <v>31</v>
      </c>
      <c r="BF35" s="12">
        <f t="shared" si="246"/>
        <v>8.3783783783783788E-2</v>
      </c>
      <c r="BG35" s="177">
        <v>137.30000000000001</v>
      </c>
      <c r="BH35" s="11"/>
      <c r="BI35" s="18"/>
      <c r="BJ35" s="20"/>
      <c r="BK35" s="10"/>
      <c r="BL35" s="11"/>
      <c r="BM35" s="69">
        <f t="shared" si="297"/>
        <v>848</v>
      </c>
      <c r="BN35" s="69">
        <f t="shared" si="298"/>
        <v>77</v>
      </c>
      <c r="BO35" s="11">
        <v>391</v>
      </c>
      <c r="BP35" s="12">
        <f t="shared" si="247"/>
        <v>0.49646226415094341</v>
      </c>
      <c r="BQ35" s="11">
        <v>30</v>
      </c>
      <c r="BR35" s="12">
        <f t="shared" si="248"/>
        <v>7.1258907363420429E-2</v>
      </c>
      <c r="BS35" s="11"/>
      <c r="BT35" s="11"/>
      <c r="BU35" s="18"/>
      <c r="BV35" s="20"/>
      <c r="BW35" s="10"/>
      <c r="BX35" s="11"/>
      <c r="BY35" s="69">
        <f t="shared" si="299"/>
        <v>767</v>
      </c>
      <c r="BZ35" s="69">
        <f t="shared" si="300"/>
        <v>69</v>
      </c>
      <c r="CA35" s="11">
        <v>352</v>
      </c>
      <c r="CB35" s="12">
        <f t="shared" si="249"/>
        <v>0.49804432855280312</v>
      </c>
      <c r="CC35" s="11">
        <v>30</v>
      </c>
      <c r="CD35" s="12">
        <f t="shared" si="250"/>
        <v>7.8534031413612565E-2</v>
      </c>
      <c r="CE35" s="11"/>
      <c r="CF35" s="11"/>
      <c r="CG35" s="18"/>
      <c r="CH35" s="20"/>
      <c r="CI35" s="10"/>
      <c r="CJ35" s="11"/>
      <c r="CK35" s="69">
        <f t="shared" si="301"/>
        <v>196</v>
      </c>
      <c r="CL35" s="69">
        <f t="shared" si="302"/>
        <v>17</v>
      </c>
      <c r="CM35" s="11">
        <v>61</v>
      </c>
      <c r="CN35" s="12">
        <f t="shared" si="251"/>
        <v>0.34183673469387754</v>
      </c>
      <c r="CO35" s="11">
        <v>6</v>
      </c>
      <c r="CP35" s="12">
        <f t="shared" si="252"/>
        <v>8.9552238805970144E-2</v>
      </c>
      <c r="CQ35" s="177">
        <v>136</v>
      </c>
      <c r="CR35" s="11"/>
      <c r="CS35" s="18"/>
      <c r="CT35" s="20"/>
      <c r="CU35" s="10"/>
      <c r="CV35" s="11"/>
      <c r="CW35" s="69">
        <f t="shared" si="303"/>
        <v>766</v>
      </c>
      <c r="CX35" s="69">
        <f t="shared" si="304"/>
        <v>70</v>
      </c>
      <c r="CY35" s="11">
        <v>373</v>
      </c>
      <c r="CZ35" s="12">
        <f t="shared" si="253"/>
        <v>0.52741514360313313</v>
      </c>
      <c r="DA35" s="11">
        <v>31</v>
      </c>
      <c r="DB35" s="12">
        <f t="shared" si="254"/>
        <v>7.6732673267326731E-2</v>
      </c>
      <c r="DC35" s="11"/>
      <c r="DD35" s="11"/>
      <c r="DE35" s="18"/>
      <c r="DF35" s="20"/>
      <c r="DG35" s="10"/>
      <c r="DH35" s="11"/>
      <c r="DI35" s="69">
        <f t="shared" si="305"/>
        <v>768</v>
      </c>
      <c r="DJ35" s="69">
        <f t="shared" si="306"/>
        <v>70</v>
      </c>
      <c r="DK35" s="11">
        <v>351</v>
      </c>
      <c r="DL35" s="12">
        <f t="shared" si="255"/>
        <v>0.49869791666666669</v>
      </c>
      <c r="DM35" s="11">
        <v>32</v>
      </c>
      <c r="DN35" s="12">
        <f t="shared" si="256"/>
        <v>8.3550913838120106E-2</v>
      </c>
      <c r="DO35" s="177">
        <v>137.80000000000001</v>
      </c>
      <c r="DP35" s="11"/>
      <c r="DQ35" s="18"/>
      <c r="DR35" s="20"/>
      <c r="DS35" s="10"/>
      <c r="DT35" s="11"/>
      <c r="DU35" s="69">
        <f t="shared" si="307"/>
        <v>866</v>
      </c>
      <c r="DV35" s="69">
        <f t="shared" si="308"/>
        <v>78</v>
      </c>
      <c r="DW35" s="11">
        <v>314</v>
      </c>
      <c r="DX35" s="12">
        <f t="shared" si="257"/>
        <v>0.39376443418013857</v>
      </c>
      <c r="DY35" s="11">
        <v>27</v>
      </c>
      <c r="DZ35" s="12">
        <f t="shared" si="258"/>
        <v>7.9178885630498533E-2</v>
      </c>
      <c r="EA35" s="178">
        <v>138.80000000000001</v>
      </c>
      <c r="EB35" s="11"/>
      <c r="EC35" s="18"/>
      <c r="ED35" s="20"/>
      <c r="EE35" s="10"/>
      <c r="EF35" s="11"/>
      <c r="EG35" s="69">
        <f t="shared" si="309"/>
        <v>869</v>
      </c>
      <c r="EH35" s="69">
        <f t="shared" si="310"/>
        <v>79</v>
      </c>
      <c r="EI35" s="11">
        <v>361</v>
      </c>
      <c r="EJ35" s="12">
        <f t="shared" si="259"/>
        <v>0.46029919447640966</v>
      </c>
      <c r="EK35" s="11">
        <v>39</v>
      </c>
      <c r="EL35" s="12">
        <f t="shared" si="260"/>
        <v>9.7500000000000003E-2</v>
      </c>
      <c r="EM35" s="177">
        <v>139.69999999999999</v>
      </c>
      <c r="EN35" s="11"/>
      <c r="EO35" s="18"/>
      <c r="EP35" s="20"/>
      <c r="EQ35" s="10"/>
      <c r="ER35" s="11"/>
      <c r="ES35" s="69">
        <f t="shared" si="311"/>
        <v>216</v>
      </c>
      <c r="ET35" s="69">
        <f t="shared" si="312"/>
        <v>18</v>
      </c>
      <c r="EU35" s="11">
        <v>38</v>
      </c>
      <c r="EV35" s="12">
        <f t="shared" si="261"/>
        <v>0.19907407407407407</v>
      </c>
      <c r="EW35" s="11">
        <v>5</v>
      </c>
      <c r="EX35" s="12">
        <f t="shared" si="262"/>
        <v>0.11627906976744186</v>
      </c>
      <c r="EY35" s="11"/>
      <c r="EZ35" s="11"/>
      <c r="FA35" s="18"/>
      <c r="FB35" s="20"/>
      <c r="FC35" s="10"/>
      <c r="FD35" s="11"/>
      <c r="FE35" s="69">
        <f t="shared" si="313"/>
        <v>868</v>
      </c>
      <c r="FF35" s="69">
        <f t="shared" si="314"/>
        <v>79</v>
      </c>
      <c r="FG35" s="11">
        <v>350</v>
      </c>
      <c r="FH35" s="12">
        <f t="shared" si="263"/>
        <v>0.45161290322580644</v>
      </c>
      <c r="FI35" s="11">
        <v>42</v>
      </c>
      <c r="FJ35" s="12">
        <f t="shared" si="264"/>
        <v>0.10714285714285714</v>
      </c>
      <c r="FK35" s="177">
        <v>136.6</v>
      </c>
      <c r="FL35" s="11"/>
      <c r="FM35" s="18"/>
      <c r="FN35" s="20"/>
      <c r="FO35" s="10"/>
      <c r="FP35" s="11"/>
      <c r="FQ35" s="69">
        <f t="shared" si="315"/>
        <v>912</v>
      </c>
      <c r="FR35" s="69">
        <f t="shared" si="316"/>
        <v>82</v>
      </c>
      <c r="FS35" s="11">
        <v>363</v>
      </c>
      <c r="FT35" s="12">
        <f t="shared" si="265"/>
        <v>0.46052631578947367</v>
      </c>
      <c r="FU35" s="11">
        <v>57</v>
      </c>
      <c r="FV35" s="12">
        <f t="shared" si="266"/>
        <v>0.1357142857142857</v>
      </c>
      <c r="FW35" s="177">
        <v>140.6</v>
      </c>
      <c r="FX35" s="11"/>
      <c r="FY35" s="18"/>
      <c r="FZ35" s="20"/>
      <c r="GA35" s="10"/>
      <c r="GB35" s="11"/>
      <c r="GC35" s="69">
        <f t="shared" si="317"/>
        <v>912</v>
      </c>
      <c r="GD35" s="69">
        <f t="shared" si="318"/>
        <v>82</v>
      </c>
      <c r="GE35" s="11">
        <v>361</v>
      </c>
      <c r="GF35" s="12">
        <f t="shared" si="267"/>
        <v>0.43969298245614036</v>
      </c>
      <c r="GG35" s="11">
        <v>40</v>
      </c>
      <c r="GH35" s="12">
        <f t="shared" si="268"/>
        <v>9.9750623441396513E-2</v>
      </c>
      <c r="GI35" s="11"/>
      <c r="GJ35" s="11"/>
      <c r="GK35" s="18"/>
      <c r="GL35" s="20"/>
      <c r="GM35" s="10"/>
      <c r="GN35" s="11"/>
      <c r="GO35" s="69">
        <f t="shared" si="319"/>
        <v>199</v>
      </c>
      <c r="GP35" s="69">
        <f t="shared" si="320"/>
        <v>19</v>
      </c>
      <c r="GQ35" s="11">
        <v>58</v>
      </c>
      <c r="GR35" s="12">
        <f t="shared" si="269"/>
        <v>0.32160804020100503</v>
      </c>
      <c r="GS35" s="11">
        <v>6</v>
      </c>
      <c r="GT35" s="12">
        <f t="shared" si="270"/>
        <v>9.375E-2</v>
      </c>
      <c r="GU35" s="11"/>
      <c r="GV35" s="11"/>
      <c r="GW35" s="18"/>
      <c r="GX35" s="20"/>
      <c r="GY35" s="10"/>
      <c r="GZ35" s="11"/>
      <c r="HA35" s="69">
        <f t="shared" si="321"/>
        <v>913</v>
      </c>
      <c r="HB35" s="69">
        <f t="shared" si="322"/>
        <v>82</v>
      </c>
      <c r="HC35" s="11">
        <v>383</v>
      </c>
      <c r="HD35" s="12">
        <f t="shared" si="271"/>
        <v>0.46002190580503832</v>
      </c>
      <c r="HE35" s="11">
        <v>37</v>
      </c>
      <c r="HF35" s="12">
        <f t="shared" si="272"/>
        <v>8.8095238095238101E-2</v>
      </c>
      <c r="HG35" s="178">
        <v>136.9</v>
      </c>
      <c r="HH35" s="11"/>
      <c r="HI35" s="18"/>
      <c r="HJ35" s="20"/>
      <c r="HK35" s="10">
        <f t="shared" si="273"/>
        <v>0</v>
      </c>
      <c r="HL35" s="11">
        <f t="shared" si="274"/>
        <v>0</v>
      </c>
      <c r="HM35" s="11">
        <f t="shared" si="275"/>
        <v>12476</v>
      </c>
      <c r="HN35" s="11">
        <f t="shared" si="276"/>
        <v>1119</v>
      </c>
      <c r="HO35" s="11">
        <f t="shared" si="277"/>
        <v>5772</v>
      </c>
      <c r="HP35" s="95">
        <f t="shared" si="278"/>
        <v>0.46264828470663677</v>
      </c>
      <c r="HQ35" s="15">
        <f t="shared" si="279"/>
        <v>492</v>
      </c>
      <c r="HR35" s="12">
        <f t="shared" si="280"/>
        <v>8.5239085239085244E-2</v>
      </c>
      <c r="HS35" s="16">
        <v>52.2</v>
      </c>
      <c r="HT35" s="17">
        <v>5156</v>
      </c>
      <c r="HU35" s="16">
        <f t="shared" si="281"/>
        <v>89.327789327789333</v>
      </c>
      <c r="HV35" s="18"/>
      <c r="HW35" s="20"/>
      <c r="HX35" s="73">
        <f t="shared" si="282"/>
        <v>0.48400473933649291</v>
      </c>
      <c r="HY35" s="73">
        <f t="shared" si="283"/>
        <v>0.49536621823617338</v>
      </c>
      <c r="HZ35" s="73">
        <f t="shared" si="284"/>
        <v>0.41716920893934017</v>
      </c>
      <c r="IA35" s="73">
        <f t="shared" si="285"/>
        <v>0.4444822888283379</v>
      </c>
    </row>
    <row r="36" spans="1:244" x14ac:dyDescent="0.25">
      <c r="A36" s="374"/>
      <c r="B36" s="41">
        <f>+B35+1</f>
        <v>44966</v>
      </c>
      <c r="C36" s="10"/>
      <c r="D36" s="11"/>
      <c r="E36" s="69">
        <f t="shared" si="287"/>
        <v>850</v>
      </c>
      <c r="F36" s="69">
        <f t="shared" si="287"/>
        <v>75</v>
      </c>
      <c r="G36" s="11">
        <v>462</v>
      </c>
      <c r="H36" s="12">
        <f t="shared" si="238"/>
        <v>0.57176470588235295</v>
      </c>
      <c r="I36" s="11">
        <v>24</v>
      </c>
      <c r="J36" s="12">
        <f t="shared" si="288"/>
        <v>4.9382716049382713E-2</v>
      </c>
      <c r="K36" s="179">
        <v>145.5</v>
      </c>
      <c r="L36" s="13"/>
      <c r="M36" s="25">
        <v>3665</v>
      </c>
      <c r="N36" s="38">
        <v>4070</v>
      </c>
      <c r="O36" s="10">
        <v>1</v>
      </c>
      <c r="P36" s="11"/>
      <c r="Q36" s="69">
        <f t="shared" si="289"/>
        <v>775</v>
      </c>
      <c r="R36" s="69">
        <f t="shared" si="290"/>
        <v>69</v>
      </c>
      <c r="S36" s="11">
        <v>400</v>
      </c>
      <c r="T36" s="12">
        <f t="shared" si="239"/>
        <v>0.53935483870967738</v>
      </c>
      <c r="U36" s="11">
        <v>18</v>
      </c>
      <c r="V36" s="12">
        <f t="shared" si="240"/>
        <v>4.3062200956937802E-2</v>
      </c>
      <c r="W36" s="13"/>
      <c r="X36" s="13"/>
      <c r="Y36" s="25">
        <v>3665</v>
      </c>
      <c r="Z36" s="38">
        <v>4070</v>
      </c>
      <c r="AA36" s="10">
        <v>1</v>
      </c>
      <c r="AB36" s="11"/>
      <c r="AC36" s="69">
        <f t="shared" si="291"/>
        <v>196</v>
      </c>
      <c r="AD36" s="69">
        <f t="shared" si="292"/>
        <v>15</v>
      </c>
      <c r="AE36" s="11">
        <v>81</v>
      </c>
      <c r="AF36" s="12">
        <f t="shared" si="241"/>
        <v>0.43367346938775508</v>
      </c>
      <c r="AG36" s="11">
        <v>4</v>
      </c>
      <c r="AH36" s="12">
        <f t="shared" si="242"/>
        <v>4.7058823529411764E-2</v>
      </c>
      <c r="AI36" s="179">
        <v>138.80000000000001</v>
      </c>
      <c r="AJ36" s="13"/>
      <c r="AK36" s="25">
        <v>3665</v>
      </c>
      <c r="AL36" s="38">
        <v>4070</v>
      </c>
      <c r="AM36" s="10"/>
      <c r="AN36" s="11"/>
      <c r="AO36" s="69">
        <f t="shared" si="293"/>
        <v>776</v>
      </c>
      <c r="AP36" s="69">
        <f t="shared" si="294"/>
        <v>69</v>
      </c>
      <c r="AQ36" s="11">
        <v>336</v>
      </c>
      <c r="AR36" s="12">
        <f t="shared" si="243"/>
        <v>0.46391752577319589</v>
      </c>
      <c r="AS36" s="11">
        <v>24</v>
      </c>
      <c r="AT36" s="12">
        <f t="shared" si="244"/>
        <v>6.6666666666666666E-2</v>
      </c>
      <c r="AU36" s="179">
        <v>137</v>
      </c>
      <c r="AV36" s="13"/>
      <c r="AW36" s="25">
        <v>3665</v>
      </c>
      <c r="AX36" s="38">
        <v>4070</v>
      </c>
      <c r="AY36" s="10"/>
      <c r="AZ36" s="11"/>
      <c r="BA36" s="69">
        <f t="shared" si="295"/>
        <v>777</v>
      </c>
      <c r="BB36" s="69">
        <f t="shared" si="296"/>
        <v>69</v>
      </c>
      <c r="BC36" s="11">
        <v>348</v>
      </c>
      <c r="BD36" s="12">
        <f t="shared" si="245"/>
        <v>0.47747747747747749</v>
      </c>
      <c r="BE36" s="11">
        <v>23</v>
      </c>
      <c r="BF36" s="12">
        <f t="shared" si="246"/>
        <v>6.1994609164420483E-2</v>
      </c>
      <c r="BG36" s="13"/>
      <c r="BH36" s="13"/>
      <c r="BI36" s="25">
        <v>3665</v>
      </c>
      <c r="BJ36" s="38">
        <v>4070</v>
      </c>
      <c r="BK36" s="10">
        <v>1</v>
      </c>
      <c r="BL36" s="11"/>
      <c r="BM36" s="69">
        <f t="shared" si="297"/>
        <v>847</v>
      </c>
      <c r="BN36" s="69">
        <f t="shared" si="298"/>
        <v>77</v>
      </c>
      <c r="BO36" s="11">
        <v>431</v>
      </c>
      <c r="BP36" s="12">
        <f t="shared" si="247"/>
        <v>0.54191263282172375</v>
      </c>
      <c r="BQ36" s="11">
        <v>28</v>
      </c>
      <c r="BR36" s="12">
        <f t="shared" si="248"/>
        <v>6.1002178649237473E-2</v>
      </c>
      <c r="BS36" s="179">
        <v>144.4</v>
      </c>
      <c r="BT36" s="13"/>
      <c r="BU36" s="25">
        <v>3665</v>
      </c>
      <c r="BV36" s="38">
        <v>4070</v>
      </c>
      <c r="BW36" s="10"/>
      <c r="BX36" s="11"/>
      <c r="BY36" s="69">
        <f t="shared" si="299"/>
        <v>767</v>
      </c>
      <c r="BZ36" s="69">
        <f t="shared" si="300"/>
        <v>69</v>
      </c>
      <c r="CA36" s="11">
        <v>383</v>
      </c>
      <c r="CB36" s="12">
        <f t="shared" si="249"/>
        <v>0.52281616688396348</v>
      </c>
      <c r="CC36" s="11">
        <v>18</v>
      </c>
      <c r="CD36" s="12">
        <f t="shared" si="250"/>
        <v>4.488778054862843E-2</v>
      </c>
      <c r="CE36" s="13"/>
      <c r="CF36" s="13"/>
      <c r="CG36" s="25">
        <v>3665</v>
      </c>
      <c r="CH36" s="38">
        <v>4070</v>
      </c>
      <c r="CI36" s="10"/>
      <c r="CJ36" s="11"/>
      <c r="CK36" s="69">
        <f t="shared" si="301"/>
        <v>196</v>
      </c>
      <c r="CL36" s="69">
        <f t="shared" si="302"/>
        <v>17</v>
      </c>
      <c r="CM36" s="11">
        <v>77</v>
      </c>
      <c r="CN36" s="12">
        <f t="shared" si="251"/>
        <v>0.43367346938775508</v>
      </c>
      <c r="CO36" s="11">
        <v>8</v>
      </c>
      <c r="CP36" s="12">
        <f t="shared" si="252"/>
        <v>9.4117647058823528E-2</v>
      </c>
      <c r="CQ36" s="13"/>
      <c r="CR36" s="13"/>
      <c r="CS36" s="25">
        <v>3665</v>
      </c>
      <c r="CT36" s="38">
        <v>4070</v>
      </c>
      <c r="CU36" s="10"/>
      <c r="CV36" s="11"/>
      <c r="CW36" s="69">
        <f t="shared" si="303"/>
        <v>766</v>
      </c>
      <c r="CX36" s="69">
        <f t="shared" si="304"/>
        <v>70</v>
      </c>
      <c r="CY36" s="11">
        <v>395</v>
      </c>
      <c r="CZ36" s="12">
        <f t="shared" si="253"/>
        <v>0.54177545691906004</v>
      </c>
      <c r="DA36" s="11">
        <v>20</v>
      </c>
      <c r="DB36" s="12">
        <f t="shared" si="254"/>
        <v>4.8192771084337352E-2</v>
      </c>
      <c r="DC36" s="179">
        <v>143.5</v>
      </c>
      <c r="DD36" s="13"/>
      <c r="DE36" s="25">
        <v>3665</v>
      </c>
      <c r="DF36" s="38">
        <v>4070</v>
      </c>
      <c r="DG36" s="10"/>
      <c r="DH36" s="11"/>
      <c r="DI36" s="69">
        <f t="shared" si="305"/>
        <v>768</v>
      </c>
      <c r="DJ36" s="69">
        <f t="shared" si="306"/>
        <v>70</v>
      </c>
      <c r="DK36" s="11">
        <v>404</v>
      </c>
      <c r="DL36" s="12">
        <f t="shared" si="255"/>
        <v>0.55859375</v>
      </c>
      <c r="DM36" s="11">
        <v>25</v>
      </c>
      <c r="DN36" s="12">
        <f t="shared" si="256"/>
        <v>5.8275058275058272E-2</v>
      </c>
      <c r="DO36" s="179">
        <v>143.1</v>
      </c>
      <c r="DP36" s="13"/>
      <c r="DQ36" s="25">
        <v>3665</v>
      </c>
      <c r="DR36" s="38">
        <v>4070</v>
      </c>
      <c r="DS36" s="10"/>
      <c r="DT36" s="11"/>
      <c r="DU36" s="69">
        <f t="shared" si="307"/>
        <v>866</v>
      </c>
      <c r="DV36" s="69">
        <f t="shared" si="308"/>
        <v>78</v>
      </c>
      <c r="DW36" s="11">
        <v>382</v>
      </c>
      <c r="DX36" s="12">
        <f t="shared" si="257"/>
        <v>0.47575057736720555</v>
      </c>
      <c r="DY36" s="11">
        <v>30</v>
      </c>
      <c r="DZ36" s="12">
        <f t="shared" si="258"/>
        <v>7.281553398058252E-2</v>
      </c>
      <c r="EA36" s="179">
        <v>141.4</v>
      </c>
      <c r="EB36" s="13"/>
      <c r="EC36" s="25">
        <v>3665</v>
      </c>
      <c r="ED36" s="38">
        <v>4070</v>
      </c>
      <c r="EE36" s="10"/>
      <c r="EF36" s="11"/>
      <c r="EG36" s="69">
        <f t="shared" si="309"/>
        <v>869</v>
      </c>
      <c r="EH36" s="69">
        <f t="shared" si="310"/>
        <v>79</v>
      </c>
      <c r="EI36" s="11">
        <v>397</v>
      </c>
      <c r="EJ36" s="12">
        <f t="shared" si="259"/>
        <v>0.49367088607594939</v>
      </c>
      <c r="EK36" s="11">
        <v>32</v>
      </c>
      <c r="EL36" s="12">
        <f t="shared" si="260"/>
        <v>7.4592074592074592E-2</v>
      </c>
      <c r="EM36" s="179">
        <v>142.19999999999999</v>
      </c>
      <c r="EN36" s="13"/>
      <c r="EO36" s="25">
        <v>3665</v>
      </c>
      <c r="EP36" s="38">
        <v>4070</v>
      </c>
      <c r="EQ36" s="10"/>
      <c r="ER36" s="11"/>
      <c r="ES36" s="69">
        <f t="shared" si="311"/>
        <v>216</v>
      </c>
      <c r="ET36" s="69">
        <f t="shared" si="312"/>
        <v>18</v>
      </c>
      <c r="EU36" s="11">
        <v>60</v>
      </c>
      <c r="EV36" s="12">
        <f t="shared" si="261"/>
        <v>0.29166666666666669</v>
      </c>
      <c r="EW36" s="11">
        <v>3</v>
      </c>
      <c r="EX36" s="12">
        <f t="shared" si="262"/>
        <v>4.7619047619047616E-2</v>
      </c>
      <c r="EY36" s="179">
        <v>130.80000000000001</v>
      </c>
      <c r="EZ36" s="13"/>
      <c r="FA36" s="25">
        <v>3665</v>
      </c>
      <c r="FB36" s="38">
        <v>4070</v>
      </c>
      <c r="FC36" s="10"/>
      <c r="FD36" s="11"/>
      <c r="FE36" s="69">
        <f t="shared" si="313"/>
        <v>868</v>
      </c>
      <c r="FF36" s="69">
        <f t="shared" si="314"/>
        <v>79</v>
      </c>
      <c r="FG36" s="11">
        <v>389</v>
      </c>
      <c r="FH36" s="12">
        <f t="shared" si="263"/>
        <v>0.47580645161290325</v>
      </c>
      <c r="FI36" s="11">
        <v>24</v>
      </c>
      <c r="FJ36" s="12">
        <f t="shared" si="264"/>
        <v>5.8111380145278453E-2</v>
      </c>
      <c r="FK36" s="179">
        <v>139.5</v>
      </c>
      <c r="FL36" s="13"/>
      <c r="FM36" s="25">
        <v>3665</v>
      </c>
      <c r="FN36" s="38">
        <v>4070</v>
      </c>
      <c r="FO36" s="10"/>
      <c r="FP36" s="11"/>
      <c r="FQ36" s="69">
        <f t="shared" si="315"/>
        <v>912</v>
      </c>
      <c r="FR36" s="69">
        <f t="shared" si="316"/>
        <v>82</v>
      </c>
      <c r="FS36" s="11">
        <v>393</v>
      </c>
      <c r="FT36" s="12">
        <f t="shared" si="265"/>
        <v>0.47916666666666669</v>
      </c>
      <c r="FU36" s="11">
        <v>44</v>
      </c>
      <c r="FV36" s="12">
        <f t="shared" si="266"/>
        <v>0.10068649885583524</v>
      </c>
      <c r="FW36" s="13"/>
      <c r="FX36" s="13"/>
      <c r="FY36" s="25">
        <v>3665</v>
      </c>
      <c r="FZ36" s="38">
        <v>4070</v>
      </c>
      <c r="GA36" s="10"/>
      <c r="GB36" s="11"/>
      <c r="GC36" s="69">
        <f t="shared" si="317"/>
        <v>912</v>
      </c>
      <c r="GD36" s="69">
        <f t="shared" si="318"/>
        <v>82</v>
      </c>
      <c r="GE36" s="11">
        <v>450</v>
      </c>
      <c r="GF36" s="12">
        <f t="shared" si="267"/>
        <v>0.51754385964912286</v>
      </c>
      <c r="GG36" s="11">
        <v>22</v>
      </c>
      <c r="GH36" s="12">
        <f t="shared" si="268"/>
        <v>4.6610169491525424E-2</v>
      </c>
      <c r="GI36" s="179">
        <v>139.5</v>
      </c>
      <c r="GJ36" s="13"/>
      <c r="GK36" s="25">
        <v>3665</v>
      </c>
      <c r="GL36" s="38">
        <v>4070</v>
      </c>
      <c r="GM36" s="10"/>
      <c r="GN36" s="11"/>
      <c r="GO36" s="69">
        <f t="shared" si="319"/>
        <v>199</v>
      </c>
      <c r="GP36" s="69">
        <f t="shared" si="320"/>
        <v>19</v>
      </c>
      <c r="GQ36" s="11">
        <v>74</v>
      </c>
      <c r="GR36" s="12">
        <f t="shared" si="269"/>
        <v>0.4120603015075377</v>
      </c>
      <c r="GS36" s="11">
        <v>8</v>
      </c>
      <c r="GT36" s="12">
        <f t="shared" si="270"/>
        <v>9.7560975609756101E-2</v>
      </c>
      <c r="GU36" s="13"/>
      <c r="GV36" s="13"/>
      <c r="GW36" s="25">
        <v>3665</v>
      </c>
      <c r="GX36" s="38">
        <v>4070</v>
      </c>
      <c r="GY36" s="10"/>
      <c r="GZ36" s="11"/>
      <c r="HA36" s="69">
        <f t="shared" si="321"/>
        <v>913</v>
      </c>
      <c r="HB36" s="69">
        <f t="shared" si="322"/>
        <v>82</v>
      </c>
      <c r="HC36" s="11">
        <v>442</v>
      </c>
      <c r="HD36" s="12">
        <f t="shared" si="271"/>
        <v>0.50383351588170866</v>
      </c>
      <c r="HE36" s="11">
        <v>18</v>
      </c>
      <c r="HF36" s="12">
        <f t="shared" si="272"/>
        <v>3.9130434782608699E-2</v>
      </c>
      <c r="HG36" s="13"/>
      <c r="HH36" s="13"/>
      <c r="HI36" s="25">
        <v>3665</v>
      </c>
      <c r="HJ36" s="38">
        <v>4070</v>
      </c>
      <c r="HK36" s="10">
        <f t="shared" si="273"/>
        <v>3</v>
      </c>
      <c r="HL36" s="11">
        <f t="shared" si="274"/>
        <v>0</v>
      </c>
      <c r="HM36" s="11">
        <f t="shared" si="275"/>
        <v>12473</v>
      </c>
      <c r="HN36" s="11">
        <f t="shared" si="276"/>
        <v>1119</v>
      </c>
      <c r="HO36" s="11">
        <f t="shared" si="277"/>
        <v>6277</v>
      </c>
      <c r="HP36" s="95">
        <f t="shared" si="278"/>
        <v>0.50324701354926638</v>
      </c>
      <c r="HQ36" s="15">
        <f t="shared" si="279"/>
        <v>373</v>
      </c>
      <c r="HR36" s="12">
        <f t="shared" si="280"/>
        <v>5.9423291381233076E-2</v>
      </c>
      <c r="HS36" s="16">
        <v>52.2</v>
      </c>
      <c r="HT36" s="17">
        <v>5742</v>
      </c>
      <c r="HU36" s="16">
        <f t="shared" si="281"/>
        <v>91.476820137008133</v>
      </c>
      <c r="HV36" s="23">
        <v>3665</v>
      </c>
      <c r="HW36" s="22">
        <v>4070</v>
      </c>
      <c r="HX36" s="73">
        <f t="shared" si="282"/>
        <v>0.50978067575577946</v>
      </c>
      <c r="HY36" s="73">
        <f t="shared" si="283"/>
        <v>0.53498803827751196</v>
      </c>
      <c r="HZ36" s="73">
        <f t="shared" si="284"/>
        <v>0.46718694572543457</v>
      </c>
      <c r="IA36" s="73">
        <f t="shared" si="285"/>
        <v>0.49420980926430519</v>
      </c>
    </row>
    <row r="37" spans="1:244" x14ac:dyDescent="0.25">
      <c r="A37" s="374"/>
      <c r="B37" s="41">
        <f t="shared" si="286"/>
        <v>44967</v>
      </c>
      <c r="C37" s="10"/>
      <c r="D37" s="11"/>
      <c r="E37" s="69">
        <f t="shared" si="287"/>
        <v>850</v>
      </c>
      <c r="F37" s="69">
        <f t="shared" si="287"/>
        <v>75</v>
      </c>
      <c r="G37" s="11">
        <v>482</v>
      </c>
      <c r="H37" s="12">
        <f t="shared" si="238"/>
        <v>0.59529411764705886</v>
      </c>
      <c r="I37" s="11">
        <v>24</v>
      </c>
      <c r="J37" s="12">
        <f t="shared" si="288"/>
        <v>4.7430830039525688E-2</v>
      </c>
      <c r="K37" s="180">
        <v>149.54005000000004</v>
      </c>
      <c r="L37" s="11"/>
      <c r="M37" s="25">
        <v>3958.2222222222222</v>
      </c>
      <c r="N37" s="38">
        <v>4138</v>
      </c>
      <c r="O37" s="10">
        <v>1</v>
      </c>
      <c r="P37" s="11"/>
      <c r="Q37" s="69">
        <f t="shared" si="289"/>
        <v>774</v>
      </c>
      <c r="R37" s="69">
        <f t="shared" si="290"/>
        <v>69</v>
      </c>
      <c r="S37" s="11">
        <v>435</v>
      </c>
      <c r="T37" s="12">
        <f t="shared" si="239"/>
        <v>0.58397932816537468</v>
      </c>
      <c r="U37" s="11">
        <v>17</v>
      </c>
      <c r="V37" s="12">
        <f t="shared" si="240"/>
        <v>3.7610619469026552E-2</v>
      </c>
      <c r="W37" s="180">
        <v>144.51710000000003</v>
      </c>
      <c r="X37" s="11"/>
      <c r="Y37" s="25">
        <v>3874.25</v>
      </c>
      <c r="Z37" s="38">
        <v>4198.75</v>
      </c>
      <c r="AA37" s="10">
        <v>3</v>
      </c>
      <c r="AB37" s="11"/>
      <c r="AC37" s="69">
        <f t="shared" si="291"/>
        <v>193</v>
      </c>
      <c r="AD37" s="69">
        <f t="shared" si="292"/>
        <v>15</v>
      </c>
      <c r="AE37" s="11">
        <v>83</v>
      </c>
      <c r="AF37" s="12">
        <f t="shared" si="241"/>
        <v>0.45077720207253885</v>
      </c>
      <c r="AG37" s="11">
        <v>4</v>
      </c>
      <c r="AH37" s="12">
        <f t="shared" si="242"/>
        <v>4.5977011494252873E-2</v>
      </c>
      <c r="AI37" s="180">
        <v>141.4</v>
      </c>
      <c r="AJ37" s="11"/>
      <c r="AK37" s="25">
        <v>3960.909090909091</v>
      </c>
      <c r="AL37" s="38">
        <v>4142.5</v>
      </c>
      <c r="AM37" s="10"/>
      <c r="AN37" s="11"/>
      <c r="AO37" s="69">
        <f t="shared" si="293"/>
        <v>776</v>
      </c>
      <c r="AP37" s="69">
        <f t="shared" si="294"/>
        <v>69</v>
      </c>
      <c r="AQ37" s="11">
        <v>362</v>
      </c>
      <c r="AR37" s="12">
        <f t="shared" si="243"/>
        <v>0.5</v>
      </c>
      <c r="AS37" s="11">
        <v>26</v>
      </c>
      <c r="AT37" s="12">
        <f t="shared" si="244"/>
        <v>6.7010309278350513E-2</v>
      </c>
      <c r="AU37" s="180">
        <v>140.4</v>
      </c>
      <c r="AV37" s="11"/>
      <c r="AW37" s="25">
        <v>3923.9473684210525</v>
      </c>
      <c r="AX37" s="38">
        <v>4195</v>
      </c>
      <c r="AY37" s="10"/>
      <c r="AZ37" s="11"/>
      <c r="BA37" s="69">
        <f t="shared" si="295"/>
        <v>777</v>
      </c>
      <c r="BB37" s="69">
        <f t="shared" si="296"/>
        <v>69</v>
      </c>
      <c r="BC37" s="11">
        <v>377</v>
      </c>
      <c r="BD37" s="12">
        <f t="shared" si="245"/>
        <v>0.53281853281853286</v>
      </c>
      <c r="BE37" s="11">
        <v>37</v>
      </c>
      <c r="BF37" s="12">
        <f t="shared" si="246"/>
        <v>8.9371980676328497E-2</v>
      </c>
      <c r="BG37" s="180">
        <v>140.69999999999999</v>
      </c>
      <c r="BH37" s="11"/>
      <c r="BI37" s="25">
        <v>3934.3589743589741</v>
      </c>
      <c r="BJ37" s="38">
        <v>4346</v>
      </c>
      <c r="BK37" s="10"/>
      <c r="BL37" s="11"/>
      <c r="BM37" s="69">
        <f t="shared" si="297"/>
        <v>847</v>
      </c>
      <c r="BN37" s="69">
        <f t="shared" si="298"/>
        <v>77</v>
      </c>
      <c r="BO37" s="11">
        <v>459</v>
      </c>
      <c r="BP37" s="12">
        <f t="shared" si="247"/>
        <v>0.58087367178276272</v>
      </c>
      <c r="BQ37" s="11">
        <v>33</v>
      </c>
      <c r="BR37" s="12">
        <f t="shared" si="248"/>
        <v>6.7073170731707321E-2</v>
      </c>
      <c r="BS37" s="13"/>
      <c r="BT37" s="11"/>
      <c r="BU37" s="25">
        <v>3965.8536585365855</v>
      </c>
      <c r="BV37" s="38">
        <v>4090.6666666666665</v>
      </c>
      <c r="BW37" s="10"/>
      <c r="BX37" s="11"/>
      <c r="BY37" s="69">
        <f t="shared" si="299"/>
        <v>767</v>
      </c>
      <c r="BZ37" s="69">
        <f t="shared" si="300"/>
        <v>69</v>
      </c>
      <c r="CA37" s="11">
        <v>414</v>
      </c>
      <c r="CB37" s="12">
        <f t="shared" si="249"/>
        <v>0.58800521512385917</v>
      </c>
      <c r="CC37" s="11">
        <v>37</v>
      </c>
      <c r="CD37" s="12">
        <f t="shared" si="250"/>
        <v>8.2039911308203997E-2</v>
      </c>
      <c r="CE37" s="180">
        <v>143.80000000000001</v>
      </c>
      <c r="CF37" s="11"/>
      <c r="CG37" s="25">
        <v>3869.1891891891892</v>
      </c>
      <c r="CH37" s="38">
        <v>4138.5714285714284</v>
      </c>
      <c r="CI37" s="10"/>
      <c r="CJ37" s="11"/>
      <c r="CK37" s="69">
        <f t="shared" si="301"/>
        <v>196</v>
      </c>
      <c r="CL37" s="69">
        <f t="shared" si="302"/>
        <v>17</v>
      </c>
      <c r="CM37" s="11">
        <v>66</v>
      </c>
      <c r="CN37" s="12">
        <f t="shared" si="251"/>
        <v>0.36734693877551022</v>
      </c>
      <c r="CO37" s="11">
        <v>6</v>
      </c>
      <c r="CP37" s="12">
        <f t="shared" si="252"/>
        <v>8.3333333333333329E-2</v>
      </c>
      <c r="CQ37" s="13"/>
      <c r="CR37" s="11"/>
      <c r="CS37" s="25">
        <v>3867.2727272727275</v>
      </c>
      <c r="CT37" s="38">
        <v>4091.6666666666665</v>
      </c>
      <c r="CU37" s="10">
        <v>1</v>
      </c>
      <c r="CV37" s="11"/>
      <c r="CW37" s="69">
        <f t="shared" si="303"/>
        <v>765</v>
      </c>
      <c r="CX37" s="69">
        <f t="shared" si="304"/>
        <v>70</v>
      </c>
      <c r="CY37" s="11">
        <v>411</v>
      </c>
      <c r="CZ37" s="12">
        <f t="shared" si="253"/>
        <v>0.56862745098039214</v>
      </c>
      <c r="DA37" s="11">
        <v>24</v>
      </c>
      <c r="DB37" s="12">
        <f t="shared" si="254"/>
        <v>5.5172413793103448E-2</v>
      </c>
      <c r="DC37" s="13"/>
      <c r="DD37" s="11"/>
      <c r="DE37" s="25">
        <v>3862.5641025641025</v>
      </c>
      <c r="DF37" s="38">
        <v>4310</v>
      </c>
      <c r="DG37" s="10">
        <v>1</v>
      </c>
      <c r="DH37" s="11"/>
      <c r="DI37" s="69">
        <f t="shared" si="305"/>
        <v>767</v>
      </c>
      <c r="DJ37" s="69">
        <f t="shared" si="306"/>
        <v>70</v>
      </c>
      <c r="DK37" s="11">
        <v>404</v>
      </c>
      <c r="DL37" s="12">
        <f t="shared" si="255"/>
        <v>0.56714471968709257</v>
      </c>
      <c r="DM37" s="11">
        <v>31</v>
      </c>
      <c r="DN37" s="12">
        <f t="shared" si="256"/>
        <v>7.1264367816091953E-2</v>
      </c>
      <c r="DO37" s="13"/>
      <c r="DP37" s="11"/>
      <c r="DQ37" s="25">
        <v>3977.0731707317073</v>
      </c>
      <c r="DR37" s="38">
        <v>4211.4285714285716</v>
      </c>
      <c r="DS37" s="10">
        <v>1</v>
      </c>
      <c r="DT37" s="11"/>
      <c r="DU37" s="69">
        <f t="shared" si="307"/>
        <v>865</v>
      </c>
      <c r="DV37" s="69">
        <f t="shared" si="308"/>
        <v>78</v>
      </c>
      <c r="DW37" s="11">
        <v>407</v>
      </c>
      <c r="DX37" s="12">
        <f t="shared" si="257"/>
        <v>0.50173410404624275</v>
      </c>
      <c r="DY37" s="11">
        <v>27</v>
      </c>
      <c r="DZ37" s="12">
        <f t="shared" si="258"/>
        <v>6.2211981566820278E-2</v>
      </c>
      <c r="EA37" s="180">
        <v>144.19999999999999</v>
      </c>
      <c r="EB37" s="11"/>
      <c r="EC37" s="25">
        <v>3828.3720930232557</v>
      </c>
      <c r="ED37" s="38">
        <v>4010.5263157894738</v>
      </c>
      <c r="EE37" s="10"/>
      <c r="EF37" s="11"/>
      <c r="EG37" s="69">
        <f t="shared" si="309"/>
        <v>869</v>
      </c>
      <c r="EH37" s="69">
        <f t="shared" si="310"/>
        <v>79</v>
      </c>
      <c r="EI37" s="11">
        <v>412</v>
      </c>
      <c r="EJ37" s="12">
        <f t="shared" si="259"/>
        <v>0.51093210586881477</v>
      </c>
      <c r="EK37" s="11">
        <v>32</v>
      </c>
      <c r="EL37" s="12">
        <f t="shared" si="260"/>
        <v>7.2072072072072071E-2</v>
      </c>
      <c r="EM37" s="180">
        <v>145</v>
      </c>
      <c r="EN37" s="11"/>
      <c r="EO37" s="25">
        <v>3864.5454545454545</v>
      </c>
      <c r="EP37" s="38">
        <v>4148.5714285714284</v>
      </c>
      <c r="EQ37" s="10"/>
      <c r="ER37" s="11">
        <v>1</v>
      </c>
      <c r="ES37" s="69">
        <f t="shared" si="311"/>
        <v>216</v>
      </c>
      <c r="ET37" s="69">
        <f t="shared" si="312"/>
        <v>17</v>
      </c>
      <c r="EU37" s="11">
        <v>60</v>
      </c>
      <c r="EV37" s="12">
        <f t="shared" si="261"/>
        <v>0.30555555555555558</v>
      </c>
      <c r="EW37" s="11">
        <v>6</v>
      </c>
      <c r="EX37" s="12">
        <f t="shared" si="262"/>
        <v>9.0909090909090912E-2</v>
      </c>
      <c r="EY37" s="180">
        <v>133</v>
      </c>
      <c r="EZ37" s="11"/>
      <c r="FA37" s="25">
        <v>3784.5454545454545</v>
      </c>
      <c r="FB37" s="38">
        <v>4077.5</v>
      </c>
      <c r="FC37" s="10"/>
      <c r="FD37" s="11"/>
      <c r="FE37" s="69">
        <f t="shared" si="313"/>
        <v>868</v>
      </c>
      <c r="FF37" s="69">
        <f t="shared" si="314"/>
        <v>79</v>
      </c>
      <c r="FG37" s="11">
        <v>446</v>
      </c>
      <c r="FH37" s="12">
        <f t="shared" si="263"/>
        <v>0.54377880184331795</v>
      </c>
      <c r="FI37" s="11">
        <v>26</v>
      </c>
      <c r="FJ37" s="12">
        <f t="shared" si="264"/>
        <v>5.5084745762711863E-2</v>
      </c>
      <c r="FK37" s="180">
        <v>142.6</v>
      </c>
      <c r="FL37" s="11"/>
      <c r="FM37" s="25">
        <v>3934.8888888888887</v>
      </c>
      <c r="FN37" s="38">
        <v>4207.6470588235297</v>
      </c>
      <c r="FO37" s="10"/>
      <c r="FP37" s="11"/>
      <c r="FQ37" s="69">
        <f t="shared" si="315"/>
        <v>912</v>
      </c>
      <c r="FR37" s="69">
        <f t="shared" si="316"/>
        <v>82</v>
      </c>
      <c r="FS37" s="11">
        <v>405</v>
      </c>
      <c r="FT37" s="12">
        <f t="shared" si="265"/>
        <v>0.48026315789473684</v>
      </c>
      <c r="FU37" s="11">
        <v>33</v>
      </c>
      <c r="FV37" s="12">
        <f t="shared" si="266"/>
        <v>7.5342465753424653E-2</v>
      </c>
      <c r="FW37" s="13"/>
      <c r="FX37" s="11"/>
      <c r="FY37" s="25">
        <v>3867.2093023255816</v>
      </c>
      <c r="FZ37" s="38">
        <v>4059.4117647058824</v>
      </c>
      <c r="GA37" s="10"/>
      <c r="GB37" s="11"/>
      <c r="GC37" s="69">
        <f t="shared" si="317"/>
        <v>912</v>
      </c>
      <c r="GD37" s="69">
        <f t="shared" si="318"/>
        <v>82</v>
      </c>
      <c r="GE37" s="11">
        <v>444</v>
      </c>
      <c r="GF37" s="12">
        <f t="shared" si="267"/>
        <v>0.51425438596491224</v>
      </c>
      <c r="GG37" s="11">
        <v>25</v>
      </c>
      <c r="GH37" s="12">
        <f t="shared" si="268"/>
        <v>5.3304904051172705E-2</v>
      </c>
      <c r="GI37" s="13"/>
      <c r="GJ37" s="11"/>
      <c r="GK37" s="25">
        <v>3721.0416666666665</v>
      </c>
      <c r="GL37" s="38">
        <v>4175</v>
      </c>
      <c r="GM37" s="10">
        <v>2</v>
      </c>
      <c r="GN37" s="11"/>
      <c r="GO37" s="69">
        <f t="shared" si="319"/>
        <v>197</v>
      </c>
      <c r="GP37" s="69">
        <f t="shared" si="320"/>
        <v>19</v>
      </c>
      <c r="GQ37" s="11">
        <v>68</v>
      </c>
      <c r="GR37" s="12">
        <f t="shared" si="269"/>
        <v>0.40101522842639592</v>
      </c>
      <c r="GS37" s="11">
        <v>11</v>
      </c>
      <c r="GT37" s="12">
        <f t="shared" si="270"/>
        <v>0.13924050632911392</v>
      </c>
      <c r="GU37" s="13"/>
      <c r="GV37" s="11"/>
      <c r="GW37" s="25">
        <v>3804.1666666666665</v>
      </c>
      <c r="GX37" s="38">
        <v>4085</v>
      </c>
      <c r="GY37" s="10">
        <v>1</v>
      </c>
      <c r="GZ37" s="11"/>
      <c r="HA37" s="69">
        <f t="shared" si="321"/>
        <v>912</v>
      </c>
      <c r="HB37" s="69">
        <f t="shared" si="322"/>
        <v>82</v>
      </c>
      <c r="HC37" s="11">
        <v>452</v>
      </c>
      <c r="HD37" s="12">
        <f t="shared" si="271"/>
        <v>0.51425438596491224</v>
      </c>
      <c r="HE37" s="11">
        <v>17</v>
      </c>
      <c r="HF37" s="12">
        <f t="shared" si="272"/>
        <v>3.6247334754797439E-2</v>
      </c>
      <c r="HG37" s="13"/>
      <c r="HH37" s="11"/>
      <c r="HI37" s="25">
        <v>3829.0476190476193</v>
      </c>
      <c r="HJ37" s="38">
        <v>4189.411764705882</v>
      </c>
      <c r="HK37" s="10">
        <f t="shared" si="273"/>
        <v>10</v>
      </c>
      <c r="HL37" s="11">
        <f t="shared" si="274"/>
        <v>1</v>
      </c>
      <c r="HM37" s="11">
        <f t="shared" si="275"/>
        <v>12463</v>
      </c>
      <c r="HN37" s="11">
        <f t="shared" si="276"/>
        <v>1118</v>
      </c>
      <c r="HO37" s="11">
        <f t="shared" si="277"/>
        <v>6603</v>
      </c>
      <c r="HP37" s="95">
        <f t="shared" si="278"/>
        <v>0.52980823236780872</v>
      </c>
      <c r="HQ37" s="15">
        <f t="shared" si="279"/>
        <v>416</v>
      </c>
      <c r="HR37" s="12">
        <f t="shared" si="280"/>
        <v>6.3001665909435109E-2</v>
      </c>
      <c r="HS37" s="16">
        <v>52.5</v>
      </c>
      <c r="HT37" s="17">
        <v>5992</v>
      </c>
      <c r="HU37" s="16">
        <f t="shared" si="281"/>
        <v>90.746630319551727</v>
      </c>
      <c r="HV37" s="23">
        <v>3882.4444444444443</v>
      </c>
      <c r="HW37" s="22">
        <v>4163.7711864406783</v>
      </c>
      <c r="HX37" s="73">
        <f t="shared" si="282"/>
        <v>0.5480712166172107</v>
      </c>
      <c r="HY37" s="73">
        <f t="shared" si="283"/>
        <v>0.56403351286654702</v>
      </c>
      <c r="HZ37" s="73">
        <f t="shared" si="284"/>
        <v>0.50248403122782115</v>
      </c>
      <c r="IA37" s="73">
        <f t="shared" si="285"/>
        <v>0.49607909989771565</v>
      </c>
    </row>
    <row r="38" spans="1:244" x14ac:dyDescent="0.25">
      <c r="A38" s="374"/>
      <c r="B38" s="41">
        <f t="shared" si="286"/>
        <v>44968</v>
      </c>
      <c r="C38" s="10"/>
      <c r="D38" s="11"/>
      <c r="E38" s="69">
        <f t="shared" si="287"/>
        <v>850</v>
      </c>
      <c r="F38" s="69">
        <f t="shared" si="287"/>
        <v>75</v>
      </c>
      <c r="G38" s="11">
        <v>508</v>
      </c>
      <c r="H38" s="12">
        <f t="shared" si="238"/>
        <v>0.63058823529411767</v>
      </c>
      <c r="I38" s="11">
        <v>28</v>
      </c>
      <c r="J38" s="12">
        <f t="shared" si="288"/>
        <v>5.2238805970149252E-2</v>
      </c>
      <c r="K38" s="13"/>
      <c r="L38" s="11"/>
      <c r="M38" s="39">
        <v>97.777777777777771</v>
      </c>
      <c r="N38" s="43">
        <v>100</v>
      </c>
      <c r="O38" s="10"/>
      <c r="P38" s="11"/>
      <c r="Q38" s="69">
        <f t="shared" si="289"/>
        <v>774</v>
      </c>
      <c r="R38" s="69">
        <f t="shared" si="290"/>
        <v>69</v>
      </c>
      <c r="S38" s="11">
        <v>443</v>
      </c>
      <c r="T38" s="12">
        <f t="shared" si="239"/>
        <v>0.59173126614987082</v>
      </c>
      <c r="U38" s="11">
        <v>15</v>
      </c>
      <c r="V38" s="12">
        <f t="shared" si="240"/>
        <v>3.2751091703056769E-2</v>
      </c>
      <c r="W38" s="13"/>
      <c r="X38" s="11"/>
      <c r="Y38" s="39">
        <v>92.5</v>
      </c>
      <c r="Z38" s="43">
        <v>100</v>
      </c>
      <c r="AA38" s="10"/>
      <c r="AB38" s="11"/>
      <c r="AC38" s="69">
        <f t="shared" si="291"/>
        <v>193</v>
      </c>
      <c r="AD38" s="69">
        <f t="shared" si="292"/>
        <v>15</v>
      </c>
      <c r="AE38" s="11">
        <v>96</v>
      </c>
      <c r="AF38" s="12">
        <f t="shared" si="241"/>
        <v>0.51813471502590669</v>
      </c>
      <c r="AG38" s="11">
        <v>4</v>
      </c>
      <c r="AH38" s="12">
        <f t="shared" si="242"/>
        <v>0.04</v>
      </c>
      <c r="AI38" s="173">
        <v>144.19999999999999</v>
      </c>
      <c r="AJ38" s="11"/>
      <c r="AK38" s="39">
        <v>100</v>
      </c>
      <c r="AL38" s="43">
        <v>100</v>
      </c>
      <c r="AM38" s="10"/>
      <c r="AN38" s="11"/>
      <c r="AO38" s="69">
        <f t="shared" si="293"/>
        <v>776</v>
      </c>
      <c r="AP38" s="69">
        <f t="shared" si="294"/>
        <v>69</v>
      </c>
      <c r="AQ38" s="11">
        <v>397</v>
      </c>
      <c r="AR38" s="12">
        <f t="shared" si="243"/>
        <v>0.53608247422680411</v>
      </c>
      <c r="AS38" s="11">
        <v>19</v>
      </c>
      <c r="AT38" s="12">
        <f t="shared" si="244"/>
        <v>4.567307692307692E-2</v>
      </c>
      <c r="AU38" s="13"/>
      <c r="AV38" s="11"/>
      <c r="AW38" s="39">
        <v>89.473684210526315</v>
      </c>
      <c r="AX38" s="43">
        <v>100</v>
      </c>
      <c r="AY38" s="10"/>
      <c r="AZ38" s="11"/>
      <c r="BA38" s="69">
        <f t="shared" si="295"/>
        <v>777</v>
      </c>
      <c r="BB38" s="69">
        <f t="shared" si="296"/>
        <v>69</v>
      </c>
      <c r="BC38" s="11">
        <v>413</v>
      </c>
      <c r="BD38" s="12">
        <f t="shared" si="245"/>
        <v>0.56628056628056633</v>
      </c>
      <c r="BE38" s="11">
        <v>27</v>
      </c>
      <c r="BF38" s="12">
        <f t="shared" si="246"/>
        <v>6.1363636363636363E-2</v>
      </c>
      <c r="BG38" s="173">
        <v>144.5</v>
      </c>
      <c r="BH38" s="11"/>
      <c r="BI38" s="39">
        <v>97.435897435897431</v>
      </c>
      <c r="BJ38" s="43">
        <v>100</v>
      </c>
      <c r="BK38" s="10"/>
      <c r="BL38" s="11"/>
      <c r="BM38" s="69">
        <f t="shared" si="297"/>
        <v>847</v>
      </c>
      <c r="BN38" s="69">
        <f t="shared" si="298"/>
        <v>77</v>
      </c>
      <c r="BO38" s="11">
        <v>502</v>
      </c>
      <c r="BP38" s="12">
        <f t="shared" si="247"/>
        <v>0.62573789846517114</v>
      </c>
      <c r="BQ38" s="11">
        <v>28</v>
      </c>
      <c r="BR38" s="12">
        <f t="shared" si="248"/>
        <v>5.2830188679245285E-2</v>
      </c>
      <c r="BS38" s="173">
        <v>149.80000000000001</v>
      </c>
      <c r="BT38" s="11"/>
      <c r="BU38" s="39">
        <v>92.682926829268297</v>
      </c>
      <c r="BV38" s="43">
        <v>100</v>
      </c>
      <c r="BW38" s="10">
        <v>2</v>
      </c>
      <c r="BX38" s="11"/>
      <c r="BY38" s="69">
        <f t="shared" si="299"/>
        <v>765</v>
      </c>
      <c r="BZ38" s="69">
        <f t="shared" si="300"/>
        <v>69</v>
      </c>
      <c r="CA38" s="11">
        <v>451</v>
      </c>
      <c r="CB38" s="12">
        <f t="shared" si="249"/>
        <v>0.62091503267973858</v>
      </c>
      <c r="CC38" s="11">
        <v>24</v>
      </c>
      <c r="CD38" s="12">
        <f t="shared" si="250"/>
        <v>5.0526315789473683E-2</v>
      </c>
      <c r="CE38" s="173">
        <v>149.4</v>
      </c>
      <c r="CF38" s="11"/>
      <c r="CG38" s="39">
        <v>97.297297297297291</v>
      </c>
      <c r="CH38" s="43">
        <v>100</v>
      </c>
      <c r="CI38" s="10">
        <v>1</v>
      </c>
      <c r="CJ38" s="11"/>
      <c r="CK38" s="69">
        <f t="shared" si="301"/>
        <v>195</v>
      </c>
      <c r="CL38" s="69">
        <f t="shared" si="302"/>
        <v>17</v>
      </c>
      <c r="CM38" s="11">
        <v>72</v>
      </c>
      <c r="CN38" s="12">
        <f t="shared" si="251"/>
        <v>0.38461538461538464</v>
      </c>
      <c r="CO38" s="11">
        <v>3</v>
      </c>
      <c r="CP38" s="12">
        <f t="shared" si="252"/>
        <v>0.04</v>
      </c>
      <c r="CQ38" s="13"/>
      <c r="CR38" s="11"/>
      <c r="CS38" s="39">
        <v>81.818181818181813</v>
      </c>
      <c r="CT38" s="43">
        <v>100</v>
      </c>
      <c r="CU38" s="10">
        <v>1</v>
      </c>
      <c r="CV38" s="11"/>
      <c r="CW38" s="69">
        <f t="shared" si="303"/>
        <v>764</v>
      </c>
      <c r="CX38" s="69">
        <f t="shared" si="304"/>
        <v>70</v>
      </c>
      <c r="CY38" s="11">
        <v>474</v>
      </c>
      <c r="CZ38" s="12">
        <f t="shared" si="253"/>
        <v>0.64790575916230364</v>
      </c>
      <c r="DA38" s="11">
        <v>21</v>
      </c>
      <c r="DB38" s="12">
        <f t="shared" si="254"/>
        <v>4.2424242424242427E-2</v>
      </c>
      <c r="DC38" s="173">
        <v>149.19999999999999</v>
      </c>
      <c r="DD38" s="11"/>
      <c r="DE38" s="39">
        <v>92.307692307692307</v>
      </c>
      <c r="DF38" s="43">
        <v>100</v>
      </c>
      <c r="DG38" s="10"/>
      <c r="DH38" s="11"/>
      <c r="DI38" s="69">
        <f t="shared" si="305"/>
        <v>767</v>
      </c>
      <c r="DJ38" s="69">
        <f t="shared" si="306"/>
        <v>70</v>
      </c>
      <c r="DK38" s="11">
        <v>440</v>
      </c>
      <c r="DL38" s="12">
        <f t="shared" si="255"/>
        <v>0.60756192959582789</v>
      </c>
      <c r="DM38" s="11">
        <v>26</v>
      </c>
      <c r="DN38" s="12">
        <f t="shared" si="256"/>
        <v>5.5793991416309016E-2</v>
      </c>
      <c r="DO38" s="173">
        <v>148.9</v>
      </c>
      <c r="DP38" s="11"/>
      <c r="DQ38" s="39">
        <v>80.487804878048777</v>
      </c>
      <c r="DR38" s="43">
        <v>100</v>
      </c>
      <c r="DS38" s="10"/>
      <c r="DT38" s="11"/>
      <c r="DU38" s="69">
        <f t="shared" si="307"/>
        <v>865</v>
      </c>
      <c r="DV38" s="69">
        <f t="shared" si="308"/>
        <v>78</v>
      </c>
      <c r="DW38" s="11">
        <v>427</v>
      </c>
      <c r="DX38" s="12">
        <f t="shared" si="257"/>
        <v>0.53063583815028903</v>
      </c>
      <c r="DY38" s="11">
        <v>32</v>
      </c>
      <c r="DZ38" s="12">
        <f t="shared" si="258"/>
        <v>6.9716775599128547E-2</v>
      </c>
      <c r="EA38" s="13"/>
      <c r="EB38" s="11"/>
      <c r="EC38" s="39">
        <v>90.697674418604649</v>
      </c>
      <c r="ED38" s="43">
        <v>100</v>
      </c>
      <c r="EE38" s="10"/>
      <c r="EF38" s="11"/>
      <c r="EG38" s="69">
        <f t="shared" si="309"/>
        <v>869</v>
      </c>
      <c r="EH38" s="69">
        <f t="shared" si="310"/>
        <v>79</v>
      </c>
      <c r="EI38" s="11">
        <v>469</v>
      </c>
      <c r="EJ38" s="12">
        <f t="shared" si="259"/>
        <v>0.5742232451093211</v>
      </c>
      <c r="EK38" s="11">
        <v>30</v>
      </c>
      <c r="EL38" s="12">
        <f t="shared" si="260"/>
        <v>6.0120240480961921E-2</v>
      </c>
      <c r="EM38" s="173">
        <v>148</v>
      </c>
      <c r="EN38" s="11"/>
      <c r="EO38" s="39">
        <v>88.63636363636364</v>
      </c>
      <c r="EP38" s="43">
        <v>100</v>
      </c>
      <c r="EQ38" s="10"/>
      <c r="ER38" s="11"/>
      <c r="ES38" s="69">
        <f t="shared" si="311"/>
        <v>216</v>
      </c>
      <c r="ET38" s="69">
        <f t="shared" si="312"/>
        <v>17</v>
      </c>
      <c r="EU38" s="11">
        <v>92</v>
      </c>
      <c r="EV38" s="12">
        <f t="shared" si="261"/>
        <v>0.45833333333333331</v>
      </c>
      <c r="EW38" s="11">
        <v>7</v>
      </c>
      <c r="EX38" s="12">
        <f t="shared" si="262"/>
        <v>7.0707070707070704E-2</v>
      </c>
      <c r="EY38" s="173">
        <v>135.30000000000001</v>
      </c>
      <c r="EZ38" s="11"/>
      <c r="FA38" s="39">
        <v>100</v>
      </c>
      <c r="FB38" s="43">
        <v>100</v>
      </c>
      <c r="FC38" s="10"/>
      <c r="FD38" s="11"/>
      <c r="FE38" s="69">
        <f t="shared" si="313"/>
        <v>868</v>
      </c>
      <c r="FF38" s="69">
        <f t="shared" si="314"/>
        <v>79</v>
      </c>
      <c r="FG38" s="11">
        <v>468</v>
      </c>
      <c r="FH38" s="12">
        <f t="shared" si="263"/>
        <v>0.57488479262672809</v>
      </c>
      <c r="FI38" s="11">
        <v>31</v>
      </c>
      <c r="FJ38" s="12">
        <f t="shared" si="264"/>
        <v>6.2124248496993988E-2</v>
      </c>
      <c r="FK38" s="173">
        <v>146.1</v>
      </c>
      <c r="FL38" s="11"/>
      <c r="FM38" s="39">
        <v>88.888888888888886</v>
      </c>
      <c r="FN38" s="43">
        <v>100</v>
      </c>
      <c r="FO38" s="10">
        <v>1</v>
      </c>
      <c r="FP38" s="11"/>
      <c r="FQ38" s="69">
        <f t="shared" si="315"/>
        <v>911</v>
      </c>
      <c r="FR38" s="69">
        <f t="shared" si="316"/>
        <v>82</v>
      </c>
      <c r="FS38" s="11">
        <v>468</v>
      </c>
      <c r="FT38" s="12">
        <f t="shared" si="265"/>
        <v>0.54774972557628976</v>
      </c>
      <c r="FU38" s="11">
        <v>31</v>
      </c>
      <c r="FV38" s="12">
        <f t="shared" si="266"/>
        <v>6.2124248496993988E-2</v>
      </c>
      <c r="FW38" s="173">
        <v>145.30000000000001</v>
      </c>
      <c r="FX38" s="11"/>
      <c r="FY38" s="39">
        <v>100</v>
      </c>
      <c r="FZ38" s="43">
        <v>100</v>
      </c>
      <c r="GA38" s="10"/>
      <c r="GB38" s="11"/>
      <c r="GC38" s="69">
        <f t="shared" si="317"/>
        <v>912</v>
      </c>
      <c r="GD38" s="69">
        <f t="shared" si="318"/>
        <v>82</v>
      </c>
      <c r="GE38" s="11">
        <v>499</v>
      </c>
      <c r="GF38" s="12">
        <f t="shared" si="267"/>
        <v>0.58004385964912286</v>
      </c>
      <c r="GG38" s="11">
        <v>30</v>
      </c>
      <c r="GH38" s="12">
        <f t="shared" si="268"/>
        <v>5.6710775047258979E-2</v>
      </c>
      <c r="GI38" s="173">
        <v>144.4</v>
      </c>
      <c r="GJ38" s="11"/>
      <c r="GK38" s="39">
        <v>89.583333333333329</v>
      </c>
      <c r="GL38" s="43">
        <v>100</v>
      </c>
      <c r="GM38" s="10">
        <v>1</v>
      </c>
      <c r="GN38" s="11"/>
      <c r="GO38" s="69">
        <f t="shared" si="319"/>
        <v>196</v>
      </c>
      <c r="GP38" s="69">
        <f t="shared" si="320"/>
        <v>19</v>
      </c>
      <c r="GQ38" s="11">
        <v>90</v>
      </c>
      <c r="GR38" s="12">
        <f t="shared" si="269"/>
        <v>0.49489795918367346</v>
      </c>
      <c r="GS38" s="11">
        <v>7</v>
      </c>
      <c r="GT38" s="12">
        <f t="shared" si="270"/>
        <v>7.2164948453608241E-2</v>
      </c>
      <c r="GU38" s="173">
        <v>139.19999999999999</v>
      </c>
      <c r="GV38" s="11"/>
      <c r="GW38" s="39">
        <v>83.333333333333329</v>
      </c>
      <c r="GX38" s="43">
        <v>100</v>
      </c>
      <c r="GY38" s="10"/>
      <c r="GZ38" s="11"/>
      <c r="HA38" s="69">
        <f t="shared" si="321"/>
        <v>912</v>
      </c>
      <c r="HB38" s="69">
        <f t="shared" si="322"/>
        <v>82</v>
      </c>
      <c r="HC38" s="11">
        <v>424</v>
      </c>
      <c r="HD38" s="12">
        <f t="shared" si="271"/>
        <v>0.49561403508771928</v>
      </c>
      <c r="HE38" s="11">
        <v>28</v>
      </c>
      <c r="HF38" s="12">
        <f t="shared" si="272"/>
        <v>6.1946902654867256E-2</v>
      </c>
      <c r="HG38" s="13"/>
      <c r="HH38" s="11"/>
      <c r="HI38" s="39">
        <v>92.857142857142861</v>
      </c>
      <c r="HJ38" s="43">
        <v>88.235294117647058</v>
      </c>
      <c r="HK38" s="10">
        <f t="shared" si="273"/>
        <v>6</v>
      </c>
      <c r="HL38" s="11">
        <f t="shared" si="274"/>
        <v>0</v>
      </c>
      <c r="HM38" s="11">
        <f t="shared" si="275"/>
        <v>12457</v>
      </c>
      <c r="HN38" s="11">
        <f t="shared" si="276"/>
        <v>1118</v>
      </c>
      <c r="HO38" s="11">
        <f t="shared" si="277"/>
        <v>7124</v>
      </c>
      <c r="HP38" s="95">
        <f t="shared" si="278"/>
        <v>0.57188729228546198</v>
      </c>
      <c r="HQ38" s="15">
        <f t="shared" si="279"/>
        <v>391</v>
      </c>
      <c r="HR38" s="12">
        <f t="shared" si="280"/>
        <v>5.4884896125772041E-2</v>
      </c>
      <c r="HS38" s="16">
        <v>52.4</v>
      </c>
      <c r="HT38" s="17">
        <v>6564</v>
      </c>
      <c r="HU38" s="16">
        <f t="shared" si="281"/>
        <v>92.139247613700164</v>
      </c>
      <c r="HV38" s="23">
        <v>91.746031746031747</v>
      </c>
      <c r="HW38" s="22">
        <v>98.728813559322035</v>
      </c>
      <c r="HX38" s="73">
        <f t="shared" si="282"/>
        <v>0.57863501483679525</v>
      </c>
      <c r="HY38" s="73">
        <f t="shared" si="283"/>
        <v>0.61144397843019771</v>
      </c>
      <c r="HZ38" s="73">
        <f t="shared" si="284"/>
        <v>0.55216465578424412</v>
      </c>
      <c r="IA38" s="73">
        <f t="shared" si="285"/>
        <v>0.53804162401910616</v>
      </c>
      <c r="IF38" s="85">
        <f>IF39/IF40</f>
        <v>1.7772511848341231E-3</v>
      </c>
      <c r="IG38" s="85">
        <f>IG39/IG40</f>
        <v>2.390914524805738E-3</v>
      </c>
      <c r="IH38" s="85">
        <f>IH39/IH40</f>
        <v>7.0921985815602842E-4</v>
      </c>
      <c r="II38" s="85">
        <f>II39/II40</f>
        <v>2.0429009193054137E-3</v>
      </c>
      <c r="IJ38" s="88" t="s">
        <v>90</v>
      </c>
    </row>
    <row r="39" spans="1:244" ht="19.5" thickBot="1" x14ac:dyDescent="0.3">
      <c r="A39" s="374"/>
      <c r="B39" s="42"/>
      <c r="C39" s="26">
        <f>SUM(C32:C38)</f>
        <v>0</v>
      </c>
      <c r="D39" s="27">
        <f>SUM(D32:D38)</f>
        <v>0</v>
      </c>
      <c r="E39" s="27"/>
      <c r="F39" s="27"/>
      <c r="G39" s="27">
        <f>SUM(G32:G38)</f>
        <v>2892</v>
      </c>
      <c r="H39" s="28">
        <f>((G39+I39)/7)/E38</f>
        <v>0.51697478991596646</v>
      </c>
      <c r="I39" s="27">
        <f>SUM(I32:I38)</f>
        <v>184</v>
      </c>
      <c r="J39" s="28">
        <f>(I39/(I39+G39))</f>
        <v>5.9817945383615082E-2</v>
      </c>
      <c r="K39" s="27"/>
      <c r="L39" s="27"/>
      <c r="M39" s="29">
        <f>M37/M36*100-100</f>
        <v>8.0006063362134228</v>
      </c>
      <c r="N39" s="67">
        <f>N37/N36*100-100</f>
        <v>1.6707616707616779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2588</v>
      </c>
      <c r="T39" s="28">
        <f>((S39+U39)/7)/Q38</f>
        <v>0.50276854928017722</v>
      </c>
      <c r="U39" s="27">
        <f>SUM(U32:U38)</f>
        <v>136</v>
      </c>
      <c r="V39" s="28">
        <f>(U39/(U39+S39))</f>
        <v>4.9926578560939794E-2</v>
      </c>
      <c r="W39" s="27"/>
      <c r="X39" s="27"/>
      <c r="Y39" s="29">
        <f>Y37/Y36*100-100</f>
        <v>5.7094133697135163</v>
      </c>
      <c r="Z39" s="67">
        <f>Z37/Z36*100-100</f>
        <v>3.1633906633906577</v>
      </c>
      <c r="AA39" s="26">
        <f>SUM(AA32:AA38)</f>
        <v>4</v>
      </c>
      <c r="AB39" s="27">
        <f>SUM(AB32:AB38)</f>
        <v>0</v>
      </c>
      <c r="AC39" s="27"/>
      <c r="AD39" s="27"/>
      <c r="AE39" s="27">
        <f>SUM(AE32:AE38)</f>
        <v>504</v>
      </c>
      <c r="AF39" s="28">
        <f>((AE39+AG39)/7)/AC38</f>
        <v>0.39526276831976315</v>
      </c>
      <c r="AG39" s="27">
        <f>SUM(AG32:AG38)</f>
        <v>30</v>
      </c>
      <c r="AH39" s="28">
        <f>(AG39/(AG39+AE39))</f>
        <v>5.6179775280898875E-2</v>
      </c>
      <c r="AI39" s="27"/>
      <c r="AJ39" s="27"/>
      <c r="AK39" s="29">
        <f>AK37/AK36*100-100</f>
        <v>8.0739178965645522</v>
      </c>
      <c r="AL39" s="67">
        <f>AL37/AL36*100-100</f>
        <v>1.7813267813267828</v>
      </c>
      <c r="AM39" s="26">
        <f>SUM(AM32:AM38)</f>
        <v>0</v>
      </c>
      <c r="AN39" s="27">
        <f>SUM(AN32:AN38)</f>
        <v>0</v>
      </c>
      <c r="AO39" s="27"/>
      <c r="AP39" s="27"/>
      <c r="AQ39" s="27">
        <f>SUM(AQ32:AQ38)</f>
        <v>2116</v>
      </c>
      <c r="AR39" s="28">
        <f>((AQ39+AS39)/7)/AO38</f>
        <v>0.41973490427098675</v>
      </c>
      <c r="AS39" s="27">
        <f>SUM(AS32:AS38)</f>
        <v>164</v>
      </c>
      <c r="AT39" s="28">
        <f>(AS39/(AS39+AQ39))</f>
        <v>7.192982456140351E-2</v>
      </c>
      <c r="AU39" s="27"/>
      <c r="AV39" s="27"/>
      <c r="AW39" s="29">
        <f>AW37/AW36*100-100</f>
        <v>7.0654125080778414</v>
      </c>
      <c r="AX39" s="67">
        <f>AX37/AX36*100-100</f>
        <v>3.0712530712530679</v>
      </c>
      <c r="AY39" s="26">
        <f>SUM(AY32:AY38)</f>
        <v>0</v>
      </c>
      <c r="AZ39" s="27">
        <f>SUM(AZ32:AZ38)</f>
        <v>0</v>
      </c>
      <c r="BA39" s="27"/>
      <c r="BB39" s="27"/>
      <c r="BC39" s="27">
        <f>SUM(BC32:BC38)</f>
        <v>2255</v>
      </c>
      <c r="BD39" s="28">
        <f>((BC39+BE39)/7)/BA38</f>
        <v>0.45725317153888584</v>
      </c>
      <c r="BE39" s="27">
        <f>SUM(BE32:BE38)</f>
        <v>232</v>
      </c>
      <c r="BF39" s="28">
        <f>(BE39/(BE39+BC39))</f>
        <v>9.3285082428628874E-2</v>
      </c>
      <c r="BG39" s="27"/>
      <c r="BH39" s="27"/>
      <c r="BI39" s="29">
        <f>BI37/BI36*100-100</f>
        <v>7.3494945254836068</v>
      </c>
      <c r="BJ39" s="67">
        <f>BJ37/BJ36*100-100</f>
        <v>6.781326781326797</v>
      </c>
      <c r="BK39" s="26">
        <f>SUM(BK32:BK38)</f>
        <v>1</v>
      </c>
      <c r="BL39" s="27">
        <f>SUM(BL32:BL38)</f>
        <v>0</v>
      </c>
      <c r="BM39" s="27"/>
      <c r="BN39" s="27"/>
      <c r="BO39" s="27">
        <f>SUM(BO32:BO38)</f>
        <v>2747</v>
      </c>
      <c r="BP39" s="28">
        <f>((BO39+BQ39)/7)/BM38</f>
        <v>0.50126496879743632</v>
      </c>
      <c r="BQ39" s="27">
        <f>SUM(BQ32:BQ38)</f>
        <v>225</v>
      </c>
      <c r="BR39" s="28">
        <f>(BQ39/(BQ39+BO39))</f>
        <v>7.570659488559893E-2</v>
      </c>
      <c r="BS39" s="27"/>
      <c r="BT39" s="27"/>
      <c r="BU39" s="29">
        <f>BU37/BU36*100-100</f>
        <v>8.2088310651182894</v>
      </c>
      <c r="BV39" s="67">
        <f>BV37/BV36*100-100</f>
        <v>0.50778050778050954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2486</v>
      </c>
      <c r="CB39" s="28">
        <f>((CA39+CC39)/7)/BY38</f>
        <v>0.50252100840336134</v>
      </c>
      <c r="CC39" s="27">
        <f>SUM(CC32:CC38)</f>
        <v>205</v>
      </c>
      <c r="CD39" s="28">
        <f>(CC39/(CC39+CA39))</f>
        <v>7.6179858788554447E-2</v>
      </c>
      <c r="CE39" s="27"/>
      <c r="CF39" s="27"/>
      <c r="CG39" s="29">
        <f>CG37/CG36*100-100</f>
        <v>5.5713284908373737</v>
      </c>
      <c r="CH39" s="67">
        <f>CH37/CH36*100-100</f>
        <v>1.6848016848016698</v>
      </c>
      <c r="CI39" s="26">
        <f>SUM(CI32:CI38)</f>
        <v>2</v>
      </c>
      <c r="CJ39" s="27">
        <f>SUM(CJ32:CJ38)</f>
        <v>0</v>
      </c>
      <c r="CK39" s="27"/>
      <c r="CL39" s="27"/>
      <c r="CM39" s="27">
        <f>SUM(CM32:CM38)</f>
        <v>414</v>
      </c>
      <c r="CN39" s="28">
        <f>((CM39+CO39)/7)/CK38</f>
        <v>0.33260073260073264</v>
      </c>
      <c r="CO39" s="27">
        <f>SUM(CO32:CO38)</f>
        <v>40</v>
      </c>
      <c r="CP39" s="28">
        <f>(CO39/(CO39+CM39))</f>
        <v>8.8105726872246701E-2</v>
      </c>
      <c r="CQ39" s="27"/>
      <c r="CR39" s="27"/>
      <c r="CS39" s="29">
        <f>CS37/CS36*100-100</f>
        <v>5.5190375790648716</v>
      </c>
      <c r="CT39" s="67">
        <f>CT37/CT36*100-100</f>
        <v>0.53235053235052021</v>
      </c>
      <c r="CU39" s="26">
        <f>SUM(CU32:CU38)</f>
        <v>2</v>
      </c>
      <c r="CV39" s="27">
        <f>SUM(CV32:CV38)</f>
        <v>0</v>
      </c>
      <c r="CW39" s="27"/>
      <c r="CX39" s="27"/>
      <c r="CY39" s="27">
        <f>SUM(CY32:CY38)</f>
        <v>2611</v>
      </c>
      <c r="CZ39" s="28">
        <f>((CY39+DA39)/7)/CW38</f>
        <v>0.52561705310396412</v>
      </c>
      <c r="DA39" s="27">
        <f>SUM(DA32:DA38)</f>
        <v>200</v>
      </c>
      <c r="DB39" s="28">
        <f>(DA39/(DA39+CY39))</f>
        <v>7.1149057274991101E-2</v>
      </c>
      <c r="DC39" s="27"/>
      <c r="DD39" s="27"/>
      <c r="DE39" s="29">
        <f>DE37/DE36*100-100</f>
        <v>5.3905621436317119</v>
      </c>
      <c r="DF39" s="67">
        <f>DF37/DF36*100-100</f>
        <v>5.8968058968059012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2456</v>
      </c>
      <c r="DL39" s="28">
        <f>((DK39+DM39)/7)/DI38</f>
        <v>0.49376047681132429</v>
      </c>
      <c r="DM39" s="27">
        <f>SUM(DM32:DM38)</f>
        <v>195</v>
      </c>
      <c r="DN39" s="28">
        <f>(DM39/(DM39+DK39))</f>
        <v>7.355714824594492E-2</v>
      </c>
      <c r="DO39" s="27"/>
      <c r="DP39" s="27"/>
      <c r="DQ39" s="29">
        <f>DQ37/DQ36*100-100</f>
        <v>8.5149569094599542</v>
      </c>
      <c r="DR39" s="67">
        <f>DR37/DR36*100-100</f>
        <v>3.4749034749034706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2233</v>
      </c>
      <c r="DX39" s="28">
        <f>((DW39+DY39)/7)/DU38</f>
        <v>0.40578034682080927</v>
      </c>
      <c r="DY39" s="27">
        <f>SUM(DY32:DY38)</f>
        <v>224</v>
      </c>
      <c r="DZ39" s="28">
        <f>(DY39/(DY39+DW39))</f>
        <v>9.1168091168091173E-2</v>
      </c>
      <c r="EA39" s="27"/>
      <c r="EB39" s="27"/>
      <c r="EC39" s="29">
        <f>EC37/EC36*100-100</f>
        <v>4.4576287318760137</v>
      </c>
      <c r="ED39" s="67">
        <f>ED37/ED36*100-100</f>
        <v>-1.4612698823225116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2416</v>
      </c>
      <c r="EJ39" s="28">
        <f>((EI39+EK39)/7)/EG38</f>
        <v>0.43695544961367749</v>
      </c>
      <c r="EK39" s="27">
        <f>SUM(EK32:EK38)</f>
        <v>242</v>
      </c>
      <c r="EL39" s="28">
        <f>(EK39/(EK39+EI39))</f>
        <v>9.1045899172310013E-2</v>
      </c>
      <c r="EM39" s="27"/>
      <c r="EN39" s="27"/>
      <c r="EO39" s="29">
        <f>EO37/EO36*100-100</f>
        <v>5.4446235892347659</v>
      </c>
      <c r="EP39" s="67">
        <f>EP37/EP36*100-100</f>
        <v>1.9305019305019329</v>
      </c>
      <c r="EQ39" s="26">
        <f>SUM(EQ32:EQ38)</f>
        <v>0</v>
      </c>
      <c r="ER39" s="27">
        <f>SUM(ER32:ER38)</f>
        <v>1</v>
      </c>
      <c r="ES39" s="27"/>
      <c r="ET39" s="27"/>
      <c r="EU39" s="27">
        <f>SUM(EU32:EU38)</f>
        <v>345</v>
      </c>
      <c r="EV39" s="28">
        <f>((EU39+EW39)/7)/ES38</f>
        <v>0.25330687830687831</v>
      </c>
      <c r="EW39" s="27">
        <f>SUM(EW32:EW38)</f>
        <v>38</v>
      </c>
      <c r="EX39" s="28">
        <f>(EW39/(EW39+EU39))</f>
        <v>9.921671018276762E-2</v>
      </c>
      <c r="EY39" s="27"/>
      <c r="EZ39" s="27"/>
      <c r="FA39" s="29">
        <f>FA37/FA36*100-100</f>
        <v>3.2618132208855286</v>
      </c>
      <c r="FB39" s="67">
        <f>FB37/FB36*100-100</f>
        <v>0.18427518427517953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2407</v>
      </c>
      <c r="FH39" s="28">
        <f>((FG39+FI39)/7)/FE38</f>
        <v>0.43433179723502302</v>
      </c>
      <c r="FI39" s="27">
        <f>SUM(FI32:FI38)</f>
        <v>232</v>
      </c>
      <c r="FJ39" s="28">
        <f>(FI39/(FI39+FG39))</f>
        <v>8.7912087912087919E-2</v>
      </c>
      <c r="FK39" s="27"/>
      <c r="FL39" s="27"/>
      <c r="FM39" s="29">
        <f>FM37/FM36*100-100</f>
        <v>7.3639533121115761</v>
      </c>
      <c r="FN39" s="67">
        <f>FN37/FN36*100-100</f>
        <v>3.3819916172857347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2413</v>
      </c>
      <c r="FT39" s="28">
        <f>((FS39+FU39)/7)/FQ38</f>
        <v>0.42449427630547282</v>
      </c>
      <c r="FU39" s="27">
        <f>SUM(FU32:FU38)</f>
        <v>294</v>
      </c>
      <c r="FV39" s="28">
        <f>(FU39/(FU39+FS39))</f>
        <v>0.10860731437015146</v>
      </c>
      <c r="FW39" s="27"/>
      <c r="FX39" s="27"/>
      <c r="FY39" s="29">
        <f>FY37/FY36*100-100</f>
        <v>5.5173070211618409</v>
      </c>
      <c r="FZ39" s="67">
        <f>FZ37/FZ36*100-100</f>
        <v>-0.2601532013296719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2634</v>
      </c>
      <c r="GF39" s="28">
        <f>((GE39+GG39)/7)/GC38</f>
        <v>0.44783834586466165</v>
      </c>
      <c r="GG39" s="27">
        <f>SUM(GG32:GG38)</f>
        <v>225</v>
      </c>
      <c r="GH39" s="28">
        <f>(GG39/(GG39+GE39))</f>
        <v>7.8698845750262328E-2</v>
      </c>
      <c r="GI39" s="27"/>
      <c r="GJ39" s="27"/>
      <c r="GK39" s="29">
        <f>GK37/GK36*100-100</f>
        <v>1.529104138244648</v>
      </c>
      <c r="GL39" s="67">
        <f>GL37/GL36*100-100</f>
        <v>2.5798525798525844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433</v>
      </c>
      <c r="GR39" s="28">
        <f>((GQ39+GS39)/7)/GO38</f>
        <v>0.35495626822157433</v>
      </c>
      <c r="GS39" s="27">
        <f>SUM(GS32:GS38)</f>
        <v>54</v>
      </c>
      <c r="GT39" s="28">
        <f>(GS39/(GS39+GQ39))</f>
        <v>0.11088295687885011</v>
      </c>
      <c r="GU39" s="27"/>
      <c r="GV39" s="27"/>
      <c r="GW39" s="29">
        <f>GW37/GW36*100-100</f>
        <v>3.7971805366075415</v>
      </c>
      <c r="GX39" s="67">
        <f>GX37/GX36*100-100</f>
        <v>0.36855036855037326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2581</v>
      </c>
      <c r="HD39" s="28">
        <f>((HC39+HE39)/7)/HA38</f>
        <v>0.43671679197994989</v>
      </c>
      <c r="HE39" s="27">
        <f>SUM(HE32:HE38)</f>
        <v>207</v>
      </c>
      <c r="HF39" s="28">
        <f>(HE39/(HE39+HC39))</f>
        <v>7.4246771879483503E-2</v>
      </c>
      <c r="HG39" s="27"/>
      <c r="HH39" s="27"/>
      <c r="HI39" s="29">
        <f>HI37/HI36*100-100</f>
        <v>4.476060547001893</v>
      </c>
      <c r="HJ39" s="67">
        <f>HJ37/HJ36*100-100</f>
        <v>2.9339499927735204</v>
      </c>
      <c r="HK39" s="26">
        <f t="shared" si="273"/>
        <v>22</v>
      </c>
      <c r="HL39" s="27">
        <f t="shared" si="274"/>
        <v>1</v>
      </c>
      <c r="HM39" s="27">
        <f t="shared" si="275"/>
        <v>0</v>
      </c>
      <c r="HN39" s="27">
        <f t="shared" si="276"/>
        <v>0</v>
      </c>
      <c r="HO39" s="27">
        <f t="shared" si="277"/>
        <v>39658</v>
      </c>
      <c r="HP39" s="96">
        <f>+((HO39)/HM38)/7</f>
        <v>0.45479879356414638</v>
      </c>
      <c r="HQ39" s="62">
        <f t="shared" si="279"/>
        <v>3127</v>
      </c>
      <c r="HR39" s="52">
        <f t="shared" si="280"/>
        <v>7.8849160320742351E-2</v>
      </c>
      <c r="HS39" s="53">
        <f>SUM(HS32:HS38)/7</f>
        <v>52.085714285714282</v>
      </c>
      <c r="HT39" s="54">
        <f>SUM(HT32:HT38)</f>
        <v>35536</v>
      </c>
      <c r="HU39" s="53">
        <f>AVERAGE(HU32:HU38)</f>
        <v>89.257127939764771</v>
      </c>
      <c r="HV39" s="63">
        <f>HV37/HV36*100-100</f>
        <v>5.9329998484159603</v>
      </c>
      <c r="HW39" s="67">
        <f>HW37/HW36*100-100</f>
        <v>2.3039603548078276</v>
      </c>
      <c r="HX39" s="73">
        <f>SUM(G39,I39,S39,U39,AE39,AG39,AQ39,AS39,BC39,BE39)/7/SUM(E38,Q38,AC38,AO38,BA38)</f>
        <v>0.4705807545570157</v>
      </c>
      <c r="HY39" s="73">
        <f>SUM(BO39,BQ39,CA39,CC39,CM39,CO39,CY39,DA39,DK39,DM39)/7/SUM(BM38,BY38,CK38,CW38,DI38)</f>
        <v>0.49554908841907042</v>
      </c>
      <c r="HZ39" s="73">
        <f>SUM(DW39,DY39,EI39,EK39,EU39,EW39,FG39,FI39)/7/SUM(DU38,EG38,ES38,FE38)</f>
        <v>0.41250126736287129</v>
      </c>
      <c r="IA39" s="73">
        <f>SUM(FS39,FU39,GE39,GG39,GQ39,GS39,HC39,HE39)/7/SUM(FQ38,GC38,GO38,HA38)</f>
        <v>0.43091095189355166</v>
      </c>
      <c r="IB39" s="84">
        <f>SUM(I39,U39,AG39,AS39,BE39)/SUM(G39,I39,S39,U39,AE39,AG39,AQ39,AS39,BC39,BE39)</f>
        <v>6.7201153049274834E-2</v>
      </c>
      <c r="IC39" s="84">
        <f>SUM(BQ39,CC39,CO39,DA39,DM39)/SUM(BO39,BQ39,CA39,CC39,CM39,CO39,CY39,DA39,DK39,DM39)</f>
        <v>7.470420588997323E-2</v>
      </c>
      <c r="ID39" s="84">
        <f>SUM(DY39,EK39,EW39,FI39)/SUM(DW39,DY39,EI39,EK39,EU39,EW39,FG39,FI39)</f>
        <v>9.0451026176723612E-2</v>
      </c>
      <c r="IE39" s="84">
        <f>SUM(FU39,GG39,GS39,HE39)/SUM(FS39,FU39,GE39,GG39,GQ39,GS39,HC39,HE39)</f>
        <v>8.8225313878520534E-2</v>
      </c>
      <c r="IF39" s="86">
        <f>SUM(C39,O39,AA39,AM39,AY39)</f>
        <v>6</v>
      </c>
      <c r="IG39" s="86">
        <f>SUM(BK39,BW39,CI39,CU39,DG39)</f>
        <v>8</v>
      </c>
      <c r="IH39" s="86">
        <f>SUM(DS39,EE39,EQ39,FC39)</f>
        <v>2</v>
      </c>
      <c r="II39" s="86">
        <f>SUM(FO39,GA39,GM39,GY39)</f>
        <v>6</v>
      </c>
      <c r="IJ39" s="88" t="s">
        <v>89</v>
      </c>
    </row>
    <row r="40" spans="1:244" ht="19.5" thickBot="1" x14ac:dyDescent="0.3">
      <c r="A40" s="56"/>
      <c r="B40" s="83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HK39/HM32</f>
        <v>1.7631030613880429E-3</v>
      </c>
      <c r="HL40" s="66">
        <f>HL39/HN32</f>
        <v>8.9365504915102768E-4</v>
      </c>
      <c r="HM40" s="45"/>
      <c r="HN40" s="45"/>
      <c r="HO40" s="45"/>
      <c r="HP40" s="98"/>
      <c r="HQ40" s="45"/>
      <c r="HR40" s="45"/>
      <c r="HS40" s="45"/>
      <c r="HT40" s="55"/>
      <c r="HU40" s="45"/>
      <c r="HV40" s="45"/>
      <c r="HW40" s="46"/>
      <c r="HY40" s="72"/>
      <c r="HZ40" s="72"/>
      <c r="IA40" s="72"/>
      <c r="IF40" s="86">
        <f>SUM(E29,Q29,AC29,AO29,BA29)</f>
        <v>3376</v>
      </c>
      <c r="IG40" s="86">
        <f>SUM(BM29,BY29,CK29,CW29,DI29)</f>
        <v>3346</v>
      </c>
      <c r="IH40" s="86">
        <f>SUM(DU29,EG29,ES29,FE29)</f>
        <v>2820</v>
      </c>
      <c r="II40" s="86">
        <f>SUM(FQ29,GC29,GO29,HA29)</f>
        <v>2937</v>
      </c>
      <c r="IJ40" s="88" t="s">
        <v>84</v>
      </c>
    </row>
    <row r="41" spans="1:244" x14ac:dyDescent="0.25">
      <c r="A41" s="373">
        <v>29</v>
      </c>
      <c r="B41" s="68">
        <f>B38+1</f>
        <v>44969</v>
      </c>
      <c r="C41" s="33"/>
      <c r="D41" s="34"/>
      <c r="E41" s="34">
        <f>E38-C41</f>
        <v>850</v>
      </c>
      <c r="F41" s="34">
        <f>F38-D41</f>
        <v>75</v>
      </c>
      <c r="G41" s="34">
        <v>521</v>
      </c>
      <c r="H41" s="35">
        <f t="shared" ref="H41:H47" si="323">((G41+I41)/E41)</f>
        <v>0.64470588235294113</v>
      </c>
      <c r="I41" s="34">
        <v>27</v>
      </c>
      <c r="J41" s="35">
        <f>I41/(G41+I41)</f>
        <v>4.9270072992700732E-2</v>
      </c>
      <c r="K41" s="181">
        <v>154.1</v>
      </c>
      <c r="L41" s="34"/>
      <c r="M41" s="34"/>
      <c r="N41" s="37"/>
      <c r="O41" s="33"/>
      <c r="P41" s="34"/>
      <c r="Q41" s="34">
        <f>Q38-O41</f>
        <v>774</v>
      </c>
      <c r="R41" s="34">
        <f>R38-P41</f>
        <v>69</v>
      </c>
      <c r="S41" s="34">
        <v>481</v>
      </c>
      <c r="T41" s="35">
        <f t="shared" ref="T41:T47" si="324">((S41+U41)/Q41)</f>
        <v>0.64857881136950901</v>
      </c>
      <c r="U41" s="34">
        <v>21</v>
      </c>
      <c r="V41" s="35">
        <f t="shared" ref="V41:V47" si="325">U41/(S41+U41)</f>
        <v>4.1832669322709161E-2</v>
      </c>
      <c r="W41" s="181">
        <v>148.80000000000001</v>
      </c>
      <c r="X41" s="34"/>
      <c r="Y41" s="34"/>
      <c r="Z41" s="37"/>
      <c r="AA41" s="33"/>
      <c r="AB41" s="34"/>
      <c r="AC41" s="34">
        <f>AC38-AA41</f>
        <v>193</v>
      </c>
      <c r="AD41" s="34">
        <f>AD38-AB41</f>
        <v>15</v>
      </c>
      <c r="AE41" s="34">
        <v>101</v>
      </c>
      <c r="AF41" s="35">
        <f t="shared" ref="AF41:AF47" si="326">((AE41+AG41)/AC41)</f>
        <v>0.56994818652849744</v>
      </c>
      <c r="AG41" s="34">
        <v>9</v>
      </c>
      <c r="AH41" s="35">
        <f t="shared" ref="AH41:AH47" si="327">AG41/(AE41+AG41)</f>
        <v>8.1818181818181818E-2</v>
      </c>
      <c r="AI41" s="181">
        <v>147.4</v>
      </c>
      <c r="AJ41" s="34"/>
      <c r="AK41" s="34"/>
      <c r="AL41" s="37"/>
      <c r="AM41" s="33"/>
      <c r="AN41" s="34"/>
      <c r="AO41" s="34">
        <f>AO38-AM41</f>
        <v>776</v>
      </c>
      <c r="AP41" s="34">
        <f>AP38-AN41</f>
        <v>69</v>
      </c>
      <c r="AQ41" s="34">
        <v>384</v>
      </c>
      <c r="AR41" s="35">
        <f t="shared" ref="AR41:AR47" si="328">((AQ41+AS41)/AO41)</f>
        <v>0.52835051546391754</v>
      </c>
      <c r="AS41" s="34">
        <v>26</v>
      </c>
      <c r="AT41" s="35">
        <f t="shared" ref="AT41:AT47" si="329">AS41/(AQ41+AS41)</f>
        <v>6.3414634146341464E-2</v>
      </c>
      <c r="AU41" s="36"/>
      <c r="AV41" s="34"/>
      <c r="AW41" s="34"/>
      <c r="AX41" s="37"/>
      <c r="AY41" s="33"/>
      <c r="AZ41" s="34"/>
      <c r="BA41" s="34">
        <f>BA38-AY41</f>
        <v>777</v>
      </c>
      <c r="BB41" s="34">
        <f>BB38-AZ41</f>
        <v>69</v>
      </c>
      <c r="BC41" s="34">
        <v>410</v>
      </c>
      <c r="BD41" s="35">
        <f t="shared" ref="BD41:BD47" si="330">((BC41+BE41)/BA41)</f>
        <v>0.60360360360360366</v>
      </c>
      <c r="BE41" s="34">
        <v>59</v>
      </c>
      <c r="BF41" s="35">
        <f t="shared" ref="BF41:BF47" si="331">BE41/(BC41+BE41)</f>
        <v>0.1257995735607676</v>
      </c>
      <c r="BG41" s="181">
        <v>148.80000000000001</v>
      </c>
      <c r="BH41" s="34"/>
      <c r="BI41" s="34"/>
      <c r="BJ41" s="37"/>
      <c r="BK41" s="33"/>
      <c r="BL41" s="34"/>
      <c r="BM41" s="34">
        <f>BM38-BK41</f>
        <v>847</v>
      </c>
      <c r="BN41" s="34">
        <f>BN38-BL41</f>
        <v>77</v>
      </c>
      <c r="BO41" s="34">
        <v>493</v>
      </c>
      <c r="BP41" s="35">
        <f t="shared" ref="BP41:BP47" si="332">((BO41+BQ41)/BM41)</f>
        <v>0.60802833530106259</v>
      </c>
      <c r="BQ41" s="34">
        <v>22</v>
      </c>
      <c r="BR41" s="35">
        <f t="shared" ref="BR41:BR47" si="333">BQ41/(BO41+BQ41)</f>
        <v>4.2718446601941747E-2</v>
      </c>
      <c r="BS41" s="36"/>
      <c r="BT41" s="34"/>
      <c r="BU41" s="34"/>
      <c r="BV41" s="37"/>
      <c r="BW41" s="33"/>
      <c r="BX41" s="34"/>
      <c r="BY41" s="34">
        <f>BY38-BW41</f>
        <v>765</v>
      </c>
      <c r="BZ41" s="34">
        <f>BZ38-BX41</f>
        <v>69</v>
      </c>
      <c r="CA41" s="34">
        <v>455</v>
      </c>
      <c r="CB41" s="35">
        <f t="shared" ref="CB41:CB47" si="334">((CA41+CC41)/BY41)</f>
        <v>0.62222222222222223</v>
      </c>
      <c r="CC41" s="34">
        <v>21</v>
      </c>
      <c r="CD41" s="35">
        <f t="shared" ref="CD41:CD47" si="335">CC41/(CA41+CC41)</f>
        <v>4.4117647058823532E-2</v>
      </c>
      <c r="CE41" s="36"/>
      <c r="CF41" s="34"/>
      <c r="CG41" s="34"/>
      <c r="CH41" s="37"/>
      <c r="CI41" s="33"/>
      <c r="CJ41" s="34"/>
      <c r="CK41" s="34">
        <f>CK38-CI41</f>
        <v>195</v>
      </c>
      <c r="CL41" s="34">
        <f>CL38-CJ41</f>
        <v>17</v>
      </c>
      <c r="CM41" s="34">
        <v>87</v>
      </c>
      <c r="CN41" s="35">
        <f t="shared" ref="CN41:CN47" si="336">((CM41+CO41)/CK41)</f>
        <v>0.49230769230769234</v>
      </c>
      <c r="CO41" s="34">
        <v>9</v>
      </c>
      <c r="CP41" s="35">
        <f t="shared" ref="CP41:CP47" si="337">CO41/(CM41+CO41)</f>
        <v>9.375E-2</v>
      </c>
      <c r="CQ41" s="181">
        <v>140.30000000000001</v>
      </c>
      <c r="CR41" s="34"/>
      <c r="CS41" s="34"/>
      <c r="CT41" s="37"/>
      <c r="CU41" s="33">
        <v>1</v>
      </c>
      <c r="CV41" s="34"/>
      <c r="CW41" s="34">
        <f>CW38-CU41</f>
        <v>763</v>
      </c>
      <c r="CX41" s="34">
        <f>CX38-CV41</f>
        <v>70</v>
      </c>
      <c r="CY41" s="34">
        <v>414</v>
      </c>
      <c r="CZ41" s="35">
        <f t="shared" ref="CZ41:CZ47" si="338">((CY41+DA41)/CW41)</f>
        <v>0.57404980340760159</v>
      </c>
      <c r="DA41" s="34">
        <v>24</v>
      </c>
      <c r="DB41" s="35">
        <f t="shared" ref="DB41:DB47" si="339">DA41/(CY41+DA41)</f>
        <v>5.4794520547945202E-2</v>
      </c>
      <c r="DC41" s="36"/>
      <c r="DD41" s="34"/>
      <c r="DE41" s="34"/>
      <c r="DF41" s="37"/>
      <c r="DG41" s="33"/>
      <c r="DH41" s="34"/>
      <c r="DI41" s="34">
        <f>DI38-DG41</f>
        <v>767</v>
      </c>
      <c r="DJ41" s="34">
        <f>DJ38-DH41</f>
        <v>70</v>
      </c>
      <c r="DK41" s="34">
        <v>478</v>
      </c>
      <c r="DL41" s="35">
        <f t="shared" ref="DL41:DL47" si="340">((DK41+DM41)/DI41)</f>
        <v>0.66101694915254239</v>
      </c>
      <c r="DM41" s="34">
        <v>29</v>
      </c>
      <c r="DN41" s="35">
        <f t="shared" ref="DN41:DN47" si="341">DM41/(DK41+DM41)</f>
        <v>5.7199211045364892E-2</v>
      </c>
      <c r="DO41" s="181">
        <v>155.30000000000001</v>
      </c>
      <c r="DP41" s="34"/>
      <c r="DQ41" s="34"/>
      <c r="DR41" s="37"/>
      <c r="DS41" s="33"/>
      <c r="DT41" s="34"/>
      <c r="DU41" s="34">
        <f>DU38-DS41</f>
        <v>865</v>
      </c>
      <c r="DV41" s="34">
        <f>DV38-DT41</f>
        <v>78</v>
      </c>
      <c r="DW41" s="34">
        <v>452</v>
      </c>
      <c r="DX41" s="35">
        <f t="shared" ref="DX41:DX47" si="342">((DW41+DY41)/DU41)</f>
        <v>0.56069364161849711</v>
      </c>
      <c r="DY41" s="34">
        <v>33</v>
      </c>
      <c r="DZ41" s="35">
        <f t="shared" ref="DZ41:DZ47" si="343">DY41/(DW41+DY41)</f>
        <v>6.8041237113402056E-2</v>
      </c>
      <c r="EA41" s="181">
        <v>147.4</v>
      </c>
      <c r="EB41" s="34"/>
      <c r="EC41" s="34"/>
      <c r="ED41" s="37"/>
      <c r="EE41" s="33"/>
      <c r="EF41" s="34"/>
      <c r="EG41" s="34">
        <f>EG38-EE41</f>
        <v>869</v>
      </c>
      <c r="EH41" s="34">
        <f>EH38-EF41</f>
        <v>79</v>
      </c>
      <c r="EI41" s="34">
        <v>512</v>
      </c>
      <c r="EJ41" s="35">
        <f t="shared" ref="EJ41:EJ47" si="344">((EI41+EK41)/EG41)</f>
        <v>0.64326812428078251</v>
      </c>
      <c r="EK41" s="34">
        <v>47</v>
      </c>
      <c r="EL41" s="35">
        <f t="shared" ref="EL41:EL47" si="345">EK41/(EI41+EK41)</f>
        <v>8.4078711985688726E-2</v>
      </c>
      <c r="EM41" s="181">
        <v>151.5</v>
      </c>
      <c r="EN41" s="34"/>
      <c r="EO41" s="34"/>
      <c r="EP41" s="37"/>
      <c r="EQ41" s="33">
        <v>2</v>
      </c>
      <c r="ER41" s="34"/>
      <c r="ES41" s="34">
        <f>ES38-EQ41</f>
        <v>214</v>
      </c>
      <c r="ET41" s="34">
        <f>ET38-ER41</f>
        <v>17</v>
      </c>
      <c r="EU41" s="34">
        <v>81</v>
      </c>
      <c r="EV41" s="35">
        <f t="shared" ref="EV41:EV47" si="346">((EU41+EW41)/ES41)</f>
        <v>0.42990654205607476</v>
      </c>
      <c r="EW41" s="34">
        <v>11</v>
      </c>
      <c r="EX41" s="35">
        <f t="shared" ref="EX41:EX47" si="347">EW41/(EU41+EW41)</f>
        <v>0.11956521739130435</v>
      </c>
      <c r="EY41" s="181">
        <v>137.9</v>
      </c>
      <c r="EZ41" s="34"/>
      <c r="FA41" s="34"/>
      <c r="FB41" s="37"/>
      <c r="FC41" s="33"/>
      <c r="FD41" s="34"/>
      <c r="FE41" s="34">
        <f>FE38-FC41</f>
        <v>868</v>
      </c>
      <c r="FF41" s="34">
        <f>FF38-FD41</f>
        <v>79</v>
      </c>
      <c r="FG41" s="34">
        <v>486</v>
      </c>
      <c r="FH41" s="35">
        <f t="shared" ref="FH41:FH47" si="348">((FG41+FI41)/FE41)</f>
        <v>0.59907834101382484</v>
      </c>
      <c r="FI41" s="34">
        <v>34</v>
      </c>
      <c r="FJ41" s="35">
        <f t="shared" ref="FJ41:FJ47" si="349">FI41/(FG41+FI41)</f>
        <v>6.5384615384615388E-2</v>
      </c>
      <c r="FK41" s="181">
        <v>150</v>
      </c>
      <c r="FL41" s="34"/>
      <c r="FM41" s="34"/>
      <c r="FN41" s="37"/>
      <c r="FO41" s="33"/>
      <c r="FP41" s="34">
        <v>1</v>
      </c>
      <c r="FQ41" s="34">
        <f>FQ38-FO41</f>
        <v>911</v>
      </c>
      <c r="FR41" s="34">
        <f>FR38-FP41</f>
        <v>81</v>
      </c>
      <c r="FS41" s="34">
        <v>474</v>
      </c>
      <c r="FT41" s="35">
        <f t="shared" ref="FT41:FT47" si="350">((FS41+FU41)/FQ41)</f>
        <v>0.570801317233809</v>
      </c>
      <c r="FU41" s="34">
        <v>46</v>
      </c>
      <c r="FV41" s="35">
        <f t="shared" ref="FV41:FV47" si="351">FU41/(FS41+FU41)</f>
        <v>8.8461538461538466E-2</v>
      </c>
      <c r="FW41" s="36"/>
      <c r="FX41" s="34"/>
      <c r="FY41" s="34"/>
      <c r="FZ41" s="37"/>
      <c r="GA41" s="33"/>
      <c r="GB41" s="34"/>
      <c r="GC41" s="34">
        <f>GC38-GA41</f>
        <v>912</v>
      </c>
      <c r="GD41" s="34">
        <f>GD38-GB41</f>
        <v>82</v>
      </c>
      <c r="GE41" s="34">
        <v>501</v>
      </c>
      <c r="GF41" s="35">
        <f t="shared" ref="GF41:GF47" si="352">((GE41+GG41)/GC41)</f>
        <v>0.58442982456140347</v>
      </c>
      <c r="GG41" s="34">
        <v>32</v>
      </c>
      <c r="GH41" s="35">
        <f t="shared" ref="GH41:GH47" si="353">GG41/(GE41+GG41)</f>
        <v>6.0037523452157598E-2</v>
      </c>
      <c r="GI41" s="36"/>
      <c r="GJ41" s="34"/>
      <c r="GK41" s="34"/>
      <c r="GL41" s="37"/>
      <c r="GM41" s="33"/>
      <c r="GN41" s="34"/>
      <c r="GO41" s="34">
        <f>GO38-GM41</f>
        <v>196</v>
      </c>
      <c r="GP41" s="34">
        <f>GP38-GN41</f>
        <v>19</v>
      </c>
      <c r="GQ41" s="34">
        <v>86</v>
      </c>
      <c r="GR41" s="35">
        <f t="shared" ref="GR41:GR47" si="354">((GQ41+GS41)/GO41)</f>
        <v>0.48979591836734693</v>
      </c>
      <c r="GS41" s="34">
        <v>10</v>
      </c>
      <c r="GT41" s="35">
        <f t="shared" ref="GT41:GT47" si="355">GS41/(GQ41+GS41)</f>
        <v>0.10416666666666667</v>
      </c>
      <c r="GU41" s="36"/>
      <c r="GV41" s="34"/>
      <c r="GW41" s="34"/>
      <c r="GX41" s="37"/>
      <c r="GY41" s="33"/>
      <c r="GZ41" s="34"/>
      <c r="HA41" s="34">
        <f>HA38-GY41</f>
        <v>912</v>
      </c>
      <c r="HB41" s="34">
        <f>HB38-GZ41</f>
        <v>82</v>
      </c>
      <c r="HC41" s="34">
        <v>529</v>
      </c>
      <c r="HD41" s="35">
        <f t="shared" ref="HD41:HD47" si="356">((HC41+HE41)/HA41)</f>
        <v>0.61513157894736847</v>
      </c>
      <c r="HE41" s="34">
        <v>32</v>
      </c>
      <c r="HF41" s="35">
        <f t="shared" ref="HF41:HF47" si="357">HE41/(HC41+HE41)</f>
        <v>5.7040998217468802E-2</v>
      </c>
      <c r="HG41" s="181">
        <v>142.4</v>
      </c>
      <c r="HH41" s="34"/>
      <c r="HI41" s="34"/>
      <c r="HJ41" s="37"/>
      <c r="HK41" s="33">
        <f t="shared" ref="HK41:HK48" si="358">+C41+O41+AA41+AM41+AY41+BK41+BW41+CI41+CU41+DG41+DS41+EE41+EQ41+FC41+FO41+GA41+GM41+GY41</f>
        <v>3</v>
      </c>
      <c r="HL41" s="34">
        <f t="shared" ref="HL41:HL48" si="359">+D41+P41+AB41+AN41+AZ41+BL41+BX41+CJ41+CV41+DH41+DT41+EF41+ER41+FD41+FP41+GB41+GN41+GZ41</f>
        <v>1</v>
      </c>
      <c r="HM41" s="34">
        <f t="shared" ref="HM41:HM48" si="360">+E41+Q41+AC41+AO41+BA41+BM41+BY41+CK41+CW41+DI41+DU41+EG41+ES41+FE41+FQ41+GC41+GO41+HA41</f>
        <v>12454</v>
      </c>
      <c r="HN41" s="34">
        <f t="shared" ref="HN41:HN48" si="361">+F41+R41+AD41+AP41+BB41+BN41+BZ41+CL41+CX41+DJ41+DV41+EH41+ET41+FF41+FR41+GD41+GP41+HB41</f>
        <v>1117</v>
      </c>
      <c r="HO41" s="34">
        <f t="shared" ref="HO41:HO48" si="362">+G41+S41+AE41+AQ41+BC41+BO41+CA41+CM41+CY41+DK41+DW41+EI41+EU41+FG41+FS41+GE41+GQ41+HC41+I41+U41+AG41+AS41+BE41+BQ41+CC41+CO41+DA41+DM41+DY41+EK41+EW41+FI41+FU41+GG41+GS41+HE41</f>
        <v>7437</v>
      </c>
      <c r="HP41" s="94">
        <f t="shared" ref="HP41:HP47" si="363">+(HO41)/HM41</f>
        <v>0.59715753974626629</v>
      </c>
      <c r="HQ41" s="48">
        <f t="shared" ref="HQ41:HQ48" si="364">+I41+U41+AG41+AS41+BE41+BQ41+CC41+CO41+DA41+DM41+DY41+EK41+EW41+FI41+FU41+GG41+GS41+HE41</f>
        <v>492</v>
      </c>
      <c r="HR41" s="35">
        <f t="shared" ref="HR41:HR48" si="365">+(HQ41/(HO41))</f>
        <v>6.6155707946752726E-2</v>
      </c>
      <c r="HS41" s="49">
        <v>53.8</v>
      </c>
      <c r="HT41" s="50">
        <v>6763</v>
      </c>
      <c r="HU41" s="49">
        <f t="shared" ref="HU41:HU47" si="366">+HT41/HO41*100</f>
        <v>90.937205862578992</v>
      </c>
      <c r="HV41" s="48"/>
      <c r="HW41" s="37"/>
      <c r="HX41" s="73">
        <f t="shared" ref="HX41:HX47" si="367">SUM(G41,I41,S41,U41,AE41,AG41,AQ41,AS41,BC41,BE41)/SUM(E41,Q41,AC41,AO41,BA41)</f>
        <v>0.60504451038575668</v>
      </c>
      <c r="HY41" s="73">
        <f t="shared" ref="HY41:HY47" si="368">SUM(BO41,BQ41,CA41,CC41,CM41,CO41,CY41,DA41,DK41,DM41)/SUM(BM41,BY41,CK41,CW41,DI41)</f>
        <v>0.60893017680551398</v>
      </c>
      <c r="HZ41" s="73">
        <f t="shared" ref="HZ41:HZ47" si="369">SUM(DW41,DY41,EI41,EK41,EU41,EW41,FG41,FI41)/SUM(DU41,EG41,ES41,FE41)</f>
        <v>0.58806818181818177</v>
      </c>
      <c r="IA41" s="73">
        <f t="shared" ref="IA41:IA47" si="370">SUM(FS41,FU41,GE41,GG41,GQ41,GS41,HC41,HE41)/SUM(FQ41,GC41,GO41,HA41)</f>
        <v>0.58341862845445236</v>
      </c>
    </row>
    <row r="42" spans="1:244" x14ac:dyDescent="0.25">
      <c r="A42" s="374"/>
      <c r="B42" s="41">
        <f t="shared" ref="B42:B47" si="371">+B41+1</f>
        <v>44970</v>
      </c>
      <c r="C42" s="10"/>
      <c r="D42" s="11"/>
      <c r="E42" s="69">
        <f t="shared" ref="E42:F47" si="372">E41-C42</f>
        <v>850</v>
      </c>
      <c r="F42" s="69">
        <f t="shared" si="372"/>
        <v>75</v>
      </c>
      <c r="G42" s="11">
        <v>501</v>
      </c>
      <c r="H42" s="12">
        <f t="shared" si="323"/>
        <v>0.61294117647058821</v>
      </c>
      <c r="I42" s="11">
        <v>20</v>
      </c>
      <c r="J42" s="12">
        <f t="shared" ref="J42:J47" si="373">I42/(G42+I42)</f>
        <v>3.8387715930902108E-2</v>
      </c>
      <c r="K42" s="13"/>
      <c r="L42" s="11"/>
      <c r="M42" s="11"/>
      <c r="N42" s="14"/>
      <c r="O42" s="10"/>
      <c r="P42" s="11"/>
      <c r="Q42" s="69">
        <f t="shared" ref="Q42:Q47" si="374">Q41-O42</f>
        <v>774</v>
      </c>
      <c r="R42" s="69">
        <f t="shared" ref="R42:R47" si="375">R41-P42</f>
        <v>69</v>
      </c>
      <c r="S42" s="11">
        <v>437</v>
      </c>
      <c r="T42" s="12">
        <f t="shared" si="324"/>
        <v>0.59043927648578809</v>
      </c>
      <c r="U42" s="11">
        <v>20</v>
      </c>
      <c r="V42" s="12">
        <f t="shared" si="325"/>
        <v>4.3763676148796497E-2</v>
      </c>
      <c r="W42" s="13"/>
      <c r="X42" s="11"/>
      <c r="Y42" s="11"/>
      <c r="Z42" s="14"/>
      <c r="AA42" s="10"/>
      <c r="AB42" s="11"/>
      <c r="AC42" s="69">
        <f t="shared" ref="AC42:AC47" si="376">AC41-AA42</f>
        <v>193</v>
      </c>
      <c r="AD42" s="69">
        <f t="shared" ref="AD42:AD47" si="377">AD41-AB42</f>
        <v>15</v>
      </c>
      <c r="AE42" s="11">
        <v>110</v>
      </c>
      <c r="AF42" s="12">
        <f t="shared" si="326"/>
        <v>0.58549222797927458</v>
      </c>
      <c r="AG42" s="11">
        <v>3</v>
      </c>
      <c r="AH42" s="12">
        <f t="shared" si="327"/>
        <v>2.6548672566371681E-2</v>
      </c>
      <c r="AI42" s="13"/>
      <c r="AJ42" s="11"/>
      <c r="AK42" s="11"/>
      <c r="AL42" s="14"/>
      <c r="AM42" s="10"/>
      <c r="AN42" s="11"/>
      <c r="AO42" s="69">
        <f t="shared" ref="AO42:AO47" si="378">AO41-AM42</f>
        <v>776</v>
      </c>
      <c r="AP42" s="69">
        <f t="shared" ref="AP42:AP47" si="379">AP41-AN42</f>
        <v>69</v>
      </c>
      <c r="AQ42" s="11">
        <v>391</v>
      </c>
      <c r="AR42" s="12">
        <f t="shared" si="328"/>
        <v>0.53608247422680411</v>
      </c>
      <c r="AS42" s="11">
        <v>25</v>
      </c>
      <c r="AT42" s="12">
        <f t="shared" si="329"/>
        <v>6.0096153846153848E-2</v>
      </c>
      <c r="AU42" s="13"/>
      <c r="AV42" s="11"/>
      <c r="AW42" s="11"/>
      <c r="AX42" s="14"/>
      <c r="AY42" s="10"/>
      <c r="AZ42" s="11"/>
      <c r="BA42" s="69">
        <f t="shared" ref="BA42:BA47" si="380">BA41-AY42</f>
        <v>777</v>
      </c>
      <c r="BB42" s="69">
        <f t="shared" ref="BB42:BB47" si="381">BB41-AZ42</f>
        <v>69</v>
      </c>
      <c r="BC42" s="11">
        <v>389</v>
      </c>
      <c r="BD42" s="12">
        <f t="shared" si="330"/>
        <v>0.52767052767052769</v>
      </c>
      <c r="BE42" s="11">
        <v>21</v>
      </c>
      <c r="BF42" s="12">
        <f t="shared" si="331"/>
        <v>5.1219512195121948E-2</v>
      </c>
      <c r="BG42" s="13"/>
      <c r="BH42" s="11"/>
      <c r="BI42" s="11"/>
      <c r="BJ42" s="14"/>
      <c r="BK42" s="10"/>
      <c r="BL42" s="11"/>
      <c r="BM42" s="69">
        <f t="shared" ref="BM42:BM47" si="382">BM41-BK42</f>
        <v>847</v>
      </c>
      <c r="BN42" s="69">
        <f t="shared" ref="BN42:BN47" si="383">BN41-BL42</f>
        <v>77</v>
      </c>
      <c r="BO42" s="11">
        <v>500</v>
      </c>
      <c r="BP42" s="12">
        <f t="shared" si="332"/>
        <v>0.62219598583234947</v>
      </c>
      <c r="BQ42" s="11">
        <v>27</v>
      </c>
      <c r="BR42" s="12">
        <f t="shared" si="333"/>
        <v>5.1233396584440226E-2</v>
      </c>
      <c r="BS42" s="13"/>
      <c r="BT42" s="11"/>
      <c r="BU42" s="11"/>
      <c r="BV42" s="14"/>
      <c r="BW42" s="10"/>
      <c r="BX42" s="11"/>
      <c r="BY42" s="69">
        <f t="shared" ref="BY42:BY47" si="384">BY41-BW42</f>
        <v>765</v>
      </c>
      <c r="BZ42" s="69">
        <f t="shared" ref="BZ42:BZ47" si="385">BZ41-BX42</f>
        <v>69</v>
      </c>
      <c r="CA42" s="11">
        <v>425</v>
      </c>
      <c r="CB42" s="12">
        <f t="shared" si="334"/>
        <v>0.58823529411764708</v>
      </c>
      <c r="CC42" s="11">
        <v>25</v>
      </c>
      <c r="CD42" s="12">
        <f t="shared" si="335"/>
        <v>5.5555555555555552E-2</v>
      </c>
      <c r="CE42" s="13"/>
      <c r="CF42" s="11"/>
      <c r="CG42" s="11"/>
      <c r="CH42" s="14"/>
      <c r="CI42" s="10"/>
      <c r="CJ42" s="11"/>
      <c r="CK42" s="69">
        <f t="shared" ref="CK42:CK47" si="386">CK41-CI42</f>
        <v>195</v>
      </c>
      <c r="CL42" s="69">
        <f t="shared" ref="CL42:CL47" si="387">CL41-CJ42</f>
        <v>17</v>
      </c>
      <c r="CM42" s="11">
        <v>67</v>
      </c>
      <c r="CN42" s="12">
        <f t="shared" si="336"/>
        <v>0.35384615384615387</v>
      </c>
      <c r="CO42" s="11">
        <v>2</v>
      </c>
      <c r="CP42" s="12">
        <f t="shared" si="337"/>
        <v>2.8985507246376812E-2</v>
      </c>
      <c r="CQ42" s="13"/>
      <c r="CR42" s="11"/>
      <c r="CS42" s="11"/>
      <c r="CT42" s="14"/>
      <c r="CU42" s="10"/>
      <c r="CV42" s="11"/>
      <c r="CW42" s="69">
        <f t="shared" ref="CW42:CW47" si="388">CW41-CU42</f>
        <v>763</v>
      </c>
      <c r="CX42" s="69">
        <f t="shared" ref="CX42:CX47" si="389">CX41-CV42</f>
        <v>70</v>
      </c>
      <c r="CY42" s="11">
        <v>473</v>
      </c>
      <c r="CZ42" s="12">
        <f t="shared" si="338"/>
        <v>0.6526867627785059</v>
      </c>
      <c r="DA42" s="11">
        <v>25</v>
      </c>
      <c r="DB42" s="12">
        <f t="shared" si="339"/>
        <v>5.0200803212851405E-2</v>
      </c>
      <c r="DC42" s="13"/>
      <c r="DD42" s="11"/>
      <c r="DE42" s="11"/>
      <c r="DF42" s="14"/>
      <c r="DG42" s="10"/>
      <c r="DH42" s="11"/>
      <c r="DI42" s="69">
        <f t="shared" ref="DI42:DI47" si="390">DI41-DG42</f>
        <v>767</v>
      </c>
      <c r="DJ42" s="69">
        <f t="shared" ref="DJ42:DJ47" si="391">DJ41-DH42</f>
        <v>70</v>
      </c>
      <c r="DK42" s="11">
        <v>501</v>
      </c>
      <c r="DL42" s="12">
        <f t="shared" si="340"/>
        <v>0.69230769230769229</v>
      </c>
      <c r="DM42" s="11">
        <v>30</v>
      </c>
      <c r="DN42" s="12">
        <f t="shared" si="341"/>
        <v>5.6497175141242938E-2</v>
      </c>
      <c r="DO42" s="13"/>
      <c r="DP42" s="11"/>
      <c r="DQ42" s="11"/>
      <c r="DR42" s="14"/>
      <c r="DS42" s="10"/>
      <c r="DT42" s="11"/>
      <c r="DU42" s="69">
        <f t="shared" ref="DU42:DU47" si="392">DU41-DS42</f>
        <v>865</v>
      </c>
      <c r="DV42" s="69">
        <f t="shared" ref="DV42:DV47" si="393">DV41-DT42</f>
        <v>78</v>
      </c>
      <c r="DW42" s="11">
        <v>510</v>
      </c>
      <c r="DX42" s="12">
        <f t="shared" si="342"/>
        <v>0.62427745664739887</v>
      </c>
      <c r="DY42" s="11">
        <v>30</v>
      </c>
      <c r="DZ42" s="12">
        <f t="shared" si="343"/>
        <v>5.5555555555555552E-2</v>
      </c>
      <c r="EA42" s="13"/>
      <c r="EB42" s="11"/>
      <c r="EC42" s="11"/>
      <c r="ED42" s="14"/>
      <c r="EE42" s="10"/>
      <c r="EF42" s="11"/>
      <c r="EG42" s="69">
        <f t="shared" ref="EG42:EG47" si="394">EG41-EE42</f>
        <v>869</v>
      </c>
      <c r="EH42" s="69">
        <f t="shared" ref="EH42:EH47" si="395">EH41-EF42</f>
        <v>79</v>
      </c>
      <c r="EI42" s="11">
        <v>518</v>
      </c>
      <c r="EJ42" s="12">
        <f t="shared" si="344"/>
        <v>0.62830840046029923</v>
      </c>
      <c r="EK42" s="11">
        <v>28</v>
      </c>
      <c r="EL42" s="12">
        <f t="shared" si="345"/>
        <v>5.128205128205128E-2</v>
      </c>
      <c r="EM42" s="13"/>
      <c r="EN42" s="11"/>
      <c r="EO42" s="11"/>
      <c r="EP42" s="14"/>
      <c r="EQ42" s="10">
        <v>1</v>
      </c>
      <c r="ER42" s="11"/>
      <c r="ES42" s="69">
        <f t="shared" ref="ES42:ES47" si="396">ES41-EQ42</f>
        <v>213</v>
      </c>
      <c r="ET42" s="69">
        <f t="shared" ref="ET42:ET47" si="397">ET41-ER42</f>
        <v>17</v>
      </c>
      <c r="EU42" s="11">
        <v>79</v>
      </c>
      <c r="EV42" s="12">
        <f t="shared" si="346"/>
        <v>0.39906103286384975</v>
      </c>
      <c r="EW42" s="11">
        <v>6</v>
      </c>
      <c r="EX42" s="12">
        <f t="shared" si="347"/>
        <v>7.0588235294117646E-2</v>
      </c>
      <c r="EY42" s="13"/>
      <c r="EZ42" s="11"/>
      <c r="FA42" s="11"/>
      <c r="FB42" s="14"/>
      <c r="FC42" s="10">
        <v>1</v>
      </c>
      <c r="FD42" s="11"/>
      <c r="FE42" s="69">
        <f t="shared" ref="FE42:FE47" si="398">FE41-FC42</f>
        <v>867</v>
      </c>
      <c r="FF42" s="69">
        <f t="shared" ref="FF42:FF47" si="399">FF41-FD42</f>
        <v>79</v>
      </c>
      <c r="FG42" s="11">
        <v>530</v>
      </c>
      <c r="FH42" s="12">
        <f t="shared" si="348"/>
        <v>0.63552479815455598</v>
      </c>
      <c r="FI42" s="11">
        <v>21</v>
      </c>
      <c r="FJ42" s="12">
        <f t="shared" si="349"/>
        <v>3.8112522686025406E-2</v>
      </c>
      <c r="FK42" s="13"/>
      <c r="FL42" s="11"/>
      <c r="FM42" s="11"/>
      <c r="FN42" s="14"/>
      <c r="FO42" s="10"/>
      <c r="FP42" s="11"/>
      <c r="FQ42" s="69">
        <f t="shared" ref="FQ42:FQ47" si="400">FQ41-FO42</f>
        <v>911</v>
      </c>
      <c r="FR42" s="69">
        <f t="shared" ref="FR42:FR47" si="401">FR41-FP42</f>
        <v>81</v>
      </c>
      <c r="FS42" s="11">
        <v>506</v>
      </c>
      <c r="FT42" s="12">
        <f t="shared" si="350"/>
        <v>0.59934138309549945</v>
      </c>
      <c r="FU42" s="11">
        <v>40</v>
      </c>
      <c r="FV42" s="12">
        <f t="shared" si="351"/>
        <v>7.3260073260073263E-2</v>
      </c>
      <c r="FW42" s="13"/>
      <c r="FX42" s="11"/>
      <c r="FY42" s="11"/>
      <c r="FZ42" s="14"/>
      <c r="GA42" s="10"/>
      <c r="GB42" s="11"/>
      <c r="GC42" s="69">
        <f t="shared" ref="GC42:GC47" si="402">GC41-GA42</f>
        <v>912</v>
      </c>
      <c r="GD42" s="69">
        <f t="shared" ref="GD42:GD47" si="403">GD41-GB42</f>
        <v>82</v>
      </c>
      <c r="GE42" s="11">
        <v>516</v>
      </c>
      <c r="GF42" s="12">
        <f t="shared" si="352"/>
        <v>0.59539473684210531</v>
      </c>
      <c r="GG42" s="11">
        <v>27</v>
      </c>
      <c r="GH42" s="12">
        <f t="shared" si="353"/>
        <v>4.9723756906077346E-2</v>
      </c>
      <c r="GI42" s="13"/>
      <c r="GJ42" s="11"/>
      <c r="GK42" s="11"/>
      <c r="GL42" s="14"/>
      <c r="GM42" s="10"/>
      <c r="GN42" s="11"/>
      <c r="GO42" s="69">
        <f t="shared" ref="GO42:GO47" si="404">GO41-GM42</f>
        <v>196</v>
      </c>
      <c r="GP42" s="69">
        <f t="shared" ref="GP42:GP47" si="405">GP41-GN42</f>
        <v>19</v>
      </c>
      <c r="GQ42" s="11">
        <v>86</v>
      </c>
      <c r="GR42" s="12">
        <f t="shared" si="354"/>
        <v>0.47448979591836737</v>
      </c>
      <c r="GS42" s="11">
        <v>7</v>
      </c>
      <c r="GT42" s="12">
        <f t="shared" si="355"/>
        <v>7.5268817204301078E-2</v>
      </c>
      <c r="GU42" s="13"/>
      <c r="GV42" s="11"/>
      <c r="GW42" s="11"/>
      <c r="GX42" s="14"/>
      <c r="GY42" s="10"/>
      <c r="GZ42" s="11"/>
      <c r="HA42" s="69">
        <f t="shared" ref="HA42:HA47" si="406">HA41-GY42</f>
        <v>912</v>
      </c>
      <c r="HB42" s="69">
        <f t="shared" ref="HB42:HB47" si="407">HB41-GZ42</f>
        <v>82</v>
      </c>
      <c r="HC42" s="11">
        <v>532</v>
      </c>
      <c r="HD42" s="12">
        <f t="shared" si="356"/>
        <v>0.60855263157894735</v>
      </c>
      <c r="HE42" s="11">
        <v>23</v>
      </c>
      <c r="HF42" s="12">
        <f t="shared" si="357"/>
        <v>4.1441441441441441E-2</v>
      </c>
      <c r="HG42" s="13"/>
      <c r="HH42" s="11"/>
      <c r="HI42" s="11"/>
      <c r="HJ42" s="14"/>
      <c r="HK42" s="10">
        <f t="shared" si="358"/>
        <v>2</v>
      </c>
      <c r="HL42" s="11">
        <f t="shared" si="359"/>
        <v>0</v>
      </c>
      <c r="HM42" s="11">
        <f t="shared" si="360"/>
        <v>12452</v>
      </c>
      <c r="HN42" s="11">
        <f t="shared" si="361"/>
        <v>1117</v>
      </c>
      <c r="HO42" s="11">
        <f t="shared" si="362"/>
        <v>7451</v>
      </c>
      <c r="HP42" s="95">
        <f t="shared" si="363"/>
        <v>0.59837777063925479</v>
      </c>
      <c r="HQ42" s="15">
        <f t="shared" si="364"/>
        <v>380</v>
      </c>
      <c r="HR42" s="12">
        <f t="shared" si="365"/>
        <v>5.0999865789826869E-2</v>
      </c>
      <c r="HS42" s="16">
        <v>53</v>
      </c>
      <c r="HT42" s="17">
        <v>6884</v>
      </c>
      <c r="HU42" s="16">
        <f t="shared" si="366"/>
        <v>92.3902831834653</v>
      </c>
      <c r="HV42" s="15"/>
      <c r="HW42" s="14"/>
      <c r="HX42" s="73">
        <f t="shared" si="367"/>
        <v>0.56884272997032637</v>
      </c>
      <c r="HY42" s="73">
        <f t="shared" si="368"/>
        <v>0.6218160023973629</v>
      </c>
      <c r="HZ42" s="73">
        <f t="shared" si="369"/>
        <v>0.61194029850746268</v>
      </c>
      <c r="IA42" s="73">
        <f t="shared" si="370"/>
        <v>0.59263050153531216</v>
      </c>
    </row>
    <row r="43" spans="1:244" x14ac:dyDescent="0.25">
      <c r="A43" s="374"/>
      <c r="B43" s="41">
        <f t="shared" si="371"/>
        <v>44971</v>
      </c>
      <c r="C43" s="10"/>
      <c r="D43" s="11"/>
      <c r="E43" s="69">
        <f t="shared" si="372"/>
        <v>850</v>
      </c>
      <c r="F43" s="69">
        <f t="shared" si="372"/>
        <v>75</v>
      </c>
      <c r="G43" s="11">
        <v>531</v>
      </c>
      <c r="H43" s="12">
        <f t="shared" si="323"/>
        <v>0.66705882352941182</v>
      </c>
      <c r="I43" s="11">
        <v>36</v>
      </c>
      <c r="J43" s="12">
        <f t="shared" si="373"/>
        <v>6.3492063492063489E-2</v>
      </c>
      <c r="K43" s="13"/>
      <c r="L43" s="11"/>
      <c r="M43" s="11"/>
      <c r="N43" s="14"/>
      <c r="O43" s="10">
        <v>1</v>
      </c>
      <c r="P43" s="11"/>
      <c r="Q43" s="69">
        <f t="shared" si="374"/>
        <v>773</v>
      </c>
      <c r="R43" s="69">
        <f t="shared" si="375"/>
        <v>69</v>
      </c>
      <c r="S43" s="11">
        <v>491</v>
      </c>
      <c r="T43" s="12">
        <f t="shared" si="324"/>
        <v>0.68046571798188871</v>
      </c>
      <c r="U43" s="11">
        <v>35</v>
      </c>
      <c r="V43" s="12">
        <f t="shared" si="325"/>
        <v>6.6539923954372623E-2</v>
      </c>
      <c r="W43" s="182">
        <v>153.6</v>
      </c>
      <c r="X43" s="11"/>
      <c r="Y43" s="11"/>
      <c r="Z43" s="14"/>
      <c r="AA43" s="10"/>
      <c r="AB43" s="11"/>
      <c r="AC43" s="69">
        <f t="shared" si="376"/>
        <v>193</v>
      </c>
      <c r="AD43" s="69">
        <f t="shared" si="377"/>
        <v>15</v>
      </c>
      <c r="AE43" s="11">
        <v>110</v>
      </c>
      <c r="AF43" s="12">
        <f t="shared" si="326"/>
        <v>0.62176165803108807</v>
      </c>
      <c r="AG43" s="11">
        <v>10</v>
      </c>
      <c r="AH43" s="12">
        <f t="shared" si="327"/>
        <v>8.3333333333333329E-2</v>
      </c>
      <c r="AI43" s="182">
        <v>151</v>
      </c>
      <c r="AJ43" s="11"/>
      <c r="AK43" s="11"/>
      <c r="AL43" s="14"/>
      <c r="AM43" s="10"/>
      <c r="AN43" s="11"/>
      <c r="AO43" s="69">
        <f t="shared" si="378"/>
        <v>776</v>
      </c>
      <c r="AP43" s="69">
        <f t="shared" si="379"/>
        <v>69</v>
      </c>
      <c r="AQ43" s="11">
        <v>430</v>
      </c>
      <c r="AR43" s="12">
        <f t="shared" si="328"/>
        <v>0.59664948453608246</v>
      </c>
      <c r="AS43" s="11">
        <v>33</v>
      </c>
      <c r="AT43" s="12">
        <f t="shared" si="329"/>
        <v>7.1274298056155511E-2</v>
      </c>
      <c r="AU43" s="182">
        <v>144.30000000000001</v>
      </c>
      <c r="AV43" s="11"/>
      <c r="AW43" s="11"/>
      <c r="AX43" s="14"/>
      <c r="AY43" s="10"/>
      <c r="AZ43" s="11"/>
      <c r="BA43" s="69">
        <f t="shared" si="380"/>
        <v>777</v>
      </c>
      <c r="BB43" s="69">
        <f t="shared" si="381"/>
        <v>69</v>
      </c>
      <c r="BC43" s="11">
        <v>492</v>
      </c>
      <c r="BD43" s="12">
        <f t="shared" si="330"/>
        <v>0.6782496782496783</v>
      </c>
      <c r="BE43" s="11">
        <v>35</v>
      </c>
      <c r="BF43" s="12">
        <f t="shared" si="331"/>
        <v>6.6413662239089177E-2</v>
      </c>
      <c r="BG43" s="182">
        <v>153.6</v>
      </c>
      <c r="BH43" s="11"/>
      <c r="BI43" s="11"/>
      <c r="BJ43" s="14"/>
      <c r="BK43" s="10"/>
      <c r="BL43" s="11"/>
      <c r="BM43" s="69">
        <f t="shared" si="382"/>
        <v>847</v>
      </c>
      <c r="BN43" s="69">
        <f t="shared" si="383"/>
        <v>77</v>
      </c>
      <c r="BO43" s="11">
        <v>524</v>
      </c>
      <c r="BP43" s="12">
        <f t="shared" si="332"/>
        <v>0.65997638724911456</v>
      </c>
      <c r="BQ43" s="11">
        <v>35</v>
      </c>
      <c r="BR43" s="12">
        <f t="shared" si="333"/>
        <v>6.2611806797853303E-2</v>
      </c>
      <c r="BS43" s="182">
        <v>155.69999999999999</v>
      </c>
      <c r="BT43" s="11"/>
      <c r="BU43" s="11"/>
      <c r="BV43" s="14"/>
      <c r="BW43" s="10"/>
      <c r="BX43" s="11"/>
      <c r="BY43" s="69">
        <f t="shared" si="384"/>
        <v>765</v>
      </c>
      <c r="BZ43" s="69">
        <f t="shared" si="385"/>
        <v>69</v>
      </c>
      <c r="CA43" s="11">
        <v>474</v>
      </c>
      <c r="CB43" s="12">
        <f t="shared" si="334"/>
        <v>0.65098039215686276</v>
      </c>
      <c r="CC43" s="11">
        <v>24</v>
      </c>
      <c r="CD43" s="12">
        <f t="shared" si="335"/>
        <v>4.8192771084337352E-2</v>
      </c>
      <c r="CE43" s="182">
        <v>155.5</v>
      </c>
      <c r="CF43" s="11"/>
      <c r="CG43" s="11"/>
      <c r="CH43" s="14"/>
      <c r="CI43" s="10"/>
      <c r="CJ43" s="11"/>
      <c r="CK43" s="69">
        <f t="shared" si="386"/>
        <v>195</v>
      </c>
      <c r="CL43" s="69">
        <f t="shared" si="387"/>
        <v>17</v>
      </c>
      <c r="CM43" s="11">
        <v>88</v>
      </c>
      <c r="CN43" s="12">
        <f t="shared" si="336"/>
        <v>0.48205128205128206</v>
      </c>
      <c r="CO43" s="11">
        <v>6</v>
      </c>
      <c r="CP43" s="12">
        <f t="shared" si="337"/>
        <v>6.3829787234042548E-2</v>
      </c>
      <c r="CQ43" s="13"/>
      <c r="CR43" s="11"/>
      <c r="CS43" s="11"/>
      <c r="CT43" s="14"/>
      <c r="CU43" s="10"/>
      <c r="CV43" s="11"/>
      <c r="CW43" s="69">
        <f t="shared" si="388"/>
        <v>763</v>
      </c>
      <c r="CX43" s="69">
        <f t="shared" si="389"/>
        <v>70</v>
      </c>
      <c r="CY43" s="11">
        <v>475</v>
      </c>
      <c r="CZ43" s="12">
        <f t="shared" si="338"/>
        <v>0.64613368283093053</v>
      </c>
      <c r="DA43" s="11">
        <v>18</v>
      </c>
      <c r="DB43" s="12">
        <f t="shared" si="339"/>
        <v>3.6511156186612576E-2</v>
      </c>
      <c r="DC43" s="182">
        <v>155.4</v>
      </c>
      <c r="DD43" s="11"/>
      <c r="DE43" s="11"/>
      <c r="DF43" s="14"/>
      <c r="DG43" s="10"/>
      <c r="DH43" s="11"/>
      <c r="DI43" s="69">
        <f t="shared" si="390"/>
        <v>767</v>
      </c>
      <c r="DJ43" s="69">
        <f t="shared" si="391"/>
        <v>70</v>
      </c>
      <c r="DK43" s="11">
        <v>486</v>
      </c>
      <c r="DL43" s="12">
        <f t="shared" si="340"/>
        <v>0.67275097783572357</v>
      </c>
      <c r="DM43" s="11">
        <v>30</v>
      </c>
      <c r="DN43" s="12">
        <f t="shared" si="341"/>
        <v>5.8139534883720929E-2</v>
      </c>
      <c r="DO43" s="13"/>
      <c r="DP43" s="11"/>
      <c r="DQ43" s="11"/>
      <c r="DR43" s="14"/>
      <c r="DS43" s="10"/>
      <c r="DT43" s="11"/>
      <c r="DU43" s="69">
        <f t="shared" si="392"/>
        <v>865</v>
      </c>
      <c r="DV43" s="69">
        <f t="shared" si="393"/>
        <v>78</v>
      </c>
      <c r="DW43" s="11">
        <v>502</v>
      </c>
      <c r="DX43" s="12">
        <f t="shared" si="342"/>
        <v>0.61387283236994217</v>
      </c>
      <c r="DY43" s="11">
        <v>29</v>
      </c>
      <c r="DZ43" s="12">
        <f t="shared" si="343"/>
        <v>5.4613935969868174E-2</v>
      </c>
      <c r="EA43" s="182">
        <v>151</v>
      </c>
      <c r="EB43" s="11"/>
      <c r="EC43" s="11"/>
      <c r="ED43" s="14"/>
      <c r="EE43" s="10">
        <v>2</v>
      </c>
      <c r="EF43" s="11"/>
      <c r="EG43" s="69">
        <f t="shared" si="394"/>
        <v>867</v>
      </c>
      <c r="EH43" s="69">
        <f t="shared" si="395"/>
        <v>79</v>
      </c>
      <c r="EI43" s="11">
        <v>507</v>
      </c>
      <c r="EJ43" s="12">
        <f t="shared" si="344"/>
        <v>0.6182237600922722</v>
      </c>
      <c r="EK43" s="11">
        <v>29</v>
      </c>
      <c r="EL43" s="12">
        <f t="shared" si="345"/>
        <v>5.4104477611940295E-2</v>
      </c>
      <c r="EM43" s="13"/>
      <c r="EN43" s="11"/>
      <c r="EO43" s="11"/>
      <c r="EP43" s="14"/>
      <c r="EQ43" s="10">
        <v>1</v>
      </c>
      <c r="ER43" s="11"/>
      <c r="ES43" s="69">
        <f t="shared" si="396"/>
        <v>212</v>
      </c>
      <c r="ET43" s="69">
        <f t="shared" si="397"/>
        <v>17</v>
      </c>
      <c r="EU43" s="11">
        <v>97</v>
      </c>
      <c r="EV43" s="12">
        <f t="shared" si="346"/>
        <v>0.49056603773584906</v>
      </c>
      <c r="EW43" s="11">
        <v>7</v>
      </c>
      <c r="EX43" s="12">
        <f t="shared" si="347"/>
        <v>6.7307692307692304E-2</v>
      </c>
      <c r="EY43" s="182">
        <v>140.6</v>
      </c>
      <c r="EZ43" s="11"/>
      <c r="FA43" s="11"/>
      <c r="FB43" s="14"/>
      <c r="FC43" s="10"/>
      <c r="FD43" s="11"/>
      <c r="FE43" s="69">
        <f t="shared" si="398"/>
        <v>867</v>
      </c>
      <c r="FF43" s="69">
        <f t="shared" si="399"/>
        <v>79</v>
      </c>
      <c r="FG43" s="11">
        <v>546</v>
      </c>
      <c r="FH43" s="12">
        <f t="shared" si="348"/>
        <v>0.65743944636678198</v>
      </c>
      <c r="FI43" s="11">
        <v>24</v>
      </c>
      <c r="FJ43" s="12">
        <f t="shared" si="349"/>
        <v>4.2105263157894736E-2</v>
      </c>
      <c r="FK43" s="182">
        <v>154.30000000000001</v>
      </c>
      <c r="FL43" s="11"/>
      <c r="FM43" s="11"/>
      <c r="FN43" s="14"/>
      <c r="FO43" s="10"/>
      <c r="FP43" s="11"/>
      <c r="FQ43" s="69">
        <f t="shared" si="400"/>
        <v>911</v>
      </c>
      <c r="FR43" s="69">
        <f t="shared" si="401"/>
        <v>81</v>
      </c>
      <c r="FS43" s="11">
        <v>518</v>
      </c>
      <c r="FT43" s="12">
        <f t="shared" si="350"/>
        <v>0.60482985729967065</v>
      </c>
      <c r="FU43" s="11">
        <v>33</v>
      </c>
      <c r="FV43" s="12">
        <f t="shared" si="351"/>
        <v>5.9891107078039928E-2</v>
      </c>
      <c r="FW43" s="182">
        <v>150.4</v>
      </c>
      <c r="FX43" s="11"/>
      <c r="FY43" s="11"/>
      <c r="FZ43" s="14"/>
      <c r="GA43" s="10"/>
      <c r="GB43" s="11"/>
      <c r="GC43" s="69">
        <f t="shared" si="402"/>
        <v>912</v>
      </c>
      <c r="GD43" s="69">
        <f t="shared" si="403"/>
        <v>82</v>
      </c>
      <c r="GE43" s="11">
        <v>580</v>
      </c>
      <c r="GF43" s="12">
        <f t="shared" si="352"/>
        <v>0.66118421052631582</v>
      </c>
      <c r="GG43" s="11">
        <v>23</v>
      </c>
      <c r="GH43" s="12">
        <f t="shared" si="353"/>
        <v>3.8142620232172471E-2</v>
      </c>
      <c r="GI43" s="182">
        <v>149.80000000000001</v>
      </c>
      <c r="GJ43" s="11"/>
      <c r="GK43" s="11"/>
      <c r="GL43" s="14"/>
      <c r="GM43" s="10">
        <v>1</v>
      </c>
      <c r="GN43" s="11"/>
      <c r="GO43" s="69">
        <f t="shared" si="404"/>
        <v>195</v>
      </c>
      <c r="GP43" s="69">
        <f t="shared" si="405"/>
        <v>19</v>
      </c>
      <c r="GQ43" s="11">
        <v>106</v>
      </c>
      <c r="GR43" s="12">
        <f t="shared" si="354"/>
        <v>0.57948717948717954</v>
      </c>
      <c r="GS43" s="11">
        <v>7</v>
      </c>
      <c r="GT43" s="12">
        <f t="shared" si="355"/>
        <v>6.1946902654867256E-2</v>
      </c>
      <c r="GU43" s="182">
        <v>144.19999999999999</v>
      </c>
      <c r="GV43" s="11"/>
      <c r="GW43" s="11"/>
      <c r="GX43" s="14"/>
      <c r="GY43" s="10"/>
      <c r="GZ43" s="11"/>
      <c r="HA43" s="69">
        <f t="shared" si="406"/>
        <v>912</v>
      </c>
      <c r="HB43" s="69">
        <f t="shared" si="407"/>
        <v>82</v>
      </c>
      <c r="HC43" s="11">
        <v>599</v>
      </c>
      <c r="HD43" s="12">
        <f t="shared" si="356"/>
        <v>0.67982456140350878</v>
      </c>
      <c r="HE43" s="11">
        <v>21</v>
      </c>
      <c r="HF43" s="12">
        <f t="shared" si="357"/>
        <v>3.3870967741935487E-2</v>
      </c>
      <c r="HG43" s="182">
        <v>148.5</v>
      </c>
      <c r="HH43" s="11"/>
      <c r="HI43" s="11"/>
      <c r="HJ43" s="14"/>
      <c r="HK43" s="10">
        <f t="shared" si="358"/>
        <v>5</v>
      </c>
      <c r="HL43" s="11">
        <f t="shared" si="359"/>
        <v>0</v>
      </c>
      <c r="HM43" s="11">
        <f t="shared" si="360"/>
        <v>12447</v>
      </c>
      <c r="HN43" s="11">
        <f t="shared" si="361"/>
        <v>1117</v>
      </c>
      <c r="HO43" s="11">
        <f t="shared" si="362"/>
        <v>7991</v>
      </c>
      <c r="HP43" s="95">
        <f t="shared" si="363"/>
        <v>0.64200208885675258</v>
      </c>
      <c r="HQ43" s="15">
        <f t="shared" si="364"/>
        <v>435</v>
      </c>
      <c r="HR43" s="12">
        <f t="shared" si="365"/>
        <v>5.4436240770867228E-2</v>
      </c>
      <c r="HS43" s="16">
        <v>53</v>
      </c>
      <c r="HT43" s="17">
        <v>7402</v>
      </c>
      <c r="HU43" s="16">
        <f t="shared" si="366"/>
        <v>92.629207858841198</v>
      </c>
      <c r="HV43" s="15"/>
      <c r="HW43" s="14"/>
      <c r="HX43" s="73">
        <f t="shared" si="367"/>
        <v>0.65390323538141881</v>
      </c>
      <c r="HY43" s="73">
        <f t="shared" si="368"/>
        <v>0.64728798321845971</v>
      </c>
      <c r="HZ43" s="73">
        <f t="shared" si="369"/>
        <v>0.61935254357879754</v>
      </c>
      <c r="IA43" s="73">
        <f t="shared" si="370"/>
        <v>0.6440273037542662</v>
      </c>
    </row>
    <row r="44" spans="1:244" x14ac:dyDescent="0.25">
      <c r="A44" s="374"/>
      <c r="B44" s="41">
        <f t="shared" si="371"/>
        <v>44972</v>
      </c>
      <c r="C44" s="10"/>
      <c r="D44" s="11"/>
      <c r="E44" s="69">
        <f t="shared" si="372"/>
        <v>850</v>
      </c>
      <c r="F44" s="69">
        <f t="shared" si="372"/>
        <v>75</v>
      </c>
      <c r="G44" s="11">
        <v>573</v>
      </c>
      <c r="H44" s="12">
        <f t="shared" si="323"/>
        <v>0.69294117647058828</v>
      </c>
      <c r="I44" s="11">
        <v>16</v>
      </c>
      <c r="J44" s="12">
        <f t="shared" si="373"/>
        <v>2.7164685908319185E-2</v>
      </c>
      <c r="K44" s="191">
        <v>159.4</v>
      </c>
      <c r="L44" s="11"/>
      <c r="M44" s="18"/>
      <c r="N44" s="20"/>
      <c r="O44" s="10">
        <v>1</v>
      </c>
      <c r="P44" s="11"/>
      <c r="Q44" s="69">
        <f t="shared" si="374"/>
        <v>772</v>
      </c>
      <c r="R44" s="69">
        <f t="shared" si="375"/>
        <v>69</v>
      </c>
      <c r="S44" s="11">
        <v>538</v>
      </c>
      <c r="T44" s="12">
        <f t="shared" si="324"/>
        <v>0.72150259067357514</v>
      </c>
      <c r="U44" s="11">
        <v>19</v>
      </c>
      <c r="V44" s="12">
        <f t="shared" si="325"/>
        <v>3.4111310592459608E-2</v>
      </c>
      <c r="W44" s="191">
        <v>159.19999999999999</v>
      </c>
      <c r="X44" s="11"/>
      <c r="Y44" s="18"/>
      <c r="Z44" s="20"/>
      <c r="AA44" s="10">
        <v>1</v>
      </c>
      <c r="AB44" s="11"/>
      <c r="AC44" s="69">
        <f t="shared" si="376"/>
        <v>192</v>
      </c>
      <c r="AD44" s="69">
        <f t="shared" si="377"/>
        <v>15</v>
      </c>
      <c r="AE44" s="11">
        <v>119</v>
      </c>
      <c r="AF44" s="12">
        <f t="shared" si="326"/>
        <v>0.625</v>
      </c>
      <c r="AG44" s="11">
        <v>1</v>
      </c>
      <c r="AH44" s="12">
        <f t="shared" si="327"/>
        <v>8.3333333333333332E-3</v>
      </c>
      <c r="AI44" s="11"/>
      <c r="AJ44" s="11"/>
      <c r="AK44" s="18"/>
      <c r="AL44" s="20"/>
      <c r="AM44" s="10"/>
      <c r="AN44" s="11"/>
      <c r="AO44" s="69">
        <f t="shared" si="378"/>
        <v>776</v>
      </c>
      <c r="AP44" s="69">
        <f t="shared" si="379"/>
        <v>69</v>
      </c>
      <c r="AQ44" s="11">
        <v>469</v>
      </c>
      <c r="AR44" s="12">
        <f t="shared" si="328"/>
        <v>0.63015463917525771</v>
      </c>
      <c r="AS44" s="11">
        <v>20</v>
      </c>
      <c r="AT44" s="12">
        <f t="shared" si="329"/>
        <v>4.0899795501022497E-2</v>
      </c>
      <c r="AU44" s="191">
        <v>148.69999999999999</v>
      </c>
      <c r="AV44" s="11"/>
      <c r="AW44" s="18"/>
      <c r="AX44" s="20"/>
      <c r="AY44" s="10"/>
      <c r="AZ44" s="11"/>
      <c r="BA44" s="69">
        <f t="shared" si="380"/>
        <v>777</v>
      </c>
      <c r="BB44" s="69">
        <f t="shared" si="381"/>
        <v>69</v>
      </c>
      <c r="BC44" s="11">
        <v>493</v>
      </c>
      <c r="BD44" s="12">
        <f t="shared" si="330"/>
        <v>0.67567567567567566</v>
      </c>
      <c r="BE44" s="11">
        <v>32</v>
      </c>
      <c r="BF44" s="12">
        <f t="shared" si="331"/>
        <v>6.0952380952380952E-2</v>
      </c>
      <c r="BG44" s="11"/>
      <c r="BH44" s="11"/>
      <c r="BI44" s="18"/>
      <c r="BJ44" s="20"/>
      <c r="BK44" s="10"/>
      <c r="BL44" s="11"/>
      <c r="BM44" s="69">
        <f t="shared" si="382"/>
        <v>847</v>
      </c>
      <c r="BN44" s="69">
        <f t="shared" si="383"/>
        <v>77</v>
      </c>
      <c r="BO44" s="11">
        <v>550</v>
      </c>
      <c r="BP44" s="12">
        <f t="shared" si="332"/>
        <v>0.67532467532467533</v>
      </c>
      <c r="BQ44" s="11">
        <v>22</v>
      </c>
      <c r="BR44" s="12">
        <f t="shared" si="333"/>
        <v>3.8461538461538464E-2</v>
      </c>
      <c r="BS44" s="11"/>
      <c r="BT44" s="11"/>
      <c r="BU44" s="18"/>
      <c r="BV44" s="20"/>
      <c r="BW44" s="10"/>
      <c r="BX44" s="11"/>
      <c r="BY44" s="69">
        <f t="shared" si="384"/>
        <v>765</v>
      </c>
      <c r="BZ44" s="69">
        <f t="shared" si="385"/>
        <v>69</v>
      </c>
      <c r="CA44" s="11">
        <v>494</v>
      </c>
      <c r="CB44" s="12">
        <f t="shared" si="334"/>
        <v>0.67712418300653598</v>
      </c>
      <c r="CC44" s="11">
        <v>24</v>
      </c>
      <c r="CD44" s="12">
        <f t="shared" si="335"/>
        <v>4.633204633204633E-2</v>
      </c>
      <c r="CE44" s="11"/>
      <c r="CF44" s="11"/>
      <c r="CG44" s="18"/>
      <c r="CH44" s="20"/>
      <c r="CI44" s="10"/>
      <c r="CJ44" s="11"/>
      <c r="CK44" s="69">
        <f t="shared" si="386"/>
        <v>195</v>
      </c>
      <c r="CL44" s="69">
        <f t="shared" si="387"/>
        <v>17</v>
      </c>
      <c r="CM44" s="11">
        <v>89</v>
      </c>
      <c r="CN44" s="12">
        <f t="shared" si="336"/>
        <v>0.48717948717948717</v>
      </c>
      <c r="CO44" s="11">
        <v>6</v>
      </c>
      <c r="CP44" s="12">
        <f t="shared" si="337"/>
        <v>6.3157894736842107E-2</v>
      </c>
      <c r="CQ44" s="192">
        <v>145.1</v>
      </c>
      <c r="CR44" s="11"/>
      <c r="CS44" s="18"/>
      <c r="CT44" s="20"/>
      <c r="CU44" s="10"/>
      <c r="CV44" s="11"/>
      <c r="CW44" s="69">
        <f t="shared" si="388"/>
        <v>763</v>
      </c>
      <c r="CX44" s="69">
        <f t="shared" si="389"/>
        <v>70</v>
      </c>
      <c r="CY44" s="11">
        <v>517</v>
      </c>
      <c r="CZ44" s="12">
        <f t="shared" si="338"/>
        <v>0.71035386631716912</v>
      </c>
      <c r="DA44" s="11">
        <v>25</v>
      </c>
      <c r="DB44" s="12">
        <f t="shared" si="339"/>
        <v>4.6125461254612546E-2</v>
      </c>
      <c r="DC44" s="191">
        <v>162.1</v>
      </c>
      <c r="DD44" s="11"/>
      <c r="DE44" s="18"/>
      <c r="DF44" s="20"/>
      <c r="DG44" s="10"/>
      <c r="DH44" s="11"/>
      <c r="DI44" s="69">
        <f t="shared" si="390"/>
        <v>767</v>
      </c>
      <c r="DJ44" s="69">
        <f t="shared" si="391"/>
        <v>70</v>
      </c>
      <c r="DK44" s="11">
        <v>490</v>
      </c>
      <c r="DL44" s="12">
        <f t="shared" si="340"/>
        <v>0.67144719687092569</v>
      </c>
      <c r="DM44" s="11">
        <v>25</v>
      </c>
      <c r="DN44" s="12">
        <f t="shared" si="341"/>
        <v>4.8543689320388349E-2</v>
      </c>
      <c r="DO44" s="11"/>
      <c r="DP44" s="11"/>
      <c r="DQ44" s="18"/>
      <c r="DR44" s="20"/>
      <c r="DS44" s="10"/>
      <c r="DT44" s="11"/>
      <c r="DU44" s="69">
        <f t="shared" si="392"/>
        <v>865</v>
      </c>
      <c r="DV44" s="69">
        <f t="shared" si="393"/>
        <v>78</v>
      </c>
      <c r="DW44" s="11">
        <v>506</v>
      </c>
      <c r="DX44" s="12">
        <f t="shared" si="342"/>
        <v>0.62080924855491326</v>
      </c>
      <c r="DY44" s="11">
        <v>31</v>
      </c>
      <c r="DZ44" s="12">
        <f t="shared" si="343"/>
        <v>5.7728119180633149E-2</v>
      </c>
      <c r="EA44" s="11"/>
      <c r="EB44" s="11"/>
      <c r="EC44" s="18"/>
      <c r="ED44" s="20"/>
      <c r="EE44" s="10"/>
      <c r="EF44" s="11"/>
      <c r="EG44" s="69">
        <f t="shared" si="394"/>
        <v>867</v>
      </c>
      <c r="EH44" s="69">
        <f t="shared" si="395"/>
        <v>79</v>
      </c>
      <c r="EI44" s="11">
        <v>555</v>
      </c>
      <c r="EJ44" s="12">
        <f t="shared" si="344"/>
        <v>0.67474048442906576</v>
      </c>
      <c r="EK44" s="11">
        <v>30</v>
      </c>
      <c r="EL44" s="12">
        <f t="shared" si="345"/>
        <v>5.128205128205128E-2</v>
      </c>
      <c r="EM44" s="191">
        <v>155.30000000000001</v>
      </c>
      <c r="EN44" s="11"/>
      <c r="EO44" s="18"/>
      <c r="EP44" s="20"/>
      <c r="EQ44" s="10"/>
      <c r="ER44" s="11"/>
      <c r="ES44" s="69">
        <f t="shared" si="396"/>
        <v>212</v>
      </c>
      <c r="ET44" s="69">
        <f t="shared" si="397"/>
        <v>17</v>
      </c>
      <c r="EU44" s="11">
        <v>94</v>
      </c>
      <c r="EV44" s="12">
        <f t="shared" si="346"/>
        <v>0.48113207547169812</v>
      </c>
      <c r="EW44" s="11">
        <v>8</v>
      </c>
      <c r="EX44" s="12">
        <f t="shared" si="347"/>
        <v>7.8431372549019607E-2</v>
      </c>
      <c r="EY44" s="11"/>
      <c r="EZ44" s="11"/>
      <c r="FA44" s="18"/>
      <c r="FB44" s="20"/>
      <c r="FC44" s="10"/>
      <c r="FD44" s="11">
        <v>1</v>
      </c>
      <c r="FE44" s="69">
        <f t="shared" si="398"/>
        <v>867</v>
      </c>
      <c r="FF44" s="69">
        <f t="shared" si="399"/>
        <v>78</v>
      </c>
      <c r="FG44" s="11">
        <v>537</v>
      </c>
      <c r="FH44" s="12">
        <f t="shared" si="348"/>
        <v>0.65167243367935412</v>
      </c>
      <c r="FI44" s="11">
        <v>28</v>
      </c>
      <c r="FJ44" s="12">
        <f t="shared" si="349"/>
        <v>4.9557522123893805E-2</v>
      </c>
      <c r="FK44" s="11"/>
      <c r="FL44" s="11"/>
      <c r="FM44" s="18"/>
      <c r="FN44" s="20"/>
      <c r="FO44" s="10"/>
      <c r="FP44" s="11"/>
      <c r="FQ44" s="69">
        <f t="shared" si="400"/>
        <v>911</v>
      </c>
      <c r="FR44" s="69">
        <f t="shared" si="401"/>
        <v>81</v>
      </c>
      <c r="FS44" s="11">
        <v>538</v>
      </c>
      <c r="FT44" s="12">
        <f t="shared" si="350"/>
        <v>0.63776070252469819</v>
      </c>
      <c r="FU44" s="11">
        <v>43</v>
      </c>
      <c r="FV44" s="12">
        <f t="shared" si="351"/>
        <v>7.4010327022375214E-2</v>
      </c>
      <c r="FW44" s="11"/>
      <c r="FX44" s="11"/>
      <c r="FY44" s="18"/>
      <c r="FZ44" s="20"/>
      <c r="GA44" s="10"/>
      <c r="GB44" s="11"/>
      <c r="GC44" s="69">
        <f t="shared" si="402"/>
        <v>912</v>
      </c>
      <c r="GD44" s="69">
        <f t="shared" si="403"/>
        <v>82</v>
      </c>
      <c r="GE44" s="11">
        <v>550</v>
      </c>
      <c r="GF44" s="12">
        <f t="shared" si="352"/>
        <v>0.63815789473684215</v>
      </c>
      <c r="GG44" s="11">
        <v>32</v>
      </c>
      <c r="GH44" s="12">
        <f t="shared" si="353"/>
        <v>5.4982817869415807E-2</v>
      </c>
      <c r="GI44" s="11"/>
      <c r="GJ44" s="11"/>
      <c r="GK44" s="18"/>
      <c r="GL44" s="20"/>
      <c r="GM44" s="10"/>
      <c r="GN44" s="11"/>
      <c r="GO44" s="69">
        <f t="shared" si="404"/>
        <v>195</v>
      </c>
      <c r="GP44" s="69">
        <f t="shared" si="405"/>
        <v>19</v>
      </c>
      <c r="GQ44" s="11">
        <v>96</v>
      </c>
      <c r="GR44" s="12">
        <f t="shared" si="354"/>
        <v>0.50769230769230766</v>
      </c>
      <c r="GS44" s="11">
        <v>3</v>
      </c>
      <c r="GT44" s="12">
        <f t="shared" si="355"/>
        <v>3.0303030303030304E-2</v>
      </c>
      <c r="GU44" s="11"/>
      <c r="GV44" s="11"/>
      <c r="GW44" s="18"/>
      <c r="GX44" s="20"/>
      <c r="GY44" s="10"/>
      <c r="GZ44" s="11"/>
      <c r="HA44" s="69">
        <f t="shared" si="406"/>
        <v>912</v>
      </c>
      <c r="HB44" s="69">
        <f t="shared" si="407"/>
        <v>82</v>
      </c>
      <c r="HC44" s="11">
        <v>591</v>
      </c>
      <c r="HD44" s="12">
        <f t="shared" si="356"/>
        <v>0.67214912280701755</v>
      </c>
      <c r="HE44" s="11">
        <v>22</v>
      </c>
      <c r="HF44" s="12">
        <f t="shared" si="357"/>
        <v>3.588907014681892E-2</v>
      </c>
      <c r="HG44" s="191">
        <v>155</v>
      </c>
      <c r="HH44" s="11"/>
      <c r="HI44" s="18"/>
      <c r="HJ44" s="20"/>
      <c r="HK44" s="10">
        <f t="shared" si="358"/>
        <v>2</v>
      </c>
      <c r="HL44" s="11">
        <f t="shared" si="359"/>
        <v>1</v>
      </c>
      <c r="HM44" s="11">
        <f t="shared" si="360"/>
        <v>12445</v>
      </c>
      <c r="HN44" s="11">
        <f t="shared" si="361"/>
        <v>1116</v>
      </c>
      <c r="HO44" s="11">
        <f t="shared" si="362"/>
        <v>8186</v>
      </c>
      <c r="HP44" s="95">
        <f t="shared" si="363"/>
        <v>0.65777420650863805</v>
      </c>
      <c r="HQ44" s="15">
        <f t="shared" si="364"/>
        <v>387</v>
      </c>
      <c r="HR44" s="12">
        <f t="shared" si="365"/>
        <v>4.7275836794527244E-2</v>
      </c>
      <c r="HS44" s="16">
        <v>53.4</v>
      </c>
      <c r="HT44" s="17">
        <v>7653</v>
      </c>
      <c r="HU44" s="16">
        <f t="shared" si="366"/>
        <v>93.488883459565102</v>
      </c>
      <c r="HV44" s="18"/>
      <c r="HW44" s="20"/>
      <c r="HX44" s="73">
        <f t="shared" si="367"/>
        <v>0.67716067716067718</v>
      </c>
      <c r="HY44" s="73">
        <f t="shared" si="368"/>
        <v>0.67186095295175308</v>
      </c>
      <c r="HZ44" s="73">
        <f t="shared" si="369"/>
        <v>0.63642831732479543</v>
      </c>
      <c r="IA44" s="73">
        <f t="shared" si="370"/>
        <v>0.63993174061433444</v>
      </c>
    </row>
    <row r="45" spans="1:244" x14ac:dyDescent="0.25">
      <c r="A45" s="374"/>
      <c r="B45" s="41">
        <f>+B44+1</f>
        <v>44973</v>
      </c>
      <c r="C45" s="10"/>
      <c r="D45" s="11"/>
      <c r="E45" s="69">
        <f t="shared" si="372"/>
        <v>850</v>
      </c>
      <c r="F45" s="69">
        <f t="shared" si="372"/>
        <v>75</v>
      </c>
      <c r="G45" s="11">
        <v>562</v>
      </c>
      <c r="H45" s="12">
        <f t="shared" si="323"/>
        <v>0.68352941176470583</v>
      </c>
      <c r="I45" s="11">
        <v>19</v>
      </c>
      <c r="J45" s="12">
        <f t="shared" si="373"/>
        <v>3.2702237521514632E-2</v>
      </c>
      <c r="K45" s="13"/>
      <c r="L45" s="13"/>
      <c r="M45" s="25">
        <v>3750</v>
      </c>
      <c r="N45" s="38">
        <v>4120</v>
      </c>
      <c r="O45" s="10"/>
      <c r="P45" s="11"/>
      <c r="Q45" s="69">
        <f t="shared" si="374"/>
        <v>772</v>
      </c>
      <c r="R45" s="69">
        <f t="shared" si="375"/>
        <v>69</v>
      </c>
      <c r="S45" s="11">
        <v>534</v>
      </c>
      <c r="T45" s="12">
        <f t="shared" si="324"/>
        <v>0.70595854922279788</v>
      </c>
      <c r="U45" s="11">
        <v>11</v>
      </c>
      <c r="V45" s="12">
        <f t="shared" si="325"/>
        <v>2.0183486238532111E-2</v>
      </c>
      <c r="W45" s="13"/>
      <c r="X45" s="13"/>
      <c r="Y45" s="25">
        <v>3750</v>
      </c>
      <c r="Z45" s="38">
        <v>4120</v>
      </c>
      <c r="AA45" s="10"/>
      <c r="AB45" s="11"/>
      <c r="AC45" s="69">
        <f t="shared" si="376"/>
        <v>192</v>
      </c>
      <c r="AD45" s="69">
        <f t="shared" si="377"/>
        <v>15</v>
      </c>
      <c r="AE45" s="11">
        <v>126</v>
      </c>
      <c r="AF45" s="12">
        <f t="shared" si="326"/>
        <v>0.671875</v>
      </c>
      <c r="AG45" s="11">
        <v>3</v>
      </c>
      <c r="AH45" s="12">
        <f t="shared" si="327"/>
        <v>2.3255813953488372E-2</v>
      </c>
      <c r="AI45" s="193">
        <v>155</v>
      </c>
      <c r="AJ45" s="13"/>
      <c r="AK45" s="25">
        <v>3750</v>
      </c>
      <c r="AL45" s="38">
        <v>4120</v>
      </c>
      <c r="AM45" s="10"/>
      <c r="AN45" s="11"/>
      <c r="AO45" s="69">
        <f t="shared" si="378"/>
        <v>776</v>
      </c>
      <c r="AP45" s="69">
        <f t="shared" si="379"/>
        <v>69</v>
      </c>
      <c r="AQ45" s="11">
        <v>458</v>
      </c>
      <c r="AR45" s="12">
        <f t="shared" si="328"/>
        <v>0.61211340206185572</v>
      </c>
      <c r="AS45" s="11">
        <v>17</v>
      </c>
      <c r="AT45" s="12">
        <f t="shared" si="329"/>
        <v>3.5789473684210524E-2</v>
      </c>
      <c r="AU45" s="13"/>
      <c r="AV45" s="13"/>
      <c r="AW45" s="25">
        <v>3750</v>
      </c>
      <c r="AX45" s="38">
        <v>4120</v>
      </c>
      <c r="AY45" s="10"/>
      <c r="AZ45" s="11"/>
      <c r="BA45" s="69">
        <f t="shared" si="380"/>
        <v>777</v>
      </c>
      <c r="BB45" s="69">
        <f t="shared" si="381"/>
        <v>69</v>
      </c>
      <c r="BC45" s="11">
        <v>489</v>
      </c>
      <c r="BD45" s="12">
        <f t="shared" si="330"/>
        <v>0.65379665379665375</v>
      </c>
      <c r="BE45" s="11">
        <v>19</v>
      </c>
      <c r="BF45" s="12">
        <f t="shared" si="331"/>
        <v>3.7401574803149609E-2</v>
      </c>
      <c r="BG45" s="13"/>
      <c r="BH45" s="13"/>
      <c r="BI45" s="25">
        <v>3750</v>
      </c>
      <c r="BJ45" s="38">
        <v>4120</v>
      </c>
      <c r="BK45" s="10"/>
      <c r="BL45" s="11"/>
      <c r="BM45" s="69">
        <f t="shared" si="382"/>
        <v>847</v>
      </c>
      <c r="BN45" s="69">
        <f t="shared" si="383"/>
        <v>77</v>
      </c>
      <c r="BO45" s="11">
        <v>553</v>
      </c>
      <c r="BP45" s="12">
        <f t="shared" si="332"/>
        <v>0.67650531286894922</v>
      </c>
      <c r="BQ45" s="11">
        <v>20</v>
      </c>
      <c r="BR45" s="12">
        <f t="shared" si="333"/>
        <v>3.4904013961605584E-2</v>
      </c>
      <c r="BS45" s="13"/>
      <c r="BT45" s="13"/>
      <c r="BU45" s="25">
        <v>3750</v>
      </c>
      <c r="BV45" s="38">
        <v>4120</v>
      </c>
      <c r="BW45" s="10"/>
      <c r="BX45" s="11"/>
      <c r="BY45" s="69">
        <f t="shared" si="384"/>
        <v>765</v>
      </c>
      <c r="BZ45" s="69">
        <f t="shared" si="385"/>
        <v>69</v>
      </c>
      <c r="CA45" s="11">
        <v>443</v>
      </c>
      <c r="CB45" s="12">
        <f t="shared" si="334"/>
        <v>0.59869281045751632</v>
      </c>
      <c r="CC45" s="11">
        <v>15</v>
      </c>
      <c r="CD45" s="12">
        <f t="shared" si="335"/>
        <v>3.2751091703056769E-2</v>
      </c>
      <c r="CE45" s="13"/>
      <c r="CF45" s="13"/>
      <c r="CG45" s="25">
        <v>3750</v>
      </c>
      <c r="CH45" s="38">
        <v>4120</v>
      </c>
      <c r="CI45" s="10"/>
      <c r="CJ45" s="11"/>
      <c r="CK45" s="69">
        <f t="shared" si="386"/>
        <v>195</v>
      </c>
      <c r="CL45" s="69">
        <f t="shared" si="387"/>
        <v>17</v>
      </c>
      <c r="CM45" s="11">
        <v>100</v>
      </c>
      <c r="CN45" s="12">
        <f t="shared" si="336"/>
        <v>0.51282051282051277</v>
      </c>
      <c r="CO45" s="11">
        <v>0</v>
      </c>
      <c r="CP45" s="12">
        <f t="shared" si="337"/>
        <v>0</v>
      </c>
      <c r="CQ45" s="13"/>
      <c r="CR45" s="13"/>
      <c r="CS45" s="25">
        <v>3750</v>
      </c>
      <c r="CT45" s="38">
        <v>4120</v>
      </c>
      <c r="CU45" s="10"/>
      <c r="CV45" s="11"/>
      <c r="CW45" s="69">
        <f t="shared" si="388"/>
        <v>763</v>
      </c>
      <c r="CX45" s="69">
        <f t="shared" si="389"/>
        <v>70</v>
      </c>
      <c r="CY45" s="11">
        <v>522</v>
      </c>
      <c r="CZ45" s="12">
        <f t="shared" si="338"/>
        <v>0.69855832241153337</v>
      </c>
      <c r="DA45" s="11">
        <v>11</v>
      </c>
      <c r="DB45" s="12">
        <f t="shared" si="339"/>
        <v>2.0637898686679174E-2</v>
      </c>
      <c r="DC45" s="13"/>
      <c r="DD45" s="13"/>
      <c r="DE45" s="25">
        <v>3750</v>
      </c>
      <c r="DF45" s="38">
        <v>4120</v>
      </c>
      <c r="DG45" s="10"/>
      <c r="DH45" s="11"/>
      <c r="DI45" s="69">
        <f t="shared" si="390"/>
        <v>767</v>
      </c>
      <c r="DJ45" s="69">
        <f t="shared" si="391"/>
        <v>70</v>
      </c>
      <c r="DK45" s="11">
        <v>504</v>
      </c>
      <c r="DL45" s="12">
        <f t="shared" si="340"/>
        <v>0.67405475880052146</v>
      </c>
      <c r="DM45" s="11">
        <v>13</v>
      </c>
      <c r="DN45" s="12">
        <f t="shared" si="341"/>
        <v>2.5145067698259187E-2</v>
      </c>
      <c r="DO45" s="13"/>
      <c r="DP45" s="13"/>
      <c r="DQ45" s="25">
        <v>3750</v>
      </c>
      <c r="DR45" s="38">
        <v>4120</v>
      </c>
      <c r="DS45" s="10"/>
      <c r="DT45" s="11"/>
      <c r="DU45" s="69">
        <f t="shared" si="392"/>
        <v>865</v>
      </c>
      <c r="DV45" s="69">
        <f t="shared" si="393"/>
        <v>78</v>
      </c>
      <c r="DW45" s="11">
        <v>544</v>
      </c>
      <c r="DX45" s="12">
        <f t="shared" si="342"/>
        <v>0.66242774566473983</v>
      </c>
      <c r="DY45" s="11">
        <v>29</v>
      </c>
      <c r="DZ45" s="12">
        <f t="shared" si="343"/>
        <v>5.06108202443281E-2</v>
      </c>
      <c r="EA45" s="193">
        <v>155</v>
      </c>
      <c r="EB45" s="13"/>
      <c r="EC45" s="25">
        <v>3750</v>
      </c>
      <c r="ED45" s="38">
        <v>4120</v>
      </c>
      <c r="EE45" s="10"/>
      <c r="EF45" s="11"/>
      <c r="EG45" s="69">
        <f t="shared" si="394"/>
        <v>867</v>
      </c>
      <c r="EH45" s="69">
        <f t="shared" si="395"/>
        <v>79</v>
      </c>
      <c r="EI45" s="11">
        <v>548</v>
      </c>
      <c r="EJ45" s="12">
        <f t="shared" si="344"/>
        <v>0.65051903114186849</v>
      </c>
      <c r="EK45" s="11">
        <v>16</v>
      </c>
      <c r="EL45" s="12">
        <f t="shared" si="345"/>
        <v>2.8368794326241134E-2</v>
      </c>
      <c r="EM45" s="13"/>
      <c r="EN45" s="13"/>
      <c r="EO45" s="25">
        <v>3750</v>
      </c>
      <c r="EP45" s="38">
        <v>4120</v>
      </c>
      <c r="EQ45" s="10"/>
      <c r="ER45" s="11"/>
      <c r="ES45" s="69">
        <f t="shared" si="396"/>
        <v>212</v>
      </c>
      <c r="ET45" s="69">
        <f t="shared" si="397"/>
        <v>17</v>
      </c>
      <c r="EU45" s="11">
        <v>95</v>
      </c>
      <c r="EV45" s="12">
        <f t="shared" si="346"/>
        <v>0.48113207547169812</v>
      </c>
      <c r="EW45" s="11">
        <v>7</v>
      </c>
      <c r="EX45" s="12">
        <f t="shared" si="347"/>
        <v>6.8627450980392163E-2</v>
      </c>
      <c r="EY45" s="13"/>
      <c r="EZ45" s="13"/>
      <c r="FA45" s="25">
        <v>3750</v>
      </c>
      <c r="FB45" s="38">
        <v>4120</v>
      </c>
      <c r="FC45" s="10"/>
      <c r="FD45" s="11"/>
      <c r="FE45" s="69">
        <f t="shared" si="398"/>
        <v>867</v>
      </c>
      <c r="FF45" s="69">
        <f t="shared" si="399"/>
        <v>78</v>
      </c>
      <c r="FG45" s="11">
        <v>578</v>
      </c>
      <c r="FH45" s="12">
        <f t="shared" si="348"/>
        <v>0.69204152249134943</v>
      </c>
      <c r="FI45" s="11">
        <v>22</v>
      </c>
      <c r="FJ45" s="12">
        <f t="shared" si="349"/>
        <v>3.6666666666666667E-2</v>
      </c>
      <c r="FK45" s="193">
        <v>159.5</v>
      </c>
      <c r="FL45" s="13"/>
      <c r="FM45" s="25">
        <v>3750</v>
      </c>
      <c r="FN45" s="38">
        <v>4120</v>
      </c>
      <c r="FO45" s="10"/>
      <c r="FP45" s="11"/>
      <c r="FQ45" s="69">
        <f t="shared" si="400"/>
        <v>911</v>
      </c>
      <c r="FR45" s="69">
        <f t="shared" si="401"/>
        <v>81</v>
      </c>
      <c r="FS45" s="11">
        <v>571</v>
      </c>
      <c r="FT45" s="12">
        <f t="shared" si="350"/>
        <v>0.66190998902305154</v>
      </c>
      <c r="FU45" s="11">
        <v>32</v>
      </c>
      <c r="FV45" s="12">
        <f t="shared" si="351"/>
        <v>5.306799336650083E-2</v>
      </c>
      <c r="FW45" s="193">
        <v>156.1</v>
      </c>
      <c r="FX45" s="13"/>
      <c r="FY45" s="25">
        <v>3750</v>
      </c>
      <c r="FZ45" s="38">
        <v>4120</v>
      </c>
      <c r="GA45" s="10">
        <v>1</v>
      </c>
      <c r="GB45" s="11"/>
      <c r="GC45" s="69">
        <f t="shared" si="402"/>
        <v>911</v>
      </c>
      <c r="GD45" s="69">
        <f t="shared" si="403"/>
        <v>82</v>
      </c>
      <c r="GE45" s="11">
        <v>583</v>
      </c>
      <c r="GF45" s="12">
        <f t="shared" si="352"/>
        <v>0.66849615806805707</v>
      </c>
      <c r="GG45" s="11">
        <v>26</v>
      </c>
      <c r="GH45" s="12">
        <f t="shared" si="353"/>
        <v>4.2692939244663386E-2</v>
      </c>
      <c r="GI45" s="193">
        <v>155.69999999999999</v>
      </c>
      <c r="GJ45" s="13"/>
      <c r="GK45" s="25">
        <v>3750</v>
      </c>
      <c r="GL45" s="38">
        <v>4120</v>
      </c>
      <c r="GM45" s="10"/>
      <c r="GN45" s="11"/>
      <c r="GO45" s="69">
        <f t="shared" si="404"/>
        <v>195</v>
      </c>
      <c r="GP45" s="69">
        <f t="shared" si="405"/>
        <v>19</v>
      </c>
      <c r="GQ45" s="11">
        <v>113</v>
      </c>
      <c r="GR45" s="12">
        <f t="shared" si="354"/>
        <v>0.59487179487179487</v>
      </c>
      <c r="GS45" s="11">
        <v>3</v>
      </c>
      <c r="GT45" s="12">
        <f t="shared" si="355"/>
        <v>2.5862068965517241E-2</v>
      </c>
      <c r="GU45" s="193">
        <v>149.69999999999999</v>
      </c>
      <c r="GV45" s="13"/>
      <c r="GW45" s="25">
        <v>3750</v>
      </c>
      <c r="GX45" s="38">
        <v>4120</v>
      </c>
      <c r="GY45" s="10"/>
      <c r="GZ45" s="11"/>
      <c r="HA45" s="69">
        <f t="shared" si="406"/>
        <v>912</v>
      </c>
      <c r="HB45" s="69">
        <f t="shared" si="407"/>
        <v>82</v>
      </c>
      <c r="HC45" s="11">
        <v>603</v>
      </c>
      <c r="HD45" s="12">
        <f t="shared" si="356"/>
        <v>0.67543859649122806</v>
      </c>
      <c r="HE45" s="11">
        <v>13</v>
      </c>
      <c r="HF45" s="12">
        <f t="shared" si="357"/>
        <v>2.1103896103896104E-2</v>
      </c>
      <c r="HG45" s="13"/>
      <c r="HH45" s="13"/>
      <c r="HI45" s="25">
        <v>3750</v>
      </c>
      <c r="HJ45" s="38">
        <v>4120</v>
      </c>
      <c r="HK45" s="10">
        <f t="shared" si="358"/>
        <v>1</v>
      </c>
      <c r="HL45" s="11">
        <f t="shared" si="359"/>
        <v>0</v>
      </c>
      <c r="HM45" s="11">
        <f t="shared" si="360"/>
        <v>12444</v>
      </c>
      <c r="HN45" s="11">
        <f t="shared" si="361"/>
        <v>1116</v>
      </c>
      <c r="HO45" s="11">
        <f t="shared" si="362"/>
        <v>8202</v>
      </c>
      <c r="HP45" s="95">
        <f t="shared" si="363"/>
        <v>0.65911282545805205</v>
      </c>
      <c r="HQ45" s="15">
        <f t="shared" si="364"/>
        <v>276</v>
      </c>
      <c r="HR45" s="12">
        <f t="shared" si="365"/>
        <v>3.3650329188002925E-2</v>
      </c>
      <c r="HS45" s="16">
        <v>53.4</v>
      </c>
      <c r="HT45" s="17">
        <v>7786</v>
      </c>
      <c r="HU45" s="16">
        <f t="shared" si="366"/>
        <v>94.928066325286522</v>
      </c>
      <c r="HV45" s="23">
        <v>3750</v>
      </c>
      <c r="HW45" s="22">
        <v>4120</v>
      </c>
      <c r="HX45" s="73">
        <f t="shared" si="367"/>
        <v>0.66468666468666471</v>
      </c>
      <c r="HY45" s="73">
        <f t="shared" si="368"/>
        <v>0.65358106083308365</v>
      </c>
      <c r="HZ45" s="73">
        <f t="shared" si="369"/>
        <v>0.65421558164354321</v>
      </c>
      <c r="IA45" s="73">
        <f t="shared" si="370"/>
        <v>0.66370775008535332</v>
      </c>
    </row>
    <row r="46" spans="1:244" x14ac:dyDescent="0.25">
      <c r="A46" s="374"/>
      <c r="B46" s="41">
        <f t="shared" si="371"/>
        <v>44974</v>
      </c>
      <c r="C46" s="10"/>
      <c r="D46" s="11"/>
      <c r="E46" s="69">
        <f t="shared" si="372"/>
        <v>850</v>
      </c>
      <c r="F46" s="69">
        <f t="shared" si="372"/>
        <v>75</v>
      </c>
      <c r="G46" s="11">
        <v>592</v>
      </c>
      <c r="H46" s="12">
        <f t="shared" si="323"/>
        <v>0.71176470588235297</v>
      </c>
      <c r="I46" s="11">
        <v>13</v>
      </c>
      <c r="J46" s="12">
        <f t="shared" si="373"/>
        <v>2.1487603305785124E-2</v>
      </c>
      <c r="K46" s="194">
        <v>162.1</v>
      </c>
      <c r="L46" s="11"/>
      <c r="M46" s="25">
        <v>4095.7142857142858</v>
      </c>
      <c r="N46" s="38">
        <v>4254</v>
      </c>
      <c r="O46" s="10"/>
      <c r="P46" s="11"/>
      <c r="Q46" s="69">
        <f t="shared" si="374"/>
        <v>772</v>
      </c>
      <c r="R46" s="69">
        <f t="shared" si="375"/>
        <v>69</v>
      </c>
      <c r="S46" s="11">
        <v>521</v>
      </c>
      <c r="T46" s="12">
        <f t="shared" si="324"/>
        <v>0.68652849740932642</v>
      </c>
      <c r="U46" s="11">
        <v>9</v>
      </c>
      <c r="V46" s="12">
        <f t="shared" si="325"/>
        <v>1.6981132075471698E-2</v>
      </c>
      <c r="W46" s="13"/>
      <c r="X46" s="11"/>
      <c r="Y46" s="25">
        <v>4009.2307692307691</v>
      </c>
      <c r="Z46" s="38">
        <v>4252.67</v>
      </c>
      <c r="AA46" s="10"/>
      <c r="AB46" s="11"/>
      <c r="AC46" s="69">
        <f t="shared" si="376"/>
        <v>192</v>
      </c>
      <c r="AD46" s="69">
        <f t="shared" si="377"/>
        <v>15</v>
      </c>
      <c r="AE46" s="11">
        <v>116</v>
      </c>
      <c r="AF46" s="12">
        <f t="shared" si="326"/>
        <v>0.61979166666666663</v>
      </c>
      <c r="AG46" s="11">
        <v>3</v>
      </c>
      <c r="AH46" s="12">
        <f t="shared" si="327"/>
        <v>2.5210084033613446E-2</v>
      </c>
      <c r="AI46" s="13"/>
      <c r="AJ46" s="11"/>
      <c r="AK46" s="25">
        <v>4100</v>
      </c>
      <c r="AL46" s="38">
        <v>4452.5</v>
      </c>
      <c r="AM46" s="10"/>
      <c r="AN46" s="11"/>
      <c r="AO46" s="69">
        <f t="shared" si="378"/>
        <v>776</v>
      </c>
      <c r="AP46" s="69">
        <f t="shared" si="379"/>
        <v>69</v>
      </c>
      <c r="AQ46" s="11">
        <v>494</v>
      </c>
      <c r="AR46" s="12">
        <f t="shared" si="328"/>
        <v>0.65979381443298968</v>
      </c>
      <c r="AS46" s="11">
        <v>18</v>
      </c>
      <c r="AT46" s="12">
        <f t="shared" si="329"/>
        <v>3.515625E-2</v>
      </c>
      <c r="AU46" s="194">
        <v>153.5</v>
      </c>
      <c r="AV46" s="11"/>
      <c r="AW46" s="25">
        <v>4104.7222222222226</v>
      </c>
      <c r="AX46" s="38">
        <v>4543.8500000000004</v>
      </c>
      <c r="AY46" s="10"/>
      <c r="AZ46" s="11"/>
      <c r="BA46" s="69">
        <f t="shared" si="380"/>
        <v>777</v>
      </c>
      <c r="BB46" s="69">
        <f t="shared" si="381"/>
        <v>69</v>
      </c>
      <c r="BC46" s="11">
        <v>517</v>
      </c>
      <c r="BD46" s="12">
        <f t="shared" si="330"/>
        <v>0.68725868725868722</v>
      </c>
      <c r="BE46" s="11">
        <v>17</v>
      </c>
      <c r="BF46" s="12">
        <f t="shared" si="331"/>
        <v>3.1835205992509365E-2</v>
      </c>
      <c r="BG46" s="194">
        <v>159.19999999999999</v>
      </c>
      <c r="BH46" s="11"/>
      <c r="BI46" s="25">
        <v>4147.575757575758</v>
      </c>
      <c r="BJ46" s="38">
        <v>4172.5</v>
      </c>
      <c r="BK46" s="10"/>
      <c r="BL46" s="11"/>
      <c r="BM46" s="69">
        <f t="shared" si="382"/>
        <v>847</v>
      </c>
      <c r="BN46" s="69">
        <f t="shared" si="383"/>
        <v>77</v>
      </c>
      <c r="BO46" s="11">
        <v>560</v>
      </c>
      <c r="BP46" s="12">
        <f t="shared" si="332"/>
        <v>0.6788665879574971</v>
      </c>
      <c r="BQ46" s="11">
        <v>15</v>
      </c>
      <c r="BR46" s="12">
        <f t="shared" si="333"/>
        <v>2.6086956521739129E-2</v>
      </c>
      <c r="BS46" s="194">
        <v>162.1</v>
      </c>
      <c r="BT46" s="11"/>
      <c r="BU46" s="25">
        <v>3964.7727272727275</v>
      </c>
      <c r="BV46" s="38">
        <v>4234</v>
      </c>
      <c r="BW46" s="10"/>
      <c r="BX46" s="11"/>
      <c r="BY46" s="69">
        <f t="shared" si="384"/>
        <v>765</v>
      </c>
      <c r="BZ46" s="69">
        <f t="shared" si="385"/>
        <v>69</v>
      </c>
      <c r="CA46" s="11">
        <v>515</v>
      </c>
      <c r="CB46" s="12">
        <f t="shared" si="334"/>
        <v>0.70065359477124178</v>
      </c>
      <c r="CC46" s="11">
        <v>21</v>
      </c>
      <c r="CD46" s="12">
        <f t="shared" si="335"/>
        <v>3.9179104477611942E-2</v>
      </c>
      <c r="CE46" s="194">
        <v>162.1</v>
      </c>
      <c r="CF46" s="11"/>
      <c r="CG46" s="25">
        <v>4044.8780487804879</v>
      </c>
      <c r="CH46" s="38">
        <v>4311.33</v>
      </c>
      <c r="CI46" s="10"/>
      <c r="CJ46" s="11"/>
      <c r="CK46" s="69">
        <f t="shared" si="386"/>
        <v>195</v>
      </c>
      <c r="CL46" s="69">
        <f t="shared" si="387"/>
        <v>17</v>
      </c>
      <c r="CM46" s="11">
        <v>93</v>
      </c>
      <c r="CN46" s="12">
        <f t="shared" si="336"/>
        <v>0.50769230769230766</v>
      </c>
      <c r="CO46" s="11">
        <v>6</v>
      </c>
      <c r="CP46" s="12">
        <f t="shared" si="337"/>
        <v>6.0606060606060608E-2</v>
      </c>
      <c r="CQ46" s="13"/>
      <c r="CR46" s="11"/>
      <c r="CS46" s="25">
        <v>3883</v>
      </c>
      <c r="CT46" s="38">
        <v>4273.33</v>
      </c>
      <c r="CU46" s="10"/>
      <c r="CV46" s="11"/>
      <c r="CW46" s="69">
        <f t="shared" si="388"/>
        <v>763</v>
      </c>
      <c r="CX46" s="69">
        <f t="shared" si="389"/>
        <v>70</v>
      </c>
      <c r="CY46" s="11">
        <v>501</v>
      </c>
      <c r="CZ46" s="12">
        <f t="shared" si="338"/>
        <v>0.67627785058977719</v>
      </c>
      <c r="DA46" s="11">
        <v>15</v>
      </c>
      <c r="DB46" s="12">
        <f t="shared" si="339"/>
        <v>2.9069767441860465E-2</v>
      </c>
      <c r="DC46" s="13"/>
      <c r="DD46" s="11"/>
      <c r="DE46" s="25">
        <v>3913.4210526315787</v>
      </c>
      <c r="DF46" s="38">
        <v>4356.67</v>
      </c>
      <c r="DG46" s="10"/>
      <c r="DH46" s="11"/>
      <c r="DI46" s="69">
        <f t="shared" si="390"/>
        <v>767</v>
      </c>
      <c r="DJ46" s="69">
        <f t="shared" si="391"/>
        <v>70</v>
      </c>
      <c r="DK46" s="11">
        <v>534</v>
      </c>
      <c r="DL46" s="12">
        <f t="shared" si="340"/>
        <v>0.71968709256844854</v>
      </c>
      <c r="DM46" s="11">
        <v>18</v>
      </c>
      <c r="DN46" s="12">
        <f t="shared" si="341"/>
        <v>3.2608695652173912E-2</v>
      </c>
      <c r="DO46" s="194">
        <v>162.1</v>
      </c>
      <c r="DP46" s="11"/>
      <c r="DQ46" s="25">
        <v>4101.5384615384619</v>
      </c>
      <c r="DR46" s="38">
        <v>4298</v>
      </c>
      <c r="DS46" s="10"/>
      <c r="DT46" s="11"/>
      <c r="DU46" s="69">
        <f t="shared" si="392"/>
        <v>865</v>
      </c>
      <c r="DV46" s="69">
        <f t="shared" si="393"/>
        <v>78</v>
      </c>
      <c r="DW46" s="11">
        <v>569</v>
      </c>
      <c r="DX46" s="12">
        <f t="shared" si="342"/>
        <v>0.69826589595375721</v>
      </c>
      <c r="DY46" s="11">
        <v>35</v>
      </c>
      <c r="DZ46" s="12">
        <f t="shared" si="343"/>
        <v>5.7947019867549666E-2</v>
      </c>
      <c r="EA46" s="194">
        <v>159.69999999999999</v>
      </c>
      <c r="EB46" s="11"/>
      <c r="EC46" s="25">
        <v>3955.681818181818</v>
      </c>
      <c r="ED46" s="38">
        <v>4005.33</v>
      </c>
      <c r="EE46" s="10"/>
      <c r="EF46" s="11"/>
      <c r="EG46" s="69">
        <f t="shared" si="394"/>
        <v>867</v>
      </c>
      <c r="EH46" s="69">
        <f t="shared" si="395"/>
        <v>79</v>
      </c>
      <c r="EI46" s="11">
        <v>593</v>
      </c>
      <c r="EJ46" s="12">
        <f t="shared" si="344"/>
        <v>0.7197231833910035</v>
      </c>
      <c r="EK46" s="11">
        <v>31</v>
      </c>
      <c r="EL46" s="12">
        <f t="shared" si="345"/>
        <v>4.9679487179487176E-2</v>
      </c>
      <c r="EM46" s="194">
        <v>159.78</v>
      </c>
      <c r="EN46" s="11"/>
      <c r="EO46" s="25">
        <v>4044.090909090909</v>
      </c>
      <c r="EP46" s="38">
        <v>4077.86</v>
      </c>
      <c r="EQ46" s="10"/>
      <c r="ER46" s="11">
        <v>1</v>
      </c>
      <c r="ES46" s="69">
        <f t="shared" si="396"/>
        <v>212</v>
      </c>
      <c r="ET46" s="69">
        <f t="shared" si="397"/>
        <v>16</v>
      </c>
      <c r="EU46" s="11">
        <v>108</v>
      </c>
      <c r="EV46" s="12">
        <f t="shared" si="346"/>
        <v>0.54245283018867929</v>
      </c>
      <c r="EW46" s="11">
        <v>7</v>
      </c>
      <c r="EX46" s="12">
        <f t="shared" si="347"/>
        <v>6.0869565217391307E-2</v>
      </c>
      <c r="EY46" s="194">
        <v>143.5</v>
      </c>
      <c r="EZ46" s="11"/>
      <c r="FA46" s="25">
        <v>3758.5714285714284</v>
      </c>
      <c r="FB46" s="38">
        <v>4170</v>
      </c>
      <c r="FC46" s="10"/>
      <c r="FD46" s="11"/>
      <c r="FE46" s="69">
        <f t="shared" si="398"/>
        <v>867</v>
      </c>
      <c r="FF46" s="69">
        <f t="shared" si="399"/>
        <v>78</v>
      </c>
      <c r="FG46" s="11">
        <v>592</v>
      </c>
      <c r="FH46" s="12">
        <f t="shared" si="348"/>
        <v>0.70357554786620535</v>
      </c>
      <c r="FI46" s="11">
        <v>18</v>
      </c>
      <c r="FJ46" s="12">
        <f t="shared" si="349"/>
        <v>2.9508196721311476E-2</v>
      </c>
      <c r="FK46" s="13"/>
      <c r="FL46" s="11"/>
      <c r="FM46" s="25">
        <v>4093.2608695652175</v>
      </c>
      <c r="FN46" s="38">
        <v>4351.8</v>
      </c>
      <c r="FO46" s="10"/>
      <c r="FP46" s="11"/>
      <c r="FQ46" s="69">
        <f t="shared" si="400"/>
        <v>911</v>
      </c>
      <c r="FR46" s="69">
        <f t="shared" si="401"/>
        <v>81</v>
      </c>
      <c r="FS46" s="11">
        <v>601</v>
      </c>
      <c r="FT46" s="12">
        <f t="shared" si="350"/>
        <v>0.70581778265642148</v>
      </c>
      <c r="FU46" s="11">
        <v>42</v>
      </c>
      <c r="FV46" s="12">
        <f t="shared" si="351"/>
        <v>6.5318818040435461E-2</v>
      </c>
      <c r="FW46" s="194">
        <v>162.1</v>
      </c>
      <c r="FX46" s="11"/>
      <c r="FY46" s="25">
        <v>3868.0952380952381</v>
      </c>
      <c r="FZ46" s="38">
        <v>4283.16</v>
      </c>
      <c r="GA46" s="10"/>
      <c r="GB46" s="11"/>
      <c r="GC46" s="69">
        <f t="shared" si="402"/>
        <v>911</v>
      </c>
      <c r="GD46" s="69">
        <f t="shared" si="403"/>
        <v>82</v>
      </c>
      <c r="GE46" s="11">
        <v>598</v>
      </c>
      <c r="GF46" s="12">
        <f t="shared" si="352"/>
        <v>0.68276619099890234</v>
      </c>
      <c r="GG46" s="11">
        <v>24</v>
      </c>
      <c r="GH46" s="12">
        <f t="shared" si="353"/>
        <v>3.8585209003215437E-2</v>
      </c>
      <c r="GI46" s="13"/>
      <c r="GJ46" s="11"/>
      <c r="GK46" s="25">
        <v>3871.2195121951218</v>
      </c>
      <c r="GL46" s="38">
        <v>4363.6000000000004</v>
      </c>
      <c r="GM46" s="10"/>
      <c r="GN46" s="11"/>
      <c r="GO46" s="69">
        <f t="shared" si="404"/>
        <v>195</v>
      </c>
      <c r="GP46" s="69">
        <f t="shared" si="405"/>
        <v>19</v>
      </c>
      <c r="GQ46" s="11">
        <v>109</v>
      </c>
      <c r="GR46" s="12">
        <f t="shared" si="354"/>
        <v>0.6</v>
      </c>
      <c r="GS46" s="11">
        <v>8</v>
      </c>
      <c r="GT46" s="12">
        <f t="shared" si="355"/>
        <v>6.8376068376068383E-2</v>
      </c>
      <c r="GU46" s="13"/>
      <c r="GV46" s="11"/>
      <c r="GW46" s="25">
        <v>3794.375</v>
      </c>
      <c r="GX46" s="38">
        <v>3972.5</v>
      </c>
      <c r="GY46" s="10"/>
      <c r="GZ46" s="11"/>
      <c r="HA46" s="69">
        <f t="shared" si="406"/>
        <v>912</v>
      </c>
      <c r="HB46" s="69">
        <f t="shared" si="407"/>
        <v>82</v>
      </c>
      <c r="HC46" s="11">
        <v>630</v>
      </c>
      <c r="HD46" s="12">
        <f t="shared" si="356"/>
        <v>0.7182017543859649</v>
      </c>
      <c r="HE46" s="11">
        <v>25</v>
      </c>
      <c r="HF46" s="12">
        <f t="shared" si="357"/>
        <v>3.8167938931297711E-2</v>
      </c>
      <c r="HG46" s="194">
        <v>162.1</v>
      </c>
      <c r="HH46" s="11"/>
      <c r="HI46" s="25">
        <v>3982.8260869565215</v>
      </c>
      <c r="HJ46" s="38">
        <v>4289.33</v>
      </c>
      <c r="HK46" s="10">
        <f t="shared" si="358"/>
        <v>0</v>
      </c>
      <c r="HL46" s="11">
        <f t="shared" si="359"/>
        <v>1</v>
      </c>
      <c r="HM46" s="11">
        <f t="shared" si="360"/>
        <v>12444</v>
      </c>
      <c r="HN46" s="11">
        <f t="shared" si="361"/>
        <v>1115</v>
      </c>
      <c r="HO46" s="11">
        <f t="shared" si="362"/>
        <v>8568</v>
      </c>
      <c r="HP46" s="95">
        <f t="shared" si="363"/>
        <v>0.68852459016393441</v>
      </c>
      <c r="HQ46" s="15">
        <f t="shared" si="364"/>
        <v>325</v>
      </c>
      <c r="HR46" s="12">
        <f t="shared" si="365"/>
        <v>3.7931839402427635E-2</v>
      </c>
      <c r="HS46" s="16">
        <v>54.3</v>
      </c>
      <c r="HT46" s="17">
        <v>8080</v>
      </c>
      <c r="HU46" s="16">
        <f t="shared" si="366"/>
        <v>94.304388422035473</v>
      </c>
      <c r="HV46" s="23">
        <v>3999.5352564102564</v>
      </c>
      <c r="HW46" s="22">
        <v>4267.41</v>
      </c>
      <c r="HX46" s="73">
        <f t="shared" si="367"/>
        <v>0.68310068310068306</v>
      </c>
      <c r="HY46" s="73">
        <f t="shared" si="368"/>
        <v>0.68264908600539409</v>
      </c>
      <c r="HZ46" s="73">
        <f t="shared" si="369"/>
        <v>0.69477054429028817</v>
      </c>
      <c r="IA46" s="73">
        <f t="shared" si="370"/>
        <v>0.69545920109252302</v>
      </c>
    </row>
    <row r="47" spans="1:244" x14ac:dyDescent="0.25">
      <c r="A47" s="374"/>
      <c r="B47" s="41">
        <f t="shared" si="371"/>
        <v>44975</v>
      </c>
      <c r="C47" s="10"/>
      <c r="D47" s="11"/>
      <c r="E47" s="69">
        <f t="shared" si="372"/>
        <v>850</v>
      </c>
      <c r="F47" s="69">
        <f t="shared" si="372"/>
        <v>75</v>
      </c>
      <c r="G47" s="11">
        <v>561</v>
      </c>
      <c r="H47" s="12">
        <f t="shared" si="323"/>
        <v>0.67882352941176471</v>
      </c>
      <c r="I47" s="11">
        <v>16</v>
      </c>
      <c r="J47" s="12">
        <f t="shared" si="373"/>
        <v>2.7729636048526862E-2</v>
      </c>
      <c r="K47" s="13"/>
      <c r="L47" s="11"/>
      <c r="M47" s="39">
        <v>90.476190476190482</v>
      </c>
      <c r="N47" s="43">
        <v>100</v>
      </c>
      <c r="O47" s="10">
        <v>1</v>
      </c>
      <c r="P47" s="11"/>
      <c r="Q47" s="69">
        <f t="shared" si="374"/>
        <v>771</v>
      </c>
      <c r="R47" s="69">
        <f t="shared" si="375"/>
        <v>69</v>
      </c>
      <c r="S47" s="11">
        <v>520</v>
      </c>
      <c r="T47" s="12">
        <f t="shared" si="324"/>
        <v>0.69001297016861218</v>
      </c>
      <c r="U47" s="11">
        <v>12</v>
      </c>
      <c r="V47" s="12">
        <f t="shared" si="325"/>
        <v>2.2556390977443608E-2</v>
      </c>
      <c r="W47" s="13"/>
      <c r="X47" s="11"/>
      <c r="Y47" s="39">
        <v>100</v>
      </c>
      <c r="Z47" s="43">
        <v>100</v>
      </c>
      <c r="AA47" s="10">
        <v>1</v>
      </c>
      <c r="AB47" s="11"/>
      <c r="AC47" s="69">
        <f t="shared" si="376"/>
        <v>191</v>
      </c>
      <c r="AD47" s="69">
        <f t="shared" si="377"/>
        <v>15</v>
      </c>
      <c r="AE47" s="11">
        <v>118</v>
      </c>
      <c r="AF47" s="12">
        <f t="shared" si="326"/>
        <v>0.62827225130890052</v>
      </c>
      <c r="AG47" s="11">
        <v>2</v>
      </c>
      <c r="AH47" s="12">
        <f t="shared" si="327"/>
        <v>1.6666666666666666E-2</v>
      </c>
      <c r="AI47" s="13"/>
      <c r="AJ47" s="11"/>
      <c r="AK47" s="39">
        <v>100</v>
      </c>
      <c r="AL47" s="43">
        <v>100</v>
      </c>
      <c r="AM47" s="10"/>
      <c r="AN47" s="11"/>
      <c r="AO47" s="69">
        <f t="shared" si="378"/>
        <v>776</v>
      </c>
      <c r="AP47" s="69">
        <f t="shared" si="379"/>
        <v>69</v>
      </c>
      <c r="AQ47" s="11">
        <v>499</v>
      </c>
      <c r="AR47" s="12">
        <f t="shared" si="328"/>
        <v>0.65979381443298968</v>
      </c>
      <c r="AS47" s="11">
        <v>13</v>
      </c>
      <c r="AT47" s="12">
        <f t="shared" si="329"/>
        <v>2.5390625E-2</v>
      </c>
      <c r="AU47" s="13"/>
      <c r="AV47" s="11"/>
      <c r="AW47" s="39">
        <v>86.111111111111114</v>
      </c>
      <c r="AX47" s="43">
        <v>100</v>
      </c>
      <c r="AY47" s="10"/>
      <c r="AZ47" s="11"/>
      <c r="BA47" s="69">
        <f t="shared" si="380"/>
        <v>777</v>
      </c>
      <c r="BB47" s="69">
        <f t="shared" si="381"/>
        <v>69</v>
      </c>
      <c r="BC47" s="11">
        <v>512</v>
      </c>
      <c r="BD47" s="12">
        <f t="shared" si="330"/>
        <v>0.68211068211068215</v>
      </c>
      <c r="BE47" s="11">
        <v>18</v>
      </c>
      <c r="BF47" s="12">
        <f t="shared" si="331"/>
        <v>3.3962264150943396E-2</v>
      </c>
      <c r="BG47" s="13"/>
      <c r="BH47" s="11"/>
      <c r="BI47" s="39">
        <v>93.939393939393938</v>
      </c>
      <c r="BJ47" s="43">
        <v>100</v>
      </c>
      <c r="BK47" s="10"/>
      <c r="BL47" s="11"/>
      <c r="BM47" s="69">
        <f t="shared" si="382"/>
        <v>847</v>
      </c>
      <c r="BN47" s="69">
        <f t="shared" si="383"/>
        <v>77</v>
      </c>
      <c r="BO47" s="11">
        <v>522</v>
      </c>
      <c r="BP47" s="12">
        <f t="shared" si="332"/>
        <v>0.64935064935064934</v>
      </c>
      <c r="BQ47" s="11">
        <v>28</v>
      </c>
      <c r="BR47" s="12">
        <f t="shared" si="333"/>
        <v>5.0909090909090911E-2</v>
      </c>
      <c r="BS47" s="13"/>
      <c r="BT47" s="11"/>
      <c r="BU47" s="39">
        <v>79.545454545454547</v>
      </c>
      <c r="BV47" s="43">
        <v>100</v>
      </c>
      <c r="BW47" s="10"/>
      <c r="BX47" s="11"/>
      <c r="BY47" s="69">
        <f t="shared" si="384"/>
        <v>765</v>
      </c>
      <c r="BZ47" s="69">
        <f t="shared" si="385"/>
        <v>69</v>
      </c>
      <c r="CA47" s="11">
        <v>484</v>
      </c>
      <c r="CB47" s="12">
        <f t="shared" si="334"/>
        <v>0.65228758169934642</v>
      </c>
      <c r="CC47" s="11">
        <v>15</v>
      </c>
      <c r="CD47" s="12">
        <f t="shared" si="335"/>
        <v>3.0060120240480961E-2</v>
      </c>
      <c r="CE47" s="13"/>
      <c r="CF47" s="11"/>
      <c r="CG47" s="39">
        <v>80.487804878048777</v>
      </c>
      <c r="CH47" s="43">
        <v>100</v>
      </c>
      <c r="CI47" s="10">
        <v>1</v>
      </c>
      <c r="CJ47" s="11"/>
      <c r="CK47" s="69">
        <f t="shared" si="386"/>
        <v>194</v>
      </c>
      <c r="CL47" s="69">
        <f t="shared" si="387"/>
        <v>17</v>
      </c>
      <c r="CM47" s="11">
        <v>93</v>
      </c>
      <c r="CN47" s="12">
        <f t="shared" si="336"/>
        <v>0.52061855670103097</v>
      </c>
      <c r="CO47" s="11">
        <v>8</v>
      </c>
      <c r="CP47" s="12">
        <f t="shared" si="337"/>
        <v>7.9207920792079209E-2</v>
      </c>
      <c r="CQ47" s="13"/>
      <c r="CR47" s="11"/>
      <c r="CS47" s="39">
        <v>90</v>
      </c>
      <c r="CT47" s="43">
        <v>100</v>
      </c>
      <c r="CU47" s="10"/>
      <c r="CV47" s="11"/>
      <c r="CW47" s="69">
        <f t="shared" si="388"/>
        <v>763</v>
      </c>
      <c r="CX47" s="69">
        <f t="shared" si="389"/>
        <v>70</v>
      </c>
      <c r="CY47" s="11">
        <v>502</v>
      </c>
      <c r="CZ47" s="12">
        <f t="shared" si="338"/>
        <v>0.68414154652686765</v>
      </c>
      <c r="DA47" s="11">
        <v>20</v>
      </c>
      <c r="DB47" s="12">
        <f t="shared" si="339"/>
        <v>3.8314176245210725E-2</v>
      </c>
      <c r="DC47" s="13"/>
      <c r="DD47" s="11"/>
      <c r="DE47" s="39">
        <v>92.10526315789474</v>
      </c>
      <c r="DF47" s="43">
        <v>100</v>
      </c>
      <c r="DG47" s="10"/>
      <c r="DH47" s="11"/>
      <c r="DI47" s="69">
        <f t="shared" si="390"/>
        <v>767</v>
      </c>
      <c r="DJ47" s="69">
        <f t="shared" si="391"/>
        <v>70</v>
      </c>
      <c r="DK47" s="11">
        <v>529</v>
      </c>
      <c r="DL47" s="12">
        <f t="shared" si="340"/>
        <v>0.71838331160365054</v>
      </c>
      <c r="DM47" s="11">
        <v>22</v>
      </c>
      <c r="DN47" s="12">
        <f t="shared" si="341"/>
        <v>3.9927404718693285E-2</v>
      </c>
      <c r="DO47" s="13"/>
      <c r="DP47" s="11"/>
      <c r="DQ47" s="39">
        <v>84.615384615384613</v>
      </c>
      <c r="DR47" s="43">
        <v>100</v>
      </c>
      <c r="DS47" s="10"/>
      <c r="DT47" s="11"/>
      <c r="DU47" s="69">
        <f t="shared" si="392"/>
        <v>865</v>
      </c>
      <c r="DV47" s="69">
        <f t="shared" si="393"/>
        <v>78</v>
      </c>
      <c r="DW47" s="11">
        <v>577</v>
      </c>
      <c r="DX47" s="12">
        <f t="shared" si="342"/>
        <v>0.7132947976878613</v>
      </c>
      <c r="DY47" s="11">
        <v>40</v>
      </c>
      <c r="DZ47" s="12">
        <f t="shared" si="343"/>
        <v>6.4829821717990274E-2</v>
      </c>
      <c r="EA47" s="13"/>
      <c r="EB47" s="11"/>
      <c r="EC47" s="39">
        <v>93.181818181818187</v>
      </c>
      <c r="ED47" s="43">
        <v>100</v>
      </c>
      <c r="EE47" s="10"/>
      <c r="EF47" s="11"/>
      <c r="EG47" s="69">
        <f t="shared" si="394"/>
        <v>867</v>
      </c>
      <c r="EH47" s="69">
        <f t="shared" si="395"/>
        <v>79</v>
      </c>
      <c r="EI47" s="11">
        <v>601</v>
      </c>
      <c r="EJ47" s="12">
        <f t="shared" si="344"/>
        <v>0.73587081891580164</v>
      </c>
      <c r="EK47" s="11">
        <v>37</v>
      </c>
      <c r="EL47" s="12">
        <f t="shared" si="345"/>
        <v>5.7993730407523508E-2</v>
      </c>
      <c r="EM47" s="13"/>
      <c r="EN47" s="11"/>
      <c r="EO47" s="39">
        <v>93.181818181818187</v>
      </c>
      <c r="EP47" s="43">
        <v>100</v>
      </c>
      <c r="EQ47" s="10"/>
      <c r="ER47" s="11"/>
      <c r="ES47" s="69">
        <f t="shared" si="396"/>
        <v>212</v>
      </c>
      <c r="ET47" s="69">
        <f t="shared" si="397"/>
        <v>16</v>
      </c>
      <c r="EU47" s="11">
        <v>113</v>
      </c>
      <c r="EV47" s="12">
        <f t="shared" si="346"/>
        <v>0.58018867924528306</v>
      </c>
      <c r="EW47" s="11">
        <v>10</v>
      </c>
      <c r="EX47" s="12">
        <f t="shared" si="347"/>
        <v>8.1300813008130079E-2</v>
      </c>
      <c r="EY47" s="13"/>
      <c r="EZ47" s="11"/>
      <c r="FA47" s="39">
        <v>57.142857142857146</v>
      </c>
      <c r="FB47" s="43">
        <v>100</v>
      </c>
      <c r="FC47" s="10"/>
      <c r="FD47" s="11"/>
      <c r="FE47" s="69">
        <f t="shared" si="398"/>
        <v>867</v>
      </c>
      <c r="FF47" s="69">
        <f t="shared" si="399"/>
        <v>78</v>
      </c>
      <c r="FG47" s="11">
        <v>610</v>
      </c>
      <c r="FH47" s="12">
        <f t="shared" si="348"/>
        <v>0.72433679354094582</v>
      </c>
      <c r="FI47" s="11">
        <v>18</v>
      </c>
      <c r="FJ47" s="12">
        <f t="shared" si="349"/>
        <v>2.8662420382165606E-2</v>
      </c>
      <c r="FK47" s="13"/>
      <c r="FL47" s="11"/>
      <c r="FM47" s="39">
        <v>80.434782608695656</v>
      </c>
      <c r="FN47" s="43">
        <v>100</v>
      </c>
      <c r="FO47" s="10"/>
      <c r="FP47" s="11"/>
      <c r="FQ47" s="69">
        <f t="shared" si="400"/>
        <v>911</v>
      </c>
      <c r="FR47" s="69">
        <f t="shared" si="401"/>
        <v>81</v>
      </c>
      <c r="FS47" s="11">
        <v>611</v>
      </c>
      <c r="FT47" s="12">
        <f t="shared" si="350"/>
        <v>0.70691547749725581</v>
      </c>
      <c r="FU47" s="11">
        <v>33</v>
      </c>
      <c r="FV47" s="12">
        <f t="shared" si="351"/>
        <v>5.124223602484472E-2</v>
      </c>
      <c r="FW47" s="13"/>
      <c r="FX47" s="11"/>
      <c r="FY47" s="39">
        <v>85.714285714285708</v>
      </c>
      <c r="FZ47" s="43">
        <v>94.74</v>
      </c>
      <c r="GA47" s="10">
        <v>1</v>
      </c>
      <c r="GB47" s="11"/>
      <c r="GC47" s="69">
        <f t="shared" si="402"/>
        <v>910</v>
      </c>
      <c r="GD47" s="69">
        <f t="shared" si="403"/>
        <v>82</v>
      </c>
      <c r="GE47" s="11">
        <v>636</v>
      </c>
      <c r="GF47" s="12">
        <f t="shared" si="352"/>
        <v>0.73516483516483522</v>
      </c>
      <c r="GG47" s="11">
        <v>33</v>
      </c>
      <c r="GH47" s="12">
        <f t="shared" si="353"/>
        <v>4.9327354260089683E-2</v>
      </c>
      <c r="GI47" s="13"/>
      <c r="GJ47" s="11"/>
      <c r="GK47" s="39">
        <v>92.682926829268297</v>
      </c>
      <c r="GL47" s="43">
        <v>100</v>
      </c>
      <c r="GM47" s="10"/>
      <c r="GN47" s="11"/>
      <c r="GO47" s="69">
        <f t="shared" si="404"/>
        <v>195</v>
      </c>
      <c r="GP47" s="69">
        <f t="shared" si="405"/>
        <v>19</v>
      </c>
      <c r="GQ47" s="11">
        <v>108</v>
      </c>
      <c r="GR47" s="12">
        <f t="shared" si="354"/>
        <v>0.61025641025641031</v>
      </c>
      <c r="GS47" s="11">
        <v>11</v>
      </c>
      <c r="GT47" s="12">
        <f t="shared" si="355"/>
        <v>9.2436974789915971E-2</v>
      </c>
      <c r="GU47" s="13"/>
      <c r="GV47" s="11"/>
      <c r="GW47" s="39">
        <v>87.5</v>
      </c>
      <c r="GX47" s="43">
        <v>100</v>
      </c>
      <c r="GY47" s="10"/>
      <c r="GZ47" s="11"/>
      <c r="HA47" s="69">
        <f t="shared" si="406"/>
        <v>912</v>
      </c>
      <c r="HB47" s="69">
        <f t="shared" si="407"/>
        <v>82</v>
      </c>
      <c r="HC47" s="11">
        <v>624</v>
      </c>
      <c r="HD47" s="12">
        <f t="shared" si="356"/>
        <v>0.70723684210526316</v>
      </c>
      <c r="HE47" s="11">
        <v>21</v>
      </c>
      <c r="HF47" s="12">
        <f t="shared" si="357"/>
        <v>3.255813953488372E-2</v>
      </c>
      <c r="HG47" s="13"/>
      <c r="HH47" s="11"/>
      <c r="HI47" s="39">
        <v>73.913043478260875</v>
      </c>
      <c r="HJ47" s="43">
        <v>100</v>
      </c>
      <c r="HK47" s="10">
        <f t="shared" si="358"/>
        <v>4</v>
      </c>
      <c r="HL47" s="11">
        <f t="shared" si="359"/>
        <v>0</v>
      </c>
      <c r="HM47" s="11">
        <f t="shared" si="360"/>
        <v>12440</v>
      </c>
      <c r="HN47" s="11">
        <f t="shared" si="361"/>
        <v>1115</v>
      </c>
      <c r="HO47" s="11">
        <f t="shared" si="362"/>
        <v>8577</v>
      </c>
      <c r="HP47" s="95">
        <f t="shared" si="363"/>
        <v>0.6894694533762058</v>
      </c>
      <c r="HQ47" s="15">
        <f t="shared" si="364"/>
        <v>357</v>
      </c>
      <c r="HR47" s="12">
        <f t="shared" si="365"/>
        <v>4.16229450856943E-2</v>
      </c>
      <c r="HS47" s="16">
        <v>53.5</v>
      </c>
      <c r="HT47" s="17">
        <v>8040</v>
      </c>
      <c r="HU47" s="16">
        <f t="shared" si="366"/>
        <v>93.739069604756907</v>
      </c>
      <c r="HV47" s="23">
        <v>86.858974358974365</v>
      </c>
      <c r="HW47" s="22">
        <v>96.43</v>
      </c>
      <c r="HX47" s="73">
        <f t="shared" si="367"/>
        <v>0.67488855869242204</v>
      </c>
      <c r="HY47" s="73">
        <f t="shared" si="368"/>
        <v>0.66636690647482011</v>
      </c>
      <c r="HZ47" s="73">
        <f t="shared" si="369"/>
        <v>0.71362504446816077</v>
      </c>
      <c r="IA47" s="73">
        <f t="shared" si="370"/>
        <v>0.70935792349726778</v>
      </c>
      <c r="IF47" s="85">
        <f>IF48/IF49</f>
        <v>1.483679525222552E-3</v>
      </c>
      <c r="IG47" s="85">
        <f>IG48/IG49</f>
        <v>5.9916117435590175E-4</v>
      </c>
      <c r="IH47" s="85">
        <f>IH48/IH49</f>
        <v>2.4840312278211498E-3</v>
      </c>
      <c r="II47" s="85">
        <f>II48/II49</f>
        <v>1.0235414534288639E-3</v>
      </c>
      <c r="IJ47" s="88" t="s">
        <v>90</v>
      </c>
    </row>
    <row r="48" spans="1:244" ht="19.5" thickBot="1" x14ac:dyDescent="0.3">
      <c r="A48" s="374"/>
      <c r="B48" s="42"/>
      <c r="C48" s="26">
        <f>SUM(C41:C47)</f>
        <v>0</v>
      </c>
      <c r="D48" s="27">
        <f>SUM(D41:D47)</f>
        <v>0</v>
      </c>
      <c r="E48" s="27"/>
      <c r="F48" s="27"/>
      <c r="G48" s="27">
        <f>SUM(G41:G47)</f>
        <v>3841</v>
      </c>
      <c r="H48" s="28">
        <f>((G48+I48)/7)/E47</f>
        <v>0.67025210084033604</v>
      </c>
      <c r="I48" s="27">
        <f>SUM(I41:I47)</f>
        <v>147</v>
      </c>
      <c r="J48" s="28">
        <f>(I48/(I48+G48))</f>
        <v>3.686058174523571E-2</v>
      </c>
      <c r="K48" s="27"/>
      <c r="L48" s="27"/>
      <c r="M48" s="29">
        <f>M46/M45*100-100</f>
        <v>9.2190476190476147</v>
      </c>
      <c r="N48" s="67">
        <f>N46/N45*100-100</f>
        <v>3.2524271844660149</v>
      </c>
      <c r="O48" s="26">
        <f>SUM(O41:O47)</f>
        <v>3</v>
      </c>
      <c r="P48" s="27">
        <f>SUM(P41:P47)</f>
        <v>0</v>
      </c>
      <c r="Q48" s="27"/>
      <c r="R48" s="27"/>
      <c r="S48" s="27">
        <f>SUM(S41:S47)</f>
        <v>3522</v>
      </c>
      <c r="T48" s="28">
        <f>((S48+U48)/7)/Q47</f>
        <v>0.67611636094126371</v>
      </c>
      <c r="U48" s="27">
        <f>SUM(U41:U47)</f>
        <v>127</v>
      </c>
      <c r="V48" s="28">
        <f>(U48/(U48+S48))</f>
        <v>3.4804055905727597E-2</v>
      </c>
      <c r="W48" s="27"/>
      <c r="X48" s="27"/>
      <c r="Y48" s="29">
        <f>Y46/Y45*100-100</f>
        <v>6.9128205128205167</v>
      </c>
      <c r="Z48" s="67">
        <f>Z46/Z45*100-100</f>
        <v>3.2201456310679646</v>
      </c>
      <c r="AA48" s="26">
        <f>SUM(AA41:AA47)</f>
        <v>2</v>
      </c>
      <c r="AB48" s="27">
        <f>SUM(AB41:AB47)</f>
        <v>0</v>
      </c>
      <c r="AC48" s="27"/>
      <c r="AD48" s="27"/>
      <c r="AE48" s="27">
        <f>SUM(AE41:AE47)</f>
        <v>800</v>
      </c>
      <c r="AF48" s="28">
        <f>((AE48+AG48)/7)/AC47</f>
        <v>0.62154076290201943</v>
      </c>
      <c r="AG48" s="27">
        <f>SUM(AG41:AG47)</f>
        <v>31</v>
      </c>
      <c r="AH48" s="28">
        <f>(AG48/(AG48+AE48))</f>
        <v>3.7304452466907341E-2</v>
      </c>
      <c r="AI48" s="27"/>
      <c r="AJ48" s="27"/>
      <c r="AK48" s="29">
        <f>AK46/AK45*100-100</f>
        <v>9.3333333333333286</v>
      </c>
      <c r="AL48" s="67">
        <f>AL46/AL45*100-100</f>
        <v>8.0703883495145732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3125</v>
      </c>
      <c r="AR48" s="28">
        <f>((AQ48+AS48)/7)/AO47</f>
        <v>0.60327687776141392</v>
      </c>
      <c r="AS48" s="27">
        <f>SUM(AS41:AS47)</f>
        <v>152</v>
      </c>
      <c r="AT48" s="28">
        <f>(AS48/(AS48+AQ48))</f>
        <v>4.6383887702166615E-2</v>
      </c>
      <c r="AU48" s="27"/>
      <c r="AV48" s="27"/>
      <c r="AW48" s="29">
        <f>AW46/AW45*100-100</f>
        <v>9.4592592592592837</v>
      </c>
      <c r="AX48" s="67">
        <f>AX46/AX45*100-100</f>
        <v>10.287621359223323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3302</v>
      </c>
      <c r="BD48" s="28">
        <f>((BC48+BE48)/7)/BA47</f>
        <v>0.64405221548078695</v>
      </c>
      <c r="BE48" s="27">
        <f>SUM(BE41:BE47)</f>
        <v>201</v>
      </c>
      <c r="BF48" s="28">
        <f>(BE48/(BE48+BC48))</f>
        <v>5.7379389095061378E-2</v>
      </c>
      <c r="BG48" s="27"/>
      <c r="BH48" s="27"/>
      <c r="BI48" s="29">
        <f>BI46/BI45*100-100</f>
        <v>10.602020202020213</v>
      </c>
      <c r="BJ48" s="67">
        <f>BJ46/BJ45*100-100</f>
        <v>1.2742718446602055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3702</v>
      </c>
      <c r="BP48" s="28">
        <f>((BO48+BQ48)/7)/BM47</f>
        <v>0.65289256198347112</v>
      </c>
      <c r="BQ48" s="27">
        <f>SUM(BQ41:BQ47)</f>
        <v>169</v>
      </c>
      <c r="BR48" s="28">
        <f>(BQ48/(BQ48+BO48))</f>
        <v>4.3657969516920692E-2</v>
      </c>
      <c r="BS48" s="27"/>
      <c r="BT48" s="27"/>
      <c r="BU48" s="29">
        <f>BU46/BU45*100-100</f>
        <v>5.7272727272727337</v>
      </c>
      <c r="BV48" s="67">
        <f>BV46/BV45*100-100</f>
        <v>2.7669902912621325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3290</v>
      </c>
      <c r="CB48" s="28">
        <f>((CA48+CC48)/7)/BY47</f>
        <v>0.64145658263305327</v>
      </c>
      <c r="CC48" s="27">
        <f>SUM(CC41:CC47)</f>
        <v>145</v>
      </c>
      <c r="CD48" s="28">
        <f>(CC48/(CC48+CA48))</f>
        <v>4.2212518195050945E-2</v>
      </c>
      <c r="CE48" s="27"/>
      <c r="CF48" s="27"/>
      <c r="CG48" s="29">
        <f>CG46/CG45*100-100</f>
        <v>7.863414634146352</v>
      </c>
      <c r="CH48" s="67">
        <f>CH46/CH45*100-100</f>
        <v>4.6439320388349472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617</v>
      </c>
      <c r="CN48" s="28">
        <f>((CM48+CO48)/7)/CK47</f>
        <v>0.48159057437407954</v>
      </c>
      <c r="CO48" s="27">
        <f>SUM(CO41:CO47)</f>
        <v>37</v>
      </c>
      <c r="CP48" s="28">
        <f>(CO48/(CO48+CM48))</f>
        <v>5.657492354740061E-2</v>
      </c>
      <c r="CQ48" s="27"/>
      <c r="CR48" s="27"/>
      <c r="CS48" s="29">
        <f>CS46/CS45*100-100</f>
        <v>3.5466666666666811</v>
      </c>
      <c r="CT48" s="67">
        <f>CT46/CT45*100-100</f>
        <v>3.7216019417475792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3404</v>
      </c>
      <c r="CZ48" s="28">
        <f>((CY48+DA48)/7)/CW47</f>
        <v>0.66317169069462645</v>
      </c>
      <c r="DA48" s="27">
        <f>SUM(DA41:DA47)</f>
        <v>138</v>
      </c>
      <c r="DB48" s="28">
        <f>(DA48/(DA48+CY48))</f>
        <v>3.896103896103896E-2</v>
      </c>
      <c r="DC48" s="27"/>
      <c r="DD48" s="27"/>
      <c r="DE48" s="29">
        <f>DE46/DE45*100-100</f>
        <v>4.3578947368420984</v>
      </c>
      <c r="DF48" s="67">
        <f>DF46/DF45*100-100</f>
        <v>5.7444174757281559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3522</v>
      </c>
      <c r="DL48" s="28">
        <f>((DK48+DM48)/7)/DI47</f>
        <v>0.68709256844850064</v>
      </c>
      <c r="DM48" s="27">
        <f>SUM(DM41:DM47)</f>
        <v>167</v>
      </c>
      <c r="DN48" s="28">
        <f>(DM48/(DM48+DK48))</f>
        <v>4.5269720791542421E-2</v>
      </c>
      <c r="DO48" s="27"/>
      <c r="DP48" s="27"/>
      <c r="DQ48" s="29">
        <f>DQ46/DQ45*100-100</f>
        <v>9.3743589743589837</v>
      </c>
      <c r="DR48" s="67">
        <f>DR46/DR45*100-100</f>
        <v>4.320388349514559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3660</v>
      </c>
      <c r="DX48" s="28">
        <f>((DW48+DY48)/7)/DU47</f>
        <v>0.64194880264244436</v>
      </c>
      <c r="DY48" s="27">
        <f>SUM(DY41:DY47)</f>
        <v>227</v>
      </c>
      <c r="DZ48" s="28">
        <f>(DY48/(DY48+DW48))</f>
        <v>5.839979418574736E-2</v>
      </c>
      <c r="EA48" s="27"/>
      <c r="EB48" s="27"/>
      <c r="EC48" s="29">
        <f>EC46/EC45*100-100</f>
        <v>5.4848484848484702</v>
      </c>
      <c r="ED48" s="67">
        <f>ED46/ED45*100-100</f>
        <v>-2.7832524271844648</v>
      </c>
      <c r="EE48" s="26">
        <f>SUM(EE41:EE47)</f>
        <v>2</v>
      </c>
      <c r="EF48" s="27">
        <f>SUM(EF41:EF47)</f>
        <v>0</v>
      </c>
      <c r="EG48" s="27"/>
      <c r="EH48" s="27"/>
      <c r="EI48" s="27">
        <f>SUM(EI41:EI47)</f>
        <v>3834</v>
      </c>
      <c r="EJ48" s="28">
        <f>((EI48+EK48)/7)/EG47</f>
        <v>0.66765529741308294</v>
      </c>
      <c r="EK48" s="27">
        <f>SUM(EK41:EK47)</f>
        <v>218</v>
      </c>
      <c r="EL48" s="28">
        <f>(EK48/(EK48+EI48))</f>
        <v>5.3800592300098718E-2</v>
      </c>
      <c r="EM48" s="27"/>
      <c r="EN48" s="27"/>
      <c r="EO48" s="29">
        <f>EO46/EO45*100-100</f>
        <v>7.8424242424242436</v>
      </c>
      <c r="EP48" s="67">
        <f>EP46/EP45*100-100</f>
        <v>-1.0228155339805767</v>
      </c>
      <c r="EQ48" s="26">
        <f>SUM(EQ41:EQ47)</f>
        <v>4</v>
      </c>
      <c r="ER48" s="27">
        <f>SUM(ER41:ER47)</f>
        <v>1</v>
      </c>
      <c r="ES48" s="27"/>
      <c r="ET48" s="27"/>
      <c r="EU48" s="27">
        <f>SUM(EU41:EU47)</f>
        <v>667</v>
      </c>
      <c r="EV48" s="28">
        <f>((EU48+EW48)/7)/ES47</f>
        <v>0.48719676549865232</v>
      </c>
      <c r="EW48" s="27">
        <f>SUM(EW41:EW47)</f>
        <v>56</v>
      </c>
      <c r="EX48" s="28">
        <f>(EW48/(EW48+EU48))</f>
        <v>7.7455048409405258E-2</v>
      </c>
      <c r="EY48" s="197">
        <v>146.9</v>
      </c>
      <c r="EZ48" s="27"/>
      <c r="FA48" s="29">
        <f>FA46/FA45*100-100</f>
        <v>0.22857142857142776</v>
      </c>
      <c r="FB48" s="67">
        <f>FB46/FB45*100-100</f>
        <v>1.2135922330097202</v>
      </c>
      <c r="FC48" s="26">
        <f>SUM(FC41:FC47)</f>
        <v>1</v>
      </c>
      <c r="FD48" s="27">
        <f>SUM(FD41:FD47)</f>
        <v>1</v>
      </c>
      <c r="FE48" s="27"/>
      <c r="FF48" s="27"/>
      <c r="FG48" s="27">
        <f>SUM(FG41:FG47)</f>
        <v>3879</v>
      </c>
      <c r="FH48" s="28">
        <f>((FG48+FI48)/7)/FE47</f>
        <v>0.66633712308452786</v>
      </c>
      <c r="FI48" s="27">
        <f>SUM(FI41:FI47)</f>
        <v>165</v>
      </c>
      <c r="FJ48" s="28">
        <f>(FI48/(FI48+FG48))</f>
        <v>4.0801186943620178E-2</v>
      </c>
      <c r="FK48" s="27"/>
      <c r="FL48" s="27"/>
      <c r="FM48" s="29">
        <f>FM46/FM45*100-100</f>
        <v>9.1536231884058026</v>
      </c>
      <c r="FN48" s="67">
        <f>FN46/FN45*100-100</f>
        <v>5.6262135922330145</v>
      </c>
      <c r="FO48" s="26">
        <f>SUM(FO41:FO47)</f>
        <v>0</v>
      </c>
      <c r="FP48" s="27">
        <f>SUM(FP41:FP47)</f>
        <v>1</v>
      </c>
      <c r="FQ48" s="27"/>
      <c r="FR48" s="27"/>
      <c r="FS48" s="27">
        <f>SUM(FS41:FS47)</f>
        <v>3819</v>
      </c>
      <c r="FT48" s="28">
        <f>((FS48+FU48)/7)/FQ47</f>
        <v>0.64105378704720084</v>
      </c>
      <c r="FU48" s="27">
        <f>SUM(FU41:FU47)</f>
        <v>269</v>
      </c>
      <c r="FV48" s="28">
        <f>(FU48/(FU48+FS48))</f>
        <v>6.5802348336594915E-2</v>
      </c>
      <c r="FW48" s="27"/>
      <c r="FX48" s="27"/>
      <c r="FY48" s="29">
        <f>FY46/FY45*100-100</f>
        <v>3.1492063492063522</v>
      </c>
      <c r="FZ48" s="67">
        <f>FZ46/FZ45*100-100</f>
        <v>3.9601941747572766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3964</v>
      </c>
      <c r="GF48" s="28">
        <f>((GE48+GG48)/7)/GC47</f>
        <v>0.65321821036106753</v>
      </c>
      <c r="GG48" s="27">
        <f>SUM(GG41:GG47)</f>
        <v>197</v>
      </c>
      <c r="GH48" s="28">
        <f>(GG48/(GG48+GE48))</f>
        <v>4.7344388368180723E-2</v>
      </c>
      <c r="GI48" s="27"/>
      <c r="GJ48" s="27"/>
      <c r="GK48" s="29">
        <f>GK46/GK45*100-100</f>
        <v>3.2325203252032537</v>
      </c>
      <c r="GL48" s="67">
        <f>GL46/GL45*100-100</f>
        <v>5.9126213592233086</v>
      </c>
      <c r="GM48" s="26">
        <f>SUM(GM41:GM47)</f>
        <v>1</v>
      </c>
      <c r="GN48" s="27">
        <f>SUM(GN41:GN47)</f>
        <v>0</v>
      </c>
      <c r="GO48" s="27"/>
      <c r="GP48" s="27"/>
      <c r="GQ48" s="27">
        <f>SUM(GQ41:GQ47)</f>
        <v>704</v>
      </c>
      <c r="GR48" s="28">
        <f>((GQ48+GS48)/7)/GO47</f>
        <v>0.55164835164835169</v>
      </c>
      <c r="GS48" s="27">
        <f>SUM(GS41:GS47)</f>
        <v>49</v>
      </c>
      <c r="GT48" s="28">
        <f>(GS48/(GS48+GQ48))</f>
        <v>6.5073041168658696E-2</v>
      </c>
      <c r="GU48" s="27"/>
      <c r="GV48" s="27"/>
      <c r="GW48" s="29">
        <f>GW46/GW45*100-100</f>
        <v>1.1833333333333371</v>
      </c>
      <c r="GX48" s="67">
        <f>GX46/GX45*100-100</f>
        <v>-3.5800970873786468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4108</v>
      </c>
      <c r="HD48" s="28">
        <f>((HC48+HE48)/7)/HA47</f>
        <v>0.66807644110275699</v>
      </c>
      <c r="HE48" s="27">
        <f>SUM(HE41:HE47)</f>
        <v>157</v>
      </c>
      <c r="HF48" s="28">
        <f>(HE48/(HE48+HC48))</f>
        <v>3.6811254396248536E-2</v>
      </c>
      <c r="HG48" s="27"/>
      <c r="HH48" s="27"/>
      <c r="HI48" s="29">
        <f>HI46/HI45*100-100</f>
        <v>6.2086956521739012</v>
      </c>
      <c r="HJ48" s="67">
        <f>HJ46/HJ45*100-100</f>
        <v>4.1099514563106823</v>
      </c>
      <c r="HK48" s="26">
        <f t="shared" si="358"/>
        <v>17</v>
      </c>
      <c r="HL48" s="27">
        <f t="shared" si="359"/>
        <v>3</v>
      </c>
      <c r="HM48" s="27">
        <f t="shared" si="360"/>
        <v>0</v>
      </c>
      <c r="HN48" s="27">
        <f t="shared" si="361"/>
        <v>0</v>
      </c>
      <c r="HO48" s="27">
        <f t="shared" si="362"/>
        <v>56412</v>
      </c>
      <c r="HP48" s="96">
        <f>+((HO48)/HM47)/7</f>
        <v>0.64781809830041337</v>
      </c>
      <c r="HQ48" s="62">
        <f t="shared" si="364"/>
        <v>2652</v>
      </c>
      <c r="HR48" s="52">
        <f t="shared" si="365"/>
        <v>4.7011274196979369E-2</v>
      </c>
      <c r="HS48" s="53">
        <f>SUM(HS41:HS47)/7</f>
        <v>53.485714285714288</v>
      </c>
      <c r="HT48" s="54">
        <f>SUM(HT41:HT47)</f>
        <v>52608</v>
      </c>
      <c r="HU48" s="53">
        <f>AVERAGE(HU41:HU47)</f>
        <v>93.202443530932783</v>
      </c>
      <c r="HV48" s="63">
        <f>HV46/HV45*100-100</f>
        <v>6.6542735042735046</v>
      </c>
      <c r="HW48" s="67">
        <f>HW46/HW45*100-100</f>
        <v>3.5779126213592178</v>
      </c>
      <c r="HX48" s="73">
        <f>SUM(G48,I48,S48,U48,AE48,AG48,AQ48,AS48,BC48,BE48)/7/SUM(E47,Q47,AC47,AO47,BA47)</f>
        <v>0.64733602207599239</v>
      </c>
      <c r="HY48" s="73">
        <f>SUM(BO48,BQ48,CA48,CC48,CM48,CO48,CY48,DA48,DK48,DM48)/7/SUM(BM47,BY47,CK47,CW47,DI47)</f>
        <v>0.65052243919150399</v>
      </c>
      <c r="HZ48" s="73">
        <f>SUM(DW48,DY48,EI48,EK48,EU48,EW48,FG48,FI48)/7/SUM(DU47,EG47,ES47,FE47)</f>
        <v>0.64572851552574073</v>
      </c>
      <c r="IA48" s="73">
        <f>SUM(FS48,FU48,GE48,GG48,GQ48,GS48,HC48,HE48)/7/SUM(FQ47,GC47,GO47,HA47)</f>
        <v>0.64729703356752533</v>
      </c>
      <c r="IB48" s="84">
        <f>SUM(I48,U48,AG48,AS48,BE48)/SUM(G48,I48,S48,U48,AE48,AG48,AQ48,AS48,BC48,BE48)</f>
        <v>4.3153200419727179E-2</v>
      </c>
      <c r="IC48" s="84">
        <f>SUM(BQ48,CC48,CO48,DA48,DM48)/SUM(BO48,BQ48,CA48,CC48,CM48,CO48,CY48,DA48,DK48,DM48)</f>
        <v>4.3183463893094597E-2</v>
      </c>
      <c r="ID48" s="84">
        <f>SUM(DY48,EK48,EW48,FI48)/SUM(DW48,DY48,EI48,EK48,EU48,EW48,FG48,FI48)</f>
        <v>5.2416181331654335E-2</v>
      </c>
      <c r="IE48" s="84">
        <f>SUM(FU48,GG48,GS48,HE48)/SUM(FS48,FU48,GE48,GG48,GQ48,GS48,HC48,HE48)</f>
        <v>5.0651993668500789E-2</v>
      </c>
      <c r="IF48" s="86">
        <f>SUM(C48,O48,AA48,AM48,AY48)</f>
        <v>5</v>
      </c>
      <c r="IG48" s="86">
        <f>SUM(BK48,BW48,CI48,CU48,DG48)</f>
        <v>2</v>
      </c>
      <c r="IH48" s="86">
        <f>SUM(DS48,EE48,EQ48,FC48)</f>
        <v>7</v>
      </c>
      <c r="II48" s="86">
        <f>SUM(FO48,GA48,GM48,GY48)</f>
        <v>3</v>
      </c>
      <c r="IJ48" s="88" t="s">
        <v>89</v>
      </c>
    </row>
    <row r="49" spans="1:244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HK48/HM41</f>
        <v>1.3650232856913442E-3</v>
      </c>
      <c r="HL49" s="66">
        <f>HL48/HN41</f>
        <v>2.6857654431512983E-3</v>
      </c>
      <c r="HM49" s="45"/>
      <c r="HN49" s="45"/>
      <c r="HO49" s="45"/>
      <c r="HP49" s="98"/>
      <c r="HQ49" s="45"/>
      <c r="HR49" s="45"/>
      <c r="HS49" s="45"/>
      <c r="HT49" s="55"/>
      <c r="HU49" s="45"/>
      <c r="HV49" s="45"/>
      <c r="HW49" s="46"/>
      <c r="HY49" s="72"/>
      <c r="HZ49" s="72"/>
      <c r="IA49" s="72"/>
      <c r="IF49" s="86">
        <f>SUM(E38,Q38,AC38,AO38,BA38)</f>
        <v>3370</v>
      </c>
      <c r="IG49" s="86">
        <f>SUM(BM38,BY38,CK38,CW38,DI38)</f>
        <v>3338</v>
      </c>
      <c r="IH49" s="86">
        <f>SUM(DU38,EG38,ES38,FE38)</f>
        <v>2818</v>
      </c>
      <c r="II49" s="86">
        <f>SUM(FQ38,GC38,GO38,HA38)</f>
        <v>2931</v>
      </c>
      <c r="IJ49" s="88" t="s">
        <v>84</v>
      </c>
    </row>
    <row r="50" spans="1:244" x14ac:dyDescent="0.25">
      <c r="A50" s="373">
        <v>30</v>
      </c>
      <c r="B50" s="68">
        <f>B47+1</f>
        <v>44976</v>
      </c>
      <c r="C50" s="33"/>
      <c r="D50" s="34"/>
      <c r="E50" s="34">
        <f>E47-C50</f>
        <v>850</v>
      </c>
      <c r="F50" s="34">
        <f>F47-D50</f>
        <v>75</v>
      </c>
      <c r="G50" s="34">
        <v>577</v>
      </c>
      <c r="H50" s="35">
        <f t="shared" ref="H50:H56" si="408">((G50+I50)/E50)</f>
        <v>0.69294117647058828</v>
      </c>
      <c r="I50" s="34">
        <v>12</v>
      </c>
      <c r="J50" s="35">
        <f>I50/(G50+I50)</f>
        <v>2.037351443123939E-2</v>
      </c>
      <c r="K50" s="36"/>
      <c r="L50" s="34"/>
      <c r="M50" s="34"/>
      <c r="N50" s="37"/>
      <c r="O50" s="33"/>
      <c r="P50" s="34"/>
      <c r="Q50" s="34">
        <f>Q47-O50</f>
        <v>771</v>
      </c>
      <c r="R50" s="34">
        <f>R47-P50</f>
        <v>69</v>
      </c>
      <c r="S50" s="34">
        <v>553</v>
      </c>
      <c r="T50" s="35">
        <f t="shared" ref="T50:T56" si="409">((S50+U50)/Q50)</f>
        <v>0.73800259403372248</v>
      </c>
      <c r="U50" s="34">
        <v>16</v>
      </c>
      <c r="V50" s="35">
        <f t="shared" ref="V50:V56" si="410">U50/(S50+U50)</f>
        <v>2.8119507908611598E-2</v>
      </c>
      <c r="W50" s="196">
        <v>162.1</v>
      </c>
      <c r="X50" s="34"/>
      <c r="Y50" s="34"/>
      <c r="Z50" s="37"/>
      <c r="AA50" s="33"/>
      <c r="AB50" s="34"/>
      <c r="AC50" s="34">
        <f>AC47-AA50</f>
        <v>191</v>
      </c>
      <c r="AD50" s="34">
        <f>AD47-AB50</f>
        <v>15</v>
      </c>
      <c r="AE50" s="34">
        <v>123</v>
      </c>
      <c r="AF50" s="35">
        <f t="shared" ref="AF50:AF56" si="411">((AE50+AG50)/AC50)</f>
        <v>0.65445026178010468</v>
      </c>
      <c r="AG50" s="34">
        <v>2</v>
      </c>
      <c r="AH50" s="35">
        <f t="shared" ref="AH50:AH56" si="412">AG50/(AE50+AG50)</f>
        <v>1.6E-2</v>
      </c>
      <c r="AI50" s="36"/>
      <c r="AJ50" s="34"/>
      <c r="AK50" s="34"/>
      <c r="AL50" s="37"/>
      <c r="AM50" s="33"/>
      <c r="AN50" s="34"/>
      <c r="AO50" s="34">
        <f>AO47-AM50</f>
        <v>776</v>
      </c>
      <c r="AP50" s="34">
        <f>AP47-AN50</f>
        <v>69</v>
      </c>
      <c r="AQ50" s="34">
        <v>507</v>
      </c>
      <c r="AR50" s="35">
        <f t="shared" ref="AR50:AR56" si="413">((AQ50+AS50)/AO50)</f>
        <v>0.6739690721649485</v>
      </c>
      <c r="AS50" s="34">
        <v>16</v>
      </c>
      <c r="AT50" s="35">
        <f t="shared" ref="AT50:AT56" si="414">AS50/(AQ50+AS50)</f>
        <v>3.0592734225621414E-2</v>
      </c>
      <c r="AU50" s="36"/>
      <c r="AV50" s="34"/>
      <c r="AW50" s="34"/>
      <c r="AX50" s="37"/>
      <c r="AY50" s="33"/>
      <c r="AZ50" s="34"/>
      <c r="BA50" s="34">
        <f>BA47-AY50</f>
        <v>777</v>
      </c>
      <c r="BB50" s="34">
        <f>BB47-AZ50</f>
        <v>69</v>
      </c>
      <c r="BC50" s="34">
        <v>531</v>
      </c>
      <c r="BD50" s="35">
        <f t="shared" ref="BD50:BD56" si="415">((BC50+BE50)/BA50)</f>
        <v>0.72715572715572718</v>
      </c>
      <c r="BE50" s="34">
        <v>34</v>
      </c>
      <c r="BF50" s="35">
        <f t="shared" ref="BF50:BF56" si="416">BE50/(BC50+BE50)</f>
        <v>6.0176991150442477E-2</v>
      </c>
      <c r="BG50" s="196">
        <v>162.1</v>
      </c>
      <c r="BH50" s="34"/>
      <c r="BI50" s="34"/>
      <c r="BJ50" s="37"/>
      <c r="BK50" s="33"/>
      <c r="BL50" s="34"/>
      <c r="BM50" s="34">
        <f>BM47-BK50</f>
        <v>847</v>
      </c>
      <c r="BN50" s="34">
        <f>BN47-BL50</f>
        <v>77</v>
      </c>
      <c r="BO50" s="34">
        <v>593</v>
      </c>
      <c r="BP50" s="35">
        <f t="shared" ref="BP50:BP56" si="417">((BO50+BQ50)/BM50)</f>
        <v>0.71664698937426208</v>
      </c>
      <c r="BQ50" s="34">
        <v>14</v>
      </c>
      <c r="BR50" s="35">
        <f t="shared" ref="BR50:BR56" si="418">BQ50/(BO50+BQ50)</f>
        <v>2.3064250411861616E-2</v>
      </c>
      <c r="BS50" s="36"/>
      <c r="BT50" s="34"/>
      <c r="BU50" s="34"/>
      <c r="BV50" s="37"/>
      <c r="BW50" s="33"/>
      <c r="BX50" s="34"/>
      <c r="BY50" s="34">
        <f>BY47-BW50</f>
        <v>765</v>
      </c>
      <c r="BZ50" s="34">
        <f>BZ47-BX50</f>
        <v>69</v>
      </c>
      <c r="CA50" s="34">
        <v>518</v>
      </c>
      <c r="CB50" s="35">
        <f t="shared" ref="CB50:CB56" si="419">((CA50+CC50)/BY50)</f>
        <v>0.69542483660130716</v>
      </c>
      <c r="CC50" s="34">
        <v>14</v>
      </c>
      <c r="CD50" s="35">
        <f t="shared" ref="CD50:CD56" si="420">CC50/(CA50+CC50)</f>
        <v>2.6315789473684209E-2</v>
      </c>
      <c r="CE50" s="36"/>
      <c r="CF50" s="34"/>
      <c r="CG50" s="34"/>
      <c r="CH50" s="37"/>
      <c r="CI50" s="33">
        <v>2</v>
      </c>
      <c r="CJ50" s="34"/>
      <c r="CK50" s="34">
        <f>CK47-CI50</f>
        <v>192</v>
      </c>
      <c r="CL50" s="34">
        <f>CL47-CJ50</f>
        <v>17</v>
      </c>
      <c r="CM50" s="34">
        <v>95</v>
      </c>
      <c r="CN50" s="35">
        <f t="shared" ref="CN50:CN56" si="421">((CM50+CO50)/CK50)</f>
        <v>0.54166666666666663</v>
      </c>
      <c r="CO50" s="34">
        <v>9</v>
      </c>
      <c r="CP50" s="35">
        <f t="shared" ref="CP50:CP56" si="422">CO50/(CM50+CO50)</f>
        <v>8.6538461538461536E-2</v>
      </c>
      <c r="CQ50" s="196">
        <v>150.30000000000001</v>
      </c>
      <c r="CR50" s="34"/>
      <c r="CS50" s="34"/>
      <c r="CT50" s="37"/>
      <c r="CU50" s="33"/>
      <c r="CV50" s="34"/>
      <c r="CW50" s="34">
        <f>CW47-CU50</f>
        <v>763</v>
      </c>
      <c r="CX50" s="34">
        <f>CX47-CV50</f>
        <v>70</v>
      </c>
      <c r="CY50" s="34">
        <v>525</v>
      </c>
      <c r="CZ50" s="35">
        <f t="shared" ref="CZ50:CZ56" si="423">((CY50+DA50)/CW50)</f>
        <v>0.71166448230668411</v>
      </c>
      <c r="DA50" s="34">
        <v>18</v>
      </c>
      <c r="DB50" s="35">
        <f t="shared" ref="DB50:DB56" si="424">DA50/(CY50+DA50)</f>
        <v>3.3149171270718231E-2</v>
      </c>
      <c r="DC50" s="36"/>
      <c r="DD50" s="34"/>
      <c r="DE50" s="34"/>
      <c r="DF50" s="37"/>
      <c r="DG50" s="33"/>
      <c r="DH50" s="34"/>
      <c r="DI50" s="34">
        <f>DI47-DG50</f>
        <v>767</v>
      </c>
      <c r="DJ50" s="34">
        <f>DJ47-DH50</f>
        <v>70</v>
      </c>
      <c r="DK50" s="34">
        <v>552</v>
      </c>
      <c r="DL50" s="35">
        <f t="shared" ref="DL50:DL56" si="425">((DK50+DM50)/DI50)</f>
        <v>0.73402868318122561</v>
      </c>
      <c r="DM50" s="34">
        <v>11</v>
      </c>
      <c r="DN50" s="35">
        <f t="shared" ref="DN50:DN56" si="426">DM50/(DK50+DM50)</f>
        <v>1.9538188277087035E-2</v>
      </c>
      <c r="DO50" s="36"/>
      <c r="DP50" s="34"/>
      <c r="DQ50" s="34"/>
      <c r="DR50" s="37"/>
      <c r="DS50" s="33"/>
      <c r="DT50" s="34"/>
      <c r="DU50" s="34">
        <f>DU47-DS50</f>
        <v>865</v>
      </c>
      <c r="DV50" s="34">
        <f>DV47-DT50</f>
        <v>78</v>
      </c>
      <c r="DW50" s="34">
        <v>580</v>
      </c>
      <c r="DX50" s="35">
        <f t="shared" ref="DX50:DX56" si="427">((DW50+DY50)/DU50)</f>
        <v>0.70173410404624281</v>
      </c>
      <c r="DY50" s="34">
        <v>27</v>
      </c>
      <c r="DZ50" s="35">
        <f t="shared" ref="DZ50:DZ56" si="428">DY50/(DW50+DY50)</f>
        <v>4.4481054365733116E-2</v>
      </c>
      <c r="EA50" s="195">
        <v>162.1</v>
      </c>
      <c r="EB50" s="34"/>
      <c r="EC50" s="34"/>
      <c r="ED50" s="37"/>
      <c r="EE50" s="33"/>
      <c r="EF50" s="34"/>
      <c r="EG50" s="34">
        <f>EG47-EE50</f>
        <v>867</v>
      </c>
      <c r="EH50" s="34">
        <f>EH47-EF50</f>
        <v>79</v>
      </c>
      <c r="EI50" s="34">
        <v>600</v>
      </c>
      <c r="EJ50" s="35">
        <f t="shared" ref="EJ50:EJ56" si="429">((EI50+EK50)/EG50)</f>
        <v>0.72087658592848902</v>
      </c>
      <c r="EK50" s="34">
        <v>25</v>
      </c>
      <c r="EL50" s="35">
        <f t="shared" ref="EL50:EL56" si="430">EK50/(EI50+EK50)</f>
        <v>0.04</v>
      </c>
      <c r="EM50" s="195">
        <v>162.1</v>
      </c>
      <c r="EN50" s="34"/>
      <c r="EO50" s="34"/>
      <c r="EP50" s="37"/>
      <c r="EQ50" s="33">
        <v>1</v>
      </c>
      <c r="ER50" s="34"/>
      <c r="ES50" s="34">
        <f>ES47-EQ50</f>
        <v>211</v>
      </c>
      <c r="ET50" s="34">
        <f>ET47-ER50</f>
        <v>16</v>
      </c>
      <c r="EU50" s="34">
        <v>121</v>
      </c>
      <c r="EV50" s="35">
        <f t="shared" ref="EV50:EV56" si="431">((EU50+EW50)/ES50)</f>
        <v>0.61611374407582942</v>
      </c>
      <c r="EW50" s="34">
        <v>9</v>
      </c>
      <c r="EX50" s="35">
        <f t="shared" ref="EX50:EX56" si="432">EW50/(EU50+EW50)</f>
        <v>6.9230769230769235E-2</v>
      </c>
      <c r="EY50" s="196">
        <v>150.6</v>
      </c>
      <c r="EZ50" s="34"/>
      <c r="FA50" s="34"/>
      <c r="FB50" s="37"/>
      <c r="FC50" s="33"/>
      <c r="FD50" s="34"/>
      <c r="FE50" s="34">
        <f>FE47-FC50</f>
        <v>867</v>
      </c>
      <c r="FF50" s="34">
        <f>FF47-FD50</f>
        <v>78</v>
      </c>
      <c r="FG50" s="34">
        <v>622</v>
      </c>
      <c r="FH50" s="35">
        <f t="shared" ref="FH50:FH56" si="433">((FG50+FI50)/FE50)</f>
        <v>0.74394463667820065</v>
      </c>
      <c r="FI50" s="34">
        <v>23</v>
      </c>
      <c r="FJ50" s="35">
        <f t="shared" ref="FJ50:FJ56" si="434">FI50/(FG50+FI50)</f>
        <v>3.565891472868217E-2</v>
      </c>
      <c r="FK50" s="195">
        <v>162.1</v>
      </c>
      <c r="FL50" s="34"/>
      <c r="FM50" s="34"/>
      <c r="FN50" s="37"/>
      <c r="FO50" s="33"/>
      <c r="FP50" s="34"/>
      <c r="FQ50" s="34">
        <f>FQ47-FO50</f>
        <v>911</v>
      </c>
      <c r="FR50" s="34">
        <f>FR47-FP50</f>
        <v>81</v>
      </c>
      <c r="FS50" s="34">
        <v>598</v>
      </c>
      <c r="FT50" s="35">
        <f t="shared" ref="FT50:FT56" si="435">((FS50+FU50)/FQ50)</f>
        <v>0.68496158068057078</v>
      </c>
      <c r="FU50" s="34">
        <v>26</v>
      </c>
      <c r="FV50" s="35">
        <f t="shared" ref="FV50:FV56" si="436">FU50/(FS50+FU50)</f>
        <v>4.1666666666666664E-2</v>
      </c>
      <c r="FW50" s="36"/>
      <c r="FX50" s="34"/>
      <c r="FY50" s="34"/>
      <c r="FZ50" s="37"/>
      <c r="GA50" s="33"/>
      <c r="GB50" s="34"/>
      <c r="GC50" s="34">
        <f>GC47-GA50</f>
        <v>910</v>
      </c>
      <c r="GD50" s="34">
        <f>GD47-GB50</f>
        <v>82</v>
      </c>
      <c r="GE50" s="34">
        <v>624</v>
      </c>
      <c r="GF50" s="35">
        <f t="shared" ref="GF50:GF56" si="437">((GE50+GG50)/GC50)</f>
        <v>0.71098901098901102</v>
      </c>
      <c r="GG50" s="34">
        <v>23</v>
      </c>
      <c r="GH50" s="35">
        <f t="shared" ref="GH50:GH56" si="438">GG50/(GE50+GG50)</f>
        <v>3.5548686244204021E-2</v>
      </c>
      <c r="GI50" s="195">
        <v>162.1</v>
      </c>
      <c r="GJ50" s="34"/>
      <c r="GK50" s="34"/>
      <c r="GL50" s="37"/>
      <c r="GM50" s="33"/>
      <c r="GN50" s="34">
        <v>1</v>
      </c>
      <c r="GO50" s="34">
        <f>GO47-GM50</f>
        <v>195</v>
      </c>
      <c r="GP50" s="34">
        <f>GP47-GN50</f>
        <v>18</v>
      </c>
      <c r="GQ50" s="34">
        <v>118</v>
      </c>
      <c r="GR50" s="35">
        <f t="shared" ref="GR50:GR56" si="439">((GQ50+GS50)/GO50)</f>
        <v>0.63076923076923075</v>
      </c>
      <c r="GS50" s="34">
        <v>5</v>
      </c>
      <c r="GT50" s="35">
        <f t="shared" ref="GT50:GT56" si="440">GS50/(GQ50+GS50)</f>
        <v>4.065040650406504E-2</v>
      </c>
      <c r="GU50" s="195">
        <v>155.69999999999999</v>
      </c>
      <c r="GV50" s="34"/>
      <c r="GW50" s="34"/>
      <c r="GX50" s="37"/>
      <c r="GY50" s="33"/>
      <c r="GZ50" s="34"/>
      <c r="HA50" s="34">
        <f>HA47-GY50</f>
        <v>912</v>
      </c>
      <c r="HB50" s="34">
        <f>HB47-GZ50</f>
        <v>82</v>
      </c>
      <c r="HC50" s="34">
        <v>659</v>
      </c>
      <c r="HD50" s="35">
        <f t="shared" ref="HD50:HD56" si="441">((HC50+HE50)/HA50)</f>
        <v>0.73464912280701755</v>
      </c>
      <c r="HE50" s="34">
        <v>11</v>
      </c>
      <c r="HF50" s="35">
        <f t="shared" ref="HF50:HF56" si="442">HE50/(HC50+HE50)</f>
        <v>1.6417910447761194E-2</v>
      </c>
      <c r="HG50" s="36"/>
      <c r="HH50" s="34"/>
      <c r="HI50" s="34"/>
      <c r="HJ50" s="37"/>
      <c r="HK50" s="33">
        <f t="shared" ref="HK50:HK57" si="443">+C50+O50+AA50+AM50+AY50+BK50+BW50+CI50+CU50+DG50+DS50+EE50+EQ50+FC50+FO50+GA50+GM50+GY50</f>
        <v>3</v>
      </c>
      <c r="HL50" s="34">
        <f t="shared" ref="HL50:HL57" si="444">+D50+P50+AB50+AN50+AZ50+BL50+BX50+CJ50+CV50+DH50+DT50+EF50+ER50+FD50+FP50+GB50+GN50+GZ50</f>
        <v>1</v>
      </c>
      <c r="HM50" s="34">
        <f t="shared" ref="HM50:HM57" si="445">+E50+Q50+AC50+AO50+BA50+BM50+BY50+CK50+CW50+DI50+DU50+EG50+ES50+FE50+FQ50+GC50+GO50+HA50</f>
        <v>12437</v>
      </c>
      <c r="HN50" s="34">
        <f t="shared" ref="HN50:HN57" si="446">+F50+R50+AD50+AP50+BB50+BN50+BZ50+CL50+CX50+DJ50+DV50+EH50+ET50+FF50+FR50+GD50+GP50+HB50</f>
        <v>1114</v>
      </c>
      <c r="HO50" s="34">
        <f t="shared" ref="HO50:HO57" si="447">+G50+S50+AE50+AQ50+BC50+BO50+CA50+CM50+CY50+DK50+DW50+EI50+EU50+FG50+FS50+GE50+GQ50+HC50+I50+U50+AG50+AS50+BE50+BQ50+CC50+CO50+DA50+DM50+DY50+EK50+EW50+FI50+FU50+GG50+GS50+HE50</f>
        <v>8791</v>
      </c>
      <c r="HP50" s="94">
        <f t="shared" ref="HP50:HP56" si="448">+(HO50)/HM50</f>
        <v>0.7068424861300957</v>
      </c>
      <c r="HQ50" s="48">
        <f t="shared" ref="HQ50:HQ57" si="449">+I50+U50+AG50+AS50+BE50+BQ50+CC50+CO50+DA50+DM50+DY50+EK50+EW50+FI50+FU50+GG50+GS50+HE50</f>
        <v>295</v>
      </c>
      <c r="HR50" s="35">
        <f t="shared" ref="HR50:HR57" si="450">+(HQ50/(HO50))</f>
        <v>3.3557046979865772E-2</v>
      </c>
      <c r="HS50" s="49">
        <v>54</v>
      </c>
      <c r="HT50" s="50">
        <v>8302</v>
      </c>
      <c r="HU50" s="49">
        <f t="shared" ref="HU50:HU56" si="451">+HT50/HO50*100</f>
        <v>94.437492890456141</v>
      </c>
      <c r="HV50" s="48"/>
      <c r="HW50" s="37"/>
      <c r="HX50" s="73">
        <f t="shared" ref="HX50:HX56" si="452">SUM(G50,I50,S50,U50,AE50,AG50,AQ50,AS50,BC50,BE50)/SUM(E50,Q50,AC50,AO50,BA50)</f>
        <v>0.70460624071322442</v>
      </c>
      <c r="HY50" s="73">
        <f t="shared" ref="HY50:HY56" si="453">SUM(BO50,BQ50,CA50,CC50,CM50,CO50,CY50,DA50,DK50,DM50)/SUM(BM50,BY50,CK50,CW50,DI50)</f>
        <v>0.70455908818236357</v>
      </c>
      <c r="HZ50" s="73">
        <f t="shared" ref="HZ50:HZ56" si="454">SUM(DW50,DY50,EI50,EK50,EU50,EW50,FG50,FI50)/SUM(DU50,EG50,ES50,FE50)</f>
        <v>0.71423487544483988</v>
      </c>
      <c r="IA50" s="73">
        <f t="shared" ref="IA50:IA56" si="455">SUM(FS50,FU50,GE50,GG50,GQ50,GS50,HC50,HE50)/SUM(FQ50,GC50,GO50,HA50)</f>
        <v>0.70491803278688525</v>
      </c>
    </row>
    <row r="51" spans="1:244" x14ac:dyDescent="0.25">
      <c r="A51" s="374"/>
      <c r="B51" s="41">
        <f t="shared" ref="B51:B56" si="456">+B50+1</f>
        <v>44977</v>
      </c>
      <c r="C51" s="10"/>
      <c r="D51" s="11"/>
      <c r="E51" s="69">
        <f t="shared" ref="E51:F56" si="457">E50-C51</f>
        <v>850</v>
      </c>
      <c r="F51" s="69">
        <f t="shared" si="457"/>
        <v>75</v>
      </c>
      <c r="G51" s="11">
        <v>581</v>
      </c>
      <c r="H51" s="12">
        <f t="shared" si="408"/>
        <v>0.70470588235294118</v>
      </c>
      <c r="I51" s="11">
        <v>18</v>
      </c>
      <c r="J51" s="12">
        <f t="shared" ref="J51:J56" si="458">I51/(G51+I51)</f>
        <v>3.0050083472454091E-2</v>
      </c>
      <c r="K51" s="13"/>
      <c r="L51" s="11"/>
      <c r="M51" s="11"/>
      <c r="N51" s="14"/>
      <c r="O51" s="10">
        <v>1</v>
      </c>
      <c r="P51" s="11"/>
      <c r="Q51" s="69">
        <f t="shared" ref="Q51:Q56" si="459">Q50-O51</f>
        <v>770</v>
      </c>
      <c r="R51" s="69">
        <f t="shared" ref="R51:R56" si="460">R50-P51</f>
        <v>69</v>
      </c>
      <c r="S51" s="11">
        <v>536</v>
      </c>
      <c r="T51" s="12">
        <f t="shared" si="409"/>
        <v>0.70649350649350651</v>
      </c>
      <c r="U51" s="11">
        <v>8</v>
      </c>
      <c r="V51" s="12">
        <f t="shared" si="410"/>
        <v>1.4705882352941176E-2</v>
      </c>
      <c r="W51" s="13"/>
      <c r="X51" s="11"/>
      <c r="Y51" s="11"/>
      <c r="Z51" s="14"/>
      <c r="AA51" s="10"/>
      <c r="AB51" s="11"/>
      <c r="AC51" s="69">
        <f t="shared" ref="AC51:AC56" si="461">AC50-AA51</f>
        <v>191</v>
      </c>
      <c r="AD51" s="69">
        <f t="shared" ref="AD51:AD56" si="462">AD50-AB51</f>
        <v>15</v>
      </c>
      <c r="AE51" s="11">
        <v>124</v>
      </c>
      <c r="AF51" s="12">
        <f t="shared" si="411"/>
        <v>0.64921465968586389</v>
      </c>
      <c r="AG51" s="11">
        <v>0</v>
      </c>
      <c r="AH51" s="12">
        <f t="shared" si="412"/>
        <v>0</v>
      </c>
      <c r="AI51" s="13"/>
      <c r="AJ51" s="11"/>
      <c r="AK51" s="11"/>
      <c r="AL51" s="14"/>
      <c r="AM51" s="10"/>
      <c r="AN51" s="11"/>
      <c r="AO51" s="69">
        <f t="shared" ref="AO51:AO56" si="463">AO50-AM51</f>
        <v>776</v>
      </c>
      <c r="AP51" s="69">
        <f t="shared" ref="AP51:AP56" si="464">AP50-AN51</f>
        <v>69</v>
      </c>
      <c r="AQ51" s="11">
        <v>507</v>
      </c>
      <c r="AR51" s="12">
        <f t="shared" si="413"/>
        <v>0.66623711340206182</v>
      </c>
      <c r="AS51" s="11">
        <v>10</v>
      </c>
      <c r="AT51" s="12">
        <f t="shared" si="414"/>
        <v>1.9342359767891684E-2</v>
      </c>
      <c r="AU51" s="13"/>
      <c r="AV51" s="11"/>
      <c r="AW51" s="11"/>
      <c r="AX51" s="14"/>
      <c r="AY51" s="10"/>
      <c r="AZ51" s="11"/>
      <c r="BA51" s="69">
        <f t="shared" ref="BA51:BA56" si="465">BA50-AY51</f>
        <v>777</v>
      </c>
      <c r="BB51" s="69">
        <f t="shared" ref="BB51:BB56" si="466">BB50-AZ51</f>
        <v>69</v>
      </c>
      <c r="BC51" s="11">
        <v>558</v>
      </c>
      <c r="BD51" s="12">
        <f t="shared" si="415"/>
        <v>0.75804375804375801</v>
      </c>
      <c r="BE51" s="11">
        <v>31</v>
      </c>
      <c r="BF51" s="12">
        <f t="shared" si="416"/>
        <v>5.2631578947368418E-2</v>
      </c>
      <c r="BG51" s="13"/>
      <c r="BH51" s="11"/>
      <c r="BI51" s="11"/>
      <c r="BJ51" s="14"/>
      <c r="BK51" s="10"/>
      <c r="BL51" s="11"/>
      <c r="BM51" s="69">
        <f t="shared" ref="BM51:BM56" si="467">BM50-BK51</f>
        <v>847</v>
      </c>
      <c r="BN51" s="69">
        <f t="shared" ref="BN51:BN56" si="468">BN50-BL51</f>
        <v>77</v>
      </c>
      <c r="BO51" s="11">
        <v>591</v>
      </c>
      <c r="BP51" s="12">
        <f t="shared" si="417"/>
        <v>0.72136953955135774</v>
      </c>
      <c r="BQ51" s="11">
        <v>20</v>
      </c>
      <c r="BR51" s="12">
        <f t="shared" si="418"/>
        <v>3.2733224222585927E-2</v>
      </c>
      <c r="BS51" s="13"/>
      <c r="BT51" s="11"/>
      <c r="BU51" s="11"/>
      <c r="BV51" s="14"/>
      <c r="BW51" s="10"/>
      <c r="BX51" s="11"/>
      <c r="BY51" s="69">
        <f t="shared" ref="BY51:BY56" si="469">BY50-BW51</f>
        <v>765</v>
      </c>
      <c r="BZ51" s="69">
        <f t="shared" ref="BZ51:BZ56" si="470">BZ50-BX51</f>
        <v>69</v>
      </c>
      <c r="CA51" s="11">
        <v>511</v>
      </c>
      <c r="CB51" s="12">
        <f t="shared" si="419"/>
        <v>0.68627450980392157</v>
      </c>
      <c r="CC51" s="11">
        <v>14</v>
      </c>
      <c r="CD51" s="12">
        <f t="shared" si="420"/>
        <v>2.6666666666666668E-2</v>
      </c>
      <c r="CE51" s="13"/>
      <c r="CF51" s="11"/>
      <c r="CG51" s="11"/>
      <c r="CH51" s="14"/>
      <c r="CI51" s="10"/>
      <c r="CJ51" s="11"/>
      <c r="CK51" s="69">
        <f t="shared" ref="CK51:CK56" si="471">CK50-CI51</f>
        <v>192</v>
      </c>
      <c r="CL51" s="69">
        <f t="shared" ref="CL51:CL56" si="472">CL50-CJ51</f>
        <v>17</v>
      </c>
      <c r="CM51" s="11">
        <v>103</v>
      </c>
      <c r="CN51" s="12">
        <f t="shared" si="421"/>
        <v>0.56770833333333337</v>
      </c>
      <c r="CO51" s="11">
        <v>6</v>
      </c>
      <c r="CP51" s="12">
        <f t="shared" si="422"/>
        <v>5.5045871559633031E-2</v>
      </c>
      <c r="CQ51" s="13"/>
      <c r="CR51" s="11"/>
      <c r="CS51" s="11"/>
      <c r="CT51" s="14"/>
      <c r="CU51" s="10"/>
      <c r="CV51" s="11"/>
      <c r="CW51" s="69">
        <f t="shared" ref="CW51:CW56" si="473">CW50-CU51</f>
        <v>763</v>
      </c>
      <c r="CX51" s="69">
        <f t="shared" ref="CX51:CX56" si="474">CX50-CV51</f>
        <v>70</v>
      </c>
      <c r="CY51" s="11">
        <v>528</v>
      </c>
      <c r="CZ51" s="12">
        <f t="shared" si="423"/>
        <v>0.71297509829619921</v>
      </c>
      <c r="DA51" s="11">
        <v>16</v>
      </c>
      <c r="DB51" s="12">
        <f t="shared" si="424"/>
        <v>2.9411764705882353E-2</v>
      </c>
      <c r="DC51" s="13"/>
      <c r="DD51" s="11"/>
      <c r="DE51" s="11"/>
      <c r="DF51" s="14"/>
      <c r="DG51" s="10"/>
      <c r="DH51" s="11"/>
      <c r="DI51" s="69">
        <f t="shared" ref="DI51:DI56" si="475">DI50-DG51</f>
        <v>767</v>
      </c>
      <c r="DJ51" s="69">
        <f t="shared" ref="DJ51:DJ56" si="476">DJ50-DH51</f>
        <v>70</v>
      </c>
      <c r="DK51" s="11">
        <v>549</v>
      </c>
      <c r="DL51" s="12">
        <f t="shared" si="425"/>
        <v>0.74315514993481091</v>
      </c>
      <c r="DM51" s="11">
        <v>21</v>
      </c>
      <c r="DN51" s="12">
        <f t="shared" si="426"/>
        <v>3.6842105263157891E-2</v>
      </c>
      <c r="DO51" s="13"/>
      <c r="DP51" s="11"/>
      <c r="DQ51" s="11"/>
      <c r="DR51" s="14"/>
      <c r="DS51" s="10"/>
      <c r="DT51" s="11"/>
      <c r="DU51" s="69">
        <f t="shared" ref="DU51:DU56" si="477">DU50-DS51</f>
        <v>865</v>
      </c>
      <c r="DV51" s="69">
        <f t="shared" ref="DV51:DV56" si="478">DV50-DT51</f>
        <v>78</v>
      </c>
      <c r="DW51" s="11">
        <v>562</v>
      </c>
      <c r="DX51" s="12">
        <f t="shared" si="427"/>
        <v>0.68208092485549132</v>
      </c>
      <c r="DY51" s="11">
        <v>28</v>
      </c>
      <c r="DZ51" s="12">
        <f t="shared" si="428"/>
        <v>4.7457627118644069E-2</v>
      </c>
      <c r="EA51" s="13"/>
      <c r="EB51" s="11"/>
      <c r="EC51" s="11"/>
      <c r="ED51" s="14"/>
      <c r="EE51" s="10"/>
      <c r="EF51" s="11"/>
      <c r="EG51" s="69">
        <f t="shared" ref="EG51:EG56" si="479">EG50-EE51</f>
        <v>867</v>
      </c>
      <c r="EH51" s="69">
        <f t="shared" ref="EH51:EH56" si="480">EH50-EF51</f>
        <v>79</v>
      </c>
      <c r="EI51" s="11">
        <v>561</v>
      </c>
      <c r="EJ51" s="12">
        <f t="shared" si="429"/>
        <v>0.66782006920415227</v>
      </c>
      <c r="EK51" s="11">
        <v>18</v>
      </c>
      <c r="EL51" s="12">
        <f t="shared" si="430"/>
        <v>3.1088082901554404E-2</v>
      </c>
      <c r="EM51" s="13"/>
      <c r="EN51" s="11"/>
      <c r="EO51" s="11"/>
      <c r="EP51" s="14"/>
      <c r="EQ51" s="10"/>
      <c r="ER51" s="11"/>
      <c r="ES51" s="69">
        <f t="shared" ref="ES51:ES56" si="481">ES50-EQ51</f>
        <v>211</v>
      </c>
      <c r="ET51" s="69">
        <f t="shared" ref="ET51:ET56" si="482">ET50-ER51</f>
        <v>16</v>
      </c>
      <c r="EU51" s="11">
        <v>129</v>
      </c>
      <c r="EV51" s="12">
        <f t="shared" si="431"/>
        <v>0.64928909952606639</v>
      </c>
      <c r="EW51" s="11">
        <v>8</v>
      </c>
      <c r="EX51" s="12">
        <f t="shared" si="432"/>
        <v>5.8394160583941604E-2</v>
      </c>
      <c r="EY51" s="13"/>
      <c r="EZ51" s="11"/>
      <c r="FA51" s="11"/>
      <c r="FB51" s="14"/>
      <c r="FC51" s="10"/>
      <c r="FD51" s="11"/>
      <c r="FE51" s="69">
        <f t="shared" ref="FE51:FE56" si="483">FE50-FC51</f>
        <v>867</v>
      </c>
      <c r="FF51" s="69">
        <f t="shared" ref="FF51:FF56" si="484">FF50-FD51</f>
        <v>78</v>
      </c>
      <c r="FG51" s="11">
        <v>587</v>
      </c>
      <c r="FH51" s="12">
        <f t="shared" si="433"/>
        <v>0.68858131487889274</v>
      </c>
      <c r="FI51" s="11">
        <v>10</v>
      </c>
      <c r="FJ51" s="12">
        <f t="shared" si="434"/>
        <v>1.675041876046901E-2</v>
      </c>
      <c r="FK51" s="13"/>
      <c r="FL51" s="11"/>
      <c r="FM51" s="11"/>
      <c r="FN51" s="14"/>
      <c r="FO51" s="10"/>
      <c r="FP51" s="11"/>
      <c r="FQ51" s="69">
        <f t="shared" ref="FQ51:FQ56" si="485">FQ50-FO51</f>
        <v>911</v>
      </c>
      <c r="FR51" s="69">
        <f t="shared" ref="FR51:FR56" si="486">FR50-FP51</f>
        <v>81</v>
      </c>
      <c r="FS51" s="11">
        <v>610</v>
      </c>
      <c r="FT51" s="12">
        <f t="shared" si="435"/>
        <v>0.70142700329308449</v>
      </c>
      <c r="FU51" s="11">
        <v>29</v>
      </c>
      <c r="FV51" s="12">
        <f t="shared" si="436"/>
        <v>4.5383411580594682E-2</v>
      </c>
      <c r="FW51" s="13"/>
      <c r="FX51" s="11"/>
      <c r="FY51" s="11"/>
      <c r="FZ51" s="14"/>
      <c r="GA51" s="10"/>
      <c r="GB51" s="11"/>
      <c r="GC51" s="69">
        <f t="shared" ref="GC51:GC56" si="487">GC50-GA51</f>
        <v>910</v>
      </c>
      <c r="GD51" s="69">
        <f t="shared" ref="GD51:GD56" si="488">GD50-GB51</f>
        <v>82</v>
      </c>
      <c r="GE51" s="11">
        <v>615</v>
      </c>
      <c r="GF51" s="12">
        <f t="shared" si="437"/>
        <v>0.70659340659340664</v>
      </c>
      <c r="GG51" s="11">
        <v>28</v>
      </c>
      <c r="GH51" s="12">
        <f t="shared" si="438"/>
        <v>4.3545878693623641E-2</v>
      </c>
      <c r="GI51" s="13"/>
      <c r="GJ51" s="11"/>
      <c r="GK51" s="11"/>
      <c r="GL51" s="14"/>
      <c r="GM51" s="10"/>
      <c r="GN51" s="11"/>
      <c r="GO51" s="69">
        <f t="shared" ref="GO51:GO56" si="489">GO50-GM51</f>
        <v>195</v>
      </c>
      <c r="GP51" s="69">
        <f t="shared" ref="GP51:GP56" si="490">GP50-GN51</f>
        <v>18</v>
      </c>
      <c r="GQ51" s="11">
        <v>124</v>
      </c>
      <c r="GR51" s="12">
        <f t="shared" si="439"/>
        <v>0.66666666666666663</v>
      </c>
      <c r="GS51" s="11">
        <v>6</v>
      </c>
      <c r="GT51" s="12">
        <f t="shared" si="440"/>
        <v>4.6153846153846156E-2</v>
      </c>
      <c r="GU51" s="13"/>
      <c r="GV51" s="11"/>
      <c r="GW51" s="11"/>
      <c r="GX51" s="14"/>
      <c r="GY51" s="10"/>
      <c r="GZ51" s="11"/>
      <c r="HA51" s="69">
        <f t="shared" ref="HA51:HA56" si="491">HA50-GY51</f>
        <v>912</v>
      </c>
      <c r="HB51" s="69">
        <f t="shared" ref="HB51:HB56" si="492">HB50-GZ51</f>
        <v>82</v>
      </c>
      <c r="HC51" s="11">
        <v>642</v>
      </c>
      <c r="HD51" s="12">
        <f t="shared" si="441"/>
        <v>0.7182017543859649</v>
      </c>
      <c r="HE51" s="11">
        <v>13</v>
      </c>
      <c r="HF51" s="12">
        <f t="shared" si="442"/>
        <v>1.984732824427481E-2</v>
      </c>
      <c r="HG51" s="13"/>
      <c r="HH51" s="11"/>
      <c r="HI51" s="11"/>
      <c r="HJ51" s="14"/>
      <c r="HK51" s="10">
        <f t="shared" si="443"/>
        <v>1</v>
      </c>
      <c r="HL51" s="11">
        <f t="shared" si="444"/>
        <v>0</v>
      </c>
      <c r="HM51" s="11">
        <f t="shared" si="445"/>
        <v>12436</v>
      </c>
      <c r="HN51" s="11">
        <f t="shared" si="446"/>
        <v>1114</v>
      </c>
      <c r="HO51" s="11">
        <f t="shared" si="447"/>
        <v>8702</v>
      </c>
      <c r="HP51" s="95">
        <f t="shared" si="448"/>
        <v>0.69974268253457705</v>
      </c>
      <c r="HQ51" s="15">
        <f t="shared" si="449"/>
        <v>284</v>
      </c>
      <c r="HR51" s="12">
        <f t="shared" si="450"/>
        <v>3.2636175591817973E-2</v>
      </c>
      <c r="HS51" s="16">
        <v>54.7</v>
      </c>
      <c r="HT51" s="17">
        <v>8241</v>
      </c>
      <c r="HU51" s="16">
        <f t="shared" si="451"/>
        <v>94.702367271891518</v>
      </c>
      <c r="HV51" s="15"/>
      <c r="HW51" s="14"/>
      <c r="HX51" s="73">
        <f t="shared" si="452"/>
        <v>0.70541022592152203</v>
      </c>
      <c r="HY51" s="73">
        <f t="shared" si="453"/>
        <v>0.70755848830233958</v>
      </c>
      <c r="HZ51" s="73">
        <f t="shared" si="454"/>
        <v>0.67722419928825628</v>
      </c>
      <c r="IA51" s="73">
        <f t="shared" si="455"/>
        <v>0.70594262295081966</v>
      </c>
    </row>
    <row r="52" spans="1:244" x14ac:dyDescent="0.25">
      <c r="A52" s="374"/>
      <c r="B52" s="41">
        <f t="shared" si="456"/>
        <v>44978</v>
      </c>
      <c r="C52" s="10"/>
      <c r="D52" s="11"/>
      <c r="E52" s="69">
        <f t="shared" si="457"/>
        <v>850</v>
      </c>
      <c r="F52" s="69">
        <f t="shared" si="457"/>
        <v>75</v>
      </c>
      <c r="G52" s="11">
        <v>619</v>
      </c>
      <c r="H52" s="12">
        <f t="shared" si="408"/>
        <v>0.74705882352941178</v>
      </c>
      <c r="I52" s="11">
        <v>16</v>
      </c>
      <c r="J52" s="12">
        <f t="shared" si="458"/>
        <v>2.5196850393700787E-2</v>
      </c>
      <c r="K52" s="13"/>
      <c r="L52" s="11"/>
      <c r="M52" s="11"/>
      <c r="N52" s="14"/>
      <c r="O52" s="10"/>
      <c r="P52" s="11"/>
      <c r="Q52" s="69">
        <f t="shared" si="459"/>
        <v>770</v>
      </c>
      <c r="R52" s="69">
        <f t="shared" si="460"/>
        <v>69</v>
      </c>
      <c r="S52" s="11">
        <v>558</v>
      </c>
      <c r="T52" s="12">
        <f t="shared" si="409"/>
        <v>0.73896103896103893</v>
      </c>
      <c r="U52" s="11">
        <v>11</v>
      </c>
      <c r="V52" s="12">
        <f t="shared" si="410"/>
        <v>1.9332161687170474E-2</v>
      </c>
      <c r="W52" s="13"/>
      <c r="X52" s="11"/>
      <c r="Y52" s="11"/>
      <c r="Z52" s="14"/>
      <c r="AA52" s="10"/>
      <c r="AB52" s="11"/>
      <c r="AC52" s="69">
        <f t="shared" si="461"/>
        <v>191</v>
      </c>
      <c r="AD52" s="69">
        <f t="shared" si="462"/>
        <v>15</v>
      </c>
      <c r="AE52" s="11">
        <v>119</v>
      </c>
      <c r="AF52" s="12">
        <f t="shared" si="411"/>
        <v>0.63350785340314131</v>
      </c>
      <c r="AG52" s="11">
        <v>2</v>
      </c>
      <c r="AH52" s="12">
        <f t="shared" si="412"/>
        <v>1.6528925619834711E-2</v>
      </c>
      <c r="AI52" s="198">
        <v>159.69999999999999</v>
      </c>
      <c r="AJ52" s="11"/>
      <c r="AK52" s="11"/>
      <c r="AL52" s="14"/>
      <c r="AM52" s="10"/>
      <c r="AN52" s="11"/>
      <c r="AO52" s="69">
        <f t="shared" si="463"/>
        <v>776</v>
      </c>
      <c r="AP52" s="69">
        <f t="shared" si="464"/>
        <v>69</v>
      </c>
      <c r="AQ52" s="11">
        <v>503</v>
      </c>
      <c r="AR52" s="12">
        <f t="shared" si="413"/>
        <v>0.66494845360824739</v>
      </c>
      <c r="AS52" s="11">
        <v>13</v>
      </c>
      <c r="AT52" s="12">
        <f t="shared" si="414"/>
        <v>2.5193798449612403E-2</v>
      </c>
      <c r="AU52" s="198">
        <v>159.19999999999999</v>
      </c>
      <c r="AV52" s="11"/>
      <c r="AW52" s="11"/>
      <c r="AX52" s="14"/>
      <c r="AY52" s="10"/>
      <c r="AZ52" s="11"/>
      <c r="BA52" s="69">
        <f t="shared" si="465"/>
        <v>777</v>
      </c>
      <c r="BB52" s="69">
        <f t="shared" si="466"/>
        <v>69</v>
      </c>
      <c r="BC52" s="11">
        <v>570</v>
      </c>
      <c r="BD52" s="12">
        <f t="shared" si="415"/>
        <v>0.75546975546975548</v>
      </c>
      <c r="BE52" s="11">
        <v>17</v>
      </c>
      <c r="BF52" s="12">
        <f t="shared" si="416"/>
        <v>2.8960817717206135E-2</v>
      </c>
      <c r="BG52" s="13"/>
      <c r="BH52" s="11"/>
      <c r="BI52" s="11"/>
      <c r="BJ52" s="14"/>
      <c r="BK52" s="10"/>
      <c r="BL52" s="11"/>
      <c r="BM52" s="69">
        <f t="shared" si="467"/>
        <v>847</v>
      </c>
      <c r="BN52" s="69">
        <f t="shared" si="468"/>
        <v>77</v>
      </c>
      <c r="BO52" s="11">
        <v>574</v>
      </c>
      <c r="BP52" s="12">
        <f t="shared" si="417"/>
        <v>0.70602125147579697</v>
      </c>
      <c r="BQ52" s="11">
        <v>24</v>
      </c>
      <c r="BR52" s="12">
        <f t="shared" si="418"/>
        <v>4.0133779264214048E-2</v>
      </c>
      <c r="BS52" s="13"/>
      <c r="BT52" s="11"/>
      <c r="BU52" s="11"/>
      <c r="BV52" s="14"/>
      <c r="BW52" s="10"/>
      <c r="BX52" s="11"/>
      <c r="BY52" s="69">
        <f t="shared" si="469"/>
        <v>765</v>
      </c>
      <c r="BZ52" s="69">
        <f t="shared" si="470"/>
        <v>69</v>
      </c>
      <c r="CA52" s="11">
        <v>517</v>
      </c>
      <c r="CB52" s="12">
        <f t="shared" si="419"/>
        <v>0.69803921568627447</v>
      </c>
      <c r="CC52" s="11">
        <v>17</v>
      </c>
      <c r="CD52" s="12">
        <f t="shared" si="420"/>
        <v>3.1835205992509365E-2</v>
      </c>
      <c r="CE52" s="13"/>
      <c r="CF52" s="11"/>
      <c r="CG52" s="11"/>
      <c r="CH52" s="14"/>
      <c r="CI52" s="10"/>
      <c r="CJ52" s="11"/>
      <c r="CK52" s="69">
        <f t="shared" si="471"/>
        <v>192</v>
      </c>
      <c r="CL52" s="69">
        <f t="shared" si="472"/>
        <v>17</v>
      </c>
      <c r="CM52" s="11">
        <v>91</v>
      </c>
      <c r="CN52" s="12">
        <f t="shared" si="421"/>
        <v>0.48958333333333331</v>
      </c>
      <c r="CO52" s="11">
        <v>3</v>
      </c>
      <c r="CP52" s="12">
        <f t="shared" si="422"/>
        <v>3.1914893617021274E-2</v>
      </c>
      <c r="CQ52" s="13"/>
      <c r="CR52" s="11"/>
      <c r="CS52" s="11"/>
      <c r="CT52" s="14"/>
      <c r="CU52" s="10"/>
      <c r="CV52" s="11"/>
      <c r="CW52" s="69">
        <f t="shared" si="473"/>
        <v>763</v>
      </c>
      <c r="CX52" s="69">
        <f t="shared" si="474"/>
        <v>70</v>
      </c>
      <c r="CY52" s="11">
        <v>534</v>
      </c>
      <c r="CZ52" s="12">
        <f t="shared" si="423"/>
        <v>0.73132372214941022</v>
      </c>
      <c r="DA52" s="11">
        <v>24</v>
      </c>
      <c r="DB52" s="12">
        <f t="shared" si="424"/>
        <v>4.3010752688172046E-2</v>
      </c>
      <c r="DC52" s="13"/>
      <c r="DD52" s="11"/>
      <c r="DE52" s="11"/>
      <c r="DF52" s="14"/>
      <c r="DG52" s="10"/>
      <c r="DH52" s="11"/>
      <c r="DI52" s="69">
        <f t="shared" si="475"/>
        <v>767</v>
      </c>
      <c r="DJ52" s="69">
        <f t="shared" si="476"/>
        <v>70</v>
      </c>
      <c r="DK52" s="11">
        <v>538</v>
      </c>
      <c r="DL52" s="12">
        <f t="shared" si="425"/>
        <v>0.72490221642764019</v>
      </c>
      <c r="DM52" s="11">
        <v>18</v>
      </c>
      <c r="DN52" s="12">
        <f t="shared" si="426"/>
        <v>3.237410071942446E-2</v>
      </c>
      <c r="DO52" s="13"/>
      <c r="DP52" s="11"/>
      <c r="DQ52" s="11"/>
      <c r="DR52" s="14"/>
      <c r="DS52" s="10"/>
      <c r="DT52" s="11"/>
      <c r="DU52" s="69">
        <f t="shared" si="477"/>
        <v>865</v>
      </c>
      <c r="DV52" s="69">
        <f t="shared" si="478"/>
        <v>78</v>
      </c>
      <c r="DW52" s="11">
        <v>601</v>
      </c>
      <c r="DX52" s="12">
        <f t="shared" si="427"/>
        <v>0.73410404624277459</v>
      </c>
      <c r="DY52" s="11">
        <v>34</v>
      </c>
      <c r="DZ52" s="12">
        <f t="shared" si="428"/>
        <v>5.3543307086614172E-2</v>
      </c>
      <c r="EA52" s="13"/>
      <c r="EB52" s="11"/>
      <c r="EC52" s="11"/>
      <c r="ED52" s="14"/>
      <c r="EE52" s="10"/>
      <c r="EF52" s="11"/>
      <c r="EG52" s="69">
        <f t="shared" si="479"/>
        <v>867</v>
      </c>
      <c r="EH52" s="69">
        <f t="shared" si="480"/>
        <v>79</v>
      </c>
      <c r="EI52" s="11">
        <v>602</v>
      </c>
      <c r="EJ52" s="12">
        <f t="shared" si="429"/>
        <v>0.74163783160322949</v>
      </c>
      <c r="EK52" s="11">
        <v>41</v>
      </c>
      <c r="EL52" s="12">
        <f t="shared" si="430"/>
        <v>6.3763608087091764E-2</v>
      </c>
      <c r="EM52" s="13"/>
      <c r="EN52" s="11"/>
      <c r="EO52" s="11"/>
      <c r="EP52" s="14"/>
      <c r="EQ52" s="10"/>
      <c r="ER52" s="11"/>
      <c r="ES52" s="69">
        <f t="shared" si="481"/>
        <v>211</v>
      </c>
      <c r="ET52" s="69">
        <f t="shared" si="482"/>
        <v>16</v>
      </c>
      <c r="EU52" s="11">
        <v>120</v>
      </c>
      <c r="EV52" s="12">
        <f t="shared" si="431"/>
        <v>0.6018957345971564</v>
      </c>
      <c r="EW52" s="11">
        <v>7</v>
      </c>
      <c r="EX52" s="12">
        <f t="shared" si="432"/>
        <v>5.5118110236220472E-2</v>
      </c>
      <c r="EY52" s="198">
        <v>154.69999999999999</v>
      </c>
      <c r="EZ52" s="11"/>
      <c r="FA52" s="11"/>
      <c r="FB52" s="14"/>
      <c r="FC52" s="10"/>
      <c r="FD52" s="11"/>
      <c r="FE52" s="69">
        <f t="shared" si="483"/>
        <v>867</v>
      </c>
      <c r="FF52" s="69">
        <f t="shared" si="484"/>
        <v>78</v>
      </c>
      <c r="FG52" s="11">
        <v>627</v>
      </c>
      <c r="FH52" s="12">
        <f t="shared" si="433"/>
        <v>0.75547866205305647</v>
      </c>
      <c r="FI52" s="11">
        <v>28</v>
      </c>
      <c r="FJ52" s="12">
        <f t="shared" si="434"/>
        <v>4.2748091603053436E-2</v>
      </c>
      <c r="FK52" s="13"/>
      <c r="FL52" s="11"/>
      <c r="FM52" s="11"/>
      <c r="FN52" s="14"/>
      <c r="FO52" s="10"/>
      <c r="FP52" s="11"/>
      <c r="FQ52" s="69">
        <f t="shared" si="485"/>
        <v>911</v>
      </c>
      <c r="FR52" s="69">
        <f t="shared" si="486"/>
        <v>81</v>
      </c>
      <c r="FS52" s="11">
        <v>614</v>
      </c>
      <c r="FT52" s="12">
        <f t="shared" si="435"/>
        <v>0.71459934138309555</v>
      </c>
      <c r="FU52" s="11">
        <v>37</v>
      </c>
      <c r="FV52" s="12">
        <f t="shared" si="436"/>
        <v>5.683563748079877E-2</v>
      </c>
      <c r="FW52" s="13"/>
      <c r="FX52" s="11"/>
      <c r="FY52" s="11"/>
      <c r="FZ52" s="14"/>
      <c r="GA52" s="10">
        <v>1</v>
      </c>
      <c r="GB52" s="11"/>
      <c r="GC52" s="69">
        <f t="shared" si="487"/>
        <v>909</v>
      </c>
      <c r="GD52" s="69">
        <f t="shared" si="488"/>
        <v>82</v>
      </c>
      <c r="GE52" s="11">
        <v>615</v>
      </c>
      <c r="GF52" s="12">
        <f t="shared" si="437"/>
        <v>0.70407040704070412</v>
      </c>
      <c r="GG52" s="11">
        <v>25</v>
      </c>
      <c r="GH52" s="12">
        <f t="shared" si="438"/>
        <v>3.90625E-2</v>
      </c>
      <c r="GI52" s="13"/>
      <c r="GJ52" s="11"/>
      <c r="GK52" s="11"/>
      <c r="GL52" s="14"/>
      <c r="GM52" s="10"/>
      <c r="GN52" s="11"/>
      <c r="GO52" s="69">
        <f t="shared" si="489"/>
        <v>195</v>
      </c>
      <c r="GP52" s="69">
        <f t="shared" si="490"/>
        <v>18</v>
      </c>
      <c r="GQ52" s="11">
        <v>121</v>
      </c>
      <c r="GR52" s="12">
        <f t="shared" si="439"/>
        <v>0.68205128205128207</v>
      </c>
      <c r="GS52" s="11">
        <v>12</v>
      </c>
      <c r="GT52" s="12">
        <f t="shared" si="440"/>
        <v>9.0225563909774431E-2</v>
      </c>
      <c r="GU52" s="198">
        <v>162.1</v>
      </c>
      <c r="GV52" s="11"/>
      <c r="GW52" s="11"/>
      <c r="GX52" s="14"/>
      <c r="GY52" s="10"/>
      <c r="GZ52" s="11"/>
      <c r="HA52" s="69">
        <f t="shared" si="491"/>
        <v>912</v>
      </c>
      <c r="HB52" s="69">
        <f t="shared" si="492"/>
        <v>82</v>
      </c>
      <c r="HC52" s="11">
        <v>660</v>
      </c>
      <c r="HD52" s="12">
        <f t="shared" si="441"/>
        <v>0.74890350877192979</v>
      </c>
      <c r="HE52" s="11">
        <v>23</v>
      </c>
      <c r="HF52" s="12">
        <f t="shared" si="442"/>
        <v>3.3674963396778917E-2</v>
      </c>
      <c r="HG52" s="13"/>
      <c r="HH52" s="11"/>
      <c r="HI52" s="11"/>
      <c r="HJ52" s="14"/>
      <c r="HK52" s="10">
        <f t="shared" si="443"/>
        <v>1</v>
      </c>
      <c r="HL52" s="11">
        <f t="shared" si="444"/>
        <v>0</v>
      </c>
      <c r="HM52" s="11">
        <f t="shared" si="445"/>
        <v>12435</v>
      </c>
      <c r="HN52" s="11">
        <f t="shared" si="446"/>
        <v>1114</v>
      </c>
      <c r="HO52" s="11">
        <f t="shared" si="447"/>
        <v>8935</v>
      </c>
      <c r="HP52" s="95">
        <f t="shared" si="448"/>
        <v>0.71853638922396457</v>
      </c>
      <c r="HQ52" s="15">
        <f t="shared" si="449"/>
        <v>352</v>
      </c>
      <c r="HR52" s="12">
        <f t="shared" si="450"/>
        <v>3.9395635142697255E-2</v>
      </c>
      <c r="HS52" s="16">
        <v>54.2</v>
      </c>
      <c r="HT52" s="17">
        <v>8420</v>
      </c>
      <c r="HU52" s="16">
        <f t="shared" si="451"/>
        <v>94.236149972020144</v>
      </c>
      <c r="HV52" s="15"/>
      <c r="HW52" s="14"/>
      <c r="HX52" s="73">
        <f t="shared" si="452"/>
        <v>0.7217598097502973</v>
      </c>
      <c r="HY52" s="73">
        <f t="shared" si="453"/>
        <v>0.70185962807438518</v>
      </c>
      <c r="HZ52" s="73">
        <f t="shared" si="454"/>
        <v>0.73309608540925264</v>
      </c>
      <c r="IA52" s="73">
        <f t="shared" si="455"/>
        <v>0.71984967543559963</v>
      </c>
    </row>
    <row r="53" spans="1:244" x14ac:dyDescent="0.25">
      <c r="A53" s="374"/>
      <c r="B53" s="41">
        <f t="shared" si="456"/>
        <v>44979</v>
      </c>
      <c r="C53" s="10"/>
      <c r="D53" s="11"/>
      <c r="E53" s="69">
        <f t="shared" si="457"/>
        <v>850</v>
      </c>
      <c r="F53" s="69">
        <f t="shared" si="457"/>
        <v>75</v>
      </c>
      <c r="G53" s="11">
        <v>602</v>
      </c>
      <c r="H53" s="12">
        <f t="shared" si="408"/>
        <v>0.73176470588235298</v>
      </c>
      <c r="I53" s="11">
        <v>20</v>
      </c>
      <c r="J53" s="12">
        <f t="shared" si="458"/>
        <v>3.215434083601286E-2</v>
      </c>
      <c r="K53" s="11"/>
      <c r="L53" s="11"/>
      <c r="M53" s="18"/>
      <c r="N53" s="20"/>
      <c r="O53" s="10"/>
      <c r="P53" s="11"/>
      <c r="Q53" s="69">
        <f t="shared" si="459"/>
        <v>770</v>
      </c>
      <c r="R53" s="69">
        <f t="shared" si="460"/>
        <v>69</v>
      </c>
      <c r="S53" s="11">
        <v>540</v>
      </c>
      <c r="T53" s="12">
        <f t="shared" si="409"/>
        <v>0.71558441558441555</v>
      </c>
      <c r="U53" s="11">
        <v>11</v>
      </c>
      <c r="V53" s="12">
        <f t="shared" si="410"/>
        <v>1.9963702359346643E-2</v>
      </c>
      <c r="W53" s="11"/>
      <c r="X53" s="11"/>
      <c r="Y53" s="18"/>
      <c r="Z53" s="20"/>
      <c r="AA53" s="10"/>
      <c r="AB53" s="11"/>
      <c r="AC53" s="69">
        <f t="shared" si="461"/>
        <v>191</v>
      </c>
      <c r="AD53" s="69">
        <f t="shared" si="462"/>
        <v>15</v>
      </c>
      <c r="AE53" s="11">
        <v>119</v>
      </c>
      <c r="AF53" s="12">
        <f t="shared" si="411"/>
        <v>0.63874345549738221</v>
      </c>
      <c r="AG53" s="11">
        <v>3</v>
      </c>
      <c r="AH53" s="12">
        <f t="shared" si="412"/>
        <v>2.4590163934426229E-2</v>
      </c>
      <c r="AI53" s="11"/>
      <c r="AJ53" s="11"/>
      <c r="AK53" s="18"/>
      <c r="AL53" s="20"/>
      <c r="AM53" s="10"/>
      <c r="AN53" s="11"/>
      <c r="AO53" s="69">
        <f t="shared" si="463"/>
        <v>776</v>
      </c>
      <c r="AP53" s="69">
        <f t="shared" si="464"/>
        <v>69</v>
      </c>
      <c r="AQ53" s="11">
        <v>526</v>
      </c>
      <c r="AR53" s="12">
        <f t="shared" si="413"/>
        <v>0.69329896907216493</v>
      </c>
      <c r="AS53" s="11">
        <v>12</v>
      </c>
      <c r="AT53" s="12">
        <f t="shared" si="414"/>
        <v>2.2304832713754646E-2</v>
      </c>
      <c r="AU53" s="11"/>
      <c r="AV53" s="11"/>
      <c r="AW53" s="18"/>
      <c r="AX53" s="20"/>
      <c r="AY53" s="10"/>
      <c r="AZ53" s="11"/>
      <c r="BA53" s="69">
        <f t="shared" si="465"/>
        <v>777</v>
      </c>
      <c r="BB53" s="69">
        <f t="shared" si="466"/>
        <v>69</v>
      </c>
      <c r="BC53" s="11">
        <v>546</v>
      </c>
      <c r="BD53" s="12">
        <f t="shared" si="415"/>
        <v>0.72844272844272839</v>
      </c>
      <c r="BE53" s="11">
        <v>20</v>
      </c>
      <c r="BF53" s="12">
        <f t="shared" si="416"/>
        <v>3.5335689045936397E-2</v>
      </c>
      <c r="BG53" s="11"/>
      <c r="BH53" s="11"/>
      <c r="BI53" s="18"/>
      <c r="BJ53" s="20"/>
      <c r="BK53" s="10"/>
      <c r="BL53" s="11"/>
      <c r="BM53" s="69">
        <f t="shared" si="467"/>
        <v>847</v>
      </c>
      <c r="BN53" s="69">
        <f t="shared" si="468"/>
        <v>77</v>
      </c>
      <c r="BO53" s="11">
        <v>586</v>
      </c>
      <c r="BP53" s="12">
        <f t="shared" si="417"/>
        <v>0.71310507674144041</v>
      </c>
      <c r="BQ53" s="11">
        <v>18</v>
      </c>
      <c r="BR53" s="12">
        <f t="shared" si="418"/>
        <v>2.9801324503311258E-2</v>
      </c>
      <c r="BS53" s="11"/>
      <c r="BT53" s="11"/>
      <c r="BU53" s="18"/>
      <c r="BV53" s="20"/>
      <c r="BW53" s="10"/>
      <c r="BX53" s="11"/>
      <c r="BY53" s="69">
        <f t="shared" si="469"/>
        <v>765</v>
      </c>
      <c r="BZ53" s="69">
        <f t="shared" si="470"/>
        <v>69</v>
      </c>
      <c r="CA53" s="11">
        <v>508</v>
      </c>
      <c r="CB53" s="12">
        <f t="shared" si="419"/>
        <v>0.69934640522875813</v>
      </c>
      <c r="CC53" s="11">
        <v>27</v>
      </c>
      <c r="CD53" s="12">
        <f t="shared" si="420"/>
        <v>5.046728971962617E-2</v>
      </c>
      <c r="CE53" s="11"/>
      <c r="CF53" s="11"/>
      <c r="CG53" s="18"/>
      <c r="CH53" s="20"/>
      <c r="CI53" s="10">
        <v>1</v>
      </c>
      <c r="CJ53" s="11"/>
      <c r="CK53" s="69">
        <f t="shared" si="471"/>
        <v>191</v>
      </c>
      <c r="CL53" s="69">
        <f t="shared" si="472"/>
        <v>17</v>
      </c>
      <c r="CM53" s="11">
        <v>117</v>
      </c>
      <c r="CN53" s="12">
        <f t="shared" si="421"/>
        <v>0.65445026178010468</v>
      </c>
      <c r="CO53" s="11">
        <v>8</v>
      </c>
      <c r="CP53" s="12">
        <f t="shared" si="422"/>
        <v>6.4000000000000001E-2</v>
      </c>
      <c r="CQ53" s="199">
        <v>156</v>
      </c>
      <c r="CR53" s="11"/>
      <c r="CS53" s="18"/>
      <c r="CT53" s="20"/>
      <c r="CU53" s="10"/>
      <c r="CV53" s="11"/>
      <c r="CW53" s="69">
        <f t="shared" si="473"/>
        <v>763</v>
      </c>
      <c r="CX53" s="69">
        <f t="shared" si="474"/>
        <v>70</v>
      </c>
      <c r="CY53" s="11">
        <v>502</v>
      </c>
      <c r="CZ53" s="12">
        <f t="shared" si="423"/>
        <v>0.68414154652686765</v>
      </c>
      <c r="DA53" s="11">
        <v>20</v>
      </c>
      <c r="DB53" s="12">
        <f t="shared" si="424"/>
        <v>3.8314176245210725E-2</v>
      </c>
      <c r="DC53" s="11"/>
      <c r="DD53" s="11"/>
      <c r="DE53" s="18"/>
      <c r="DF53" s="20"/>
      <c r="DG53" s="10"/>
      <c r="DH53" s="11"/>
      <c r="DI53" s="69">
        <f t="shared" si="475"/>
        <v>767</v>
      </c>
      <c r="DJ53" s="69">
        <f t="shared" si="476"/>
        <v>70</v>
      </c>
      <c r="DK53" s="11">
        <v>543</v>
      </c>
      <c r="DL53" s="12">
        <f t="shared" si="425"/>
        <v>0.73402868318122561</v>
      </c>
      <c r="DM53" s="11">
        <v>20</v>
      </c>
      <c r="DN53" s="12">
        <f t="shared" si="426"/>
        <v>3.5523978685612786E-2</v>
      </c>
      <c r="DO53" s="11"/>
      <c r="DP53" s="11"/>
      <c r="DQ53" s="18"/>
      <c r="DR53" s="20"/>
      <c r="DS53" s="10"/>
      <c r="DT53" s="11"/>
      <c r="DU53" s="69">
        <f t="shared" si="477"/>
        <v>865</v>
      </c>
      <c r="DV53" s="69">
        <f t="shared" si="478"/>
        <v>78</v>
      </c>
      <c r="DW53" s="11">
        <v>624</v>
      </c>
      <c r="DX53" s="12">
        <f t="shared" si="427"/>
        <v>0.74797687861271678</v>
      </c>
      <c r="DY53" s="11">
        <v>23</v>
      </c>
      <c r="DZ53" s="12">
        <f t="shared" si="428"/>
        <v>3.5548686244204021E-2</v>
      </c>
      <c r="EA53" s="11"/>
      <c r="EB53" s="11"/>
      <c r="EC53" s="18"/>
      <c r="ED53" s="20"/>
      <c r="EE53" s="10"/>
      <c r="EF53" s="11"/>
      <c r="EG53" s="69">
        <f t="shared" si="479"/>
        <v>867</v>
      </c>
      <c r="EH53" s="69">
        <f t="shared" si="480"/>
        <v>79</v>
      </c>
      <c r="EI53" s="11">
        <v>604</v>
      </c>
      <c r="EJ53" s="12">
        <f t="shared" si="429"/>
        <v>0.73241061130334484</v>
      </c>
      <c r="EK53" s="11">
        <v>31</v>
      </c>
      <c r="EL53" s="12">
        <f t="shared" si="430"/>
        <v>4.8818897637795275E-2</v>
      </c>
      <c r="EM53" s="11"/>
      <c r="EN53" s="11"/>
      <c r="EO53" s="18"/>
      <c r="EP53" s="20"/>
      <c r="EQ53" s="10"/>
      <c r="ER53" s="11"/>
      <c r="ES53" s="69">
        <f t="shared" si="481"/>
        <v>211</v>
      </c>
      <c r="ET53" s="69">
        <f t="shared" si="482"/>
        <v>16</v>
      </c>
      <c r="EU53" s="11">
        <v>128</v>
      </c>
      <c r="EV53" s="12">
        <f t="shared" si="431"/>
        <v>0.6398104265402843</v>
      </c>
      <c r="EW53" s="11">
        <v>7</v>
      </c>
      <c r="EX53" s="12">
        <f t="shared" si="432"/>
        <v>5.185185185185185E-2</v>
      </c>
      <c r="EY53" s="11"/>
      <c r="EZ53" s="11"/>
      <c r="FA53" s="18"/>
      <c r="FB53" s="20"/>
      <c r="FC53" s="10"/>
      <c r="FD53" s="11"/>
      <c r="FE53" s="69">
        <f t="shared" si="483"/>
        <v>867</v>
      </c>
      <c r="FF53" s="69">
        <f t="shared" si="484"/>
        <v>78</v>
      </c>
      <c r="FG53" s="11">
        <v>672</v>
      </c>
      <c r="FH53" s="12">
        <f t="shared" si="433"/>
        <v>0.79584775086505188</v>
      </c>
      <c r="FI53" s="11">
        <v>18</v>
      </c>
      <c r="FJ53" s="12">
        <f t="shared" si="434"/>
        <v>2.6086956521739129E-2</v>
      </c>
      <c r="FK53" s="11"/>
      <c r="FL53" s="11"/>
      <c r="FM53" s="18"/>
      <c r="FN53" s="20"/>
      <c r="FO53" s="10"/>
      <c r="FP53" s="11"/>
      <c r="FQ53" s="69">
        <f t="shared" si="485"/>
        <v>911</v>
      </c>
      <c r="FR53" s="69">
        <f t="shared" si="486"/>
        <v>81</v>
      </c>
      <c r="FS53" s="11">
        <v>644</v>
      </c>
      <c r="FT53" s="12">
        <f t="shared" si="435"/>
        <v>0.74094401756311745</v>
      </c>
      <c r="FU53" s="11">
        <v>31</v>
      </c>
      <c r="FV53" s="12">
        <f t="shared" si="436"/>
        <v>4.5925925925925926E-2</v>
      </c>
      <c r="FW53" s="11"/>
      <c r="FX53" s="11"/>
      <c r="FY53" s="18"/>
      <c r="FZ53" s="20"/>
      <c r="GA53" s="10"/>
      <c r="GB53" s="11"/>
      <c r="GC53" s="69">
        <f t="shared" si="487"/>
        <v>909</v>
      </c>
      <c r="GD53" s="69">
        <f t="shared" si="488"/>
        <v>82</v>
      </c>
      <c r="GE53" s="11">
        <v>584</v>
      </c>
      <c r="GF53" s="12">
        <f t="shared" si="437"/>
        <v>0.66886688668866889</v>
      </c>
      <c r="GG53" s="11">
        <v>24</v>
      </c>
      <c r="GH53" s="12">
        <f t="shared" si="438"/>
        <v>3.9473684210526314E-2</v>
      </c>
      <c r="GI53" s="11"/>
      <c r="GJ53" s="11"/>
      <c r="GK53" s="18"/>
      <c r="GL53" s="20"/>
      <c r="GM53" s="10"/>
      <c r="GN53" s="11"/>
      <c r="GO53" s="69">
        <f t="shared" si="489"/>
        <v>195</v>
      </c>
      <c r="GP53" s="69">
        <f t="shared" si="490"/>
        <v>18</v>
      </c>
      <c r="GQ53" s="11">
        <v>126</v>
      </c>
      <c r="GR53" s="12">
        <f t="shared" si="439"/>
        <v>0.68717948717948718</v>
      </c>
      <c r="GS53" s="11">
        <v>8</v>
      </c>
      <c r="GT53" s="12">
        <f t="shared" si="440"/>
        <v>5.9701492537313432E-2</v>
      </c>
      <c r="GU53" s="11"/>
      <c r="GV53" s="11"/>
      <c r="GW53" s="18"/>
      <c r="GX53" s="20"/>
      <c r="GY53" s="10"/>
      <c r="GZ53" s="11"/>
      <c r="HA53" s="69">
        <f t="shared" si="491"/>
        <v>912</v>
      </c>
      <c r="HB53" s="69">
        <f t="shared" si="492"/>
        <v>82</v>
      </c>
      <c r="HC53" s="11">
        <v>647</v>
      </c>
      <c r="HD53" s="12">
        <f t="shared" si="441"/>
        <v>0.73245614035087714</v>
      </c>
      <c r="HE53" s="11">
        <v>21</v>
      </c>
      <c r="HF53" s="12">
        <f t="shared" si="442"/>
        <v>3.1437125748502992E-2</v>
      </c>
      <c r="HG53" s="11"/>
      <c r="HH53" s="11"/>
      <c r="HI53" s="18"/>
      <c r="HJ53" s="20"/>
      <c r="HK53" s="10">
        <f t="shared" si="443"/>
        <v>1</v>
      </c>
      <c r="HL53" s="11">
        <f t="shared" si="444"/>
        <v>0</v>
      </c>
      <c r="HM53" s="11">
        <f t="shared" si="445"/>
        <v>12434</v>
      </c>
      <c r="HN53" s="11">
        <f t="shared" si="446"/>
        <v>1114</v>
      </c>
      <c r="HO53" s="11">
        <f t="shared" si="447"/>
        <v>8940</v>
      </c>
      <c r="HP53" s="95">
        <f t="shared" si="448"/>
        <v>0.7189963004664629</v>
      </c>
      <c r="HQ53" s="15">
        <f t="shared" si="449"/>
        <v>322</v>
      </c>
      <c r="HR53" s="12">
        <f t="shared" si="450"/>
        <v>3.6017897091722595E-2</v>
      </c>
      <c r="HS53" s="16">
        <v>54.6</v>
      </c>
      <c r="HT53" s="17">
        <v>8426</v>
      </c>
      <c r="HU53" s="16">
        <f t="shared" si="451"/>
        <v>94.250559284116335</v>
      </c>
      <c r="HV53" s="18"/>
      <c r="HW53" s="20"/>
      <c r="HX53" s="73">
        <f t="shared" si="452"/>
        <v>0.71313912009512481</v>
      </c>
      <c r="HY53" s="73">
        <f t="shared" si="453"/>
        <v>0.70477047704770479</v>
      </c>
      <c r="HZ53" s="73">
        <f t="shared" si="454"/>
        <v>0.74982206405693952</v>
      </c>
      <c r="IA53" s="73">
        <f t="shared" si="455"/>
        <v>0.71233344721557912</v>
      </c>
    </row>
    <row r="54" spans="1:244" x14ac:dyDescent="0.25">
      <c r="A54" s="374"/>
      <c r="B54" s="41">
        <f>+B53+1</f>
        <v>44980</v>
      </c>
      <c r="C54" s="10"/>
      <c r="D54" s="11"/>
      <c r="E54" s="69">
        <f t="shared" si="457"/>
        <v>850</v>
      </c>
      <c r="F54" s="69">
        <f t="shared" si="457"/>
        <v>75</v>
      </c>
      <c r="G54" s="11">
        <v>598</v>
      </c>
      <c r="H54" s="12">
        <f t="shared" si="408"/>
        <v>0.72235294117647064</v>
      </c>
      <c r="I54" s="11">
        <v>16</v>
      </c>
      <c r="J54" s="12">
        <f t="shared" si="458"/>
        <v>2.6058631921824105E-2</v>
      </c>
      <c r="K54" s="13"/>
      <c r="L54" s="13"/>
      <c r="M54" s="25">
        <v>3820</v>
      </c>
      <c r="N54" s="38">
        <v>4160</v>
      </c>
      <c r="O54" s="10"/>
      <c r="P54" s="11"/>
      <c r="Q54" s="69">
        <f t="shared" si="459"/>
        <v>770</v>
      </c>
      <c r="R54" s="69">
        <f t="shared" si="460"/>
        <v>69</v>
      </c>
      <c r="S54" s="11">
        <v>564</v>
      </c>
      <c r="T54" s="12">
        <f t="shared" si="409"/>
        <v>0.74675324675324672</v>
      </c>
      <c r="U54" s="11">
        <v>11</v>
      </c>
      <c r="V54" s="12">
        <f t="shared" si="410"/>
        <v>1.9130434782608695E-2</v>
      </c>
      <c r="W54" s="13"/>
      <c r="X54" s="13"/>
      <c r="Y54" s="25">
        <v>3820</v>
      </c>
      <c r="Z54" s="38">
        <v>4160</v>
      </c>
      <c r="AA54" s="10">
        <v>1</v>
      </c>
      <c r="AB54" s="11"/>
      <c r="AC54" s="69">
        <f t="shared" si="461"/>
        <v>190</v>
      </c>
      <c r="AD54" s="69">
        <f t="shared" si="462"/>
        <v>15</v>
      </c>
      <c r="AE54" s="11">
        <v>137</v>
      </c>
      <c r="AF54" s="12">
        <f t="shared" si="411"/>
        <v>0.72631578947368425</v>
      </c>
      <c r="AG54" s="11">
        <v>1</v>
      </c>
      <c r="AH54" s="12">
        <f t="shared" si="412"/>
        <v>7.246376811594203E-3</v>
      </c>
      <c r="AI54" s="13"/>
      <c r="AJ54" s="13"/>
      <c r="AK54" s="25">
        <v>3820</v>
      </c>
      <c r="AL54" s="38">
        <v>4160</v>
      </c>
      <c r="AM54" s="10"/>
      <c r="AN54" s="11"/>
      <c r="AO54" s="69">
        <f t="shared" si="463"/>
        <v>776</v>
      </c>
      <c r="AP54" s="69">
        <f t="shared" si="464"/>
        <v>69</v>
      </c>
      <c r="AQ54" s="11">
        <v>553</v>
      </c>
      <c r="AR54" s="12">
        <f t="shared" si="413"/>
        <v>0.73324742268041232</v>
      </c>
      <c r="AS54" s="11">
        <v>16</v>
      </c>
      <c r="AT54" s="12">
        <f t="shared" si="414"/>
        <v>2.8119507908611598E-2</v>
      </c>
      <c r="AU54" s="13"/>
      <c r="AV54" s="13"/>
      <c r="AW54" s="25">
        <v>3820</v>
      </c>
      <c r="AX54" s="38">
        <v>4160</v>
      </c>
      <c r="AY54" s="10"/>
      <c r="AZ54" s="11"/>
      <c r="BA54" s="69">
        <f t="shared" si="465"/>
        <v>777</v>
      </c>
      <c r="BB54" s="69">
        <f t="shared" si="466"/>
        <v>69</v>
      </c>
      <c r="BC54" s="11">
        <v>550</v>
      </c>
      <c r="BD54" s="12">
        <f t="shared" si="415"/>
        <v>0.7425997425997426</v>
      </c>
      <c r="BE54" s="11">
        <v>27</v>
      </c>
      <c r="BF54" s="12">
        <f t="shared" si="416"/>
        <v>4.6793760831889082E-2</v>
      </c>
      <c r="BG54" s="13"/>
      <c r="BH54" s="13"/>
      <c r="BI54" s="25">
        <v>3820</v>
      </c>
      <c r="BJ54" s="38">
        <v>4160</v>
      </c>
      <c r="BK54" s="10"/>
      <c r="BL54" s="11"/>
      <c r="BM54" s="69">
        <f t="shared" si="467"/>
        <v>847</v>
      </c>
      <c r="BN54" s="69">
        <f t="shared" si="468"/>
        <v>77</v>
      </c>
      <c r="BO54" s="11">
        <v>604</v>
      </c>
      <c r="BP54" s="12">
        <f t="shared" si="417"/>
        <v>0.7378984651711924</v>
      </c>
      <c r="BQ54" s="11">
        <v>21</v>
      </c>
      <c r="BR54" s="12">
        <f t="shared" si="418"/>
        <v>3.3599999999999998E-2</v>
      </c>
      <c r="BS54" s="13"/>
      <c r="BT54" s="13"/>
      <c r="BU54" s="25">
        <v>3820</v>
      </c>
      <c r="BV54" s="38">
        <v>4160</v>
      </c>
      <c r="BW54" s="10">
        <v>1</v>
      </c>
      <c r="BX54" s="11"/>
      <c r="BY54" s="69">
        <f t="shared" si="469"/>
        <v>764</v>
      </c>
      <c r="BZ54" s="69">
        <f t="shared" si="470"/>
        <v>69</v>
      </c>
      <c r="CA54" s="11">
        <v>562</v>
      </c>
      <c r="CB54" s="12">
        <f t="shared" si="419"/>
        <v>0.75130890052356025</v>
      </c>
      <c r="CC54" s="11">
        <v>12</v>
      </c>
      <c r="CD54" s="12">
        <f t="shared" si="420"/>
        <v>2.0905923344947737E-2</v>
      </c>
      <c r="CE54" s="13"/>
      <c r="CF54" s="13"/>
      <c r="CG54" s="25">
        <v>3820</v>
      </c>
      <c r="CH54" s="38">
        <v>4160</v>
      </c>
      <c r="CI54" s="10"/>
      <c r="CJ54" s="11"/>
      <c r="CK54" s="69">
        <f t="shared" si="471"/>
        <v>191</v>
      </c>
      <c r="CL54" s="69">
        <f t="shared" si="472"/>
        <v>17</v>
      </c>
      <c r="CM54" s="11">
        <v>101</v>
      </c>
      <c r="CN54" s="12">
        <f t="shared" si="421"/>
        <v>0.54450261780104714</v>
      </c>
      <c r="CO54" s="11">
        <v>3</v>
      </c>
      <c r="CP54" s="12">
        <f t="shared" si="422"/>
        <v>2.8846153846153848E-2</v>
      </c>
      <c r="CQ54" s="13"/>
      <c r="CR54" s="13"/>
      <c r="CS54" s="25">
        <v>3820</v>
      </c>
      <c r="CT54" s="38">
        <v>4160</v>
      </c>
      <c r="CU54" s="10"/>
      <c r="CV54" s="11"/>
      <c r="CW54" s="69">
        <f t="shared" si="473"/>
        <v>763</v>
      </c>
      <c r="CX54" s="69">
        <f t="shared" si="474"/>
        <v>70</v>
      </c>
      <c r="CY54" s="11">
        <v>541</v>
      </c>
      <c r="CZ54" s="12">
        <f t="shared" si="423"/>
        <v>0.72870249017038002</v>
      </c>
      <c r="DA54" s="11">
        <v>15</v>
      </c>
      <c r="DB54" s="12">
        <f t="shared" si="424"/>
        <v>2.6978417266187049E-2</v>
      </c>
      <c r="DC54" s="13"/>
      <c r="DD54" s="13"/>
      <c r="DE54" s="25">
        <v>3820</v>
      </c>
      <c r="DF54" s="38">
        <v>4160</v>
      </c>
      <c r="DG54" s="10"/>
      <c r="DH54" s="11"/>
      <c r="DI54" s="69">
        <f t="shared" si="475"/>
        <v>767</v>
      </c>
      <c r="DJ54" s="69">
        <f t="shared" si="476"/>
        <v>70</v>
      </c>
      <c r="DK54" s="11">
        <v>552</v>
      </c>
      <c r="DL54" s="12">
        <f t="shared" si="425"/>
        <v>0.73924380704041726</v>
      </c>
      <c r="DM54" s="11">
        <v>15</v>
      </c>
      <c r="DN54" s="12">
        <f t="shared" si="426"/>
        <v>2.6455026455026454E-2</v>
      </c>
      <c r="DO54" s="13"/>
      <c r="DP54" s="13"/>
      <c r="DQ54" s="25">
        <v>3820</v>
      </c>
      <c r="DR54" s="38">
        <v>4160</v>
      </c>
      <c r="DS54" s="10"/>
      <c r="DT54" s="11"/>
      <c r="DU54" s="69">
        <f t="shared" si="477"/>
        <v>865</v>
      </c>
      <c r="DV54" s="69">
        <f t="shared" si="478"/>
        <v>78</v>
      </c>
      <c r="DW54" s="11">
        <v>605</v>
      </c>
      <c r="DX54" s="12">
        <f t="shared" si="427"/>
        <v>0.7225433526011561</v>
      </c>
      <c r="DY54" s="11">
        <v>20</v>
      </c>
      <c r="DZ54" s="12">
        <f t="shared" si="428"/>
        <v>3.2000000000000001E-2</v>
      </c>
      <c r="EA54" s="13"/>
      <c r="EB54" s="13"/>
      <c r="EC54" s="25">
        <v>3820</v>
      </c>
      <c r="ED54" s="38">
        <v>4160</v>
      </c>
      <c r="EE54" s="10"/>
      <c r="EF54" s="11"/>
      <c r="EG54" s="69">
        <f t="shared" si="479"/>
        <v>867</v>
      </c>
      <c r="EH54" s="69">
        <f t="shared" si="480"/>
        <v>79</v>
      </c>
      <c r="EI54" s="11">
        <v>617</v>
      </c>
      <c r="EJ54" s="12">
        <f t="shared" si="429"/>
        <v>0.72202998846597466</v>
      </c>
      <c r="EK54" s="11">
        <v>9</v>
      </c>
      <c r="EL54" s="12">
        <f t="shared" si="430"/>
        <v>1.437699680511182E-2</v>
      </c>
      <c r="EM54" s="13"/>
      <c r="EN54" s="13"/>
      <c r="EO54" s="25">
        <v>3820</v>
      </c>
      <c r="EP54" s="38">
        <v>4160</v>
      </c>
      <c r="EQ54" s="10">
        <v>1</v>
      </c>
      <c r="ER54" s="11"/>
      <c r="ES54" s="69">
        <f t="shared" si="481"/>
        <v>210</v>
      </c>
      <c r="ET54" s="69">
        <f t="shared" si="482"/>
        <v>16</v>
      </c>
      <c r="EU54" s="11">
        <v>136</v>
      </c>
      <c r="EV54" s="12">
        <f t="shared" si="431"/>
        <v>0.68095238095238098</v>
      </c>
      <c r="EW54" s="11">
        <v>7</v>
      </c>
      <c r="EX54" s="12">
        <f t="shared" si="432"/>
        <v>4.8951048951048952E-2</v>
      </c>
      <c r="EY54" s="13"/>
      <c r="EZ54" s="13"/>
      <c r="FA54" s="25">
        <v>3820</v>
      </c>
      <c r="FB54" s="38">
        <v>4160</v>
      </c>
      <c r="FC54" s="10"/>
      <c r="FD54" s="11"/>
      <c r="FE54" s="69">
        <f t="shared" si="483"/>
        <v>867</v>
      </c>
      <c r="FF54" s="69">
        <f t="shared" si="484"/>
        <v>78</v>
      </c>
      <c r="FG54" s="11">
        <v>647</v>
      </c>
      <c r="FH54" s="12">
        <f t="shared" si="433"/>
        <v>0.76931949250288356</v>
      </c>
      <c r="FI54" s="11">
        <v>20</v>
      </c>
      <c r="FJ54" s="12">
        <f t="shared" si="434"/>
        <v>2.9985007496251874E-2</v>
      </c>
      <c r="FK54" s="13"/>
      <c r="FL54" s="13"/>
      <c r="FM54" s="25">
        <v>3820</v>
      </c>
      <c r="FN54" s="38">
        <v>4160</v>
      </c>
      <c r="FO54" s="10">
        <v>1</v>
      </c>
      <c r="FP54" s="11"/>
      <c r="FQ54" s="69">
        <f t="shared" si="485"/>
        <v>910</v>
      </c>
      <c r="FR54" s="69">
        <f t="shared" si="486"/>
        <v>81</v>
      </c>
      <c r="FS54" s="11">
        <v>615</v>
      </c>
      <c r="FT54" s="12">
        <f t="shared" si="435"/>
        <v>0.70879120879120883</v>
      </c>
      <c r="FU54" s="11">
        <v>30</v>
      </c>
      <c r="FV54" s="12">
        <f t="shared" si="436"/>
        <v>4.6511627906976744E-2</v>
      </c>
      <c r="FW54" s="13"/>
      <c r="FX54" s="13"/>
      <c r="FY54" s="25">
        <v>3820</v>
      </c>
      <c r="FZ54" s="38">
        <v>4160</v>
      </c>
      <c r="GA54" s="10"/>
      <c r="GB54" s="11"/>
      <c r="GC54" s="69">
        <f t="shared" si="487"/>
        <v>909</v>
      </c>
      <c r="GD54" s="69">
        <f t="shared" si="488"/>
        <v>82</v>
      </c>
      <c r="GE54" s="11">
        <v>644</v>
      </c>
      <c r="GF54" s="12">
        <f t="shared" si="437"/>
        <v>0.73707370737073707</v>
      </c>
      <c r="GG54" s="11">
        <v>26</v>
      </c>
      <c r="GH54" s="12">
        <f t="shared" si="438"/>
        <v>3.880597014925373E-2</v>
      </c>
      <c r="GI54" s="13"/>
      <c r="GJ54" s="13"/>
      <c r="GK54" s="25">
        <v>3820</v>
      </c>
      <c r="GL54" s="38">
        <v>4160</v>
      </c>
      <c r="GM54" s="10"/>
      <c r="GN54" s="11"/>
      <c r="GO54" s="69">
        <f t="shared" si="489"/>
        <v>195</v>
      </c>
      <c r="GP54" s="69">
        <f t="shared" si="490"/>
        <v>18</v>
      </c>
      <c r="GQ54" s="11">
        <v>108</v>
      </c>
      <c r="GR54" s="12">
        <f t="shared" si="439"/>
        <v>0.62564102564102564</v>
      </c>
      <c r="GS54" s="11">
        <v>14</v>
      </c>
      <c r="GT54" s="12">
        <f t="shared" si="440"/>
        <v>0.11475409836065574</v>
      </c>
      <c r="GU54" s="13"/>
      <c r="GV54" s="13"/>
      <c r="GW54" s="25">
        <v>3820</v>
      </c>
      <c r="GX54" s="38">
        <v>4160</v>
      </c>
      <c r="GY54" s="10">
        <v>1</v>
      </c>
      <c r="GZ54" s="11"/>
      <c r="HA54" s="69">
        <f t="shared" si="491"/>
        <v>911</v>
      </c>
      <c r="HB54" s="69">
        <f t="shared" si="492"/>
        <v>82</v>
      </c>
      <c r="HC54" s="11">
        <v>663</v>
      </c>
      <c r="HD54" s="12">
        <f t="shared" si="441"/>
        <v>0.75192096597145996</v>
      </c>
      <c r="HE54" s="11">
        <v>22</v>
      </c>
      <c r="HF54" s="12">
        <f t="shared" si="442"/>
        <v>3.2116788321167884E-2</v>
      </c>
      <c r="HG54" s="13"/>
      <c r="HH54" s="13"/>
      <c r="HI54" s="25">
        <v>3820</v>
      </c>
      <c r="HJ54" s="38">
        <v>4160</v>
      </c>
      <c r="HK54" s="10">
        <f t="shared" si="443"/>
        <v>5</v>
      </c>
      <c r="HL54" s="11">
        <f t="shared" si="444"/>
        <v>0</v>
      </c>
      <c r="HM54" s="11">
        <f t="shared" si="445"/>
        <v>12429</v>
      </c>
      <c r="HN54" s="11">
        <f t="shared" si="446"/>
        <v>1114</v>
      </c>
      <c r="HO54" s="11">
        <f t="shared" si="447"/>
        <v>9082</v>
      </c>
      <c r="HP54" s="95">
        <f t="shared" si="448"/>
        <v>0.73071043527234691</v>
      </c>
      <c r="HQ54" s="15">
        <f t="shared" si="449"/>
        <v>285</v>
      </c>
      <c r="HR54" s="12">
        <f t="shared" si="450"/>
        <v>3.1380753138075312E-2</v>
      </c>
      <c r="HS54" s="16">
        <v>54.9</v>
      </c>
      <c r="HT54" s="17">
        <v>8623</v>
      </c>
      <c r="HU54" s="16">
        <f t="shared" si="451"/>
        <v>94.946047126183657</v>
      </c>
      <c r="HV54" s="23">
        <v>3820</v>
      </c>
      <c r="HW54" s="22">
        <v>4160</v>
      </c>
      <c r="HX54" s="73">
        <f t="shared" si="452"/>
        <v>0.73535533749628312</v>
      </c>
      <c r="HY54" s="73">
        <f t="shared" si="453"/>
        <v>0.72809123649459784</v>
      </c>
      <c r="HZ54" s="73">
        <f t="shared" si="454"/>
        <v>0.73371306514773937</v>
      </c>
      <c r="IA54" s="73">
        <f t="shared" si="455"/>
        <v>0.72547008547008551</v>
      </c>
    </row>
    <row r="55" spans="1:244" x14ac:dyDescent="0.25">
      <c r="A55" s="374"/>
      <c r="B55" s="41">
        <f t="shared" si="456"/>
        <v>44981</v>
      </c>
      <c r="C55" s="10"/>
      <c r="D55" s="11"/>
      <c r="E55" s="69">
        <f t="shared" si="457"/>
        <v>850</v>
      </c>
      <c r="F55" s="69">
        <f t="shared" si="457"/>
        <v>75</v>
      </c>
      <c r="G55" s="11">
        <v>628</v>
      </c>
      <c r="H55" s="12">
        <f t="shared" si="408"/>
        <v>0.75176470588235289</v>
      </c>
      <c r="I55" s="11">
        <v>11</v>
      </c>
      <c r="J55" s="12">
        <f t="shared" si="458"/>
        <v>1.7214397496087636E-2</v>
      </c>
      <c r="K55" s="13"/>
      <c r="L55" s="11"/>
      <c r="M55" s="25">
        <v>4181.818181818182</v>
      </c>
      <c r="N55" s="38">
        <v>4416.666666666667</v>
      </c>
      <c r="O55" s="10"/>
      <c r="P55" s="11"/>
      <c r="Q55" s="69">
        <f t="shared" si="459"/>
        <v>770</v>
      </c>
      <c r="R55" s="69">
        <f t="shared" si="460"/>
        <v>69</v>
      </c>
      <c r="S55" s="11">
        <v>590</v>
      </c>
      <c r="T55" s="12">
        <f t="shared" si="409"/>
        <v>0.7831168831168831</v>
      </c>
      <c r="U55" s="11">
        <v>13</v>
      </c>
      <c r="V55" s="12">
        <f t="shared" si="410"/>
        <v>2.1558872305140961E-2</v>
      </c>
      <c r="W55" s="13"/>
      <c r="X55" s="11"/>
      <c r="Y55" s="25">
        <v>4141.5789473684208</v>
      </c>
      <c r="Z55" s="38">
        <v>4530</v>
      </c>
      <c r="AA55" s="10"/>
      <c r="AB55" s="11"/>
      <c r="AC55" s="69">
        <f t="shared" si="461"/>
        <v>190</v>
      </c>
      <c r="AD55" s="69">
        <f t="shared" si="462"/>
        <v>15</v>
      </c>
      <c r="AE55" s="11">
        <v>135</v>
      </c>
      <c r="AF55" s="12">
        <f t="shared" si="411"/>
        <v>0.73157894736842111</v>
      </c>
      <c r="AG55" s="11">
        <v>4</v>
      </c>
      <c r="AH55" s="12">
        <f t="shared" si="412"/>
        <v>2.8776978417266189E-2</v>
      </c>
      <c r="AI55" s="200">
        <v>162.1</v>
      </c>
      <c r="AJ55" s="11"/>
      <c r="AK55" s="25">
        <v>4155</v>
      </c>
      <c r="AL55" s="38">
        <v>4360</v>
      </c>
      <c r="AM55" s="10"/>
      <c r="AN55" s="11"/>
      <c r="AO55" s="69">
        <f t="shared" si="463"/>
        <v>776</v>
      </c>
      <c r="AP55" s="69">
        <f t="shared" si="464"/>
        <v>69</v>
      </c>
      <c r="AQ55" s="11">
        <v>561</v>
      </c>
      <c r="AR55" s="12">
        <f t="shared" si="413"/>
        <v>0.73582474226804129</v>
      </c>
      <c r="AS55" s="11">
        <v>10</v>
      </c>
      <c r="AT55" s="12">
        <f t="shared" si="414"/>
        <v>1.7513134851138354E-2</v>
      </c>
      <c r="AU55" s="200">
        <v>162.1</v>
      </c>
      <c r="AV55" s="11"/>
      <c r="AW55" s="25">
        <v>4198.333333333333</v>
      </c>
      <c r="AX55" s="38">
        <v>4448.125</v>
      </c>
      <c r="AY55" s="10">
        <v>1</v>
      </c>
      <c r="AZ55" s="11"/>
      <c r="BA55" s="69">
        <f t="shared" si="465"/>
        <v>776</v>
      </c>
      <c r="BB55" s="69">
        <f t="shared" si="466"/>
        <v>69</v>
      </c>
      <c r="BC55" s="11">
        <v>624</v>
      </c>
      <c r="BD55" s="12">
        <f t="shared" si="415"/>
        <v>0.84278350515463918</v>
      </c>
      <c r="BE55" s="11">
        <v>30</v>
      </c>
      <c r="BF55" s="12">
        <f t="shared" si="416"/>
        <v>4.5871559633027525E-2</v>
      </c>
      <c r="BG55" s="13"/>
      <c r="BH55" s="11"/>
      <c r="BI55" s="25">
        <v>4226.9767441860467</v>
      </c>
      <c r="BJ55" s="38">
        <v>4293.75</v>
      </c>
      <c r="BK55" s="10"/>
      <c r="BL55" s="11"/>
      <c r="BM55" s="69">
        <f t="shared" si="467"/>
        <v>847</v>
      </c>
      <c r="BN55" s="69">
        <f t="shared" si="468"/>
        <v>77</v>
      </c>
      <c r="BO55" s="11">
        <v>631</v>
      </c>
      <c r="BP55" s="12">
        <f t="shared" si="417"/>
        <v>0.77449822904368359</v>
      </c>
      <c r="BQ55" s="11">
        <v>25</v>
      </c>
      <c r="BR55" s="12">
        <f t="shared" si="418"/>
        <v>3.8109756097560975E-2</v>
      </c>
      <c r="BS55" s="13"/>
      <c r="BT55" s="11"/>
      <c r="BU55" s="25">
        <v>4134.4186046511632</v>
      </c>
      <c r="BV55" s="38">
        <v>4374.375</v>
      </c>
      <c r="BW55" s="10"/>
      <c r="BX55" s="11"/>
      <c r="BY55" s="69">
        <f t="shared" si="469"/>
        <v>764</v>
      </c>
      <c r="BZ55" s="69">
        <f t="shared" si="470"/>
        <v>69</v>
      </c>
      <c r="CA55" s="11">
        <v>567</v>
      </c>
      <c r="CB55" s="12">
        <f t="shared" si="419"/>
        <v>0.76308900523560208</v>
      </c>
      <c r="CC55" s="11">
        <v>16</v>
      </c>
      <c r="CD55" s="12">
        <f t="shared" si="420"/>
        <v>2.7444253859348199E-2</v>
      </c>
      <c r="CE55" s="13"/>
      <c r="CF55" s="11"/>
      <c r="CG55" s="25">
        <v>4189.4871794871797</v>
      </c>
      <c r="CH55" s="38">
        <v>4410.625</v>
      </c>
      <c r="CI55" s="10"/>
      <c r="CJ55" s="11"/>
      <c r="CK55" s="69">
        <f t="shared" si="471"/>
        <v>191</v>
      </c>
      <c r="CL55" s="69">
        <f t="shared" si="472"/>
        <v>17</v>
      </c>
      <c r="CM55" s="11">
        <v>102</v>
      </c>
      <c r="CN55" s="12">
        <f t="shared" si="421"/>
        <v>0.55497382198952883</v>
      </c>
      <c r="CO55" s="11">
        <v>4</v>
      </c>
      <c r="CP55" s="12">
        <f t="shared" si="422"/>
        <v>3.7735849056603772E-2</v>
      </c>
      <c r="CQ55" s="13"/>
      <c r="CR55" s="11"/>
      <c r="CS55" s="25">
        <v>4156.666666666667</v>
      </c>
      <c r="CT55" s="38">
        <v>4223.333333333333</v>
      </c>
      <c r="CU55" s="10">
        <v>1</v>
      </c>
      <c r="CV55" s="11"/>
      <c r="CW55" s="69">
        <f t="shared" si="473"/>
        <v>762</v>
      </c>
      <c r="CX55" s="69">
        <f t="shared" si="474"/>
        <v>70</v>
      </c>
      <c r="CY55" s="11">
        <v>557</v>
      </c>
      <c r="CZ55" s="12">
        <f t="shared" si="423"/>
        <v>0.75459317585301833</v>
      </c>
      <c r="DA55" s="11">
        <v>18</v>
      </c>
      <c r="DB55" s="12">
        <f t="shared" si="424"/>
        <v>3.1304347826086959E-2</v>
      </c>
      <c r="DC55" s="13"/>
      <c r="DD55" s="11"/>
      <c r="DE55" s="25">
        <v>4169.7619047619046</v>
      </c>
      <c r="DF55" s="38">
        <v>4487.333333333333</v>
      </c>
      <c r="DG55" s="10"/>
      <c r="DH55" s="11"/>
      <c r="DI55" s="69">
        <f t="shared" si="475"/>
        <v>767</v>
      </c>
      <c r="DJ55" s="69">
        <f t="shared" si="476"/>
        <v>70</v>
      </c>
      <c r="DK55" s="11">
        <v>527</v>
      </c>
      <c r="DL55" s="12">
        <f t="shared" si="425"/>
        <v>0.69882659713168183</v>
      </c>
      <c r="DM55" s="11">
        <v>9</v>
      </c>
      <c r="DN55" s="12">
        <f t="shared" si="426"/>
        <v>1.6791044776119403E-2</v>
      </c>
      <c r="DO55" s="13"/>
      <c r="DP55" s="11"/>
      <c r="DQ55" s="25">
        <v>4317.6190476190477</v>
      </c>
      <c r="DR55" s="38">
        <v>4481.25</v>
      </c>
      <c r="DS55" s="10">
        <v>1</v>
      </c>
      <c r="DT55" s="11"/>
      <c r="DU55" s="69">
        <f t="shared" si="477"/>
        <v>864</v>
      </c>
      <c r="DV55" s="69">
        <f t="shared" si="478"/>
        <v>78</v>
      </c>
      <c r="DW55" s="11">
        <v>639</v>
      </c>
      <c r="DX55" s="12">
        <f t="shared" si="427"/>
        <v>0.7592592592592593</v>
      </c>
      <c r="DY55" s="11">
        <v>17</v>
      </c>
      <c r="DZ55" s="12">
        <f t="shared" si="428"/>
        <v>2.5914634146341462E-2</v>
      </c>
      <c r="EA55" s="13"/>
      <c r="EB55" s="11"/>
      <c r="EC55" s="25">
        <v>4157.0731707317073</v>
      </c>
      <c r="ED55" s="38">
        <v>4221.4285714285716</v>
      </c>
      <c r="EE55" s="10"/>
      <c r="EF55" s="11"/>
      <c r="EG55" s="69">
        <f t="shared" si="479"/>
        <v>867</v>
      </c>
      <c r="EH55" s="69">
        <f t="shared" si="480"/>
        <v>79</v>
      </c>
      <c r="EI55" s="11">
        <v>635</v>
      </c>
      <c r="EJ55" s="12">
        <f t="shared" si="429"/>
        <v>0.75317185697808531</v>
      </c>
      <c r="EK55" s="11">
        <v>18</v>
      </c>
      <c r="EL55" s="12">
        <f t="shared" si="430"/>
        <v>2.7565084226646247E-2</v>
      </c>
      <c r="EM55" s="13"/>
      <c r="EN55" s="11"/>
      <c r="EO55" s="25">
        <v>4124.0476190476193</v>
      </c>
      <c r="EP55" s="38">
        <v>4223.333333333333</v>
      </c>
      <c r="EQ55" s="10">
        <v>1</v>
      </c>
      <c r="ER55" s="11"/>
      <c r="ES55" s="69">
        <f t="shared" si="481"/>
        <v>209</v>
      </c>
      <c r="ET55" s="69">
        <f t="shared" si="482"/>
        <v>16</v>
      </c>
      <c r="EU55" s="11">
        <v>142</v>
      </c>
      <c r="EV55" s="12">
        <f t="shared" si="431"/>
        <v>0.71770334928229662</v>
      </c>
      <c r="EW55" s="11">
        <v>8</v>
      </c>
      <c r="EX55" s="12">
        <f t="shared" si="432"/>
        <v>5.3333333333333337E-2</v>
      </c>
      <c r="EY55" s="200">
        <v>159.6</v>
      </c>
      <c r="EZ55" s="11"/>
      <c r="FA55" s="25">
        <v>3801</v>
      </c>
      <c r="FB55" s="38">
        <v>4182.5</v>
      </c>
      <c r="FC55" s="10"/>
      <c r="FD55" s="11"/>
      <c r="FE55" s="69">
        <f t="shared" si="483"/>
        <v>867</v>
      </c>
      <c r="FF55" s="69">
        <f t="shared" si="484"/>
        <v>78</v>
      </c>
      <c r="FG55" s="11">
        <v>666</v>
      </c>
      <c r="FH55" s="12">
        <f t="shared" si="433"/>
        <v>0.77970011534025374</v>
      </c>
      <c r="FI55" s="11">
        <v>10</v>
      </c>
      <c r="FJ55" s="12">
        <f t="shared" si="434"/>
        <v>1.4792899408284023E-2</v>
      </c>
      <c r="FK55" s="13"/>
      <c r="FL55" s="11"/>
      <c r="FM55" s="25">
        <v>4073.8461538461538</v>
      </c>
      <c r="FN55" s="38">
        <v>4415.625</v>
      </c>
      <c r="FO55" s="10"/>
      <c r="FP55" s="11"/>
      <c r="FQ55" s="69">
        <f t="shared" si="485"/>
        <v>910</v>
      </c>
      <c r="FR55" s="69">
        <f t="shared" si="486"/>
        <v>81</v>
      </c>
      <c r="FS55" s="11">
        <v>668</v>
      </c>
      <c r="FT55" s="12">
        <f t="shared" si="435"/>
        <v>0.75384615384615383</v>
      </c>
      <c r="FU55" s="11">
        <v>18</v>
      </c>
      <c r="FV55" s="12">
        <f t="shared" si="436"/>
        <v>2.6239067055393587E-2</v>
      </c>
      <c r="FW55" s="13"/>
      <c r="FX55" s="11"/>
      <c r="FY55" s="25">
        <v>4089.1111111111113</v>
      </c>
      <c r="FZ55" s="38">
        <v>4212.3529411764703</v>
      </c>
      <c r="GA55" s="10">
        <v>1</v>
      </c>
      <c r="GB55" s="11"/>
      <c r="GC55" s="69">
        <f t="shared" si="487"/>
        <v>908</v>
      </c>
      <c r="GD55" s="69">
        <f t="shared" si="488"/>
        <v>82</v>
      </c>
      <c r="GE55" s="11">
        <v>646</v>
      </c>
      <c r="GF55" s="12">
        <f t="shared" si="437"/>
        <v>0.73568281938325997</v>
      </c>
      <c r="GG55" s="11">
        <v>22</v>
      </c>
      <c r="GH55" s="12">
        <f t="shared" si="438"/>
        <v>3.2934131736526949E-2</v>
      </c>
      <c r="GI55" s="13"/>
      <c r="GJ55" s="11"/>
      <c r="GK55" s="25">
        <v>4121.8604651162786</v>
      </c>
      <c r="GL55" s="38">
        <v>4328.2352941176468</v>
      </c>
      <c r="GM55" s="10"/>
      <c r="GN55" s="11"/>
      <c r="GO55" s="69">
        <f t="shared" si="489"/>
        <v>195</v>
      </c>
      <c r="GP55" s="69">
        <f t="shared" si="490"/>
        <v>18</v>
      </c>
      <c r="GQ55" s="11">
        <v>118</v>
      </c>
      <c r="GR55" s="12">
        <f t="shared" si="439"/>
        <v>0.6512820512820513</v>
      </c>
      <c r="GS55" s="11">
        <v>9</v>
      </c>
      <c r="GT55" s="12">
        <f t="shared" si="440"/>
        <v>7.0866141732283464E-2</v>
      </c>
      <c r="GU55" s="13"/>
      <c r="GV55" s="11"/>
      <c r="GW55" s="25">
        <v>3914.1666666666665</v>
      </c>
      <c r="GX55" s="38">
        <v>4260</v>
      </c>
      <c r="GY55" s="10"/>
      <c r="GZ55" s="11"/>
      <c r="HA55" s="69">
        <f t="shared" si="491"/>
        <v>911</v>
      </c>
      <c r="HB55" s="69">
        <f t="shared" si="492"/>
        <v>82</v>
      </c>
      <c r="HC55" s="11">
        <v>683</v>
      </c>
      <c r="HD55" s="12">
        <f t="shared" si="441"/>
        <v>0.7639956092206367</v>
      </c>
      <c r="HE55" s="11">
        <v>13</v>
      </c>
      <c r="HF55" s="12">
        <f t="shared" si="442"/>
        <v>1.8678160919540231E-2</v>
      </c>
      <c r="HG55" s="13"/>
      <c r="HH55" s="11"/>
      <c r="HI55" s="25">
        <v>4062.2222222222222</v>
      </c>
      <c r="HJ55" s="38">
        <v>4179.333333333333</v>
      </c>
      <c r="HK55" s="10">
        <f t="shared" si="443"/>
        <v>5</v>
      </c>
      <c r="HL55" s="11">
        <f t="shared" si="444"/>
        <v>0</v>
      </c>
      <c r="HM55" s="11">
        <f t="shared" si="445"/>
        <v>12424</v>
      </c>
      <c r="HN55" s="11">
        <f t="shared" si="446"/>
        <v>1114</v>
      </c>
      <c r="HO55" s="11">
        <f t="shared" si="447"/>
        <v>9374</v>
      </c>
      <c r="HP55" s="95">
        <f t="shared" si="448"/>
        <v>0.75450740502253699</v>
      </c>
      <c r="HQ55" s="15">
        <f t="shared" si="449"/>
        <v>255</v>
      </c>
      <c r="HR55" s="12">
        <f t="shared" si="450"/>
        <v>2.7202901642841903E-2</v>
      </c>
      <c r="HS55" s="16">
        <v>55.2</v>
      </c>
      <c r="HT55" s="17">
        <v>8881</v>
      </c>
      <c r="HU55" s="16">
        <f t="shared" si="451"/>
        <v>94.740772349050559</v>
      </c>
      <c r="HV55" s="23">
        <v>4146.2009419152273</v>
      </c>
      <c r="HW55" s="22">
        <v>4351.8376068376065</v>
      </c>
      <c r="HX55" s="73">
        <f t="shared" si="452"/>
        <v>0.77513384889946457</v>
      </c>
      <c r="HY55" s="73">
        <f t="shared" si="453"/>
        <v>0.73731612128489943</v>
      </c>
      <c r="HZ55" s="73">
        <f t="shared" si="454"/>
        <v>0.76059850374064841</v>
      </c>
      <c r="IA55" s="73">
        <f t="shared" si="455"/>
        <v>0.74452804377564974</v>
      </c>
    </row>
    <row r="56" spans="1:244" x14ac:dyDescent="0.25">
      <c r="A56" s="374"/>
      <c r="B56" s="41">
        <f t="shared" si="456"/>
        <v>44982</v>
      </c>
      <c r="C56" s="10">
        <v>1</v>
      </c>
      <c r="D56" s="11"/>
      <c r="E56" s="69">
        <f t="shared" si="457"/>
        <v>849</v>
      </c>
      <c r="F56" s="69">
        <f t="shared" si="457"/>
        <v>75</v>
      </c>
      <c r="G56" s="11">
        <v>635</v>
      </c>
      <c r="H56" s="12">
        <f t="shared" si="408"/>
        <v>0.76325088339222613</v>
      </c>
      <c r="I56" s="11">
        <v>13</v>
      </c>
      <c r="J56" s="12">
        <f t="shared" si="458"/>
        <v>2.0061728395061727E-2</v>
      </c>
      <c r="K56" s="13"/>
      <c r="L56" s="11"/>
      <c r="M56" s="39">
        <v>90.909090909090907</v>
      </c>
      <c r="N56" s="43">
        <v>100</v>
      </c>
      <c r="O56" s="10"/>
      <c r="P56" s="11"/>
      <c r="Q56" s="69">
        <f t="shared" si="459"/>
        <v>770</v>
      </c>
      <c r="R56" s="69">
        <f t="shared" si="460"/>
        <v>69</v>
      </c>
      <c r="S56" s="11">
        <v>569</v>
      </c>
      <c r="T56" s="12">
        <f t="shared" si="409"/>
        <v>0.74935064935064932</v>
      </c>
      <c r="U56" s="11">
        <v>8</v>
      </c>
      <c r="V56" s="12">
        <f t="shared" si="410"/>
        <v>1.3864818024263431E-2</v>
      </c>
      <c r="W56" s="13"/>
      <c r="X56" s="11"/>
      <c r="Y56" s="39">
        <v>92.10526315789474</v>
      </c>
      <c r="Z56" s="43">
        <v>100</v>
      </c>
      <c r="AA56" s="10"/>
      <c r="AB56" s="11"/>
      <c r="AC56" s="69">
        <f t="shared" si="461"/>
        <v>190</v>
      </c>
      <c r="AD56" s="69">
        <f t="shared" si="462"/>
        <v>15</v>
      </c>
      <c r="AE56" s="11">
        <v>128</v>
      </c>
      <c r="AF56" s="12">
        <f t="shared" si="411"/>
        <v>0.67894736842105263</v>
      </c>
      <c r="AG56" s="11">
        <v>1</v>
      </c>
      <c r="AH56" s="12">
        <f t="shared" si="412"/>
        <v>7.7519379844961239E-3</v>
      </c>
      <c r="AI56" s="11"/>
      <c r="AJ56" s="11"/>
      <c r="AK56" s="39">
        <v>91.666666666666671</v>
      </c>
      <c r="AL56" s="43">
        <v>100</v>
      </c>
      <c r="AM56" s="10"/>
      <c r="AN56" s="11"/>
      <c r="AO56" s="69">
        <f t="shared" si="463"/>
        <v>776</v>
      </c>
      <c r="AP56" s="69">
        <f t="shared" si="464"/>
        <v>69</v>
      </c>
      <c r="AQ56" s="11">
        <v>551</v>
      </c>
      <c r="AR56" s="12">
        <f t="shared" si="413"/>
        <v>0.73067010309278346</v>
      </c>
      <c r="AS56" s="11">
        <v>16</v>
      </c>
      <c r="AT56" s="12">
        <f t="shared" si="414"/>
        <v>2.821869488536155E-2</v>
      </c>
      <c r="AU56" s="13"/>
      <c r="AV56" s="11"/>
      <c r="AW56" s="39">
        <v>89.583333333333329</v>
      </c>
      <c r="AX56" s="43">
        <v>100</v>
      </c>
      <c r="AY56" s="10"/>
      <c r="AZ56" s="11"/>
      <c r="BA56" s="69">
        <f t="shared" si="465"/>
        <v>776</v>
      </c>
      <c r="BB56" s="69">
        <f t="shared" si="466"/>
        <v>69</v>
      </c>
      <c r="BC56" s="11">
        <v>578</v>
      </c>
      <c r="BD56" s="12">
        <f t="shared" si="415"/>
        <v>0.77319587628865982</v>
      </c>
      <c r="BE56" s="11">
        <v>22</v>
      </c>
      <c r="BF56" s="12">
        <f t="shared" si="416"/>
        <v>3.6666666666666667E-2</v>
      </c>
      <c r="BG56" s="13"/>
      <c r="BH56" s="11"/>
      <c r="BI56" s="39">
        <v>93.023255813953483</v>
      </c>
      <c r="BJ56" s="43">
        <v>93.75</v>
      </c>
      <c r="BK56" s="10"/>
      <c r="BL56" s="11"/>
      <c r="BM56" s="69">
        <f t="shared" si="467"/>
        <v>847</v>
      </c>
      <c r="BN56" s="69">
        <f t="shared" si="468"/>
        <v>77</v>
      </c>
      <c r="BO56" s="11">
        <v>610</v>
      </c>
      <c r="BP56" s="12">
        <f t="shared" si="417"/>
        <v>0.74025974025974028</v>
      </c>
      <c r="BQ56" s="11">
        <v>17</v>
      </c>
      <c r="BR56" s="12">
        <f t="shared" si="418"/>
        <v>2.7113237639553429E-2</v>
      </c>
      <c r="BS56" s="13"/>
      <c r="BT56" s="11"/>
      <c r="BU56" s="39">
        <v>93.023255813953483</v>
      </c>
      <c r="BV56" s="43">
        <v>100</v>
      </c>
      <c r="BW56" s="10"/>
      <c r="BX56" s="11"/>
      <c r="BY56" s="69">
        <f t="shared" si="469"/>
        <v>764</v>
      </c>
      <c r="BZ56" s="69">
        <f t="shared" si="470"/>
        <v>69</v>
      </c>
      <c r="CA56" s="11">
        <v>562</v>
      </c>
      <c r="CB56" s="12">
        <f t="shared" si="419"/>
        <v>0.74476439790575921</v>
      </c>
      <c r="CC56" s="11">
        <v>7</v>
      </c>
      <c r="CD56" s="12">
        <f t="shared" si="420"/>
        <v>1.2302284710017574E-2</v>
      </c>
      <c r="CE56" s="13"/>
      <c r="CF56" s="11"/>
      <c r="CG56" s="39">
        <v>92.307692307692307</v>
      </c>
      <c r="CH56" s="43">
        <v>100</v>
      </c>
      <c r="CI56" s="10"/>
      <c r="CJ56" s="11"/>
      <c r="CK56" s="69">
        <f t="shared" si="471"/>
        <v>191</v>
      </c>
      <c r="CL56" s="69">
        <f t="shared" si="472"/>
        <v>17</v>
      </c>
      <c r="CM56" s="11">
        <v>114</v>
      </c>
      <c r="CN56" s="12">
        <f t="shared" si="421"/>
        <v>0.60732984293193715</v>
      </c>
      <c r="CO56" s="11">
        <v>2</v>
      </c>
      <c r="CP56" s="12">
        <f t="shared" si="422"/>
        <v>1.7241379310344827E-2</v>
      </c>
      <c r="CQ56" s="13"/>
      <c r="CR56" s="11"/>
      <c r="CS56" s="39">
        <v>88.888888888888886</v>
      </c>
      <c r="CT56" s="43">
        <v>100</v>
      </c>
      <c r="CU56" s="10"/>
      <c r="CV56" s="11"/>
      <c r="CW56" s="69">
        <f t="shared" si="473"/>
        <v>762</v>
      </c>
      <c r="CX56" s="69">
        <f t="shared" si="474"/>
        <v>70</v>
      </c>
      <c r="CY56" s="11">
        <v>565</v>
      </c>
      <c r="CZ56" s="12">
        <f t="shared" si="423"/>
        <v>0.75196850393700787</v>
      </c>
      <c r="DA56" s="11">
        <v>8</v>
      </c>
      <c r="DB56" s="12">
        <f t="shared" si="424"/>
        <v>1.3961605584642234E-2</v>
      </c>
      <c r="DC56" s="13"/>
      <c r="DD56" s="11"/>
      <c r="DE56" s="39">
        <v>78.571428571428569</v>
      </c>
      <c r="DF56" s="43">
        <v>86.666666666666671</v>
      </c>
      <c r="DG56" s="10"/>
      <c r="DH56" s="11"/>
      <c r="DI56" s="69">
        <f t="shared" si="475"/>
        <v>767</v>
      </c>
      <c r="DJ56" s="69">
        <f t="shared" si="476"/>
        <v>70</v>
      </c>
      <c r="DK56" s="11">
        <v>576</v>
      </c>
      <c r="DL56" s="12">
        <f t="shared" si="425"/>
        <v>0.76662320730117339</v>
      </c>
      <c r="DM56" s="11">
        <v>12</v>
      </c>
      <c r="DN56" s="12">
        <f t="shared" si="426"/>
        <v>2.0408163265306121E-2</v>
      </c>
      <c r="DO56" s="13"/>
      <c r="DP56" s="11"/>
      <c r="DQ56" s="39">
        <v>80.952380952380949</v>
      </c>
      <c r="DR56" s="43">
        <v>93.75</v>
      </c>
      <c r="DS56" s="10"/>
      <c r="DT56" s="11"/>
      <c r="DU56" s="69">
        <f t="shared" si="477"/>
        <v>864</v>
      </c>
      <c r="DV56" s="69">
        <f t="shared" si="478"/>
        <v>78</v>
      </c>
      <c r="DW56" s="11">
        <v>614</v>
      </c>
      <c r="DX56" s="12">
        <f t="shared" si="427"/>
        <v>0.73379629629629628</v>
      </c>
      <c r="DY56" s="11">
        <v>20</v>
      </c>
      <c r="DZ56" s="12">
        <f t="shared" si="428"/>
        <v>3.1545741324921134E-2</v>
      </c>
      <c r="EA56" s="13"/>
      <c r="EB56" s="11"/>
      <c r="EC56" s="39">
        <v>87.804878048780495</v>
      </c>
      <c r="ED56" s="43">
        <v>100</v>
      </c>
      <c r="EE56" s="10"/>
      <c r="EF56" s="11"/>
      <c r="EG56" s="69">
        <f t="shared" si="479"/>
        <v>867</v>
      </c>
      <c r="EH56" s="69">
        <f t="shared" si="480"/>
        <v>79</v>
      </c>
      <c r="EI56" s="11">
        <v>633</v>
      </c>
      <c r="EJ56" s="12">
        <f t="shared" si="429"/>
        <v>0.74279123414071513</v>
      </c>
      <c r="EK56" s="11">
        <v>11</v>
      </c>
      <c r="EL56" s="12">
        <f t="shared" si="430"/>
        <v>1.7080745341614908E-2</v>
      </c>
      <c r="EM56" s="13"/>
      <c r="EN56" s="11"/>
      <c r="EO56" s="39">
        <v>90.476190476190482</v>
      </c>
      <c r="EP56" s="43">
        <v>93.333333333333329</v>
      </c>
      <c r="EQ56" s="10">
        <v>1</v>
      </c>
      <c r="ER56" s="11"/>
      <c r="ES56" s="69">
        <f t="shared" si="481"/>
        <v>208</v>
      </c>
      <c r="ET56" s="69">
        <f t="shared" si="482"/>
        <v>16</v>
      </c>
      <c r="EU56" s="11">
        <v>143</v>
      </c>
      <c r="EV56" s="12">
        <f t="shared" si="431"/>
        <v>0.71634615384615385</v>
      </c>
      <c r="EW56" s="11">
        <v>6</v>
      </c>
      <c r="EX56" s="12">
        <f t="shared" si="432"/>
        <v>4.0268456375838924E-2</v>
      </c>
      <c r="EY56" s="13"/>
      <c r="EZ56" s="11"/>
      <c r="FA56" s="39">
        <v>80</v>
      </c>
      <c r="FB56" s="43">
        <v>75</v>
      </c>
      <c r="FC56" s="10"/>
      <c r="FD56" s="11"/>
      <c r="FE56" s="69">
        <f t="shared" si="483"/>
        <v>867</v>
      </c>
      <c r="FF56" s="69">
        <f t="shared" si="484"/>
        <v>78</v>
      </c>
      <c r="FG56" s="11">
        <v>679</v>
      </c>
      <c r="FH56" s="12">
        <f t="shared" si="433"/>
        <v>0.79700115340253752</v>
      </c>
      <c r="FI56" s="11">
        <v>12</v>
      </c>
      <c r="FJ56" s="12">
        <f t="shared" si="434"/>
        <v>1.7366136034732273E-2</v>
      </c>
      <c r="FK56" s="13"/>
      <c r="FL56" s="11"/>
      <c r="FM56" s="39">
        <v>92.307692307692307</v>
      </c>
      <c r="FN56" s="43">
        <v>87.5</v>
      </c>
      <c r="FO56" s="10"/>
      <c r="FP56" s="11"/>
      <c r="FQ56" s="69">
        <f t="shared" si="485"/>
        <v>910</v>
      </c>
      <c r="FR56" s="69">
        <f t="shared" si="486"/>
        <v>81</v>
      </c>
      <c r="FS56" s="11">
        <v>661</v>
      </c>
      <c r="FT56" s="12">
        <f t="shared" si="435"/>
        <v>0.74395604395604398</v>
      </c>
      <c r="FU56" s="11">
        <v>16</v>
      </c>
      <c r="FV56" s="12">
        <f t="shared" si="436"/>
        <v>2.3633677991137372E-2</v>
      </c>
      <c r="FW56" s="13"/>
      <c r="FX56" s="11"/>
      <c r="FY56" s="39">
        <v>95.555555555555557</v>
      </c>
      <c r="FZ56" s="43">
        <v>76.470588235294116</v>
      </c>
      <c r="GA56" s="10">
        <v>1</v>
      </c>
      <c r="GB56" s="11"/>
      <c r="GC56" s="69">
        <f t="shared" si="487"/>
        <v>907</v>
      </c>
      <c r="GD56" s="69">
        <f t="shared" si="488"/>
        <v>82</v>
      </c>
      <c r="GE56" s="11">
        <v>670</v>
      </c>
      <c r="GF56" s="12">
        <f t="shared" si="437"/>
        <v>0.74862183020948181</v>
      </c>
      <c r="GG56" s="11">
        <v>9</v>
      </c>
      <c r="GH56" s="12">
        <f t="shared" si="438"/>
        <v>1.3254786450662739E-2</v>
      </c>
      <c r="GI56" s="13"/>
      <c r="GJ56" s="11"/>
      <c r="GK56" s="39">
        <v>79.069767441860463</v>
      </c>
      <c r="GL56" s="43">
        <v>88.235294117647058</v>
      </c>
      <c r="GM56" s="10"/>
      <c r="GN56" s="11"/>
      <c r="GO56" s="69">
        <f t="shared" si="489"/>
        <v>195</v>
      </c>
      <c r="GP56" s="69">
        <f t="shared" si="490"/>
        <v>18</v>
      </c>
      <c r="GQ56" s="11">
        <v>140</v>
      </c>
      <c r="GR56" s="12">
        <f t="shared" si="439"/>
        <v>0.75384615384615383</v>
      </c>
      <c r="GS56" s="11">
        <v>7</v>
      </c>
      <c r="GT56" s="12">
        <f t="shared" si="440"/>
        <v>4.7619047619047616E-2</v>
      </c>
      <c r="GU56" s="13"/>
      <c r="GV56" s="11"/>
      <c r="GW56" s="39">
        <v>83.333333333333329</v>
      </c>
      <c r="GX56" s="43">
        <v>100</v>
      </c>
      <c r="GY56" s="10"/>
      <c r="GZ56" s="11"/>
      <c r="HA56" s="69">
        <f t="shared" si="491"/>
        <v>911</v>
      </c>
      <c r="HB56" s="69">
        <f t="shared" si="492"/>
        <v>82</v>
      </c>
      <c r="HC56" s="11">
        <v>711</v>
      </c>
      <c r="HD56" s="12">
        <f t="shared" si="441"/>
        <v>0.78704720087815583</v>
      </c>
      <c r="HE56" s="11">
        <v>6</v>
      </c>
      <c r="HF56" s="12">
        <f t="shared" si="442"/>
        <v>8.368200836820083E-3</v>
      </c>
      <c r="HG56" s="13"/>
      <c r="HH56" s="11"/>
      <c r="HI56" s="39">
        <v>97.777777777777771</v>
      </c>
      <c r="HJ56" s="43">
        <v>80</v>
      </c>
      <c r="HK56" s="10">
        <f t="shared" si="443"/>
        <v>3</v>
      </c>
      <c r="HL56" s="11">
        <f t="shared" si="444"/>
        <v>0</v>
      </c>
      <c r="HM56" s="11">
        <f t="shared" si="445"/>
        <v>12421</v>
      </c>
      <c r="HN56" s="11">
        <f t="shared" si="446"/>
        <v>1114</v>
      </c>
      <c r="HO56" s="11">
        <f t="shared" si="447"/>
        <v>9332</v>
      </c>
      <c r="HP56" s="95">
        <f t="shared" si="448"/>
        <v>0.751308268255374</v>
      </c>
      <c r="HQ56" s="15">
        <f t="shared" si="449"/>
        <v>193</v>
      </c>
      <c r="HR56" s="12">
        <f t="shared" si="450"/>
        <v>2.068152593227604E-2</v>
      </c>
      <c r="HS56" s="16">
        <v>55.8</v>
      </c>
      <c r="HT56" s="17">
        <v>8930</v>
      </c>
      <c r="HU56" s="16">
        <f t="shared" si="451"/>
        <v>95.69224174882126</v>
      </c>
      <c r="HV56" s="23">
        <v>87.127158555729977</v>
      </c>
      <c r="HW56" s="22">
        <v>89.743589743589737</v>
      </c>
      <c r="HX56" s="73">
        <f t="shared" si="452"/>
        <v>0.75007438262421899</v>
      </c>
      <c r="HY56" s="73">
        <f t="shared" si="453"/>
        <v>0.74241969378564998</v>
      </c>
      <c r="HZ56" s="73">
        <f t="shared" si="454"/>
        <v>0.75481111903064857</v>
      </c>
      <c r="IA56" s="73">
        <f t="shared" si="455"/>
        <v>0.759493670886076</v>
      </c>
      <c r="IF56" s="85">
        <f>IF57/IF58</f>
        <v>1.188707280832095E-3</v>
      </c>
      <c r="IG56" s="85">
        <f>IG57/IG58</f>
        <v>1.4988009592326139E-3</v>
      </c>
      <c r="IH56" s="85">
        <f>IH57/IH58</f>
        <v>1.7787264318747777E-3</v>
      </c>
      <c r="II56" s="85">
        <f>II57/II58</f>
        <v>1.7076502732240437E-3</v>
      </c>
      <c r="IJ56" s="88" t="s">
        <v>90</v>
      </c>
    </row>
    <row r="57" spans="1:244" ht="19.5" thickBot="1" x14ac:dyDescent="0.3">
      <c r="A57" s="374"/>
      <c r="B57" s="42"/>
      <c r="C57" s="26">
        <f>SUM(C50:C56)</f>
        <v>1</v>
      </c>
      <c r="D57" s="27">
        <f>SUM(D50:D56)</f>
        <v>0</v>
      </c>
      <c r="E57" s="27"/>
      <c r="F57" s="27"/>
      <c r="G57" s="27">
        <f>SUM(G50:G56)</f>
        <v>4240</v>
      </c>
      <c r="H57" s="28">
        <f>((G57+I57)/7)/E56</f>
        <v>0.73128049806495043</v>
      </c>
      <c r="I57" s="27">
        <f>SUM(I50:I56)</f>
        <v>106</v>
      </c>
      <c r="J57" s="28">
        <f>(I57/(I57+G57))</f>
        <v>2.4390243902439025E-2</v>
      </c>
      <c r="K57" s="27"/>
      <c r="L57" s="27"/>
      <c r="M57" s="29">
        <f>M55/M54*100-100</f>
        <v>9.4716801523084371</v>
      </c>
      <c r="N57" s="67">
        <f>N55/N54*100-100</f>
        <v>6.1698717948718098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3910</v>
      </c>
      <c r="T57" s="28">
        <f>((S57+U57)/7)/Q56</f>
        <v>0.73988868274582553</v>
      </c>
      <c r="U57" s="27">
        <f>SUM(U50:U56)</f>
        <v>78</v>
      </c>
      <c r="V57" s="28">
        <f>(U57/(U57+S57))</f>
        <v>1.9558676028084254E-2</v>
      </c>
      <c r="W57" s="27"/>
      <c r="X57" s="27"/>
      <c r="Y57" s="29">
        <f>Y55/Y54*100-100</f>
        <v>8.4182970515293505</v>
      </c>
      <c r="Z57" s="67">
        <f>Z55/Z54*100-100</f>
        <v>8.8942307692307736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885</v>
      </c>
      <c r="AF57" s="28">
        <f>((AE57+AG57)/7)/AC56</f>
        <v>0.675187969924812</v>
      </c>
      <c r="AG57" s="27">
        <f>SUM(AG50:AG56)</f>
        <v>13</v>
      </c>
      <c r="AH57" s="28">
        <f>(AG57/(AG57+AE57))</f>
        <v>1.4476614699331848E-2</v>
      </c>
      <c r="AI57" s="27"/>
      <c r="AJ57" s="27"/>
      <c r="AK57" s="29">
        <f>AK55/AK54*100-100</f>
        <v>8.7696335078533991</v>
      </c>
      <c r="AL57" s="67">
        <f>AL55/AL54*100-100</f>
        <v>4.8076923076923066</v>
      </c>
      <c r="AM57" s="26">
        <f>SUM(AM50:AM56)</f>
        <v>0</v>
      </c>
      <c r="AN57" s="27">
        <f>SUM(AN50:AN56)</f>
        <v>0</v>
      </c>
      <c r="AO57" s="27"/>
      <c r="AP57" s="27"/>
      <c r="AQ57" s="27">
        <f>SUM(AQ50:AQ56)</f>
        <v>3708</v>
      </c>
      <c r="AR57" s="28">
        <f>((AQ57+AS57)/7)/AO56</f>
        <v>0.69974226804123707</v>
      </c>
      <c r="AS57" s="27">
        <f>SUM(AS50:AS56)</f>
        <v>93</v>
      </c>
      <c r="AT57" s="28">
        <f>(AS57/(AS57+AQ57))</f>
        <v>2.4467245461720601E-2</v>
      </c>
      <c r="AU57" s="27"/>
      <c r="AV57" s="27"/>
      <c r="AW57" s="29">
        <f>AW55/AW54*100-100</f>
        <v>9.9040139616055853</v>
      </c>
      <c r="AX57" s="67">
        <f>AX55/AX54*100-100</f>
        <v>6.9260817307692264</v>
      </c>
      <c r="AY57" s="26">
        <f>SUM(AY50:AY56)</f>
        <v>1</v>
      </c>
      <c r="AZ57" s="27">
        <f>SUM(AZ50:AZ56)</f>
        <v>0</v>
      </c>
      <c r="BA57" s="27"/>
      <c r="BB57" s="27"/>
      <c r="BC57" s="27">
        <f>SUM(BC50:BC56)</f>
        <v>3957</v>
      </c>
      <c r="BD57" s="28">
        <f>((BC57+BE57)/7)/BA56</f>
        <v>0.76178203240058906</v>
      </c>
      <c r="BE57" s="27">
        <f>SUM(BE50:BE56)</f>
        <v>181</v>
      </c>
      <c r="BF57" s="28">
        <f>(BE57/(BE57+BC57))</f>
        <v>4.3740937651039147E-2</v>
      </c>
      <c r="BG57" s="27"/>
      <c r="BH57" s="27"/>
      <c r="BI57" s="29">
        <f>BI55/BI54*100-100</f>
        <v>10.653841470838927</v>
      </c>
      <c r="BJ57" s="67">
        <f>BJ55/BJ54*100-100</f>
        <v>3.2151442307692264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4189</v>
      </c>
      <c r="BP57" s="28">
        <f>((BO57+BQ57)/7)/BM56</f>
        <v>0.72997132737392478</v>
      </c>
      <c r="BQ57" s="27">
        <f>SUM(BQ50:BQ56)</f>
        <v>139</v>
      </c>
      <c r="BR57" s="28">
        <f>(BQ57/(BQ57+BO57))</f>
        <v>3.2116451016635857E-2</v>
      </c>
      <c r="BS57" s="27"/>
      <c r="BT57" s="27"/>
      <c r="BU57" s="29">
        <f>BU55/BU54*100-100</f>
        <v>8.2308535248995582</v>
      </c>
      <c r="BV57" s="67">
        <f>BV55/BV54*100-100</f>
        <v>5.1532451923076934</v>
      </c>
      <c r="BW57" s="26">
        <f>SUM(BW50:BW56)</f>
        <v>1</v>
      </c>
      <c r="BX57" s="27">
        <f>SUM(BX50:BX56)</f>
        <v>0</v>
      </c>
      <c r="BY57" s="27"/>
      <c r="BZ57" s="27"/>
      <c r="CA57" s="27">
        <f>SUM(CA50:CA56)</f>
        <v>3745</v>
      </c>
      <c r="CB57" s="28">
        <f>((CA57+CC57)/7)/BY56</f>
        <v>0.7202692595362753</v>
      </c>
      <c r="CC57" s="27">
        <f>SUM(CC50:CC56)</f>
        <v>107</v>
      </c>
      <c r="CD57" s="28">
        <f>(CC57/(CC57+CA57))</f>
        <v>2.7777777777777776E-2</v>
      </c>
      <c r="CE57" s="27"/>
      <c r="CF57" s="27"/>
      <c r="CG57" s="29">
        <f>CG55/CG54*100-100</f>
        <v>9.6724392535910937</v>
      </c>
      <c r="CH57" s="67">
        <f>CH55/CH54*100-100</f>
        <v>6.0246394230769198</v>
      </c>
      <c r="CI57" s="26">
        <f>SUM(CI50:CI56)</f>
        <v>3</v>
      </c>
      <c r="CJ57" s="27">
        <f>SUM(CJ50:CJ56)</f>
        <v>0</v>
      </c>
      <c r="CK57" s="27"/>
      <c r="CL57" s="27"/>
      <c r="CM57" s="27">
        <f>SUM(CM50:CM56)</f>
        <v>723</v>
      </c>
      <c r="CN57" s="28">
        <f>((CM57+CO57)/7)/CK56</f>
        <v>0.56694091249065071</v>
      </c>
      <c r="CO57" s="27">
        <f>SUM(CO50:CO56)</f>
        <v>35</v>
      </c>
      <c r="CP57" s="28">
        <f>(CO57/(CO57+CM57))</f>
        <v>4.6174142480211081E-2</v>
      </c>
      <c r="CQ57" s="27"/>
      <c r="CR57" s="27"/>
      <c r="CS57" s="29">
        <f>CS55/CS54*100-100</f>
        <v>8.8132635253054303</v>
      </c>
      <c r="CT57" s="67">
        <f>CT55/CT54*100-100</f>
        <v>1.5224358974358836</v>
      </c>
      <c r="CU57" s="26">
        <f>SUM(CU50:CU56)</f>
        <v>1</v>
      </c>
      <c r="CV57" s="27">
        <f>SUM(CV50:CV56)</f>
        <v>0</v>
      </c>
      <c r="CW57" s="27"/>
      <c r="CX57" s="27"/>
      <c r="CY57" s="27">
        <f>SUM(CY50:CY56)</f>
        <v>3752</v>
      </c>
      <c r="CZ57" s="28">
        <f>((CY57+DA57)/7)/CW56</f>
        <v>0.72572178477690286</v>
      </c>
      <c r="DA57" s="27">
        <f>SUM(DA50:DA56)</f>
        <v>119</v>
      </c>
      <c r="DB57" s="28">
        <f>(DA57/(DA57+CY57))</f>
        <v>3.074141048824593E-2</v>
      </c>
      <c r="DC57" s="27"/>
      <c r="DD57" s="27"/>
      <c r="DE57" s="29">
        <f>DE55/DE54*100-100</f>
        <v>9.1560708052854665</v>
      </c>
      <c r="DF57" s="67">
        <f>DF55/DF54*100-100</f>
        <v>7.8685897435897232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3837</v>
      </c>
      <c r="DL57" s="28">
        <f>((DK57+DM57)/7)/DI56</f>
        <v>0.73440119202831078</v>
      </c>
      <c r="DM57" s="27">
        <f>SUM(DM50:DM56)</f>
        <v>106</v>
      </c>
      <c r="DN57" s="28">
        <f>(DM57/(DM57+DK57))</f>
        <v>2.6883083946233833E-2</v>
      </c>
      <c r="DO57" s="27"/>
      <c r="DP57" s="27"/>
      <c r="DQ57" s="29">
        <f>DQ55/DQ54*100-100</f>
        <v>13.026676639242083</v>
      </c>
      <c r="DR57" s="67">
        <f>DR55/DR54*100-100</f>
        <v>7.7223557692307736</v>
      </c>
      <c r="DS57" s="26">
        <f>SUM(DS50:DS56)</f>
        <v>1</v>
      </c>
      <c r="DT57" s="27">
        <f>SUM(DT50:DT56)</f>
        <v>0</v>
      </c>
      <c r="DU57" s="27"/>
      <c r="DV57" s="27"/>
      <c r="DW57" s="27">
        <f>SUM(DW50:DW56)</f>
        <v>4225</v>
      </c>
      <c r="DX57" s="28">
        <f>((DW57+DY57)/7)/DU56</f>
        <v>0.72652116402116396</v>
      </c>
      <c r="DY57" s="27">
        <f>SUM(DY50:DY56)</f>
        <v>169</v>
      </c>
      <c r="DZ57" s="28">
        <f>(DY57/(DY57+DW57))</f>
        <v>3.8461538461538464E-2</v>
      </c>
      <c r="EA57" s="27"/>
      <c r="EB57" s="27"/>
      <c r="EC57" s="29">
        <f>EC55/EC54*100-100</f>
        <v>8.8239049929766225</v>
      </c>
      <c r="ED57" s="67">
        <f>ED55/ED54*100-100</f>
        <v>1.4766483516483504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4252</v>
      </c>
      <c r="EJ57" s="28">
        <f>((EI57+EK57)/7)/EG56</f>
        <v>0.72581973966057012</v>
      </c>
      <c r="EK57" s="27">
        <f>SUM(EK50:EK56)</f>
        <v>153</v>
      </c>
      <c r="EL57" s="28">
        <f>(EK57/(EK57+EI57))</f>
        <v>3.4733257661748014E-2</v>
      </c>
      <c r="EM57" s="27"/>
      <c r="EN57" s="27"/>
      <c r="EO57" s="29">
        <f>EO55/EO54*100-100</f>
        <v>7.9593617551732905</v>
      </c>
      <c r="EP57" s="67">
        <f>EP55/EP54*100-100</f>
        <v>1.5224358974358836</v>
      </c>
      <c r="EQ57" s="26">
        <f>SUM(EQ50:EQ56)</f>
        <v>4</v>
      </c>
      <c r="ER57" s="27">
        <f>SUM(ER50:ER56)</f>
        <v>0</v>
      </c>
      <c r="ES57" s="27"/>
      <c r="ET57" s="27"/>
      <c r="EU57" s="27">
        <f>SUM(EU50:EU56)</f>
        <v>919</v>
      </c>
      <c r="EV57" s="28">
        <f>((EU57+EW57)/7)/ES56</f>
        <v>0.66689560439560447</v>
      </c>
      <c r="EW57" s="27">
        <f>SUM(EW50:EW56)</f>
        <v>52</v>
      </c>
      <c r="EX57" s="28">
        <f>(EW57/(EW57+EU57))</f>
        <v>5.3553038105046344E-2</v>
      </c>
      <c r="EY57" s="27"/>
      <c r="EZ57" s="27"/>
      <c r="FA57" s="29">
        <f>FA55/FA54*100-100</f>
        <v>-0.49738219895287727</v>
      </c>
      <c r="FB57" s="67">
        <f>FB55/FB54*100-100</f>
        <v>0.54086538461537259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4500</v>
      </c>
      <c r="FH57" s="28">
        <f>((FG57+FI57)/7)/FE56</f>
        <v>0.76141044653155376</v>
      </c>
      <c r="FI57" s="27">
        <f>SUM(FI50:FI56)</f>
        <v>121</v>
      </c>
      <c r="FJ57" s="28">
        <f>(FI57/(FI57+FG57))</f>
        <v>2.6184808483012335E-2</v>
      </c>
      <c r="FK57" s="27"/>
      <c r="FL57" s="27"/>
      <c r="FM57" s="29">
        <f>FM55/FM54*100-100</f>
        <v>6.645187273459527</v>
      </c>
      <c r="FN57" s="67">
        <f>FN55/FN54*100-100</f>
        <v>6.1448317307692264</v>
      </c>
      <c r="FO57" s="26">
        <f>SUM(FO50:FO56)</f>
        <v>1</v>
      </c>
      <c r="FP57" s="27">
        <f>SUM(FP50:FP56)</f>
        <v>0</v>
      </c>
      <c r="FQ57" s="27"/>
      <c r="FR57" s="27"/>
      <c r="FS57" s="27">
        <f>SUM(FS50:FS56)</f>
        <v>4410</v>
      </c>
      <c r="FT57" s="28">
        <f>((FS57+FU57)/7)/FQ56</f>
        <v>0.72166405023547875</v>
      </c>
      <c r="FU57" s="27">
        <f>SUM(FU50:FU56)</f>
        <v>187</v>
      </c>
      <c r="FV57" s="28">
        <f>(FU57/(FU57+FS57))</f>
        <v>4.06787035022841E-2</v>
      </c>
      <c r="FW57" s="27"/>
      <c r="FX57" s="27"/>
      <c r="FY57" s="29">
        <f>FY55/FY54*100-100</f>
        <v>7.0447934845840621</v>
      </c>
      <c r="FZ57" s="67">
        <f>FZ55/FZ54*100-100</f>
        <v>1.2584841628959111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4398</v>
      </c>
      <c r="GF57" s="28">
        <f>((GE57+GG57)/7)/GC56</f>
        <v>0.71743581666404155</v>
      </c>
      <c r="GG57" s="27">
        <f>SUM(GG50:GG56)</f>
        <v>157</v>
      </c>
      <c r="GH57" s="28">
        <f>(GG57/(GG57+GE57))</f>
        <v>3.4467618002195388E-2</v>
      </c>
      <c r="GI57" s="27"/>
      <c r="GJ57" s="27"/>
      <c r="GK57" s="29">
        <f>GK55/GK54*100-100</f>
        <v>7.9021064166565225</v>
      </c>
      <c r="GL57" s="67">
        <f>GL55/GL54*100-100</f>
        <v>4.0441176470588118</v>
      </c>
      <c r="GM57" s="26">
        <f>SUM(GM50:GM56)</f>
        <v>0</v>
      </c>
      <c r="GN57" s="27">
        <f>SUM(GN50:GN56)</f>
        <v>1</v>
      </c>
      <c r="GO57" s="27"/>
      <c r="GP57" s="27"/>
      <c r="GQ57" s="27">
        <f>SUM(GQ50:GQ56)</f>
        <v>855</v>
      </c>
      <c r="GR57" s="28">
        <f>((GQ57+GS57)/7)/GO56</f>
        <v>0.67106227106227112</v>
      </c>
      <c r="GS57" s="27">
        <f>SUM(GS50:GS56)</f>
        <v>61</v>
      </c>
      <c r="GT57" s="28">
        <f>(GS57/(GS57+GQ57))</f>
        <v>6.6593886462882099E-2</v>
      </c>
      <c r="GU57" s="27"/>
      <c r="GV57" s="27"/>
      <c r="GW57" s="29">
        <f>GW55/GW54*100-100</f>
        <v>2.4650959860383921</v>
      </c>
      <c r="GX57" s="67">
        <f>GX55/GX54*100-100</f>
        <v>2.4038461538461462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4665</v>
      </c>
      <c r="HD57" s="28">
        <f>((HC57+HE57)/7)/HA56</f>
        <v>0.7486278814489572</v>
      </c>
      <c r="HE57" s="27">
        <f>SUM(HE50:HE56)</f>
        <v>109</v>
      </c>
      <c r="HF57" s="28">
        <f>(HE57/(HE57+HC57))</f>
        <v>2.2832006702974444E-2</v>
      </c>
      <c r="HG57" s="27"/>
      <c r="HH57" s="27"/>
      <c r="HI57" s="29">
        <f>HI55/HI54*100-100</f>
        <v>6.3408958696916926</v>
      </c>
      <c r="HJ57" s="67">
        <f>HJ55/HJ54*100-100</f>
        <v>0.46474358974357699</v>
      </c>
      <c r="HK57" s="26">
        <f t="shared" si="443"/>
        <v>19</v>
      </c>
      <c r="HL57" s="27">
        <f t="shared" si="444"/>
        <v>1</v>
      </c>
      <c r="HM57" s="27">
        <f t="shared" si="445"/>
        <v>0</v>
      </c>
      <c r="HN57" s="27">
        <f t="shared" si="446"/>
        <v>0</v>
      </c>
      <c r="HO57" s="27">
        <f t="shared" si="447"/>
        <v>63156</v>
      </c>
      <c r="HP57" s="96">
        <f>+((HO57)/HM56)/7</f>
        <v>0.72637353790240033</v>
      </c>
      <c r="HQ57" s="62">
        <f t="shared" si="449"/>
        <v>1986</v>
      </c>
      <c r="HR57" s="52">
        <f t="shared" si="450"/>
        <v>3.1445943378301346E-2</v>
      </c>
      <c r="HS57" s="53">
        <f>SUM(HS50:HS56)/7</f>
        <v>54.771428571428565</v>
      </c>
      <c r="HT57" s="54">
        <f>SUM(HT50:HT56)</f>
        <v>59823</v>
      </c>
      <c r="HU57" s="53">
        <f>AVERAGE(HU50:HU56)</f>
        <v>94.715090091791367</v>
      </c>
      <c r="HV57" s="63">
        <f>HV55/HV54*100-100</f>
        <v>8.5392916731734942</v>
      </c>
      <c r="HW57" s="67">
        <f>HW55/HW54*100-100</f>
        <v>4.6114809335963116</v>
      </c>
      <c r="HX57" s="73">
        <f>SUM(G57,I57,S57,U57,AE57,AG57,AQ57,AS57,BC57,BE57)/7/SUM(E56,Q56,AC56,AO56,BA56)</f>
        <v>0.7298423088366558</v>
      </c>
      <c r="HY57" s="73">
        <f>SUM(BO57,BQ57,CA57,CC57,CM57,CO57,CY57,DA57,DK57,DM57)/7/SUM(BM56,BY56,CK56,CW56,DI56)</f>
        <v>0.71844576918128411</v>
      </c>
      <c r="HZ57" s="73">
        <f>SUM(DW57,DY57,EI57,EK57,EU57,EW57,FG57,FI57)/7/SUM(DU56,EG56,ES56,FE56)</f>
        <v>0.73266469809591683</v>
      </c>
      <c r="IA57" s="73">
        <f>SUM(FS57,FU57,GE57,GG57,GQ57,GS57,HC57,HE57)/7/SUM(FQ56,GC56,GO56,HA56)</f>
        <v>0.72537999120277596</v>
      </c>
      <c r="IB57" s="84">
        <f>SUM(I57,U57,AG57,AS57,BE57)/SUM(G57,I57,S57,U57,AE57,AG57,AQ57,AS57,BC57,BE57)</f>
        <v>2.7429969134005007E-2</v>
      </c>
      <c r="IC57" s="84">
        <f>SUM(BQ57,CC57,CO57,DA57,DM57)/SUM(BO57,BQ57,CA57,CC57,CM57,CO57,CY57,DA57,DK57,DM57)</f>
        <v>3.0205348615090735E-2</v>
      </c>
      <c r="ID57" s="84">
        <f>SUM(DY57,EK57,EW57,FI57)/SUM(DW57,DY57,EI57,EK57,EU57,EW57,FG57,FI57)</f>
        <v>3.4396497811131958E-2</v>
      </c>
      <c r="IE57" s="84">
        <f>SUM(FU57,GG57,GS57,HE57)/SUM(FS57,FU57,GE57,GG57,GQ57,GS57,HC57,HE57)</f>
        <v>3.4631451286888562E-2</v>
      </c>
      <c r="IF57" s="86">
        <f>SUM(C57,O57,AA57,AM57,AY57)</f>
        <v>4</v>
      </c>
      <c r="IG57" s="86">
        <f>SUM(BK57,BW57,CI57,CU57,DG57)</f>
        <v>5</v>
      </c>
      <c r="IH57" s="86">
        <f>SUM(DS57,EE57,EQ57,FC57)</f>
        <v>5</v>
      </c>
      <c r="II57" s="86">
        <f>SUM(FO57,GA57,GM57,GY57)</f>
        <v>5</v>
      </c>
      <c r="IJ57" s="88" t="s">
        <v>89</v>
      </c>
    </row>
    <row r="58" spans="1:244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HK57/HM50</f>
        <v>1.5276996060143121E-3</v>
      </c>
      <c r="HL58" s="66">
        <f>HL57/HN50</f>
        <v>8.9766606822262122E-4</v>
      </c>
      <c r="HM58" s="45"/>
      <c r="HN58" s="45"/>
      <c r="HO58" s="45"/>
      <c r="HP58" s="98"/>
      <c r="HQ58" s="45"/>
      <c r="HR58" s="45"/>
      <c r="HS58" s="45"/>
      <c r="HT58" s="55"/>
      <c r="HU58" s="45"/>
      <c r="HV58" s="45"/>
      <c r="HW58" s="46"/>
      <c r="HY58" s="72"/>
      <c r="HZ58" s="72"/>
      <c r="IA58" s="72"/>
      <c r="IF58" s="86">
        <f>SUM(E47,Q47,AC47,AO47,BA47)</f>
        <v>3365</v>
      </c>
      <c r="IG58" s="86">
        <f>SUM(BM47,BY47,CK47,CW47,DI47)</f>
        <v>3336</v>
      </c>
      <c r="IH58" s="86">
        <f>SUM(DU47,EG47,ES47,FE47)</f>
        <v>2811</v>
      </c>
      <c r="II58" s="86">
        <f>SUM(FQ47,GC47,GO47,HA47)</f>
        <v>2928</v>
      </c>
      <c r="IJ58" s="88" t="s">
        <v>84</v>
      </c>
    </row>
    <row r="59" spans="1:244" x14ac:dyDescent="0.25">
      <c r="A59" s="373">
        <v>31</v>
      </c>
      <c r="B59" s="68">
        <f>B56+1</f>
        <v>44983</v>
      </c>
      <c r="C59" s="33">
        <v>1</v>
      </c>
      <c r="D59" s="34"/>
      <c r="E59" s="34">
        <f>E56-C59</f>
        <v>848</v>
      </c>
      <c r="F59" s="34">
        <f>F56-D59</f>
        <v>75</v>
      </c>
      <c r="G59" s="34">
        <v>657</v>
      </c>
      <c r="H59" s="35">
        <f t="shared" ref="H59:H65" si="493">((G59+I59)/E59)</f>
        <v>0.78655660377358494</v>
      </c>
      <c r="I59" s="34">
        <v>10</v>
      </c>
      <c r="J59" s="35">
        <f>I59/(G59+I59)</f>
        <v>1.4992503748125937E-2</v>
      </c>
      <c r="K59" s="36"/>
      <c r="L59" s="34"/>
      <c r="M59" s="34"/>
      <c r="N59" s="37"/>
      <c r="O59" s="33"/>
      <c r="P59" s="34"/>
      <c r="Q59" s="34">
        <f>Q56-O59</f>
        <v>770</v>
      </c>
      <c r="R59" s="34">
        <f>R56-P59</f>
        <v>69</v>
      </c>
      <c r="S59" s="34">
        <v>566</v>
      </c>
      <c r="T59" s="35">
        <f t="shared" ref="T59:T65" si="494">((S59+U59)/Q59)</f>
        <v>0.75194805194805192</v>
      </c>
      <c r="U59" s="34">
        <v>13</v>
      </c>
      <c r="V59" s="35">
        <f t="shared" ref="V59:V65" si="495">U59/(S59+U59)</f>
        <v>2.2452504317789293E-2</v>
      </c>
      <c r="W59" s="36"/>
      <c r="X59" s="34"/>
      <c r="Y59" s="34"/>
      <c r="Z59" s="37"/>
      <c r="AA59" s="33">
        <v>1</v>
      </c>
      <c r="AB59" s="34"/>
      <c r="AC59" s="34">
        <f>AC56-AA59</f>
        <v>189</v>
      </c>
      <c r="AD59" s="34">
        <f>AD56-AB59</f>
        <v>15</v>
      </c>
      <c r="AE59" s="34">
        <v>130</v>
      </c>
      <c r="AF59" s="35">
        <f t="shared" ref="AF59:AF65" si="496">((AE59+AG59)/AC59)</f>
        <v>0.7142857142857143</v>
      </c>
      <c r="AG59" s="34">
        <v>5</v>
      </c>
      <c r="AH59" s="35">
        <f t="shared" ref="AH59:AH65" si="497">AG59/(AE59+AG59)</f>
        <v>3.7037037037037035E-2</v>
      </c>
      <c r="AI59" s="36"/>
      <c r="AJ59" s="34"/>
      <c r="AK59" s="34"/>
      <c r="AL59" s="37"/>
      <c r="AM59" s="33"/>
      <c r="AN59" s="34"/>
      <c r="AO59" s="34">
        <f>AO56-AM59</f>
        <v>776</v>
      </c>
      <c r="AP59" s="34">
        <f>AP56-AN59</f>
        <v>69</v>
      </c>
      <c r="AQ59" s="34">
        <v>582</v>
      </c>
      <c r="AR59" s="35">
        <f t="shared" ref="AR59:AR65" si="498">((AQ59+AS59)/AO59)</f>
        <v>0.76288659793814428</v>
      </c>
      <c r="AS59" s="34">
        <v>10</v>
      </c>
      <c r="AT59" s="35">
        <f t="shared" ref="AT59:AT65" si="499">AS59/(AQ59+AS59)</f>
        <v>1.6891891891891893E-2</v>
      </c>
      <c r="AU59" s="36"/>
      <c r="AV59" s="34"/>
      <c r="AW59" s="34"/>
      <c r="AX59" s="37"/>
      <c r="AY59" s="33"/>
      <c r="AZ59" s="34"/>
      <c r="BA59" s="34">
        <f>BA56-AY59</f>
        <v>776</v>
      </c>
      <c r="BB59" s="34">
        <f>BB56-AZ59</f>
        <v>69</v>
      </c>
      <c r="BC59" s="34">
        <v>571</v>
      </c>
      <c r="BD59" s="35">
        <f t="shared" ref="BD59:BD65" si="500">((BC59+BE59)/BA59)</f>
        <v>0.759020618556701</v>
      </c>
      <c r="BE59" s="34">
        <v>18</v>
      </c>
      <c r="BF59" s="35">
        <f t="shared" ref="BF59:BF65" si="501">BE59/(BC59+BE59)</f>
        <v>3.0560271646859084E-2</v>
      </c>
      <c r="BG59" s="36"/>
      <c r="BH59" s="34"/>
      <c r="BI59" s="34"/>
      <c r="BJ59" s="37"/>
      <c r="BK59" s="33"/>
      <c r="BL59" s="34"/>
      <c r="BM59" s="34">
        <f>BM56-BK59</f>
        <v>847</v>
      </c>
      <c r="BN59" s="34">
        <f>BN56-BL59</f>
        <v>77</v>
      </c>
      <c r="BO59" s="34">
        <v>621</v>
      </c>
      <c r="BP59" s="35">
        <f t="shared" ref="BP59:BP65" si="502">((BO59+BQ59)/BM59)</f>
        <v>0.74734356552538372</v>
      </c>
      <c r="BQ59" s="34">
        <v>12</v>
      </c>
      <c r="BR59" s="35">
        <f t="shared" ref="BR59:BR65" si="503">BQ59/(BO59+BQ59)</f>
        <v>1.8957345971563982E-2</v>
      </c>
      <c r="BS59" s="36"/>
      <c r="BT59" s="34"/>
      <c r="BU59" s="34"/>
      <c r="BV59" s="37"/>
      <c r="BW59" s="33"/>
      <c r="BX59" s="34">
        <v>1</v>
      </c>
      <c r="BY59" s="34">
        <f>BY56-BW59</f>
        <v>764</v>
      </c>
      <c r="BZ59" s="34">
        <f>BZ56-BX59</f>
        <v>68</v>
      </c>
      <c r="CA59" s="34">
        <v>552</v>
      </c>
      <c r="CB59" s="35">
        <f t="shared" ref="CB59:CB65" si="504">((CA59+CC59)/BY59)</f>
        <v>0.73821989528795806</v>
      </c>
      <c r="CC59" s="34">
        <v>12</v>
      </c>
      <c r="CD59" s="35">
        <f t="shared" ref="CD59:CD65" si="505">CC59/(CA59+CC59)</f>
        <v>2.1276595744680851E-2</v>
      </c>
      <c r="CE59" s="36"/>
      <c r="CF59" s="34"/>
      <c r="CG59" s="34"/>
      <c r="CH59" s="37"/>
      <c r="CI59" s="33"/>
      <c r="CJ59" s="34"/>
      <c r="CK59" s="34">
        <f>CK56-CI59</f>
        <v>191</v>
      </c>
      <c r="CL59" s="34">
        <f>CL56-CJ59</f>
        <v>17</v>
      </c>
      <c r="CM59" s="34">
        <v>122</v>
      </c>
      <c r="CN59" s="35">
        <f t="shared" ref="CN59:CN65" si="506">((CM59+CO59)/CK59)</f>
        <v>0.65445026178010468</v>
      </c>
      <c r="CO59" s="34">
        <v>3</v>
      </c>
      <c r="CP59" s="35">
        <f t="shared" ref="CP59:CP65" si="507">CO59/(CM59+CO59)</f>
        <v>2.4E-2</v>
      </c>
      <c r="CQ59" s="325">
        <v>162.1</v>
      </c>
      <c r="CR59" s="34"/>
      <c r="CS59" s="34"/>
      <c r="CT59" s="37"/>
      <c r="CU59" s="33"/>
      <c r="CV59" s="34"/>
      <c r="CW59" s="34">
        <f>CW56-CU59</f>
        <v>762</v>
      </c>
      <c r="CX59" s="34">
        <f>CX56-CV59</f>
        <v>70</v>
      </c>
      <c r="CY59" s="34">
        <v>561</v>
      </c>
      <c r="CZ59" s="35">
        <f t="shared" ref="CZ59:CZ65" si="508">((CY59+DA59)/CW59)</f>
        <v>0.75853018372703407</v>
      </c>
      <c r="DA59" s="34">
        <v>17</v>
      </c>
      <c r="DB59" s="35">
        <f t="shared" ref="DB59:DB65" si="509">DA59/(CY59+DA59)</f>
        <v>2.9411764705882353E-2</v>
      </c>
      <c r="DC59" s="36"/>
      <c r="DD59" s="34"/>
      <c r="DE59" s="34"/>
      <c r="DF59" s="37"/>
      <c r="DG59" s="33"/>
      <c r="DH59" s="34"/>
      <c r="DI59" s="34">
        <f>DI56-DG59</f>
        <v>767</v>
      </c>
      <c r="DJ59" s="34">
        <f>DJ56-DH59</f>
        <v>70</v>
      </c>
      <c r="DK59" s="34">
        <v>577</v>
      </c>
      <c r="DL59" s="35">
        <f t="shared" ref="DL59:DL65" si="510">((DK59+DM59)/DI59)</f>
        <v>0.77314211212516293</v>
      </c>
      <c r="DM59" s="34">
        <v>16</v>
      </c>
      <c r="DN59" s="35">
        <f t="shared" ref="DN59:DN65" si="511">DM59/(DK59+DM59)</f>
        <v>2.6981450252951095E-2</v>
      </c>
      <c r="DO59" s="36"/>
      <c r="DP59" s="34"/>
      <c r="DQ59" s="34"/>
      <c r="DR59" s="37"/>
      <c r="DS59" s="33"/>
      <c r="DT59" s="34"/>
      <c r="DU59" s="34">
        <f>DU56-DS59</f>
        <v>864</v>
      </c>
      <c r="DV59" s="34">
        <f>DV56-DT59</f>
        <v>78</v>
      </c>
      <c r="DW59" s="34">
        <v>646</v>
      </c>
      <c r="DX59" s="35">
        <f t="shared" ref="DX59:DX65" si="512">((DW59+DY59)/DU59)</f>
        <v>0.77430555555555558</v>
      </c>
      <c r="DY59" s="34">
        <v>23</v>
      </c>
      <c r="DZ59" s="35">
        <f t="shared" ref="DZ59:DZ65" si="513">DY59/(DW59+DY59)</f>
        <v>3.4379671150971597E-2</v>
      </c>
      <c r="EA59" s="36"/>
      <c r="EB59" s="34"/>
      <c r="EC59" s="34"/>
      <c r="ED59" s="37"/>
      <c r="EE59" s="33"/>
      <c r="EF59" s="34"/>
      <c r="EG59" s="34">
        <f>EG56-EE59</f>
        <v>867</v>
      </c>
      <c r="EH59" s="34">
        <f>EH56-EF59</f>
        <v>79</v>
      </c>
      <c r="EI59" s="34">
        <v>636</v>
      </c>
      <c r="EJ59" s="35">
        <f t="shared" ref="EJ59:EJ65" si="514">((EI59+EK59)/EG59)</f>
        <v>0.74855824682814298</v>
      </c>
      <c r="EK59" s="34">
        <v>13</v>
      </c>
      <c r="EL59" s="35">
        <f t="shared" ref="EL59:EL65" si="515">EK59/(EI59+EK59)</f>
        <v>2.0030816640986132E-2</v>
      </c>
      <c r="EM59" s="36"/>
      <c r="EN59" s="34"/>
      <c r="EO59" s="34"/>
      <c r="EP59" s="37"/>
      <c r="EQ59" s="33">
        <v>1</v>
      </c>
      <c r="ER59" s="34"/>
      <c r="ES59" s="34">
        <f>ES56-EQ59</f>
        <v>207</v>
      </c>
      <c r="ET59" s="34">
        <f>ET56-ER59</f>
        <v>16</v>
      </c>
      <c r="EU59" s="34">
        <v>144</v>
      </c>
      <c r="EV59" s="35">
        <f t="shared" ref="EV59:EV65" si="516">((EU59+EW59)/ES59)</f>
        <v>0.7439613526570048</v>
      </c>
      <c r="EW59" s="34">
        <v>10</v>
      </c>
      <c r="EX59" s="35">
        <f t="shared" ref="EX59:EX65" si="517">EW59/(EU59+EW59)</f>
        <v>6.4935064935064929E-2</v>
      </c>
      <c r="EY59" s="36"/>
      <c r="EZ59" s="34"/>
      <c r="FA59" s="34"/>
      <c r="FB59" s="37"/>
      <c r="FC59" s="33"/>
      <c r="FD59" s="34"/>
      <c r="FE59" s="34">
        <f>FE56-FC59</f>
        <v>867</v>
      </c>
      <c r="FF59" s="34">
        <f>FF56-FD59</f>
        <v>78</v>
      </c>
      <c r="FG59" s="34">
        <v>674</v>
      </c>
      <c r="FH59" s="35">
        <f t="shared" ref="FH59:FH65" si="518">((FG59+FI59)/FE59)</f>
        <v>0.79123414071510956</v>
      </c>
      <c r="FI59" s="34">
        <v>12</v>
      </c>
      <c r="FJ59" s="35">
        <f t="shared" ref="FJ59:FJ65" si="519">FI59/(FG59+FI59)</f>
        <v>1.7492711370262391E-2</v>
      </c>
      <c r="FK59" s="36"/>
      <c r="FL59" s="34"/>
      <c r="FM59" s="34"/>
      <c r="FN59" s="37"/>
      <c r="FO59" s="33"/>
      <c r="FP59" s="34"/>
      <c r="FQ59" s="34">
        <f>FQ56-FO59</f>
        <v>910</v>
      </c>
      <c r="FR59" s="34">
        <f>FR56-FP59</f>
        <v>81</v>
      </c>
      <c r="FS59" s="34">
        <v>680</v>
      </c>
      <c r="FT59" s="35">
        <f t="shared" ref="FT59:FT65" si="520">((FS59+FU59)/FQ59)</f>
        <v>0.77252747252747256</v>
      </c>
      <c r="FU59" s="34">
        <v>23</v>
      </c>
      <c r="FV59" s="35">
        <f t="shared" ref="FV59:FV65" si="521">FU59/(FS59+FU59)</f>
        <v>3.2716927453769556E-2</v>
      </c>
      <c r="FW59" s="36"/>
      <c r="FX59" s="34"/>
      <c r="FY59" s="34"/>
      <c r="FZ59" s="37"/>
      <c r="GA59" s="33"/>
      <c r="GB59" s="34"/>
      <c r="GC59" s="34">
        <f>GC56-GA59</f>
        <v>907</v>
      </c>
      <c r="GD59" s="34">
        <f>GD56-GB59</f>
        <v>82</v>
      </c>
      <c r="GE59" s="34">
        <v>611</v>
      </c>
      <c r="GF59" s="35">
        <f t="shared" ref="GF59:GF65" si="522">((GE59+GG59)/GC59)</f>
        <v>0.6868798235942668</v>
      </c>
      <c r="GG59" s="34">
        <v>12</v>
      </c>
      <c r="GH59" s="35">
        <f t="shared" ref="GH59:GH65" si="523">GG59/(GE59+GG59)</f>
        <v>1.9261637239165328E-2</v>
      </c>
      <c r="GI59" s="36"/>
      <c r="GJ59" s="34"/>
      <c r="GK59" s="34"/>
      <c r="GL59" s="37"/>
      <c r="GM59" s="33">
        <v>1</v>
      </c>
      <c r="GN59" s="34"/>
      <c r="GO59" s="34">
        <f>GO56-GM59</f>
        <v>194</v>
      </c>
      <c r="GP59" s="34">
        <f>GP56-GN59</f>
        <v>18</v>
      </c>
      <c r="GQ59" s="34">
        <v>120</v>
      </c>
      <c r="GR59" s="35">
        <f t="shared" ref="GR59:GR65" si="524">((GQ59+GS59)/GO59)</f>
        <v>0.634020618556701</v>
      </c>
      <c r="GS59" s="34">
        <v>3</v>
      </c>
      <c r="GT59" s="35">
        <f t="shared" ref="GT59:GT65" si="525">GS59/(GQ59+GS59)</f>
        <v>2.4390243902439025E-2</v>
      </c>
      <c r="GU59" s="36"/>
      <c r="GV59" s="34"/>
      <c r="GW59" s="34"/>
      <c r="GX59" s="37"/>
      <c r="GY59" s="33"/>
      <c r="GZ59" s="34"/>
      <c r="HA59" s="34">
        <f>HA56-GY59</f>
        <v>911</v>
      </c>
      <c r="HB59" s="34">
        <f>HB56-GZ59</f>
        <v>82</v>
      </c>
      <c r="HC59" s="34">
        <v>700</v>
      </c>
      <c r="HD59" s="35">
        <f t="shared" ref="HD59:HD65" si="526">((HC59+HE59)/HA59)</f>
        <v>0.78375411635565317</v>
      </c>
      <c r="HE59" s="34">
        <v>14</v>
      </c>
      <c r="HF59" s="35">
        <f t="shared" ref="HF59:HF65" si="527">HE59/(HC59+HE59)</f>
        <v>1.9607843137254902E-2</v>
      </c>
      <c r="HG59" s="36"/>
      <c r="HH59" s="34"/>
      <c r="HI59" s="34"/>
      <c r="HJ59" s="37"/>
      <c r="HK59" s="33">
        <f t="shared" ref="HK59:HK66" si="528">+C59+O59+AA59+AM59+AY59+BK59+BW59+CI59+CU59+DG59+DS59+EE59+EQ59+FC59+FO59+GA59+GM59+GY59</f>
        <v>4</v>
      </c>
      <c r="HL59" s="34">
        <f t="shared" ref="HL59:HL66" si="529">+D59+P59+AB59+AN59+AZ59+BL59+BX59+CJ59+CV59+DH59+DT59+EF59+ER59+FD59+FP59+GB59+GN59+GZ59</f>
        <v>1</v>
      </c>
      <c r="HM59" s="34">
        <f t="shared" ref="HM59:HM66" si="530">+E59+Q59+AC59+AO59+BA59+BM59+BY59+CK59+CW59+DI59+DU59+EG59+ES59+FE59+FQ59+GC59+GO59+HA59</f>
        <v>12417</v>
      </c>
      <c r="HN59" s="34">
        <f t="shared" ref="HN59:HN66" si="531">+F59+R59+AD59+AP59+BB59+BN59+BZ59+CL59+CX59+DJ59+DV59+EH59+ET59+FF59+FR59+GD59+GP59+HB59</f>
        <v>1113</v>
      </c>
      <c r="HO59" s="34">
        <f t="shared" ref="HO59:HO66" si="532">+G59+S59+AE59+AQ59+BC59+BO59+CA59+CM59+CY59+DK59+DW59+EI59+EU59+FG59+FS59+GE59+GQ59+HC59+I59+U59+AG59+AS59+BE59+BQ59+CC59+CO59+DA59+DM59+DY59+EK59+EW59+FI59+FU59+GG59+GS59+HE59</f>
        <v>9376</v>
      </c>
      <c r="HP59" s="94">
        <f t="shared" ref="HP59:HP65" si="533">+(HO59)/HM59</f>
        <v>0.75509382298461791</v>
      </c>
      <c r="HQ59" s="48">
        <f t="shared" ref="HQ59:HQ66" si="534">+I59+U59+AG59+AS59+BE59+BQ59+CC59+CO59+DA59+DM59+DY59+EK59+EW59+FI59+FU59+GG59+GS59+HE59</f>
        <v>226</v>
      </c>
      <c r="HR59" s="35">
        <f t="shared" ref="HR59:HR66" si="535">+(HQ59/(HO59))</f>
        <v>2.4104095563139933E-2</v>
      </c>
      <c r="HS59" s="49">
        <v>55.7</v>
      </c>
      <c r="HT59" s="50">
        <v>8939</v>
      </c>
      <c r="HU59" s="49">
        <f t="shared" ref="HU59:HU65" si="536">+HT59/HO59*100</f>
        <v>95.339163822525592</v>
      </c>
      <c r="HV59" s="48"/>
      <c r="HW59" s="37"/>
      <c r="HX59" s="73">
        <f t="shared" ref="HX59:HX65" si="537">SUM(G59,I59,S59,U59,AE59,AG59,AQ59,AS59,BC59,BE59)/SUM(E59,Q59,AC59,AO59,BA59)</f>
        <v>0.76272700208395361</v>
      </c>
      <c r="HY59" s="73">
        <f t="shared" ref="HY59:HY65" si="538">SUM(BO59,BQ59,CA59,CC59,CM59,CO59,CY59,DA59,DK59,DM59)/SUM(BM59,BY59,CK59,CW59,DI59)</f>
        <v>0.74842389672770937</v>
      </c>
      <c r="HZ59" s="73">
        <f t="shared" ref="HZ59:HZ65" si="539">SUM(DW59,DY59,EI59,EK59,EU59,EW59,FG59,FI59)/SUM(DU59,EG59,ES59,FE59)</f>
        <v>0.76934046345811047</v>
      </c>
      <c r="IA59" s="73">
        <f t="shared" ref="IA59:IA65" si="540">SUM(FS59,FU59,GE59,GG59,GQ59,GS59,HC59,HE59)/SUM(FQ59,GC59,GO59,HA59)</f>
        <v>0.74024640657084184</v>
      </c>
    </row>
    <row r="60" spans="1:244" x14ac:dyDescent="0.25">
      <c r="A60" s="374"/>
      <c r="B60" s="41">
        <f t="shared" ref="B60:B65" si="541">+B59+1</f>
        <v>44984</v>
      </c>
      <c r="C60" s="10">
        <v>1</v>
      </c>
      <c r="D60" s="11"/>
      <c r="E60" s="69">
        <f t="shared" ref="E60:F65" si="542">E59-C60</f>
        <v>847</v>
      </c>
      <c r="F60" s="69">
        <f t="shared" si="542"/>
        <v>75</v>
      </c>
      <c r="G60" s="11">
        <v>636</v>
      </c>
      <c r="H60" s="12">
        <f t="shared" si="493"/>
        <v>0.7615112160566706</v>
      </c>
      <c r="I60" s="11">
        <v>9</v>
      </c>
      <c r="J60" s="12">
        <f t="shared" ref="J60:J65" si="543">I60/(G60+I60)</f>
        <v>1.3953488372093023E-2</v>
      </c>
      <c r="K60" s="13"/>
      <c r="L60" s="11"/>
      <c r="M60" s="11"/>
      <c r="N60" s="14"/>
      <c r="O60" s="10"/>
      <c r="P60" s="11"/>
      <c r="Q60" s="69">
        <f t="shared" ref="Q60:Q65" si="544">Q59-O60</f>
        <v>770</v>
      </c>
      <c r="R60" s="69">
        <f t="shared" ref="R60:R65" si="545">R59-P60</f>
        <v>69</v>
      </c>
      <c r="S60" s="11">
        <v>548</v>
      </c>
      <c r="T60" s="12">
        <f t="shared" si="494"/>
        <v>0.7168831168831169</v>
      </c>
      <c r="U60" s="11">
        <v>4</v>
      </c>
      <c r="V60" s="12">
        <f t="shared" si="495"/>
        <v>7.246376811594203E-3</v>
      </c>
      <c r="W60" s="13"/>
      <c r="X60" s="11"/>
      <c r="Y60" s="11"/>
      <c r="Z60" s="14"/>
      <c r="AA60" s="10">
        <v>2</v>
      </c>
      <c r="AB60" s="11"/>
      <c r="AC60" s="69">
        <f t="shared" ref="AC60:AC65" si="546">AC59-AA60</f>
        <v>187</v>
      </c>
      <c r="AD60" s="69">
        <f t="shared" ref="AD60:AD65" si="547">AD59-AB60</f>
        <v>15</v>
      </c>
      <c r="AE60" s="11">
        <v>133</v>
      </c>
      <c r="AF60" s="12">
        <f t="shared" si="496"/>
        <v>0.71657754010695185</v>
      </c>
      <c r="AG60" s="11">
        <v>1</v>
      </c>
      <c r="AH60" s="12">
        <f t="shared" si="497"/>
        <v>7.462686567164179E-3</v>
      </c>
      <c r="AI60" s="13"/>
      <c r="AJ60" s="11"/>
      <c r="AK60" s="11"/>
      <c r="AL60" s="14"/>
      <c r="AM60" s="10"/>
      <c r="AN60" s="11"/>
      <c r="AO60" s="69">
        <f t="shared" ref="AO60:AO65" si="548">AO59-AM60</f>
        <v>776</v>
      </c>
      <c r="AP60" s="69">
        <f t="shared" ref="AP60:AP65" si="549">AP59-AN60</f>
        <v>69</v>
      </c>
      <c r="AQ60" s="11">
        <v>543</v>
      </c>
      <c r="AR60" s="12">
        <f t="shared" si="498"/>
        <v>0.70489690721649489</v>
      </c>
      <c r="AS60" s="11">
        <v>4</v>
      </c>
      <c r="AT60" s="12">
        <f t="shared" si="499"/>
        <v>7.3126142595978062E-3</v>
      </c>
      <c r="AU60" s="13"/>
      <c r="AV60" s="11"/>
      <c r="AW60" s="11"/>
      <c r="AX60" s="14"/>
      <c r="AY60" s="10"/>
      <c r="AZ60" s="11"/>
      <c r="BA60" s="69">
        <f t="shared" ref="BA60:BA65" si="550">BA59-AY60</f>
        <v>776</v>
      </c>
      <c r="BB60" s="69">
        <f t="shared" ref="BB60:BB65" si="551">BB59-AZ60</f>
        <v>69</v>
      </c>
      <c r="BC60" s="11">
        <v>558</v>
      </c>
      <c r="BD60" s="12">
        <f t="shared" si="500"/>
        <v>0.72809278350515461</v>
      </c>
      <c r="BE60" s="11">
        <v>7</v>
      </c>
      <c r="BF60" s="12">
        <f t="shared" si="501"/>
        <v>1.2389380530973451E-2</v>
      </c>
      <c r="BG60" s="13"/>
      <c r="BH60" s="11"/>
      <c r="BI60" s="11"/>
      <c r="BJ60" s="14"/>
      <c r="BK60" s="10"/>
      <c r="BL60" s="11"/>
      <c r="BM60" s="69">
        <f t="shared" ref="BM60:BM65" si="552">BM59-BK60</f>
        <v>847</v>
      </c>
      <c r="BN60" s="69">
        <f t="shared" ref="BN60:BN65" si="553">BN59-BL60</f>
        <v>77</v>
      </c>
      <c r="BO60" s="11">
        <v>636</v>
      </c>
      <c r="BP60" s="12">
        <f t="shared" si="502"/>
        <v>0.76387249114521838</v>
      </c>
      <c r="BQ60" s="11">
        <v>11</v>
      </c>
      <c r="BR60" s="12">
        <f t="shared" si="503"/>
        <v>1.7001545595054096E-2</v>
      </c>
      <c r="BS60" s="13"/>
      <c r="BT60" s="11"/>
      <c r="BU60" s="11"/>
      <c r="BV60" s="14"/>
      <c r="BW60" s="10"/>
      <c r="BX60" s="11"/>
      <c r="BY60" s="69">
        <f t="shared" ref="BY60:BY65" si="554">BY59-BW60</f>
        <v>764</v>
      </c>
      <c r="BZ60" s="69">
        <f t="shared" ref="BZ60:BZ65" si="555">BZ59-BX60</f>
        <v>68</v>
      </c>
      <c r="CA60" s="11">
        <v>564</v>
      </c>
      <c r="CB60" s="12">
        <f t="shared" si="504"/>
        <v>0.75</v>
      </c>
      <c r="CC60" s="11">
        <v>9</v>
      </c>
      <c r="CD60" s="12">
        <f t="shared" si="505"/>
        <v>1.5706806282722512E-2</v>
      </c>
      <c r="CE60" s="13"/>
      <c r="CF60" s="11"/>
      <c r="CG60" s="11"/>
      <c r="CH60" s="14"/>
      <c r="CI60" s="10">
        <v>2</v>
      </c>
      <c r="CJ60" s="11"/>
      <c r="CK60" s="69">
        <f t="shared" ref="CK60:CK65" si="556">CK59-CI60</f>
        <v>189</v>
      </c>
      <c r="CL60" s="69">
        <f t="shared" ref="CL60:CL65" si="557">CL59-CJ60</f>
        <v>17</v>
      </c>
      <c r="CM60" s="11">
        <v>117</v>
      </c>
      <c r="CN60" s="12">
        <f t="shared" si="506"/>
        <v>0.62962962962962965</v>
      </c>
      <c r="CO60" s="11">
        <v>2</v>
      </c>
      <c r="CP60" s="12">
        <f t="shared" si="507"/>
        <v>1.680672268907563E-2</v>
      </c>
      <c r="CQ60" s="13"/>
      <c r="CR60" s="11"/>
      <c r="CS60" s="11"/>
      <c r="CT60" s="14"/>
      <c r="CU60" s="10"/>
      <c r="CV60" s="11"/>
      <c r="CW60" s="69">
        <f t="shared" ref="CW60:CW65" si="558">CW59-CU60</f>
        <v>762</v>
      </c>
      <c r="CX60" s="69">
        <f t="shared" ref="CX60:CX65" si="559">CX59-CV60</f>
        <v>70</v>
      </c>
      <c r="CY60" s="11">
        <v>570</v>
      </c>
      <c r="CZ60" s="12">
        <f t="shared" si="508"/>
        <v>0.75853018372703407</v>
      </c>
      <c r="DA60" s="11">
        <v>8</v>
      </c>
      <c r="DB60" s="12">
        <f t="shared" si="509"/>
        <v>1.384083044982699E-2</v>
      </c>
      <c r="DC60" s="13"/>
      <c r="DD60" s="11"/>
      <c r="DE60" s="11"/>
      <c r="DF60" s="14"/>
      <c r="DG60" s="10"/>
      <c r="DH60" s="11"/>
      <c r="DI60" s="69">
        <f t="shared" ref="DI60:DI65" si="560">DI59-DG60</f>
        <v>767</v>
      </c>
      <c r="DJ60" s="69">
        <f t="shared" ref="DJ60:DJ65" si="561">DJ59-DH60</f>
        <v>70</v>
      </c>
      <c r="DK60" s="11">
        <v>597</v>
      </c>
      <c r="DL60" s="12">
        <f t="shared" si="510"/>
        <v>0.79661016949152541</v>
      </c>
      <c r="DM60" s="11">
        <v>14</v>
      </c>
      <c r="DN60" s="12">
        <f t="shared" si="511"/>
        <v>2.2913256955810146E-2</v>
      </c>
      <c r="DO60" s="13"/>
      <c r="DP60" s="11"/>
      <c r="DQ60" s="11"/>
      <c r="DR60" s="14"/>
      <c r="DS60" s="10"/>
      <c r="DT60" s="11"/>
      <c r="DU60" s="69">
        <f t="shared" ref="DU60:DU65" si="562">DU59-DS60</f>
        <v>864</v>
      </c>
      <c r="DV60" s="69">
        <f t="shared" ref="DV60:DV65" si="563">DV59-DT60</f>
        <v>78</v>
      </c>
      <c r="DW60" s="11">
        <v>631</v>
      </c>
      <c r="DX60" s="12">
        <f t="shared" si="512"/>
        <v>0.75347222222222221</v>
      </c>
      <c r="DY60" s="11">
        <v>20</v>
      </c>
      <c r="DZ60" s="12">
        <f t="shared" si="513"/>
        <v>3.0721966205837174E-2</v>
      </c>
      <c r="EA60" s="13"/>
      <c r="EB60" s="11"/>
      <c r="EC60" s="11"/>
      <c r="ED60" s="14"/>
      <c r="EE60" s="10">
        <v>1</v>
      </c>
      <c r="EF60" s="11"/>
      <c r="EG60" s="69">
        <f t="shared" ref="EG60:EG65" si="564">EG59-EE60</f>
        <v>866</v>
      </c>
      <c r="EH60" s="69">
        <f t="shared" ref="EH60:EH65" si="565">EH59-EF60</f>
        <v>79</v>
      </c>
      <c r="EI60" s="11">
        <v>624</v>
      </c>
      <c r="EJ60" s="12">
        <f t="shared" si="514"/>
        <v>0.73556581986143188</v>
      </c>
      <c r="EK60" s="11">
        <v>13</v>
      </c>
      <c r="EL60" s="12">
        <f t="shared" si="515"/>
        <v>2.0408163265306121E-2</v>
      </c>
      <c r="EM60" s="13"/>
      <c r="EN60" s="11"/>
      <c r="EO60" s="11"/>
      <c r="EP60" s="14"/>
      <c r="EQ60" s="10">
        <v>1</v>
      </c>
      <c r="ER60" s="11"/>
      <c r="ES60" s="69">
        <f t="shared" ref="ES60:ES65" si="566">ES59-EQ60</f>
        <v>206</v>
      </c>
      <c r="ET60" s="69">
        <f t="shared" ref="ET60:ET65" si="567">ET59-ER60</f>
        <v>16</v>
      </c>
      <c r="EU60" s="11">
        <v>133</v>
      </c>
      <c r="EV60" s="12">
        <f t="shared" si="516"/>
        <v>0.67475728155339809</v>
      </c>
      <c r="EW60" s="11">
        <v>6</v>
      </c>
      <c r="EX60" s="12">
        <f t="shared" si="517"/>
        <v>4.3165467625899283E-2</v>
      </c>
      <c r="EY60" s="13"/>
      <c r="EZ60" s="11"/>
      <c r="FA60" s="11"/>
      <c r="FB60" s="14"/>
      <c r="FC60" s="10"/>
      <c r="FD60" s="11"/>
      <c r="FE60" s="69">
        <f t="shared" ref="FE60:FE65" si="568">FE59-FC60</f>
        <v>867</v>
      </c>
      <c r="FF60" s="69">
        <f t="shared" ref="FF60:FF65" si="569">FF59-FD60</f>
        <v>78</v>
      </c>
      <c r="FG60" s="11">
        <v>686</v>
      </c>
      <c r="FH60" s="12">
        <f t="shared" si="518"/>
        <v>0.80507497116493654</v>
      </c>
      <c r="FI60" s="11">
        <v>12</v>
      </c>
      <c r="FJ60" s="12">
        <f t="shared" si="519"/>
        <v>1.7191977077363897E-2</v>
      </c>
      <c r="FK60" s="13"/>
      <c r="FL60" s="11"/>
      <c r="FM60" s="11"/>
      <c r="FN60" s="14"/>
      <c r="FO60" s="10">
        <v>1</v>
      </c>
      <c r="FP60" s="11"/>
      <c r="FQ60" s="69">
        <f t="shared" ref="FQ60:FQ65" si="570">FQ59-FO60</f>
        <v>909</v>
      </c>
      <c r="FR60" s="69">
        <f t="shared" ref="FR60:FR65" si="571">FR59-FP60</f>
        <v>81</v>
      </c>
      <c r="FS60" s="11">
        <v>694</v>
      </c>
      <c r="FT60" s="12">
        <f t="shared" si="520"/>
        <v>0.77997799779977994</v>
      </c>
      <c r="FU60" s="11">
        <v>15</v>
      </c>
      <c r="FV60" s="12">
        <f t="shared" si="521"/>
        <v>2.1156558533145273E-2</v>
      </c>
      <c r="FW60" s="13"/>
      <c r="FX60" s="11"/>
      <c r="FY60" s="11"/>
      <c r="FZ60" s="14"/>
      <c r="GA60" s="10"/>
      <c r="GB60" s="11"/>
      <c r="GC60" s="69">
        <f t="shared" ref="GC60:GC65" si="572">GC59-GA60</f>
        <v>907</v>
      </c>
      <c r="GD60" s="69">
        <f t="shared" ref="GD60:GD65" si="573">GD59-GB60</f>
        <v>82</v>
      </c>
      <c r="GE60" s="11">
        <v>605</v>
      </c>
      <c r="GF60" s="12">
        <f t="shared" si="522"/>
        <v>0.68026460859977944</v>
      </c>
      <c r="GG60" s="11">
        <v>12</v>
      </c>
      <c r="GH60" s="12">
        <f t="shared" si="523"/>
        <v>1.9448946515397084E-2</v>
      </c>
      <c r="GI60" s="13"/>
      <c r="GJ60" s="11"/>
      <c r="GK60" s="11"/>
      <c r="GL60" s="14"/>
      <c r="GM60" s="10">
        <v>1</v>
      </c>
      <c r="GN60" s="11">
        <v>1</v>
      </c>
      <c r="GO60" s="69">
        <f t="shared" ref="GO60:GO65" si="574">GO59-GM60</f>
        <v>193</v>
      </c>
      <c r="GP60" s="69">
        <f t="shared" ref="GP60:GP65" si="575">GP59-GN60</f>
        <v>17</v>
      </c>
      <c r="GQ60" s="11">
        <v>121</v>
      </c>
      <c r="GR60" s="12">
        <f t="shared" si="524"/>
        <v>0.64766839378238339</v>
      </c>
      <c r="GS60" s="11">
        <v>4</v>
      </c>
      <c r="GT60" s="12">
        <f t="shared" si="525"/>
        <v>3.2000000000000001E-2</v>
      </c>
      <c r="GU60" s="13"/>
      <c r="GV60" s="11"/>
      <c r="GW60" s="11"/>
      <c r="GX60" s="14"/>
      <c r="GY60" s="10"/>
      <c r="GZ60" s="11"/>
      <c r="HA60" s="69">
        <f t="shared" ref="HA60:HA65" si="576">HA59-GY60</f>
        <v>911</v>
      </c>
      <c r="HB60" s="69">
        <f t="shared" ref="HB60:HB65" si="577">HB59-GZ60</f>
        <v>82</v>
      </c>
      <c r="HC60" s="11">
        <v>681</v>
      </c>
      <c r="HD60" s="12">
        <f t="shared" si="526"/>
        <v>0.75960482985729971</v>
      </c>
      <c r="HE60" s="11">
        <v>11</v>
      </c>
      <c r="HF60" s="12">
        <f t="shared" si="527"/>
        <v>1.5895953757225433E-2</v>
      </c>
      <c r="HG60" s="13"/>
      <c r="HH60" s="11"/>
      <c r="HI60" s="11"/>
      <c r="HJ60" s="14"/>
      <c r="HK60" s="10">
        <f t="shared" si="528"/>
        <v>9</v>
      </c>
      <c r="HL60" s="11">
        <f t="shared" si="529"/>
        <v>1</v>
      </c>
      <c r="HM60" s="11">
        <f t="shared" si="530"/>
        <v>12408</v>
      </c>
      <c r="HN60" s="11">
        <f t="shared" si="531"/>
        <v>1112</v>
      </c>
      <c r="HO60" s="11">
        <f t="shared" si="532"/>
        <v>9239</v>
      </c>
      <c r="HP60" s="95">
        <f t="shared" si="533"/>
        <v>0.74460025789813022</v>
      </c>
      <c r="HQ60" s="15">
        <f t="shared" si="534"/>
        <v>162</v>
      </c>
      <c r="HR60" s="12">
        <f t="shared" si="535"/>
        <v>1.7534365191037991E-2</v>
      </c>
      <c r="HS60" s="16">
        <v>55.9</v>
      </c>
      <c r="HT60" s="17">
        <v>8900</v>
      </c>
      <c r="HU60" s="16">
        <f t="shared" si="536"/>
        <v>96.330771728542047</v>
      </c>
      <c r="HV60" s="15"/>
      <c r="HW60" s="14"/>
      <c r="HX60" s="73">
        <f t="shared" si="537"/>
        <v>0.7279499404052443</v>
      </c>
      <c r="HY60" s="73">
        <f t="shared" si="538"/>
        <v>0.75938720336437371</v>
      </c>
      <c r="HZ60" s="73">
        <f t="shared" si="539"/>
        <v>0.75811630396004281</v>
      </c>
      <c r="IA60" s="73">
        <f t="shared" si="540"/>
        <v>0.73390410958904106</v>
      </c>
    </row>
    <row r="61" spans="1:244" x14ac:dyDescent="0.25">
      <c r="A61" s="374"/>
      <c r="B61" s="41">
        <f t="shared" si="541"/>
        <v>44985</v>
      </c>
      <c r="C61" s="10"/>
      <c r="D61" s="11"/>
      <c r="E61" s="69">
        <f t="shared" si="542"/>
        <v>847</v>
      </c>
      <c r="F61" s="69">
        <f t="shared" si="542"/>
        <v>75</v>
      </c>
      <c r="G61" s="11">
        <v>619</v>
      </c>
      <c r="H61" s="12">
        <f t="shared" si="493"/>
        <v>0.74025974025974028</v>
      </c>
      <c r="I61" s="11">
        <v>8</v>
      </c>
      <c r="J61" s="12">
        <f t="shared" si="543"/>
        <v>1.2759170653907496E-2</v>
      </c>
      <c r="K61" s="13"/>
      <c r="L61" s="11"/>
      <c r="M61" s="11"/>
      <c r="N61" s="14"/>
      <c r="O61" s="10"/>
      <c r="P61" s="11"/>
      <c r="Q61" s="69">
        <f t="shared" si="544"/>
        <v>770</v>
      </c>
      <c r="R61" s="69">
        <f t="shared" si="545"/>
        <v>69</v>
      </c>
      <c r="S61" s="11">
        <v>554</v>
      </c>
      <c r="T61" s="12">
        <f t="shared" si="494"/>
        <v>0.74935064935064932</v>
      </c>
      <c r="U61" s="11">
        <v>23</v>
      </c>
      <c r="V61" s="12">
        <f t="shared" si="495"/>
        <v>3.9861351819757362E-2</v>
      </c>
      <c r="W61" s="13"/>
      <c r="X61" s="11"/>
      <c r="Y61" s="11"/>
      <c r="Z61" s="14"/>
      <c r="AA61" s="10"/>
      <c r="AB61" s="11"/>
      <c r="AC61" s="69">
        <f t="shared" si="546"/>
        <v>187</v>
      </c>
      <c r="AD61" s="69">
        <f t="shared" si="547"/>
        <v>15</v>
      </c>
      <c r="AE61" s="11">
        <v>119</v>
      </c>
      <c r="AF61" s="12">
        <f t="shared" si="496"/>
        <v>0.6737967914438503</v>
      </c>
      <c r="AG61" s="11">
        <v>7</v>
      </c>
      <c r="AH61" s="12">
        <f t="shared" si="497"/>
        <v>5.5555555555555552E-2</v>
      </c>
      <c r="AI61" s="13"/>
      <c r="AJ61" s="11"/>
      <c r="AK61" s="11"/>
      <c r="AL61" s="14"/>
      <c r="AM61" s="10"/>
      <c r="AN61" s="11"/>
      <c r="AO61" s="69">
        <f t="shared" si="548"/>
        <v>776</v>
      </c>
      <c r="AP61" s="69">
        <f t="shared" si="549"/>
        <v>69</v>
      </c>
      <c r="AQ61" s="11">
        <v>539</v>
      </c>
      <c r="AR61" s="12">
        <f t="shared" si="498"/>
        <v>0.71778350515463918</v>
      </c>
      <c r="AS61" s="11">
        <v>18</v>
      </c>
      <c r="AT61" s="12">
        <f t="shared" si="499"/>
        <v>3.231597845601436E-2</v>
      </c>
      <c r="AU61" s="13"/>
      <c r="AV61" s="11"/>
      <c r="AW61" s="11"/>
      <c r="AX61" s="14"/>
      <c r="AY61" s="10"/>
      <c r="AZ61" s="11"/>
      <c r="BA61" s="69">
        <f t="shared" si="550"/>
        <v>776</v>
      </c>
      <c r="BB61" s="69">
        <f t="shared" si="551"/>
        <v>69</v>
      </c>
      <c r="BC61" s="11">
        <v>517</v>
      </c>
      <c r="BD61" s="12">
        <f t="shared" si="500"/>
        <v>0.68685567010309279</v>
      </c>
      <c r="BE61" s="11">
        <v>16</v>
      </c>
      <c r="BF61" s="12">
        <f t="shared" si="501"/>
        <v>3.0018761726078799E-2</v>
      </c>
      <c r="BG61" s="13"/>
      <c r="BH61" s="11"/>
      <c r="BI61" s="11"/>
      <c r="BJ61" s="14"/>
      <c r="BK61" s="10"/>
      <c r="BL61" s="11"/>
      <c r="BM61" s="69">
        <f t="shared" si="552"/>
        <v>847</v>
      </c>
      <c r="BN61" s="69">
        <f t="shared" si="553"/>
        <v>77</v>
      </c>
      <c r="BO61" s="11">
        <v>632</v>
      </c>
      <c r="BP61" s="12">
        <f t="shared" si="502"/>
        <v>0.76387249114521838</v>
      </c>
      <c r="BQ61" s="11">
        <v>15</v>
      </c>
      <c r="BR61" s="12">
        <f t="shared" si="503"/>
        <v>2.3183925811437404E-2</v>
      </c>
      <c r="BS61" s="13"/>
      <c r="BT61" s="11"/>
      <c r="BU61" s="11"/>
      <c r="BV61" s="14"/>
      <c r="BW61" s="10"/>
      <c r="BX61" s="11"/>
      <c r="BY61" s="69">
        <f t="shared" si="554"/>
        <v>764</v>
      </c>
      <c r="BZ61" s="69">
        <f t="shared" si="555"/>
        <v>68</v>
      </c>
      <c r="CA61" s="11">
        <v>540</v>
      </c>
      <c r="CB61" s="12">
        <f t="shared" si="504"/>
        <v>0.71465968586387429</v>
      </c>
      <c r="CC61" s="11">
        <v>6</v>
      </c>
      <c r="CD61" s="12">
        <f t="shared" si="505"/>
        <v>1.098901098901099E-2</v>
      </c>
      <c r="CE61" s="13"/>
      <c r="CF61" s="11"/>
      <c r="CG61" s="11"/>
      <c r="CH61" s="14"/>
      <c r="CI61" s="10"/>
      <c r="CJ61" s="11"/>
      <c r="CK61" s="69">
        <f t="shared" si="556"/>
        <v>189</v>
      </c>
      <c r="CL61" s="69">
        <f t="shared" si="557"/>
        <v>17</v>
      </c>
      <c r="CM61" s="11">
        <v>125</v>
      </c>
      <c r="CN61" s="12">
        <f t="shared" si="506"/>
        <v>0.67195767195767198</v>
      </c>
      <c r="CO61" s="11">
        <v>2</v>
      </c>
      <c r="CP61" s="12">
        <f t="shared" si="507"/>
        <v>1.5748031496062992E-2</v>
      </c>
      <c r="CQ61" s="13"/>
      <c r="CR61" s="11"/>
      <c r="CS61" s="11"/>
      <c r="CT61" s="14"/>
      <c r="CU61" s="10"/>
      <c r="CV61" s="11"/>
      <c r="CW61" s="69">
        <f t="shared" si="558"/>
        <v>762</v>
      </c>
      <c r="CX61" s="69">
        <f t="shared" si="559"/>
        <v>70</v>
      </c>
      <c r="CY61" s="11">
        <v>616</v>
      </c>
      <c r="CZ61" s="12">
        <f t="shared" si="508"/>
        <v>0.82283464566929132</v>
      </c>
      <c r="DA61" s="11">
        <v>11</v>
      </c>
      <c r="DB61" s="12">
        <f t="shared" si="509"/>
        <v>1.7543859649122806E-2</v>
      </c>
      <c r="DC61" s="13"/>
      <c r="DD61" s="11"/>
      <c r="DE61" s="11"/>
      <c r="DF61" s="14"/>
      <c r="DG61" s="10"/>
      <c r="DH61" s="11"/>
      <c r="DI61" s="69">
        <f t="shared" si="560"/>
        <v>767</v>
      </c>
      <c r="DJ61" s="69">
        <f t="shared" si="561"/>
        <v>70</v>
      </c>
      <c r="DK61" s="11">
        <v>588</v>
      </c>
      <c r="DL61" s="12">
        <f t="shared" si="510"/>
        <v>0.78748370273793999</v>
      </c>
      <c r="DM61" s="11">
        <v>16</v>
      </c>
      <c r="DN61" s="12">
        <f t="shared" si="511"/>
        <v>2.6490066225165563E-2</v>
      </c>
      <c r="DO61" s="13"/>
      <c r="DP61" s="11"/>
      <c r="DQ61" s="11"/>
      <c r="DR61" s="14"/>
      <c r="DS61" s="10"/>
      <c r="DT61" s="11"/>
      <c r="DU61" s="69">
        <f t="shared" si="562"/>
        <v>864</v>
      </c>
      <c r="DV61" s="69">
        <f t="shared" si="563"/>
        <v>78</v>
      </c>
      <c r="DW61" s="11">
        <v>658</v>
      </c>
      <c r="DX61" s="12">
        <f t="shared" si="512"/>
        <v>0.78240740740740744</v>
      </c>
      <c r="DY61" s="11">
        <v>18</v>
      </c>
      <c r="DZ61" s="12">
        <f t="shared" si="513"/>
        <v>2.6627218934911243E-2</v>
      </c>
      <c r="EA61" s="13"/>
      <c r="EB61" s="11"/>
      <c r="EC61" s="11"/>
      <c r="ED61" s="14"/>
      <c r="EE61" s="10"/>
      <c r="EF61" s="11"/>
      <c r="EG61" s="69">
        <f t="shared" si="564"/>
        <v>866</v>
      </c>
      <c r="EH61" s="69">
        <f t="shared" si="565"/>
        <v>79</v>
      </c>
      <c r="EI61" s="11">
        <v>638</v>
      </c>
      <c r="EJ61" s="12">
        <f t="shared" si="514"/>
        <v>0.76443418013856812</v>
      </c>
      <c r="EK61" s="11">
        <v>24</v>
      </c>
      <c r="EL61" s="12">
        <f t="shared" si="515"/>
        <v>3.6253776435045321E-2</v>
      </c>
      <c r="EM61" s="13"/>
      <c r="EN61" s="11"/>
      <c r="EO61" s="11"/>
      <c r="EP61" s="14"/>
      <c r="EQ61" s="10">
        <v>1</v>
      </c>
      <c r="ER61" s="11"/>
      <c r="ES61" s="69">
        <f t="shared" si="566"/>
        <v>205</v>
      </c>
      <c r="ET61" s="69">
        <f t="shared" si="567"/>
        <v>16</v>
      </c>
      <c r="EU61" s="11">
        <v>132</v>
      </c>
      <c r="EV61" s="12">
        <f t="shared" si="516"/>
        <v>0.71219512195121948</v>
      </c>
      <c r="EW61" s="11">
        <v>14</v>
      </c>
      <c r="EX61" s="12">
        <f t="shared" si="517"/>
        <v>9.5890410958904104E-2</v>
      </c>
      <c r="EY61" s="13"/>
      <c r="EZ61" s="11"/>
      <c r="FA61" s="11"/>
      <c r="FB61" s="14"/>
      <c r="FC61" s="10"/>
      <c r="FD61" s="11"/>
      <c r="FE61" s="69">
        <f t="shared" si="568"/>
        <v>867</v>
      </c>
      <c r="FF61" s="69">
        <f t="shared" si="569"/>
        <v>78</v>
      </c>
      <c r="FG61" s="11">
        <v>688</v>
      </c>
      <c r="FH61" s="12">
        <f t="shared" si="518"/>
        <v>0.82006920415224915</v>
      </c>
      <c r="FI61" s="11">
        <v>23</v>
      </c>
      <c r="FJ61" s="12">
        <f t="shared" si="519"/>
        <v>3.2348804500703238E-2</v>
      </c>
      <c r="FK61" s="13"/>
      <c r="FL61" s="11"/>
      <c r="FM61" s="11"/>
      <c r="FN61" s="14"/>
      <c r="FO61" s="10"/>
      <c r="FP61" s="11"/>
      <c r="FQ61" s="69">
        <f t="shared" si="570"/>
        <v>909</v>
      </c>
      <c r="FR61" s="69">
        <f t="shared" si="571"/>
        <v>81</v>
      </c>
      <c r="FS61" s="11">
        <v>680</v>
      </c>
      <c r="FT61" s="12">
        <f t="shared" si="520"/>
        <v>0.76127612761276131</v>
      </c>
      <c r="FU61" s="11">
        <v>12</v>
      </c>
      <c r="FV61" s="12">
        <f t="shared" si="521"/>
        <v>1.7341040462427744E-2</v>
      </c>
      <c r="FW61" s="13"/>
      <c r="FX61" s="11"/>
      <c r="FY61" s="11"/>
      <c r="FZ61" s="14"/>
      <c r="GA61" s="10">
        <v>1</v>
      </c>
      <c r="GB61" s="11"/>
      <c r="GC61" s="69">
        <f t="shared" si="572"/>
        <v>906</v>
      </c>
      <c r="GD61" s="69">
        <f t="shared" si="573"/>
        <v>82</v>
      </c>
      <c r="GE61" s="11">
        <v>632</v>
      </c>
      <c r="GF61" s="12">
        <f t="shared" si="522"/>
        <v>0.717439293598234</v>
      </c>
      <c r="GG61" s="11">
        <v>18</v>
      </c>
      <c r="GH61" s="12">
        <f t="shared" si="523"/>
        <v>2.7692307692307693E-2</v>
      </c>
      <c r="GI61" s="13"/>
      <c r="GJ61" s="11"/>
      <c r="GK61" s="11"/>
      <c r="GL61" s="14"/>
      <c r="GM61" s="10"/>
      <c r="GN61" s="11"/>
      <c r="GO61" s="69">
        <f t="shared" si="574"/>
        <v>193</v>
      </c>
      <c r="GP61" s="69">
        <f t="shared" si="575"/>
        <v>17</v>
      </c>
      <c r="GQ61" s="11">
        <v>130</v>
      </c>
      <c r="GR61" s="12">
        <f t="shared" si="524"/>
        <v>0.69430051813471505</v>
      </c>
      <c r="GS61" s="11">
        <v>4</v>
      </c>
      <c r="GT61" s="12">
        <f t="shared" si="525"/>
        <v>2.9850746268656716E-2</v>
      </c>
      <c r="GU61" s="13"/>
      <c r="GV61" s="11"/>
      <c r="GW61" s="11"/>
      <c r="GX61" s="14"/>
      <c r="GY61" s="10"/>
      <c r="GZ61" s="11"/>
      <c r="HA61" s="69">
        <f t="shared" si="576"/>
        <v>911</v>
      </c>
      <c r="HB61" s="69">
        <f t="shared" si="577"/>
        <v>82</v>
      </c>
      <c r="HC61" s="11">
        <v>721</v>
      </c>
      <c r="HD61" s="12">
        <f t="shared" si="526"/>
        <v>0.80351262349066954</v>
      </c>
      <c r="HE61" s="11">
        <v>11</v>
      </c>
      <c r="HF61" s="12">
        <f t="shared" si="527"/>
        <v>1.5027322404371584E-2</v>
      </c>
      <c r="HG61" s="13"/>
      <c r="HH61" s="11"/>
      <c r="HI61" s="11"/>
      <c r="HJ61" s="14"/>
      <c r="HK61" s="10">
        <f t="shared" si="528"/>
        <v>2</v>
      </c>
      <c r="HL61" s="11">
        <f t="shared" si="529"/>
        <v>0</v>
      </c>
      <c r="HM61" s="11">
        <f t="shared" si="530"/>
        <v>12406</v>
      </c>
      <c r="HN61" s="11">
        <f t="shared" si="531"/>
        <v>1112</v>
      </c>
      <c r="HO61" s="11">
        <f t="shared" si="532"/>
        <v>9374</v>
      </c>
      <c r="HP61" s="95">
        <f t="shared" si="533"/>
        <v>0.75560212800257942</v>
      </c>
      <c r="HQ61" s="15">
        <f t="shared" si="534"/>
        <v>246</v>
      </c>
      <c r="HR61" s="12">
        <f t="shared" si="535"/>
        <v>2.6242799231918072E-2</v>
      </c>
      <c r="HS61" s="16">
        <v>56</v>
      </c>
      <c r="HT61" s="17">
        <v>8935</v>
      </c>
      <c r="HU61" s="16">
        <f t="shared" si="536"/>
        <v>95.316833795604865</v>
      </c>
      <c r="HV61" s="15"/>
      <c r="HW61" s="14"/>
      <c r="HX61" s="73">
        <f t="shared" si="537"/>
        <v>0.72109654350417163</v>
      </c>
      <c r="HY61" s="73">
        <f t="shared" si="538"/>
        <v>0.76629618504055275</v>
      </c>
      <c r="HZ61" s="73">
        <f t="shared" si="539"/>
        <v>0.78336902212705206</v>
      </c>
      <c r="IA61" s="73">
        <f t="shared" si="540"/>
        <v>0.75642343268242551</v>
      </c>
    </row>
    <row r="62" spans="1:244" x14ac:dyDescent="0.25">
      <c r="A62" s="374"/>
      <c r="B62" s="41">
        <f t="shared" si="541"/>
        <v>44986</v>
      </c>
      <c r="C62" s="10">
        <v>1</v>
      </c>
      <c r="D62" s="11"/>
      <c r="E62" s="69">
        <f t="shared" si="542"/>
        <v>846</v>
      </c>
      <c r="F62" s="69">
        <f t="shared" si="542"/>
        <v>75</v>
      </c>
      <c r="G62" s="11">
        <v>628</v>
      </c>
      <c r="H62" s="12">
        <f t="shared" si="493"/>
        <v>0.75650118203309691</v>
      </c>
      <c r="I62" s="11">
        <v>12</v>
      </c>
      <c r="J62" s="12">
        <f t="shared" si="543"/>
        <v>1.8749999999999999E-2</v>
      </c>
      <c r="K62" s="11"/>
      <c r="L62" s="11"/>
      <c r="M62" s="18"/>
      <c r="N62" s="20"/>
      <c r="O62" s="10">
        <v>1</v>
      </c>
      <c r="P62" s="11"/>
      <c r="Q62" s="69">
        <f t="shared" si="544"/>
        <v>769</v>
      </c>
      <c r="R62" s="69">
        <f t="shared" si="545"/>
        <v>69</v>
      </c>
      <c r="S62" s="11">
        <v>560</v>
      </c>
      <c r="T62" s="12">
        <f t="shared" si="494"/>
        <v>0.74252275682704816</v>
      </c>
      <c r="U62" s="11">
        <v>11</v>
      </c>
      <c r="V62" s="12">
        <f t="shared" si="495"/>
        <v>1.9264448336252189E-2</v>
      </c>
      <c r="W62" s="11"/>
      <c r="X62" s="11"/>
      <c r="Y62" s="18"/>
      <c r="Z62" s="20"/>
      <c r="AA62" s="10"/>
      <c r="AB62" s="11"/>
      <c r="AC62" s="69">
        <f t="shared" si="546"/>
        <v>187</v>
      </c>
      <c r="AD62" s="69">
        <f t="shared" si="547"/>
        <v>15</v>
      </c>
      <c r="AE62" s="11">
        <v>134</v>
      </c>
      <c r="AF62" s="12">
        <f t="shared" si="496"/>
        <v>0.74331550802139035</v>
      </c>
      <c r="AG62" s="11">
        <v>5</v>
      </c>
      <c r="AH62" s="12">
        <f t="shared" si="497"/>
        <v>3.5971223021582732E-2</v>
      </c>
      <c r="AI62" s="11"/>
      <c r="AJ62" s="11"/>
      <c r="AK62" s="18"/>
      <c r="AL62" s="20"/>
      <c r="AM62" s="10">
        <v>1</v>
      </c>
      <c r="AN62" s="11"/>
      <c r="AO62" s="69">
        <f t="shared" si="548"/>
        <v>775</v>
      </c>
      <c r="AP62" s="69">
        <f t="shared" si="549"/>
        <v>69</v>
      </c>
      <c r="AQ62" s="11">
        <v>573</v>
      </c>
      <c r="AR62" s="12">
        <f t="shared" si="498"/>
        <v>0.76</v>
      </c>
      <c r="AS62" s="11">
        <v>16</v>
      </c>
      <c r="AT62" s="12">
        <f t="shared" si="499"/>
        <v>2.7164685908319185E-2</v>
      </c>
      <c r="AU62" s="11"/>
      <c r="AV62" s="11"/>
      <c r="AW62" s="18"/>
      <c r="AX62" s="20"/>
      <c r="AY62" s="10"/>
      <c r="AZ62" s="11"/>
      <c r="BA62" s="69">
        <f t="shared" si="550"/>
        <v>776</v>
      </c>
      <c r="BB62" s="69">
        <f t="shared" si="551"/>
        <v>69</v>
      </c>
      <c r="BC62" s="11">
        <v>585</v>
      </c>
      <c r="BD62" s="12">
        <f t="shared" si="500"/>
        <v>0.78350515463917525</v>
      </c>
      <c r="BE62" s="11">
        <v>23</v>
      </c>
      <c r="BF62" s="12">
        <f t="shared" si="501"/>
        <v>3.7828947368421052E-2</v>
      </c>
      <c r="BG62" s="11"/>
      <c r="BH62" s="11"/>
      <c r="BI62" s="18"/>
      <c r="BJ62" s="20"/>
      <c r="BK62" s="10"/>
      <c r="BL62" s="11"/>
      <c r="BM62" s="69">
        <f t="shared" si="552"/>
        <v>847</v>
      </c>
      <c r="BN62" s="69">
        <f t="shared" si="553"/>
        <v>77</v>
      </c>
      <c r="BO62" s="11">
        <v>624</v>
      </c>
      <c r="BP62" s="12">
        <f t="shared" si="502"/>
        <v>0.7497048406139315</v>
      </c>
      <c r="BQ62" s="11">
        <v>11</v>
      </c>
      <c r="BR62" s="12">
        <f t="shared" si="503"/>
        <v>1.7322834645669291E-2</v>
      </c>
      <c r="BS62" s="11"/>
      <c r="BT62" s="11"/>
      <c r="BU62" s="18"/>
      <c r="BV62" s="20"/>
      <c r="BW62" s="10"/>
      <c r="BX62" s="11"/>
      <c r="BY62" s="69">
        <f t="shared" si="554"/>
        <v>764</v>
      </c>
      <c r="BZ62" s="69">
        <f t="shared" si="555"/>
        <v>68</v>
      </c>
      <c r="CA62" s="11">
        <v>547</v>
      </c>
      <c r="CB62" s="12">
        <f t="shared" si="504"/>
        <v>0.73036649214659688</v>
      </c>
      <c r="CC62" s="11">
        <v>11</v>
      </c>
      <c r="CD62" s="12">
        <f t="shared" si="505"/>
        <v>1.9713261648745518E-2</v>
      </c>
      <c r="CE62" s="11"/>
      <c r="CF62" s="11"/>
      <c r="CG62" s="18"/>
      <c r="CH62" s="20"/>
      <c r="CI62" s="10"/>
      <c r="CJ62" s="11"/>
      <c r="CK62" s="69">
        <f t="shared" si="556"/>
        <v>189</v>
      </c>
      <c r="CL62" s="69">
        <f t="shared" si="557"/>
        <v>17</v>
      </c>
      <c r="CM62" s="11">
        <v>111</v>
      </c>
      <c r="CN62" s="12">
        <f t="shared" si="506"/>
        <v>0.60846560846560849</v>
      </c>
      <c r="CO62" s="11">
        <v>4</v>
      </c>
      <c r="CP62" s="12">
        <f t="shared" si="507"/>
        <v>3.4782608695652174E-2</v>
      </c>
      <c r="CQ62" s="11"/>
      <c r="CR62" s="11"/>
      <c r="CS62" s="18"/>
      <c r="CT62" s="20"/>
      <c r="CU62" s="10"/>
      <c r="CV62" s="11"/>
      <c r="CW62" s="69">
        <f t="shared" si="558"/>
        <v>762</v>
      </c>
      <c r="CX62" s="69">
        <f t="shared" si="559"/>
        <v>70</v>
      </c>
      <c r="CY62" s="11">
        <v>557</v>
      </c>
      <c r="CZ62" s="12">
        <f t="shared" si="508"/>
        <v>0.74015748031496065</v>
      </c>
      <c r="DA62" s="11">
        <v>7</v>
      </c>
      <c r="DB62" s="12">
        <f t="shared" si="509"/>
        <v>1.2411347517730497E-2</v>
      </c>
      <c r="DC62" s="11"/>
      <c r="DD62" s="11"/>
      <c r="DE62" s="18"/>
      <c r="DF62" s="20"/>
      <c r="DG62" s="10"/>
      <c r="DH62" s="11"/>
      <c r="DI62" s="69">
        <f t="shared" si="560"/>
        <v>767</v>
      </c>
      <c r="DJ62" s="69">
        <f t="shared" si="561"/>
        <v>70</v>
      </c>
      <c r="DK62" s="11">
        <v>595</v>
      </c>
      <c r="DL62" s="12">
        <f t="shared" si="510"/>
        <v>0.79921773142112129</v>
      </c>
      <c r="DM62" s="11">
        <v>18</v>
      </c>
      <c r="DN62" s="12">
        <f t="shared" si="511"/>
        <v>2.936378466557912E-2</v>
      </c>
      <c r="DO62" s="11"/>
      <c r="DP62" s="11"/>
      <c r="DQ62" s="18"/>
      <c r="DR62" s="20"/>
      <c r="DS62" s="10"/>
      <c r="DT62" s="11"/>
      <c r="DU62" s="69">
        <f t="shared" si="562"/>
        <v>864</v>
      </c>
      <c r="DV62" s="69">
        <f t="shared" si="563"/>
        <v>78</v>
      </c>
      <c r="DW62" s="11">
        <v>645</v>
      </c>
      <c r="DX62" s="12">
        <f t="shared" si="512"/>
        <v>0.77083333333333337</v>
      </c>
      <c r="DY62" s="11">
        <v>21</v>
      </c>
      <c r="DZ62" s="12">
        <f t="shared" si="513"/>
        <v>3.1531531531531529E-2</v>
      </c>
      <c r="EA62" s="11"/>
      <c r="EB62" s="11"/>
      <c r="EC62" s="18"/>
      <c r="ED62" s="20"/>
      <c r="EE62" s="10"/>
      <c r="EF62" s="11"/>
      <c r="EG62" s="69">
        <f t="shared" si="564"/>
        <v>866</v>
      </c>
      <c r="EH62" s="69">
        <f t="shared" si="565"/>
        <v>79</v>
      </c>
      <c r="EI62" s="11">
        <v>645</v>
      </c>
      <c r="EJ62" s="12">
        <f t="shared" si="514"/>
        <v>0.77713625866050806</v>
      </c>
      <c r="EK62" s="11">
        <v>28</v>
      </c>
      <c r="EL62" s="12">
        <f t="shared" si="515"/>
        <v>4.1604754829123326E-2</v>
      </c>
      <c r="EM62" s="11"/>
      <c r="EN62" s="11"/>
      <c r="EO62" s="18"/>
      <c r="EP62" s="20"/>
      <c r="EQ62" s="10"/>
      <c r="ER62" s="11"/>
      <c r="ES62" s="69">
        <f t="shared" si="566"/>
        <v>205</v>
      </c>
      <c r="ET62" s="69">
        <f t="shared" si="567"/>
        <v>16</v>
      </c>
      <c r="EU62" s="11">
        <v>141</v>
      </c>
      <c r="EV62" s="12">
        <f t="shared" si="516"/>
        <v>0.70731707317073167</v>
      </c>
      <c r="EW62" s="11">
        <v>4</v>
      </c>
      <c r="EX62" s="12">
        <f t="shared" si="517"/>
        <v>2.7586206896551724E-2</v>
      </c>
      <c r="EY62" s="11"/>
      <c r="EZ62" s="11"/>
      <c r="FA62" s="18"/>
      <c r="FB62" s="20"/>
      <c r="FC62" s="10"/>
      <c r="FD62" s="11"/>
      <c r="FE62" s="69">
        <f t="shared" si="568"/>
        <v>867</v>
      </c>
      <c r="FF62" s="69">
        <f t="shared" si="569"/>
        <v>78</v>
      </c>
      <c r="FG62" s="11">
        <v>680</v>
      </c>
      <c r="FH62" s="12">
        <f t="shared" si="518"/>
        <v>0.79354094579008072</v>
      </c>
      <c r="FI62" s="11">
        <v>8</v>
      </c>
      <c r="FJ62" s="12">
        <f t="shared" si="519"/>
        <v>1.1627906976744186E-2</v>
      </c>
      <c r="FK62" s="11"/>
      <c r="FL62" s="11"/>
      <c r="FM62" s="18"/>
      <c r="FN62" s="20"/>
      <c r="FO62" s="10"/>
      <c r="FP62" s="11"/>
      <c r="FQ62" s="69">
        <f t="shared" si="570"/>
        <v>909</v>
      </c>
      <c r="FR62" s="69">
        <f t="shared" si="571"/>
        <v>81</v>
      </c>
      <c r="FS62" s="11">
        <v>669</v>
      </c>
      <c r="FT62" s="12">
        <f t="shared" si="520"/>
        <v>0.75907590759075905</v>
      </c>
      <c r="FU62" s="11">
        <v>21</v>
      </c>
      <c r="FV62" s="12">
        <f t="shared" si="521"/>
        <v>3.0434782608695653E-2</v>
      </c>
      <c r="FW62" s="11"/>
      <c r="FX62" s="11"/>
      <c r="FY62" s="18"/>
      <c r="FZ62" s="20"/>
      <c r="GA62" s="10"/>
      <c r="GB62" s="11"/>
      <c r="GC62" s="69">
        <f t="shared" si="572"/>
        <v>906</v>
      </c>
      <c r="GD62" s="69">
        <f t="shared" si="573"/>
        <v>82</v>
      </c>
      <c r="GE62" s="11">
        <v>628</v>
      </c>
      <c r="GF62" s="12">
        <f t="shared" si="522"/>
        <v>0.71081677704194257</v>
      </c>
      <c r="GG62" s="11">
        <v>16</v>
      </c>
      <c r="GH62" s="12">
        <f t="shared" si="523"/>
        <v>2.4844720496894408E-2</v>
      </c>
      <c r="GI62" s="11"/>
      <c r="GJ62" s="11"/>
      <c r="GK62" s="18"/>
      <c r="GL62" s="20"/>
      <c r="GM62" s="10"/>
      <c r="GN62" s="11"/>
      <c r="GO62" s="69">
        <f t="shared" si="574"/>
        <v>193</v>
      </c>
      <c r="GP62" s="69">
        <f t="shared" si="575"/>
        <v>17</v>
      </c>
      <c r="GQ62" s="11">
        <v>142</v>
      </c>
      <c r="GR62" s="12">
        <f t="shared" si="524"/>
        <v>0.772020725388601</v>
      </c>
      <c r="GS62" s="11">
        <v>7</v>
      </c>
      <c r="GT62" s="12">
        <f t="shared" si="525"/>
        <v>4.6979865771812082E-2</v>
      </c>
      <c r="GU62" s="11"/>
      <c r="GV62" s="11"/>
      <c r="GW62" s="18"/>
      <c r="GX62" s="20"/>
      <c r="GY62" s="10"/>
      <c r="GZ62" s="11"/>
      <c r="HA62" s="69">
        <f t="shared" si="576"/>
        <v>911</v>
      </c>
      <c r="HB62" s="69">
        <f t="shared" si="577"/>
        <v>82</v>
      </c>
      <c r="HC62" s="11">
        <v>678</v>
      </c>
      <c r="HD62" s="12">
        <f t="shared" si="526"/>
        <v>0.76070252469813393</v>
      </c>
      <c r="HE62" s="11">
        <v>15</v>
      </c>
      <c r="HF62" s="12">
        <f t="shared" si="527"/>
        <v>2.1645021645021644E-2</v>
      </c>
      <c r="HG62" s="11"/>
      <c r="HH62" s="11"/>
      <c r="HI62" s="18"/>
      <c r="HJ62" s="20"/>
      <c r="HK62" s="10">
        <f t="shared" si="528"/>
        <v>3</v>
      </c>
      <c r="HL62" s="11">
        <f t="shared" si="529"/>
        <v>0</v>
      </c>
      <c r="HM62" s="11">
        <f t="shared" si="530"/>
        <v>12403</v>
      </c>
      <c r="HN62" s="11">
        <f t="shared" si="531"/>
        <v>1112</v>
      </c>
      <c r="HO62" s="11">
        <f t="shared" si="532"/>
        <v>9380</v>
      </c>
      <c r="HP62" s="95">
        <f t="shared" si="533"/>
        <v>0.75626864468273802</v>
      </c>
      <c r="HQ62" s="15">
        <f t="shared" si="534"/>
        <v>238</v>
      </c>
      <c r="HR62" s="12">
        <f t="shared" si="535"/>
        <v>2.5373134328358207E-2</v>
      </c>
      <c r="HS62" s="16">
        <v>56.2</v>
      </c>
      <c r="HT62" s="17">
        <v>8949</v>
      </c>
      <c r="HU62" s="16">
        <f t="shared" si="536"/>
        <v>95.405117270788907</v>
      </c>
      <c r="HV62" s="18"/>
      <c r="HW62" s="20"/>
      <c r="HX62" s="73">
        <f t="shared" si="537"/>
        <v>0.75961825231136293</v>
      </c>
      <c r="HY62" s="73">
        <f t="shared" si="538"/>
        <v>0.74647041153499549</v>
      </c>
      <c r="HZ62" s="73">
        <f t="shared" si="539"/>
        <v>0.77516059957173444</v>
      </c>
      <c r="IA62" s="73">
        <f t="shared" si="540"/>
        <v>0.7454607742377527</v>
      </c>
    </row>
    <row r="63" spans="1:244" x14ac:dyDescent="0.25">
      <c r="A63" s="374"/>
      <c r="B63" s="41">
        <f>+B62+1</f>
        <v>44987</v>
      </c>
      <c r="C63" s="10"/>
      <c r="D63" s="11"/>
      <c r="E63" s="69">
        <f t="shared" si="542"/>
        <v>846</v>
      </c>
      <c r="F63" s="69">
        <f t="shared" si="542"/>
        <v>75</v>
      </c>
      <c r="G63" s="11">
        <v>655</v>
      </c>
      <c r="H63" s="12">
        <f t="shared" si="493"/>
        <v>0.79314420803782504</v>
      </c>
      <c r="I63" s="11">
        <v>16</v>
      </c>
      <c r="J63" s="12">
        <f t="shared" si="543"/>
        <v>2.3845007451564829E-2</v>
      </c>
      <c r="K63" s="13"/>
      <c r="L63" s="13"/>
      <c r="M63" s="25">
        <v>3870</v>
      </c>
      <c r="N63" s="38">
        <v>4175</v>
      </c>
      <c r="O63" s="10"/>
      <c r="P63" s="11"/>
      <c r="Q63" s="69">
        <f t="shared" si="544"/>
        <v>769</v>
      </c>
      <c r="R63" s="69">
        <f t="shared" si="545"/>
        <v>69</v>
      </c>
      <c r="S63" s="11">
        <v>556</v>
      </c>
      <c r="T63" s="12">
        <f t="shared" si="494"/>
        <v>0.74382314694408325</v>
      </c>
      <c r="U63" s="11">
        <v>16</v>
      </c>
      <c r="V63" s="12">
        <f t="shared" si="495"/>
        <v>2.7972027972027972E-2</v>
      </c>
      <c r="W63" s="13"/>
      <c r="X63" s="13"/>
      <c r="Y63" s="25">
        <v>3870</v>
      </c>
      <c r="Z63" s="38">
        <v>4175</v>
      </c>
      <c r="AA63" s="10"/>
      <c r="AB63" s="11"/>
      <c r="AC63" s="69">
        <f t="shared" si="546"/>
        <v>187</v>
      </c>
      <c r="AD63" s="69">
        <f t="shared" si="547"/>
        <v>15</v>
      </c>
      <c r="AE63" s="11">
        <v>125</v>
      </c>
      <c r="AF63" s="12">
        <f t="shared" si="496"/>
        <v>0.68449197860962563</v>
      </c>
      <c r="AG63" s="11">
        <v>3</v>
      </c>
      <c r="AH63" s="12">
        <f t="shared" si="497"/>
        <v>2.34375E-2</v>
      </c>
      <c r="AI63" s="13"/>
      <c r="AJ63" s="13"/>
      <c r="AK63" s="25">
        <v>3870</v>
      </c>
      <c r="AL63" s="38">
        <v>4175</v>
      </c>
      <c r="AM63" s="10"/>
      <c r="AN63" s="11"/>
      <c r="AO63" s="69">
        <f t="shared" si="548"/>
        <v>775</v>
      </c>
      <c r="AP63" s="69">
        <f t="shared" si="549"/>
        <v>69</v>
      </c>
      <c r="AQ63" s="11">
        <v>572</v>
      </c>
      <c r="AR63" s="12">
        <f t="shared" si="498"/>
        <v>0.75612903225806449</v>
      </c>
      <c r="AS63" s="11">
        <v>14</v>
      </c>
      <c r="AT63" s="12">
        <f t="shared" si="499"/>
        <v>2.3890784982935155E-2</v>
      </c>
      <c r="AU63" s="13"/>
      <c r="AV63" s="13"/>
      <c r="AW63" s="25">
        <v>3870</v>
      </c>
      <c r="AX63" s="38">
        <v>4175</v>
      </c>
      <c r="AY63" s="10"/>
      <c r="AZ63" s="11"/>
      <c r="BA63" s="69">
        <f t="shared" si="550"/>
        <v>776</v>
      </c>
      <c r="BB63" s="69">
        <f t="shared" si="551"/>
        <v>69</v>
      </c>
      <c r="BC63" s="11">
        <v>586</v>
      </c>
      <c r="BD63" s="12">
        <f t="shared" si="500"/>
        <v>0.77963917525773196</v>
      </c>
      <c r="BE63" s="11">
        <v>19</v>
      </c>
      <c r="BF63" s="12">
        <f t="shared" si="501"/>
        <v>3.1404958677685953E-2</v>
      </c>
      <c r="BG63" s="13"/>
      <c r="BH63" s="13"/>
      <c r="BI63" s="25">
        <v>3870</v>
      </c>
      <c r="BJ63" s="38">
        <v>4175</v>
      </c>
      <c r="BK63" s="10"/>
      <c r="BL63" s="11"/>
      <c r="BM63" s="69">
        <f t="shared" si="552"/>
        <v>847</v>
      </c>
      <c r="BN63" s="69">
        <f t="shared" si="553"/>
        <v>77</v>
      </c>
      <c r="BO63" s="11">
        <v>645</v>
      </c>
      <c r="BP63" s="12">
        <f t="shared" si="502"/>
        <v>0.77449822904368359</v>
      </c>
      <c r="BQ63" s="11">
        <v>11</v>
      </c>
      <c r="BR63" s="12">
        <f t="shared" si="503"/>
        <v>1.676829268292683E-2</v>
      </c>
      <c r="BS63" s="13"/>
      <c r="BT63" s="13"/>
      <c r="BU63" s="25">
        <v>3870</v>
      </c>
      <c r="BV63" s="38">
        <v>4175</v>
      </c>
      <c r="BW63" s="10"/>
      <c r="BX63" s="11"/>
      <c r="BY63" s="69">
        <f t="shared" si="554"/>
        <v>764</v>
      </c>
      <c r="BZ63" s="69">
        <f t="shared" si="555"/>
        <v>68</v>
      </c>
      <c r="CA63" s="11">
        <v>557</v>
      </c>
      <c r="CB63" s="12">
        <f t="shared" si="504"/>
        <v>0.75</v>
      </c>
      <c r="CC63" s="11">
        <v>16</v>
      </c>
      <c r="CD63" s="12">
        <f t="shared" si="505"/>
        <v>2.7923211169284468E-2</v>
      </c>
      <c r="CE63" s="13"/>
      <c r="CF63" s="13"/>
      <c r="CG63" s="25">
        <v>3870</v>
      </c>
      <c r="CH63" s="38">
        <v>4175</v>
      </c>
      <c r="CI63" s="10"/>
      <c r="CJ63" s="11"/>
      <c r="CK63" s="69">
        <f t="shared" si="556"/>
        <v>189</v>
      </c>
      <c r="CL63" s="69">
        <f t="shared" si="557"/>
        <v>17</v>
      </c>
      <c r="CM63" s="11">
        <v>123</v>
      </c>
      <c r="CN63" s="12">
        <f t="shared" si="506"/>
        <v>0.68253968253968256</v>
      </c>
      <c r="CO63" s="11">
        <v>6</v>
      </c>
      <c r="CP63" s="12">
        <f t="shared" si="507"/>
        <v>4.6511627906976744E-2</v>
      </c>
      <c r="CQ63" s="13"/>
      <c r="CR63" s="13"/>
      <c r="CS63" s="25">
        <v>3870</v>
      </c>
      <c r="CT63" s="38">
        <v>4175</v>
      </c>
      <c r="CU63" s="10"/>
      <c r="CV63" s="11"/>
      <c r="CW63" s="69">
        <f t="shared" si="558"/>
        <v>762</v>
      </c>
      <c r="CX63" s="69">
        <f t="shared" si="559"/>
        <v>70</v>
      </c>
      <c r="CY63" s="11">
        <v>572</v>
      </c>
      <c r="CZ63" s="12">
        <f t="shared" si="508"/>
        <v>0.76509186351706038</v>
      </c>
      <c r="DA63" s="11">
        <v>11</v>
      </c>
      <c r="DB63" s="12">
        <f t="shared" si="509"/>
        <v>1.8867924528301886E-2</v>
      </c>
      <c r="DC63" s="13"/>
      <c r="DD63" s="13"/>
      <c r="DE63" s="25">
        <v>3870</v>
      </c>
      <c r="DF63" s="38">
        <v>4175</v>
      </c>
      <c r="DG63" s="10">
        <v>1</v>
      </c>
      <c r="DH63" s="11"/>
      <c r="DI63" s="69">
        <f t="shared" si="560"/>
        <v>766</v>
      </c>
      <c r="DJ63" s="69">
        <f t="shared" si="561"/>
        <v>70</v>
      </c>
      <c r="DK63" s="11">
        <v>599</v>
      </c>
      <c r="DL63" s="12">
        <f t="shared" si="510"/>
        <v>0.80678851174934729</v>
      </c>
      <c r="DM63" s="11">
        <v>19</v>
      </c>
      <c r="DN63" s="12">
        <f t="shared" si="511"/>
        <v>3.0744336569579287E-2</v>
      </c>
      <c r="DO63" s="13"/>
      <c r="DP63" s="13"/>
      <c r="DQ63" s="25">
        <v>3870</v>
      </c>
      <c r="DR63" s="38">
        <v>4175</v>
      </c>
      <c r="DS63" s="10">
        <v>1</v>
      </c>
      <c r="DT63" s="11"/>
      <c r="DU63" s="69">
        <f t="shared" si="562"/>
        <v>863</v>
      </c>
      <c r="DV63" s="69">
        <f t="shared" si="563"/>
        <v>78</v>
      </c>
      <c r="DW63" s="11">
        <v>681</v>
      </c>
      <c r="DX63" s="12">
        <f t="shared" si="512"/>
        <v>0.8076477404403245</v>
      </c>
      <c r="DY63" s="11">
        <v>16</v>
      </c>
      <c r="DZ63" s="12">
        <f t="shared" si="513"/>
        <v>2.2955523672883789E-2</v>
      </c>
      <c r="EA63" s="13"/>
      <c r="EB63" s="13"/>
      <c r="EC63" s="25">
        <v>3870</v>
      </c>
      <c r="ED63" s="38">
        <v>4175</v>
      </c>
      <c r="EE63" s="10">
        <v>1</v>
      </c>
      <c r="EF63" s="11"/>
      <c r="EG63" s="69">
        <f t="shared" si="564"/>
        <v>865</v>
      </c>
      <c r="EH63" s="69">
        <f t="shared" si="565"/>
        <v>79</v>
      </c>
      <c r="EI63" s="11">
        <v>669</v>
      </c>
      <c r="EJ63" s="12">
        <f t="shared" si="514"/>
        <v>0.79653179190751444</v>
      </c>
      <c r="EK63" s="11">
        <v>20</v>
      </c>
      <c r="EL63" s="12">
        <f t="shared" si="515"/>
        <v>2.9027576197387519E-2</v>
      </c>
      <c r="EM63" s="13"/>
      <c r="EN63" s="13"/>
      <c r="EO63" s="25">
        <v>3870</v>
      </c>
      <c r="EP63" s="38">
        <v>4175</v>
      </c>
      <c r="EQ63" s="10"/>
      <c r="ER63" s="11"/>
      <c r="ES63" s="69">
        <f t="shared" si="566"/>
        <v>205</v>
      </c>
      <c r="ET63" s="69">
        <f t="shared" si="567"/>
        <v>16</v>
      </c>
      <c r="EU63" s="11">
        <v>143</v>
      </c>
      <c r="EV63" s="12">
        <f t="shared" si="516"/>
        <v>0.70731707317073167</v>
      </c>
      <c r="EW63" s="11">
        <v>2</v>
      </c>
      <c r="EX63" s="12">
        <f t="shared" si="517"/>
        <v>1.3793103448275862E-2</v>
      </c>
      <c r="EY63" s="13"/>
      <c r="EZ63" s="13"/>
      <c r="FA63" s="25">
        <v>3870</v>
      </c>
      <c r="FB63" s="38">
        <v>4175</v>
      </c>
      <c r="FC63" s="10"/>
      <c r="FD63" s="11"/>
      <c r="FE63" s="69">
        <f t="shared" si="568"/>
        <v>867</v>
      </c>
      <c r="FF63" s="69">
        <f t="shared" si="569"/>
        <v>78</v>
      </c>
      <c r="FG63" s="11">
        <v>680</v>
      </c>
      <c r="FH63" s="12">
        <f t="shared" si="518"/>
        <v>0.79469434832756636</v>
      </c>
      <c r="FI63" s="11">
        <v>9</v>
      </c>
      <c r="FJ63" s="12">
        <f t="shared" si="519"/>
        <v>1.3062409288824383E-2</v>
      </c>
      <c r="FK63" s="13"/>
      <c r="FL63" s="13"/>
      <c r="FM63" s="25">
        <v>3870</v>
      </c>
      <c r="FN63" s="38">
        <v>4175</v>
      </c>
      <c r="FO63" s="10"/>
      <c r="FP63" s="11"/>
      <c r="FQ63" s="69">
        <f t="shared" si="570"/>
        <v>909</v>
      </c>
      <c r="FR63" s="69">
        <f t="shared" si="571"/>
        <v>81</v>
      </c>
      <c r="FS63" s="11">
        <v>654</v>
      </c>
      <c r="FT63" s="12">
        <f t="shared" si="520"/>
        <v>0.74147414741474149</v>
      </c>
      <c r="FU63" s="11">
        <v>20</v>
      </c>
      <c r="FV63" s="12">
        <f t="shared" si="521"/>
        <v>2.967359050445104E-2</v>
      </c>
      <c r="FW63" s="13"/>
      <c r="FX63" s="13"/>
      <c r="FY63" s="25">
        <v>3870</v>
      </c>
      <c r="FZ63" s="38">
        <v>4175</v>
      </c>
      <c r="GA63" s="10"/>
      <c r="GB63" s="11"/>
      <c r="GC63" s="69">
        <f t="shared" si="572"/>
        <v>906</v>
      </c>
      <c r="GD63" s="69">
        <f t="shared" si="573"/>
        <v>82</v>
      </c>
      <c r="GE63" s="11">
        <v>655</v>
      </c>
      <c r="GF63" s="12">
        <f t="shared" si="522"/>
        <v>0.74282560706401768</v>
      </c>
      <c r="GG63" s="11">
        <v>18</v>
      </c>
      <c r="GH63" s="12">
        <f t="shared" si="523"/>
        <v>2.6745913818722138E-2</v>
      </c>
      <c r="GI63" s="13"/>
      <c r="GJ63" s="13"/>
      <c r="GK63" s="25">
        <v>3870</v>
      </c>
      <c r="GL63" s="38">
        <v>4175</v>
      </c>
      <c r="GM63" s="10"/>
      <c r="GN63" s="11"/>
      <c r="GO63" s="69">
        <f t="shared" si="574"/>
        <v>193</v>
      </c>
      <c r="GP63" s="69">
        <f t="shared" si="575"/>
        <v>17</v>
      </c>
      <c r="GQ63" s="11">
        <v>140</v>
      </c>
      <c r="GR63" s="12">
        <f t="shared" si="524"/>
        <v>0.7409326424870466</v>
      </c>
      <c r="GS63" s="11">
        <v>3</v>
      </c>
      <c r="GT63" s="12">
        <f t="shared" si="525"/>
        <v>2.097902097902098E-2</v>
      </c>
      <c r="GU63" s="13"/>
      <c r="GV63" s="13"/>
      <c r="GW63" s="25">
        <v>3870</v>
      </c>
      <c r="GX63" s="38">
        <v>4175</v>
      </c>
      <c r="GY63" s="10"/>
      <c r="GZ63" s="11"/>
      <c r="HA63" s="69">
        <f t="shared" si="576"/>
        <v>911</v>
      </c>
      <c r="HB63" s="69">
        <f t="shared" si="577"/>
        <v>82</v>
      </c>
      <c r="HC63" s="11">
        <v>696</v>
      </c>
      <c r="HD63" s="12">
        <f t="shared" si="526"/>
        <v>0.77058177826564211</v>
      </c>
      <c r="HE63" s="11">
        <v>6</v>
      </c>
      <c r="HF63" s="12">
        <f t="shared" si="527"/>
        <v>8.5470085470085479E-3</v>
      </c>
      <c r="HG63" s="13"/>
      <c r="HH63" s="13"/>
      <c r="HI63" s="25">
        <v>3870</v>
      </c>
      <c r="HJ63" s="38">
        <v>4175</v>
      </c>
      <c r="HK63" s="10">
        <f t="shared" si="528"/>
        <v>3</v>
      </c>
      <c r="HL63" s="11">
        <f t="shared" si="529"/>
        <v>0</v>
      </c>
      <c r="HM63" s="11">
        <f t="shared" si="530"/>
        <v>12400</v>
      </c>
      <c r="HN63" s="11">
        <f t="shared" si="531"/>
        <v>1112</v>
      </c>
      <c r="HO63" s="11">
        <f t="shared" si="532"/>
        <v>9533</v>
      </c>
      <c r="HP63" s="95">
        <f t="shared" si="533"/>
        <v>0.76879032258064517</v>
      </c>
      <c r="HQ63" s="15">
        <f t="shared" si="534"/>
        <v>225</v>
      </c>
      <c r="HR63" s="12">
        <f t="shared" si="535"/>
        <v>2.3602223853980909E-2</v>
      </c>
      <c r="HS63" s="16">
        <v>56.3</v>
      </c>
      <c r="HT63" s="17">
        <v>9112</v>
      </c>
      <c r="HU63" s="16">
        <f t="shared" si="536"/>
        <v>95.583761669988462</v>
      </c>
      <c r="HV63" s="23">
        <v>3870</v>
      </c>
      <c r="HW63" s="22">
        <v>4175</v>
      </c>
      <c r="HX63" s="73">
        <f t="shared" si="537"/>
        <v>0.76409185803757829</v>
      </c>
      <c r="HY63" s="73">
        <f t="shared" si="538"/>
        <v>0.76893028846153844</v>
      </c>
      <c r="HZ63" s="73">
        <f t="shared" si="539"/>
        <v>0.79285714285714282</v>
      </c>
      <c r="IA63" s="73">
        <f t="shared" si="540"/>
        <v>0.75094210346008905</v>
      </c>
    </row>
    <row r="64" spans="1:244" x14ac:dyDescent="0.25">
      <c r="A64" s="374"/>
      <c r="B64" s="41">
        <f t="shared" si="541"/>
        <v>44988</v>
      </c>
      <c r="C64" s="10"/>
      <c r="D64" s="11"/>
      <c r="E64" s="69">
        <f t="shared" si="542"/>
        <v>846</v>
      </c>
      <c r="F64" s="69">
        <f t="shared" si="542"/>
        <v>75</v>
      </c>
      <c r="G64" s="11">
        <v>638</v>
      </c>
      <c r="H64" s="12">
        <f t="shared" si="493"/>
        <v>0.77304964539007093</v>
      </c>
      <c r="I64" s="11">
        <v>16</v>
      </c>
      <c r="J64" s="12">
        <f t="shared" si="543"/>
        <v>2.4464831804281346E-2</v>
      </c>
      <c r="K64" s="13"/>
      <c r="L64" s="11"/>
      <c r="M64" s="25">
        <v>4142.272727272727</v>
      </c>
      <c r="N64" s="38">
        <v>4277.1428571428569</v>
      </c>
      <c r="O64" s="10"/>
      <c r="P64" s="11"/>
      <c r="Q64" s="69">
        <f t="shared" si="544"/>
        <v>769</v>
      </c>
      <c r="R64" s="69">
        <f t="shared" si="545"/>
        <v>69</v>
      </c>
      <c r="S64" s="11">
        <v>594</v>
      </c>
      <c r="T64" s="12">
        <f t="shared" si="494"/>
        <v>0.78153446033810148</v>
      </c>
      <c r="U64" s="11">
        <v>7</v>
      </c>
      <c r="V64" s="12">
        <f t="shared" si="495"/>
        <v>1.1647254575707155E-2</v>
      </c>
      <c r="W64" s="13"/>
      <c r="X64" s="11"/>
      <c r="Y64" s="25">
        <v>4259.7058823529414</v>
      </c>
      <c r="Z64" s="38">
        <v>4317.272727272727</v>
      </c>
      <c r="AA64" s="10">
        <v>2</v>
      </c>
      <c r="AB64" s="11"/>
      <c r="AC64" s="69">
        <f t="shared" si="546"/>
        <v>185</v>
      </c>
      <c r="AD64" s="69">
        <f t="shared" si="547"/>
        <v>15</v>
      </c>
      <c r="AE64" s="11">
        <v>129</v>
      </c>
      <c r="AF64" s="12">
        <f t="shared" si="496"/>
        <v>0.70270270270270274</v>
      </c>
      <c r="AG64" s="11">
        <v>1</v>
      </c>
      <c r="AH64" s="12">
        <f t="shared" si="497"/>
        <v>7.6923076923076927E-3</v>
      </c>
      <c r="AI64" s="13"/>
      <c r="AJ64" s="11"/>
      <c r="AK64" s="25">
        <v>4181</v>
      </c>
      <c r="AL64" s="38">
        <v>4436</v>
      </c>
      <c r="AM64" s="10"/>
      <c r="AN64" s="11"/>
      <c r="AO64" s="69">
        <f t="shared" si="548"/>
        <v>775</v>
      </c>
      <c r="AP64" s="69">
        <f t="shared" si="549"/>
        <v>69</v>
      </c>
      <c r="AQ64" s="11">
        <v>559</v>
      </c>
      <c r="AR64" s="12">
        <f t="shared" si="498"/>
        <v>0.73548387096774193</v>
      </c>
      <c r="AS64" s="11">
        <v>11</v>
      </c>
      <c r="AT64" s="12">
        <f t="shared" si="499"/>
        <v>1.9298245614035089E-2</v>
      </c>
      <c r="AU64" s="13"/>
      <c r="AV64" s="11"/>
      <c r="AW64" s="25">
        <v>4240.588235294118</v>
      </c>
      <c r="AX64" s="38">
        <v>4368.333333333333</v>
      </c>
      <c r="AY64" s="10"/>
      <c r="AZ64" s="11"/>
      <c r="BA64" s="69">
        <f t="shared" si="550"/>
        <v>776</v>
      </c>
      <c r="BB64" s="69">
        <f t="shared" si="551"/>
        <v>69</v>
      </c>
      <c r="BC64" s="11">
        <v>571</v>
      </c>
      <c r="BD64" s="12">
        <f t="shared" si="500"/>
        <v>0.75644329896907214</v>
      </c>
      <c r="BE64" s="11">
        <v>16</v>
      </c>
      <c r="BF64" s="12">
        <f t="shared" si="501"/>
        <v>2.7257240204429302E-2</v>
      </c>
      <c r="BG64" s="13"/>
      <c r="BH64" s="11"/>
      <c r="BI64" s="25">
        <v>4330.2777777777774</v>
      </c>
      <c r="BJ64" s="38">
        <v>4480.666666666667</v>
      </c>
      <c r="BK64" s="10">
        <v>1</v>
      </c>
      <c r="BL64" s="11"/>
      <c r="BM64" s="69">
        <f t="shared" si="552"/>
        <v>846</v>
      </c>
      <c r="BN64" s="69">
        <f t="shared" si="553"/>
        <v>77</v>
      </c>
      <c r="BO64" s="11">
        <v>626</v>
      </c>
      <c r="BP64" s="12">
        <f t="shared" si="502"/>
        <v>0.75531914893617025</v>
      </c>
      <c r="BQ64" s="11">
        <v>13</v>
      </c>
      <c r="BR64" s="12">
        <f t="shared" si="503"/>
        <v>2.0344287949921751E-2</v>
      </c>
      <c r="BS64" s="13"/>
      <c r="BT64" s="11"/>
      <c r="BU64" s="25">
        <v>4105.6410256410254</v>
      </c>
      <c r="BV64" s="38">
        <v>4364</v>
      </c>
      <c r="BW64" s="10"/>
      <c r="BX64" s="11"/>
      <c r="BY64" s="69">
        <f t="shared" si="554"/>
        <v>764</v>
      </c>
      <c r="BZ64" s="69">
        <f t="shared" si="555"/>
        <v>68</v>
      </c>
      <c r="CA64" s="11">
        <v>518</v>
      </c>
      <c r="CB64" s="12">
        <f t="shared" si="504"/>
        <v>0.68717277486910999</v>
      </c>
      <c r="CC64" s="11">
        <v>7</v>
      </c>
      <c r="CD64" s="12">
        <f t="shared" si="505"/>
        <v>1.3333333333333334E-2</v>
      </c>
      <c r="CE64" s="13"/>
      <c r="CF64" s="11"/>
      <c r="CG64" s="25">
        <v>4299.69696969697</v>
      </c>
      <c r="CH64" s="38">
        <v>4424.2857142857147</v>
      </c>
      <c r="CI64" s="10"/>
      <c r="CJ64" s="11"/>
      <c r="CK64" s="69">
        <f t="shared" si="556"/>
        <v>189</v>
      </c>
      <c r="CL64" s="69">
        <f t="shared" si="557"/>
        <v>17</v>
      </c>
      <c r="CM64" s="11">
        <v>106</v>
      </c>
      <c r="CN64" s="12">
        <f t="shared" si="506"/>
        <v>0.5714285714285714</v>
      </c>
      <c r="CO64" s="11">
        <v>2</v>
      </c>
      <c r="CP64" s="12">
        <f t="shared" si="507"/>
        <v>1.8518518518518517E-2</v>
      </c>
      <c r="CQ64" s="13"/>
      <c r="CR64" s="11"/>
      <c r="CS64" s="25">
        <v>4249.166666666667</v>
      </c>
      <c r="CT64" s="38">
        <v>4193.333333333333</v>
      </c>
      <c r="CU64" s="10"/>
      <c r="CV64" s="11"/>
      <c r="CW64" s="69">
        <f t="shared" si="558"/>
        <v>762</v>
      </c>
      <c r="CX64" s="69">
        <f t="shared" si="559"/>
        <v>70</v>
      </c>
      <c r="CY64" s="11">
        <v>565</v>
      </c>
      <c r="CZ64" s="12">
        <f t="shared" si="508"/>
        <v>0.75459317585301833</v>
      </c>
      <c r="DA64" s="11">
        <v>10</v>
      </c>
      <c r="DB64" s="12">
        <f t="shared" si="509"/>
        <v>1.7391304347826087E-2</v>
      </c>
      <c r="DC64" s="13"/>
      <c r="DD64" s="11"/>
      <c r="DE64" s="25">
        <v>4253.4146341463411</v>
      </c>
      <c r="DF64" s="38">
        <v>4588.5714285714284</v>
      </c>
      <c r="DG64" s="10"/>
      <c r="DH64" s="11"/>
      <c r="DI64" s="69">
        <f t="shared" si="560"/>
        <v>766</v>
      </c>
      <c r="DJ64" s="69">
        <f t="shared" si="561"/>
        <v>70</v>
      </c>
      <c r="DK64" s="11">
        <v>587</v>
      </c>
      <c r="DL64" s="12">
        <f t="shared" si="510"/>
        <v>0.78198433420365532</v>
      </c>
      <c r="DM64" s="11">
        <v>12</v>
      </c>
      <c r="DN64" s="12">
        <f t="shared" si="511"/>
        <v>2.003338898163606E-2</v>
      </c>
      <c r="DO64" s="13"/>
      <c r="DP64" s="11"/>
      <c r="DQ64" s="25">
        <v>4362.6315789473683</v>
      </c>
      <c r="DR64" s="38">
        <v>4316.9230769230771</v>
      </c>
      <c r="DS64" s="10">
        <v>1</v>
      </c>
      <c r="DT64" s="11"/>
      <c r="DU64" s="69">
        <f t="shared" si="562"/>
        <v>862</v>
      </c>
      <c r="DV64" s="69">
        <f t="shared" si="563"/>
        <v>78</v>
      </c>
      <c r="DW64" s="11">
        <v>651</v>
      </c>
      <c r="DX64" s="12">
        <f t="shared" si="512"/>
        <v>0.77030162412993042</v>
      </c>
      <c r="DY64" s="11">
        <v>13</v>
      </c>
      <c r="DZ64" s="12">
        <f t="shared" si="513"/>
        <v>1.9578313253012049E-2</v>
      </c>
      <c r="EA64" s="13"/>
      <c r="EB64" s="11"/>
      <c r="EC64" s="25">
        <v>4149.7058823529414</v>
      </c>
      <c r="ED64" s="38">
        <v>4296.5</v>
      </c>
      <c r="EE64" s="10"/>
      <c r="EF64" s="11"/>
      <c r="EG64" s="69">
        <f t="shared" si="564"/>
        <v>865</v>
      </c>
      <c r="EH64" s="69">
        <f t="shared" si="565"/>
        <v>79</v>
      </c>
      <c r="EI64" s="11">
        <v>631</v>
      </c>
      <c r="EJ64" s="12">
        <f t="shared" si="514"/>
        <v>0.74913294797687857</v>
      </c>
      <c r="EK64" s="11">
        <v>17</v>
      </c>
      <c r="EL64" s="12">
        <f t="shared" si="515"/>
        <v>2.6234567901234566E-2</v>
      </c>
      <c r="EM64" s="13"/>
      <c r="EN64" s="11"/>
      <c r="EO64" s="25">
        <v>4227.3809523809523</v>
      </c>
      <c r="EP64" s="38">
        <v>4560.666666666667</v>
      </c>
      <c r="EQ64" s="10"/>
      <c r="ER64" s="11"/>
      <c r="ES64" s="69">
        <f t="shared" si="566"/>
        <v>205</v>
      </c>
      <c r="ET64" s="69">
        <f t="shared" si="567"/>
        <v>16</v>
      </c>
      <c r="EU64" s="11">
        <v>142</v>
      </c>
      <c r="EV64" s="12">
        <f t="shared" si="516"/>
        <v>0.70731707317073167</v>
      </c>
      <c r="EW64" s="11">
        <v>3</v>
      </c>
      <c r="EX64" s="12">
        <f t="shared" si="517"/>
        <v>2.0689655172413793E-2</v>
      </c>
      <c r="EY64" s="13"/>
      <c r="EZ64" s="11"/>
      <c r="FA64" s="25">
        <v>4265</v>
      </c>
      <c r="FB64" s="38">
        <v>4052.5</v>
      </c>
      <c r="FC64" s="10"/>
      <c r="FD64" s="11"/>
      <c r="FE64" s="69">
        <f t="shared" si="568"/>
        <v>867</v>
      </c>
      <c r="FF64" s="69">
        <f t="shared" si="569"/>
        <v>78</v>
      </c>
      <c r="FG64" s="11">
        <v>700</v>
      </c>
      <c r="FH64" s="12">
        <f t="shared" si="518"/>
        <v>0.81199538638985003</v>
      </c>
      <c r="FI64" s="11">
        <v>4</v>
      </c>
      <c r="FJ64" s="12">
        <f t="shared" si="519"/>
        <v>5.681818181818182E-3</v>
      </c>
      <c r="FK64" s="13"/>
      <c r="FL64" s="11"/>
      <c r="FM64" s="25">
        <v>4325.9523809523807</v>
      </c>
      <c r="FN64" s="38">
        <v>4363.8888888888887</v>
      </c>
      <c r="FO64" s="10"/>
      <c r="FP64" s="11"/>
      <c r="FQ64" s="69">
        <f t="shared" si="570"/>
        <v>909</v>
      </c>
      <c r="FR64" s="69">
        <f t="shared" si="571"/>
        <v>81</v>
      </c>
      <c r="FS64" s="11">
        <v>657</v>
      </c>
      <c r="FT64" s="12">
        <f t="shared" si="520"/>
        <v>0.74367436743674364</v>
      </c>
      <c r="FU64" s="11">
        <v>19</v>
      </c>
      <c r="FV64" s="12">
        <f t="shared" si="521"/>
        <v>2.8106508875739646E-2</v>
      </c>
      <c r="FW64" s="13"/>
      <c r="FX64" s="11"/>
      <c r="FY64" s="25">
        <v>4218.666666666667</v>
      </c>
      <c r="FZ64" s="38">
        <v>4415.625</v>
      </c>
      <c r="GA64" s="10">
        <v>1</v>
      </c>
      <c r="GB64" s="11"/>
      <c r="GC64" s="69">
        <f t="shared" si="572"/>
        <v>905</v>
      </c>
      <c r="GD64" s="69">
        <f t="shared" si="573"/>
        <v>82</v>
      </c>
      <c r="GE64" s="11">
        <v>641</v>
      </c>
      <c r="GF64" s="12">
        <f t="shared" si="522"/>
        <v>0.72707182320441988</v>
      </c>
      <c r="GG64" s="11">
        <v>17</v>
      </c>
      <c r="GH64" s="12">
        <f t="shared" si="523"/>
        <v>2.5835866261398176E-2</v>
      </c>
      <c r="GI64" s="13"/>
      <c r="GJ64" s="11"/>
      <c r="GK64" s="25">
        <v>4251.041666666667</v>
      </c>
      <c r="GL64" s="38">
        <v>4325.333333333333</v>
      </c>
      <c r="GM64" s="10"/>
      <c r="GN64" s="11"/>
      <c r="GO64" s="69">
        <f t="shared" si="574"/>
        <v>193</v>
      </c>
      <c r="GP64" s="69">
        <f t="shared" si="575"/>
        <v>17</v>
      </c>
      <c r="GQ64" s="11">
        <v>145</v>
      </c>
      <c r="GR64" s="12">
        <f t="shared" si="524"/>
        <v>0.75129533678756477</v>
      </c>
      <c r="GS64" s="11">
        <v>0</v>
      </c>
      <c r="GT64" s="12">
        <f t="shared" si="525"/>
        <v>0</v>
      </c>
      <c r="GU64" s="13"/>
      <c r="GV64" s="11"/>
      <c r="GW64" s="25">
        <v>4115.7142857142853</v>
      </c>
      <c r="GX64" s="38">
        <v>4074</v>
      </c>
      <c r="GY64" s="10"/>
      <c r="GZ64" s="11"/>
      <c r="HA64" s="69">
        <f t="shared" si="576"/>
        <v>911</v>
      </c>
      <c r="HB64" s="69">
        <f t="shared" si="577"/>
        <v>82</v>
      </c>
      <c r="HC64" s="11">
        <v>706</v>
      </c>
      <c r="HD64" s="12">
        <f t="shared" si="526"/>
        <v>0.79143798024149281</v>
      </c>
      <c r="HE64" s="11">
        <v>15</v>
      </c>
      <c r="HF64" s="12">
        <f t="shared" si="527"/>
        <v>2.0804438280166437E-2</v>
      </c>
      <c r="HG64" s="13"/>
      <c r="HH64" s="11"/>
      <c r="HI64" s="25">
        <v>4097.333333333333</v>
      </c>
      <c r="HJ64" s="38">
        <v>4544.375</v>
      </c>
      <c r="HK64" s="10">
        <f t="shared" si="528"/>
        <v>5</v>
      </c>
      <c r="HL64" s="11">
        <f t="shared" si="529"/>
        <v>0</v>
      </c>
      <c r="HM64" s="11">
        <f t="shared" si="530"/>
        <v>12395</v>
      </c>
      <c r="HN64" s="11">
        <f t="shared" si="531"/>
        <v>1112</v>
      </c>
      <c r="HO64" s="11">
        <f t="shared" si="532"/>
        <v>9349</v>
      </c>
      <c r="HP64" s="95">
        <f t="shared" si="533"/>
        <v>0.75425574828559905</v>
      </c>
      <c r="HQ64" s="15">
        <f t="shared" si="534"/>
        <v>183</v>
      </c>
      <c r="HR64" s="12">
        <f t="shared" si="535"/>
        <v>1.9574286019895176E-2</v>
      </c>
      <c r="HS64" s="16">
        <v>57.1</v>
      </c>
      <c r="HT64" s="17">
        <v>8946</v>
      </c>
      <c r="HU64" s="16">
        <f t="shared" si="536"/>
        <v>95.689378543159691</v>
      </c>
      <c r="HV64" s="23">
        <v>4228.2148760330574</v>
      </c>
      <c r="HW64" s="22">
        <v>4387.6888888888889</v>
      </c>
      <c r="HX64" s="73">
        <f t="shared" si="537"/>
        <v>0.75857952849895549</v>
      </c>
      <c r="HY64" s="73">
        <f t="shared" si="538"/>
        <v>0.73519687406071532</v>
      </c>
      <c r="HZ64" s="73">
        <f t="shared" si="539"/>
        <v>0.7720614505180422</v>
      </c>
      <c r="IA64" s="73">
        <f t="shared" si="540"/>
        <v>0.7539410555174777</v>
      </c>
    </row>
    <row r="65" spans="1:244" x14ac:dyDescent="0.25">
      <c r="A65" s="374"/>
      <c r="B65" s="41">
        <f t="shared" si="541"/>
        <v>44989</v>
      </c>
      <c r="C65" s="10"/>
      <c r="D65" s="11"/>
      <c r="E65" s="69">
        <f t="shared" si="542"/>
        <v>846</v>
      </c>
      <c r="F65" s="69">
        <f t="shared" si="542"/>
        <v>75</v>
      </c>
      <c r="G65" s="11">
        <v>640</v>
      </c>
      <c r="H65" s="12">
        <f t="shared" si="493"/>
        <v>0.76595744680851063</v>
      </c>
      <c r="I65" s="11">
        <v>8</v>
      </c>
      <c r="J65" s="12">
        <f t="shared" si="543"/>
        <v>1.2345679012345678E-2</v>
      </c>
      <c r="K65" s="13"/>
      <c r="L65" s="11"/>
      <c r="M65" s="39">
        <v>90.909090909090907</v>
      </c>
      <c r="N65" s="43">
        <v>100</v>
      </c>
      <c r="O65" s="10"/>
      <c r="P65" s="11">
        <v>1</v>
      </c>
      <c r="Q65" s="69">
        <f t="shared" si="544"/>
        <v>769</v>
      </c>
      <c r="R65" s="69">
        <f t="shared" si="545"/>
        <v>68</v>
      </c>
      <c r="S65" s="11">
        <v>550</v>
      </c>
      <c r="T65" s="12">
        <f t="shared" si="494"/>
        <v>0.72561768530559168</v>
      </c>
      <c r="U65" s="11">
        <v>8</v>
      </c>
      <c r="V65" s="12">
        <f t="shared" si="495"/>
        <v>1.4336917562724014E-2</v>
      </c>
      <c r="W65" s="13"/>
      <c r="X65" s="11"/>
      <c r="Y65" s="39">
        <v>88.235294117647058</v>
      </c>
      <c r="Z65" s="43">
        <v>100</v>
      </c>
      <c r="AA65" s="10"/>
      <c r="AB65" s="11"/>
      <c r="AC65" s="69">
        <f t="shared" si="546"/>
        <v>185</v>
      </c>
      <c r="AD65" s="69">
        <f t="shared" si="547"/>
        <v>15</v>
      </c>
      <c r="AE65" s="11">
        <v>127</v>
      </c>
      <c r="AF65" s="12">
        <f t="shared" si="496"/>
        <v>0.69729729729729728</v>
      </c>
      <c r="AG65" s="11">
        <v>2</v>
      </c>
      <c r="AH65" s="12">
        <f t="shared" si="497"/>
        <v>1.5503875968992248E-2</v>
      </c>
      <c r="AI65" s="13"/>
      <c r="AJ65" s="11"/>
      <c r="AK65" s="39">
        <v>90</v>
      </c>
      <c r="AL65" s="43">
        <v>100</v>
      </c>
      <c r="AM65" s="10"/>
      <c r="AN65" s="11"/>
      <c r="AO65" s="69">
        <f t="shared" si="548"/>
        <v>775</v>
      </c>
      <c r="AP65" s="69">
        <f t="shared" si="549"/>
        <v>69</v>
      </c>
      <c r="AQ65" s="11">
        <v>555</v>
      </c>
      <c r="AR65" s="12">
        <f t="shared" si="498"/>
        <v>0.73419354838709683</v>
      </c>
      <c r="AS65" s="11">
        <v>14</v>
      </c>
      <c r="AT65" s="12">
        <f t="shared" si="499"/>
        <v>2.4604569420035149E-2</v>
      </c>
      <c r="AU65" s="13"/>
      <c r="AV65" s="11"/>
      <c r="AW65" s="39">
        <v>91.17647058823529</v>
      </c>
      <c r="AX65" s="43">
        <v>91.666666666666671</v>
      </c>
      <c r="AY65" s="10"/>
      <c r="AZ65" s="11"/>
      <c r="BA65" s="69">
        <f t="shared" si="550"/>
        <v>776</v>
      </c>
      <c r="BB65" s="69">
        <f t="shared" si="551"/>
        <v>69</v>
      </c>
      <c r="BC65" s="11">
        <v>586</v>
      </c>
      <c r="BD65" s="12">
        <f t="shared" si="500"/>
        <v>0.77190721649484539</v>
      </c>
      <c r="BE65" s="11">
        <v>13</v>
      </c>
      <c r="BF65" s="12">
        <f t="shared" si="501"/>
        <v>2.1702838063439065E-2</v>
      </c>
      <c r="BG65" s="13"/>
      <c r="BH65" s="11"/>
      <c r="BI65" s="39">
        <v>88.888888888888886</v>
      </c>
      <c r="BJ65" s="43">
        <v>93.333333333333329</v>
      </c>
      <c r="BK65" s="10"/>
      <c r="BL65" s="11"/>
      <c r="BM65" s="69">
        <f t="shared" si="552"/>
        <v>846</v>
      </c>
      <c r="BN65" s="69">
        <f t="shared" si="553"/>
        <v>77</v>
      </c>
      <c r="BO65" s="11">
        <v>601</v>
      </c>
      <c r="BP65" s="12">
        <f t="shared" si="502"/>
        <v>0.7328605200945626</v>
      </c>
      <c r="BQ65" s="11">
        <v>19</v>
      </c>
      <c r="BR65" s="12">
        <f t="shared" si="503"/>
        <v>3.0645161290322579E-2</v>
      </c>
      <c r="BS65" s="13"/>
      <c r="BT65" s="11"/>
      <c r="BU65" s="39">
        <v>97.435897435897431</v>
      </c>
      <c r="BV65" s="43">
        <v>93.333333333333329</v>
      </c>
      <c r="BW65" s="10"/>
      <c r="BX65" s="11"/>
      <c r="BY65" s="69">
        <f t="shared" si="554"/>
        <v>764</v>
      </c>
      <c r="BZ65" s="69">
        <f t="shared" si="555"/>
        <v>68</v>
      </c>
      <c r="CA65" s="11">
        <v>528</v>
      </c>
      <c r="CB65" s="12">
        <f t="shared" si="504"/>
        <v>0.70811518324607325</v>
      </c>
      <c r="CC65" s="11">
        <v>13</v>
      </c>
      <c r="CD65" s="12">
        <f t="shared" si="505"/>
        <v>2.4029574861367836E-2</v>
      </c>
      <c r="CE65" s="13"/>
      <c r="CF65" s="11"/>
      <c r="CG65" s="39">
        <v>87.878787878787875</v>
      </c>
      <c r="CH65" s="43">
        <v>100</v>
      </c>
      <c r="CI65" s="10"/>
      <c r="CJ65" s="11"/>
      <c r="CK65" s="69">
        <f t="shared" si="556"/>
        <v>189</v>
      </c>
      <c r="CL65" s="69">
        <f t="shared" si="557"/>
        <v>17</v>
      </c>
      <c r="CM65" s="11">
        <v>104</v>
      </c>
      <c r="CN65" s="12">
        <f t="shared" si="506"/>
        <v>0.58730158730158732</v>
      </c>
      <c r="CO65" s="11">
        <v>7</v>
      </c>
      <c r="CP65" s="12">
        <f t="shared" si="507"/>
        <v>6.3063063063063057E-2</v>
      </c>
      <c r="CQ65" s="13"/>
      <c r="CR65" s="11"/>
      <c r="CS65" s="39">
        <v>83.333333333333329</v>
      </c>
      <c r="CT65" s="43">
        <v>100</v>
      </c>
      <c r="CU65" s="10"/>
      <c r="CV65" s="11"/>
      <c r="CW65" s="69">
        <f t="shared" si="558"/>
        <v>762</v>
      </c>
      <c r="CX65" s="69">
        <f t="shared" si="559"/>
        <v>70</v>
      </c>
      <c r="CY65" s="11">
        <v>541</v>
      </c>
      <c r="CZ65" s="12">
        <f t="shared" si="508"/>
        <v>0.7296587926509186</v>
      </c>
      <c r="DA65" s="11">
        <v>15</v>
      </c>
      <c r="DB65" s="12">
        <f t="shared" si="509"/>
        <v>2.6978417266187049E-2</v>
      </c>
      <c r="DC65" s="13"/>
      <c r="DD65" s="11"/>
      <c r="DE65" s="39">
        <v>85.365853658536579</v>
      </c>
      <c r="DF65" s="43">
        <v>100</v>
      </c>
      <c r="DG65" s="10"/>
      <c r="DH65" s="11"/>
      <c r="DI65" s="69">
        <f t="shared" si="560"/>
        <v>766</v>
      </c>
      <c r="DJ65" s="69">
        <f t="shared" si="561"/>
        <v>70</v>
      </c>
      <c r="DK65" s="11">
        <v>588</v>
      </c>
      <c r="DL65" s="12">
        <f t="shared" si="510"/>
        <v>0.79112271540469969</v>
      </c>
      <c r="DM65" s="11">
        <v>18</v>
      </c>
      <c r="DN65" s="12">
        <f t="shared" si="511"/>
        <v>2.9702970297029702E-2</v>
      </c>
      <c r="DO65" s="13"/>
      <c r="DP65" s="11"/>
      <c r="DQ65" s="39">
        <v>84.21052631578948</v>
      </c>
      <c r="DR65" s="43">
        <v>100</v>
      </c>
      <c r="DS65" s="10">
        <v>1</v>
      </c>
      <c r="DT65" s="11"/>
      <c r="DU65" s="69">
        <f t="shared" si="562"/>
        <v>861</v>
      </c>
      <c r="DV65" s="69">
        <f t="shared" si="563"/>
        <v>78</v>
      </c>
      <c r="DW65" s="11">
        <v>663</v>
      </c>
      <c r="DX65" s="12">
        <f t="shared" si="512"/>
        <v>0.78861788617886175</v>
      </c>
      <c r="DY65" s="11">
        <v>16</v>
      </c>
      <c r="DZ65" s="12">
        <f t="shared" si="513"/>
        <v>2.3564064801178203E-2</v>
      </c>
      <c r="EA65" s="13"/>
      <c r="EB65" s="11"/>
      <c r="EC65" s="39">
        <v>82.352941176470594</v>
      </c>
      <c r="ED65" s="43">
        <v>95</v>
      </c>
      <c r="EE65" s="10"/>
      <c r="EF65" s="11"/>
      <c r="EG65" s="69">
        <f t="shared" si="564"/>
        <v>865</v>
      </c>
      <c r="EH65" s="69">
        <f t="shared" si="565"/>
        <v>79</v>
      </c>
      <c r="EI65" s="11">
        <v>649</v>
      </c>
      <c r="EJ65" s="12">
        <f t="shared" si="514"/>
        <v>0.76763005780346816</v>
      </c>
      <c r="EK65" s="11">
        <v>15</v>
      </c>
      <c r="EL65" s="12">
        <f t="shared" si="515"/>
        <v>2.2590361445783132E-2</v>
      </c>
      <c r="EM65" s="13"/>
      <c r="EN65" s="11"/>
      <c r="EO65" s="39">
        <v>100</v>
      </c>
      <c r="EP65" s="43">
        <v>93.333333333333329</v>
      </c>
      <c r="EQ65" s="10"/>
      <c r="ER65" s="11"/>
      <c r="ES65" s="69">
        <f t="shared" si="566"/>
        <v>205</v>
      </c>
      <c r="ET65" s="69">
        <f t="shared" si="567"/>
        <v>16</v>
      </c>
      <c r="EU65" s="11">
        <v>150</v>
      </c>
      <c r="EV65" s="12">
        <f t="shared" si="516"/>
        <v>0.76097560975609757</v>
      </c>
      <c r="EW65" s="11">
        <v>6</v>
      </c>
      <c r="EX65" s="12">
        <f t="shared" si="517"/>
        <v>3.8461538461538464E-2</v>
      </c>
      <c r="EY65" s="13"/>
      <c r="EZ65" s="11"/>
      <c r="FA65" s="39">
        <v>85.714285714285708</v>
      </c>
      <c r="FB65" s="43">
        <v>100</v>
      </c>
      <c r="FC65" s="10"/>
      <c r="FD65" s="11"/>
      <c r="FE65" s="69">
        <f t="shared" si="568"/>
        <v>867</v>
      </c>
      <c r="FF65" s="69">
        <f t="shared" si="569"/>
        <v>78</v>
      </c>
      <c r="FG65" s="11">
        <v>681</v>
      </c>
      <c r="FH65" s="12">
        <f t="shared" si="518"/>
        <v>0.79469434832756636</v>
      </c>
      <c r="FI65" s="11">
        <v>8</v>
      </c>
      <c r="FJ65" s="12">
        <f t="shared" si="519"/>
        <v>1.1611030478955007E-2</v>
      </c>
      <c r="FK65" s="13"/>
      <c r="FL65" s="11"/>
      <c r="FM65" s="39">
        <v>78.571428571428569</v>
      </c>
      <c r="FN65" s="43">
        <v>94.444444444444443</v>
      </c>
      <c r="FO65" s="10"/>
      <c r="FP65" s="11"/>
      <c r="FQ65" s="69">
        <f t="shared" si="570"/>
        <v>909</v>
      </c>
      <c r="FR65" s="69">
        <f t="shared" si="571"/>
        <v>81</v>
      </c>
      <c r="FS65" s="11">
        <v>661</v>
      </c>
      <c r="FT65" s="12">
        <f t="shared" si="520"/>
        <v>0.74807480748074806</v>
      </c>
      <c r="FU65" s="11">
        <v>19</v>
      </c>
      <c r="FV65" s="12">
        <f t="shared" si="521"/>
        <v>2.7941176470588237E-2</v>
      </c>
      <c r="FW65" s="13"/>
      <c r="FX65" s="11"/>
      <c r="FY65" s="39">
        <v>80</v>
      </c>
      <c r="FZ65" s="43">
        <v>100</v>
      </c>
      <c r="GA65" s="10">
        <v>1</v>
      </c>
      <c r="GB65" s="11"/>
      <c r="GC65" s="69">
        <f t="shared" si="572"/>
        <v>904</v>
      </c>
      <c r="GD65" s="69">
        <f t="shared" si="573"/>
        <v>82</v>
      </c>
      <c r="GE65" s="11">
        <v>644</v>
      </c>
      <c r="GF65" s="12">
        <f t="shared" si="522"/>
        <v>0.72676991150442483</v>
      </c>
      <c r="GG65" s="11">
        <v>13</v>
      </c>
      <c r="GH65" s="12">
        <f t="shared" si="523"/>
        <v>1.9786910197869101E-2</v>
      </c>
      <c r="GI65" s="13"/>
      <c r="GJ65" s="11"/>
      <c r="GK65" s="39">
        <v>79.166666666666671</v>
      </c>
      <c r="GL65" s="43">
        <v>93.333333333333329</v>
      </c>
      <c r="GM65" s="10">
        <v>1</v>
      </c>
      <c r="GN65" s="11"/>
      <c r="GO65" s="69">
        <f t="shared" si="574"/>
        <v>192</v>
      </c>
      <c r="GP65" s="69">
        <f t="shared" si="575"/>
        <v>17</v>
      </c>
      <c r="GQ65" s="11">
        <v>129</v>
      </c>
      <c r="GR65" s="12">
        <f t="shared" si="524"/>
        <v>0.69270833333333337</v>
      </c>
      <c r="GS65" s="11">
        <v>4</v>
      </c>
      <c r="GT65" s="12">
        <f t="shared" si="525"/>
        <v>3.007518796992481E-2</v>
      </c>
      <c r="GU65" s="13"/>
      <c r="GV65" s="11"/>
      <c r="GW65" s="39">
        <v>92.857142857142861</v>
      </c>
      <c r="GX65" s="43">
        <v>100</v>
      </c>
      <c r="GY65" s="10"/>
      <c r="GZ65" s="11"/>
      <c r="HA65" s="69">
        <f t="shared" si="576"/>
        <v>911</v>
      </c>
      <c r="HB65" s="69">
        <f t="shared" si="577"/>
        <v>82</v>
      </c>
      <c r="HC65" s="11">
        <v>692</v>
      </c>
      <c r="HD65" s="12">
        <f t="shared" si="526"/>
        <v>0.77167947310647644</v>
      </c>
      <c r="HE65" s="11">
        <v>11</v>
      </c>
      <c r="HF65" s="12">
        <f t="shared" si="527"/>
        <v>1.5647226173541962E-2</v>
      </c>
      <c r="HG65" s="13"/>
      <c r="HH65" s="11"/>
      <c r="HI65" s="39">
        <v>77.777777777777771</v>
      </c>
      <c r="HJ65" s="43">
        <v>87.5</v>
      </c>
      <c r="HK65" s="10">
        <f t="shared" si="528"/>
        <v>3</v>
      </c>
      <c r="HL65" s="11">
        <f t="shared" si="529"/>
        <v>1</v>
      </c>
      <c r="HM65" s="11">
        <f t="shared" si="530"/>
        <v>12392</v>
      </c>
      <c r="HN65" s="11">
        <f t="shared" si="531"/>
        <v>1111</v>
      </c>
      <c r="HO65" s="11">
        <f t="shared" si="532"/>
        <v>9298</v>
      </c>
      <c r="HP65" s="95">
        <f t="shared" si="533"/>
        <v>0.75032278889606197</v>
      </c>
      <c r="HQ65" s="15">
        <f t="shared" si="534"/>
        <v>209</v>
      </c>
      <c r="HR65" s="12">
        <f t="shared" si="535"/>
        <v>2.2477952247795224E-2</v>
      </c>
      <c r="HS65" s="16">
        <v>57.8</v>
      </c>
      <c r="HT65" s="17">
        <v>8904</v>
      </c>
      <c r="HU65" s="16">
        <f t="shared" si="536"/>
        <v>95.762529576252959</v>
      </c>
      <c r="HV65" s="23">
        <v>88.429752066115697</v>
      </c>
      <c r="HW65" s="22">
        <v>92.444444444444443</v>
      </c>
      <c r="HX65" s="73">
        <f t="shared" si="537"/>
        <v>0.74694121157863325</v>
      </c>
      <c r="HY65" s="73">
        <f t="shared" si="538"/>
        <v>0.73159002103997595</v>
      </c>
      <c r="HZ65" s="73">
        <f t="shared" si="539"/>
        <v>0.78198713366690498</v>
      </c>
      <c r="IA65" s="73">
        <f t="shared" si="540"/>
        <v>0.74519890260631005</v>
      </c>
      <c r="IF65" s="85">
        <f>IF66/IF67</f>
        <v>2.9753049687592978E-3</v>
      </c>
      <c r="IG65" s="85">
        <f>IG66/IG67</f>
        <v>1.2008405884118883E-3</v>
      </c>
      <c r="IH65" s="85">
        <f>IH66/IH67</f>
        <v>2.851033499643621E-3</v>
      </c>
      <c r="II65" s="85">
        <f>II66/II67</f>
        <v>2.3947998631542937E-3</v>
      </c>
      <c r="IJ65" s="88" t="s">
        <v>90</v>
      </c>
    </row>
    <row r="66" spans="1:244" ht="19.5" thickBot="1" x14ac:dyDescent="0.3">
      <c r="A66" s="374"/>
      <c r="B66" s="42"/>
      <c r="C66" s="26">
        <f>SUM(C59:C65)</f>
        <v>3</v>
      </c>
      <c r="D66" s="27">
        <f>SUM(D59:D65)</f>
        <v>0</v>
      </c>
      <c r="E66" s="27"/>
      <c r="F66" s="27"/>
      <c r="G66" s="27">
        <f>SUM(G59:G65)</f>
        <v>4473</v>
      </c>
      <c r="H66" s="28">
        <f>((G66+I66)/7)/E65</f>
        <v>0.76865923674434322</v>
      </c>
      <c r="I66" s="27">
        <f>SUM(I59:I65)</f>
        <v>79</v>
      </c>
      <c r="J66" s="28">
        <f>(I66/(I66+G66))</f>
        <v>1.7355008787346221E-2</v>
      </c>
      <c r="K66" s="27"/>
      <c r="L66" s="27"/>
      <c r="M66" s="29">
        <f>M64/M63*100-100</f>
        <v>7.0354709889593607</v>
      </c>
      <c r="N66" s="67">
        <f>N64/N63*100-100</f>
        <v>2.4465355004277001</v>
      </c>
      <c r="O66" s="26">
        <f>SUM(O59:O65)</f>
        <v>1</v>
      </c>
      <c r="P66" s="27">
        <f>SUM(P59:P65)</f>
        <v>1</v>
      </c>
      <c r="Q66" s="27"/>
      <c r="R66" s="27"/>
      <c r="S66" s="27">
        <f>SUM(S59:S65)</f>
        <v>3928</v>
      </c>
      <c r="T66" s="28">
        <f>((S66+U66)/7)/Q65</f>
        <v>0.74493776704439907</v>
      </c>
      <c r="U66" s="27">
        <f>SUM(U59:U65)</f>
        <v>82</v>
      </c>
      <c r="V66" s="28">
        <f>(U66/(U66+S66))</f>
        <v>2.0448877805486283E-2</v>
      </c>
      <c r="W66" s="27"/>
      <c r="X66" s="27"/>
      <c r="Y66" s="29">
        <f>Y64/Y63*100-100</f>
        <v>10.069919440644483</v>
      </c>
      <c r="Z66" s="67">
        <f>Z64/Z63*100-100</f>
        <v>3.4077299945563482</v>
      </c>
      <c r="AA66" s="26">
        <f>SUM(AA59:AA65)</f>
        <v>5</v>
      </c>
      <c r="AB66" s="27">
        <f>SUM(AB59:AB65)</f>
        <v>0</v>
      </c>
      <c r="AC66" s="27"/>
      <c r="AD66" s="27"/>
      <c r="AE66" s="27">
        <f>SUM(AE59:AE65)</f>
        <v>897</v>
      </c>
      <c r="AF66" s="28">
        <f>((AE66+AG66)/7)/AC65</f>
        <v>0.71119691119691131</v>
      </c>
      <c r="AG66" s="27">
        <f>SUM(AG59:AG65)</f>
        <v>24</v>
      </c>
      <c r="AH66" s="28">
        <f>(AG66/(AG66+AE66))</f>
        <v>2.6058631921824105E-2</v>
      </c>
      <c r="AI66" s="27"/>
      <c r="AJ66" s="27"/>
      <c r="AK66" s="29">
        <f>AK64/AK63*100-100</f>
        <v>8.0361757105943212</v>
      </c>
      <c r="AL66" s="67">
        <f>AL64/AL63*100-100</f>
        <v>6.2514970059880142</v>
      </c>
      <c r="AM66" s="26">
        <f>SUM(AM59:AM65)</f>
        <v>1</v>
      </c>
      <c r="AN66" s="27">
        <f>SUM(AN59:AN65)</f>
        <v>0</v>
      </c>
      <c r="AO66" s="27"/>
      <c r="AP66" s="27"/>
      <c r="AQ66" s="27">
        <f>SUM(AQ59:AQ65)</f>
        <v>3923</v>
      </c>
      <c r="AR66" s="28">
        <f>((AQ66+AS66)/7)/AO65</f>
        <v>0.73917050691244246</v>
      </c>
      <c r="AS66" s="27">
        <f>SUM(AS59:AS65)</f>
        <v>87</v>
      </c>
      <c r="AT66" s="28">
        <f>(AS66/(AS66+AQ66))</f>
        <v>2.1695760598503741E-2</v>
      </c>
      <c r="AU66" s="27"/>
      <c r="AV66" s="27"/>
      <c r="AW66" s="29">
        <f>AW64/AW63*100-100</f>
        <v>9.5759233926128644</v>
      </c>
      <c r="AX66" s="67">
        <f>AX64/AX63*100-100</f>
        <v>4.6307385229540756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3974</v>
      </c>
      <c r="BD66" s="28">
        <f>((BC66+BE66)/7)/BA65</f>
        <v>0.75220913107511045</v>
      </c>
      <c r="BE66" s="27">
        <f>SUM(BE59:BE65)</f>
        <v>112</v>
      </c>
      <c r="BF66" s="28">
        <f>(BE66/(BE66+BC66))</f>
        <v>2.7410670582476749E-2</v>
      </c>
      <c r="BG66" s="27"/>
      <c r="BH66" s="27"/>
      <c r="BI66" s="29">
        <f>BI64/BI63*100-100</f>
        <v>11.893482629916718</v>
      </c>
      <c r="BJ66" s="67">
        <f>BJ64/BJ63*100-100</f>
        <v>7.3213572854291584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4385</v>
      </c>
      <c r="BP66" s="28">
        <f>((BO66+BQ66)/7)/BM65</f>
        <v>0.75599459642012834</v>
      </c>
      <c r="BQ66" s="27">
        <f>SUM(BQ59:BQ65)</f>
        <v>92</v>
      </c>
      <c r="BR66" s="28">
        <f>(BQ66/(BQ66+BO66))</f>
        <v>2.0549475094929642E-2</v>
      </c>
      <c r="BS66" s="27"/>
      <c r="BT66" s="27"/>
      <c r="BU66" s="29">
        <f>BU64/BU63*100-100</f>
        <v>6.0889153912409739</v>
      </c>
      <c r="BV66" s="67">
        <f>BV64/BV63*100-100</f>
        <v>4.5269461077844397</v>
      </c>
      <c r="BW66" s="26">
        <f>SUM(BW59:BW65)</f>
        <v>0</v>
      </c>
      <c r="BX66" s="27">
        <f>SUM(BX59:BX65)</f>
        <v>1</v>
      </c>
      <c r="BY66" s="27"/>
      <c r="BZ66" s="27"/>
      <c r="CA66" s="27">
        <f>SUM(CA59:CA65)</f>
        <v>3806</v>
      </c>
      <c r="CB66" s="28">
        <f>((CA66+CC66)/7)/BY65</f>
        <v>0.7255048616305162</v>
      </c>
      <c r="CC66" s="27">
        <f>SUM(CC59:CC65)</f>
        <v>74</v>
      </c>
      <c r="CD66" s="28">
        <f>(CC66/(CC66+CA66))</f>
        <v>1.907216494845361E-2</v>
      </c>
      <c r="CE66" s="27"/>
      <c r="CF66" s="27"/>
      <c r="CG66" s="29">
        <f>CG64/CG63*100-100</f>
        <v>11.103280870722742</v>
      </c>
      <c r="CH66" s="67">
        <f>CH64/CH63*100-100</f>
        <v>5.9709153122326768</v>
      </c>
      <c r="CI66" s="26">
        <f>SUM(CI59:CI65)</f>
        <v>2</v>
      </c>
      <c r="CJ66" s="27">
        <f>SUM(CJ59:CJ65)</f>
        <v>0</v>
      </c>
      <c r="CK66" s="27"/>
      <c r="CL66" s="27"/>
      <c r="CM66" s="27">
        <f>SUM(CM59:CM65)</f>
        <v>808</v>
      </c>
      <c r="CN66" s="28">
        <f>((CM66+CO66)/7)/CK65</f>
        <v>0.63038548752834467</v>
      </c>
      <c r="CO66" s="27">
        <f>SUM(CO59:CO65)</f>
        <v>26</v>
      </c>
      <c r="CP66" s="28">
        <f>(CO66/(CO66+CM66))</f>
        <v>3.117505995203837E-2</v>
      </c>
      <c r="CQ66" s="27"/>
      <c r="CR66" s="27"/>
      <c r="CS66" s="29">
        <f>CS64/CS63*100-100</f>
        <v>9.7975882859603729</v>
      </c>
      <c r="CT66" s="67">
        <f>CT64/CT63*100-100</f>
        <v>0.43912175648701179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3982</v>
      </c>
      <c r="CZ66" s="28">
        <f>((CY66+DA66)/7)/CW65</f>
        <v>0.76134233220847392</v>
      </c>
      <c r="DA66" s="27">
        <f>SUM(DA59:DA65)</f>
        <v>79</v>
      </c>
      <c r="DB66" s="28">
        <f>(DA66/(DA66+CY66))</f>
        <v>1.9453336616596897E-2</v>
      </c>
      <c r="DC66" s="27"/>
      <c r="DD66" s="27"/>
      <c r="DE66" s="29">
        <f>DE64/DE63*100-100</f>
        <v>9.9073548875023647</v>
      </c>
      <c r="DF66" s="67">
        <f>DF64/DF63*100-100</f>
        <v>9.9059024807527862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4131</v>
      </c>
      <c r="DL66" s="28">
        <f>((DK66+DM66)/7)/DI65</f>
        <v>0.79149571055576284</v>
      </c>
      <c r="DM66" s="27">
        <f>SUM(DM59:DM65)</f>
        <v>113</v>
      </c>
      <c r="DN66" s="28">
        <f>(DM66/(DM66+DK66))</f>
        <v>2.6625824693685202E-2</v>
      </c>
      <c r="DO66" s="27"/>
      <c r="DP66" s="27"/>
      <c r="DQ66" s="29">
        <f>DQ64/DQ63*100-100</f>
        <v>12.7294981640147</v>
      </c>
      <c r="DR66" s="67">
        <f>DR64/DR63*100-100</f>
        <v>3.3993551358820753</v>
      </c>
      <c r="DS66" s="26">
        <f>SUM(DS59:DS65)</f>
        <v>3</v>
      </c>
      <c r="DT66" s="27">
        <f>SUM(DT59:DT65)</f>
        <v>0</v>
      </c>
      <c r="DU66" s="27"/>
      <c r="DV66" s="27"/>
      <c r="DW66" s="27">
        <f>SUM(DW59:DW65)</f>
        <v>4575</v>
      </c>
      <c r="DX66" s="28">
        <f>((DW66+DY66)/7)/DU65</f>
        <v>0.78015596482495431</v>
      </c>
      <c r="DY66" s="27">
        <f>SUM(DY59:DY65)</f>
        <v>127</v>
      </c>
      <c r="DZ66" s="28">
        <f>(DY66/(DY66+DW66))</f>
        <v>2.7009783071033602E-2</v>
      </c>
      <c r="EA66" s="27"/>
      <c r="EB66" s="27"/>
      <c r="EC66" s="29">
        <f>EC64/EC63*100-100</f>
        <v>7.2275421796625778</v>
      </c>
      <c r="ED66" s="67">
        <f>ED64/ED63*100-100</f>
        <v>2.9101796407185532</v>
      </c>
      <c r="EE66" s="26">
        <f>SUM(EE59:EE65)</f>
        <v>2</v>
      </c>
      <c r="EF66" s="27">
        <f>SUM(EF59:EF65)</f>
        <v>0</v>
      </c>
      <c r="EG66" s="27"/>
      <c r="EH66" s="27"/>
      <c r="EI66" s="27">
        <f>SUM(EI59:EI65)</f>
        <v>4492</v>
      </c>
      <c r="EJ66" s="28">
        <f>((EI66+EK66)/7)/EG65</f>
        <v>0.76333608587943858</v>
      </c>
      <c r="EK66" s="27">
        <f>SUM(EK59:EK65)</f>
        <v>130</v>
      </c>
      <c r="EL66" s="28">
        <f>(EK66/(EK66+EI66))</f>
        <v>2.8126352228472522E-2</v>
      </c>
      <c r="EM66" s="27"/>
      <c r="EN66" s="27"/>
      <c r="EO66" s="29">
        <f>EO64/EO63*100-100</f>
        <v>9.2346499323243449</v>
      </c>
      <c r="EP66" s="67">
        <f>EP64/EP63*100-100</f>
        <v>9.2375249500998109</v>
      </c>
      <c r="EQ66" s="26">
        <f>SUM(EQ59:EQ65)</f>
        <v>3</v>
      </c>
      <c r="ER66" s="27">
        <f>SUM(ER59:ER65)</f>
        <v>0</v>
      </c>
      <c r="ES66" s="27"/>
      <c r="ET66" s="27"/>
      <c r="EU66" s="27">
        <f>SUM(EU59:EU65)</f>
        <v>985</v>
      </c>
      <c r="EV66" s="28">
        <f>((EU66+EW66)/7)/ES65</f>
        <v>0.71777003484320556</v>
      </c>
      <c r="EW66" s="27">
        <f>SUM(EW59:EW65)</f>
        <v>45</v>
      </c>
      <c r="EX66" s="28">
        <f>(EW66/(EW66+EU66))</f>
        <v>4.3689320388349516E-2</v>
      </c>
      <c r="EY66" s="27"/>
      <c r="EZ66" s="27"/>
      <c r="FA66" s="29">
        <f>FA64/FA63*100-100</f>
        <v>10.20671834625324</v>
      </c>
      <c r="FB66" s="67">
        <f>FB64/FB63*100-100</f>
        <v>-2.9341317365269504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4789</v>
      </c>
      <c r="FH66" s="28">
        <f>((FG66+FI66)/7)/FE65</f>
        <v>0.80161476355247985</v>
      </c>
      <c r="FI66" s="27">
        <f>SUM(FI59:FI65)</f>
        <v>76</v>
      </c>
      <c r="FJ66" s="28">
        <f>(FI66/(FI66+FG66))</f>
        <v>1.5621788283658787E-2</v>
      </c>
      <c r="FK66" s="27"/>
      <c r="FL66" s="27"/>
      <c r="FM66" s="29">
        <f>FM64/FM63*100-100</f>
        <v>11.781715270087361</v>
      </c>
      <c r="FN66" s="67">
        <f>FN64/FN63*100-100</f>
        <v>4.52428476380571</v>
      </c>
      <c r="FO66" s="26">
        <f>SUM(FO59:FO65)</f>
        <v>1</v>
      </c>
      <c r="FP66" s="27">
        <f>SUM(FP59:FP65)</f>
        <v>0</v>
      </c>
      <c r="FQ66" s="27"/>
      <c r="FR66" s="27"/>
      <c r="FS66" s="27">
        <f>SUM(FS59:FS65)</f>
        <v>4695</v>
      </c>
      <c r="FT66" s="28">
        <f>((FS66+FU66)/7)/FQ65</f>
        <v>0.75813295615275811</v>
      </c>
      <c r="FU66" s="27">
        <f>SUM(FU59:FU65)</f>
        <v>129</v>
      </c>
      <c r="FV66" s="28">
        <f>(FU66/(FU66+FS66))</f>
        <v>2.6741293532338308E-2</v>
      </c>
      <c r="FW66" s="27"/>
      <c r="FX66" s="27"/>
      <c r="FY66" s="29">
        <f>FY64/FY63*100-100</f>
        <v>9.0094745908699423</v>
      </c>
      <c r="FZ66" s="67">
        <f>FZ64/FZ63*100-100</f>
        <v>5.763473053892227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4416</v>
      </c>
      <c r="GF66" s="28">
        <f>((GE66+GG66)/7)/GC65</f>
        <v>0.71460176991150437</v>
      </c>
      <c r="GG66" s="27">
        <f>SUM(GG59:GG65)</f>
        <v>106</v>
      </c>
      <c r="GH66" s="28">
        <f>(GG66/(GG66+GE66))</f>
        <v>2.3440955329500222E-2</v>
      </c>
      <c r="GI66" s="27"/>
      <c r="GJ66" s="27"/>
      <c r="GK66" s="29">
        <f>GK64/GK63*100-100</f>
        <v>9.8460378983634911</v>
      </c>
      <c r="GL66" s="67">
        <f>GL64/GL63*100-100</f>
        <v>3.6007984031936076</v>
      </c>
      <c r="GM66" s="26">
        <f>SUM(GM59:GM65)</f>
        <v>3</v>
      </c>
      <c r="GN66" s="27">
        <f>SUM(GN59:GN65)</f>
        <v>1</v>
      </c>
      <c r="GO66" s="27"/>
      <c r="GP66" s="27"/>
      <c r="GQ66" s="27">
        <f>SUM(GQ59:GQ65)</f>
        <v>927</v>
      </c>
      <c r="GR66" s="28">
        <f>((GQ66+GS66)/7)/GO65</f>
        <v>0.70833333333333337</v>
      </c>
      <c r="GS66" s="27">
        <f>SUM(GS59:GS65)</f>
        <v>25</v>
      </c>
      <c r="GT66" s="28">
        <f>(GS66/(GS66+GQ66))</f>
        <v>2.6260504201680673E-2</v>
      </c>
      <c r="GU66" s="27"/>
      <c r="GV66" s="27"/>
      <c r="GW66" s="29">
        <f>GW64/GW63*100-100</f>
        <v>6.3492063492063551</v>
      </c>
      <c r="GX66" s="67">
        <f>GX64/GX63*100-100</f>
        <v>-2.4191616766467092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4874</v>
      </c>
      <c r="HD66" s="28">
        <f>((HC66+HE66)/7)/HA65</f>
        <v>0.77732476085933822</v>
      </c>
      <c r="HE66" s="27">
        <f>SUM(HE59:HE65)</f>
        <v>83</v>
      </c>
      <c r="HF66" s="28">
        <f>(HE66/(HE66+HC66))</f>
        <v>1.6743998386120638E-2</v>
      </c>
      <c r="HG66" s="27"/>
      <c r="HH66" s="27"/>
      <c r="HI66" s="29">
        <f>HI64/HI63*100-100</f>
        <v>5.8742463393626281</v>
      </c>
      <c r="HJ66" s="67">
        <f>HJ64/HJ63*100-100</f>
        <v>8.8473053892215603</v>
      </c>
      <c r="HK66" s="26">
        <f t="shared" si="528"/>
        <v>29</v>
      </c>
      <c r="HL66" s="27">
        <f t="shared" si="529"/>
        <v>3</v>
      </c>
      <c r="HM66" s="27">
        <f t="shared" si="530"/>
        <v>0</v>
      </c>
      <c r="HN66" s="27">
        <f t="shared" si="531"/>
        <v>0</v>
      </c>
      <c r="HO66" s="27">
        <f t="shared" si="532"/>
        <v>65549</v>
      </c>
      <c r="HP66" s="96">
        <f>+((HO66)/HM65)/7</f>
        <v>0.75566033385594389</v>
      </c>
      <c r="HQ66" s="62">
        <f t="shared" si="534"/>
        <v>1489</v>
      </c>
      <c r="HR66" s="52">
        <f t="shared" si="535"/>
        <v>2.2715830905124412E-2</v>
      </c>
      <c r="HS66" s="53">
        <f>SUM(HS59:HS65)/7</f>
        <v>56.428571428571438</v>
      </c>
      <c r="HT66" s="54">
        <f>SUM(HT59:HT65)</f>
        <v>62685</v>
      </c>
      <c r="HU66" s="53">
        <f>AVERAGE(HU59:HU65)</f>
        <v>95.632508058123221</v>
      </c>
      <c r="HV66" s="63">
        <f>HV64/HV63*100-100</f>
        <v>9.2561983471074285</v>
      </c>
      <c r="HW66" s="67">
        <f>HW64/HW63*100-100</f>
        <v>5.0943446440452362</v>
      </c>
      <c r="HX66" s="73">
        <f>SUM(G66,I66,S66,U66,AE66,AG66,AQ66,AS66,BC66,BE66)/7/SUM(E65,Q65,AC65,AO65,BA65)</f>
        <v>0.74941382103423282</v>
      </c>
      <c r="HY66" s="73">
        <f>SUM(BO66,BQ66,CA66,CC66,CM66,CO66,CY66,DA66,DK66,DM66)/7/SUM(BM65,BY65,CK65,CW65,DI65)</f>
        <v>0.75125595774829323</v>
      </c>
      <c r="HZ66" s="73">
        <f>SUM(DW66,DY66,EI66,EK66,EU66,EW66,FG66,FI66)/7/SUM(DU65,EG65,ES65,FE65)</f>
        <v>0.77703461656285111</v>
      </c>
      <c r="IA66" s="73">
        <f>SUM(FS66,FU66,GE66,GG66,GQ66,GS66,HC66,HE66)/7/SUM(FQ65,GC65,GO65,HA65)</f>
        <v>0.74735449735449733</v>
      </c>
      <c r="IB66" s="84">
        <f>SUM(I66,U66,AG66,AS66,BE66)/SUM(G66,I66,S66,U66,AE66,AG66,AQ66,AS66,BC66,BE66)</f>
        <v>2.1844245975311451E-2</v>
      </c>
      <c r="IC66" s="84">
        <f>SUM(BQ66,CC66,CO66,DA66,DM66)/SUM(BO66,BQ66,CA66,CC66,CM66,CO66,CY66,DA66,DK66,DM66)</f>
        <v>2.194787379972565E-2</v>
      </c>
      <c r="ID66" s="84">
        <f>SUM(DY66,EK66,EW66,FI66)/SUM(DW66,DY66,EI66,EK66,EU66,EW66,FG66,FI66)</f>
        <v>2.4837374334713187E-2</v>
      </c>
      <c r="IE66" s="84">
        <f>SUM(FU66,GG66,GS66,HE66)/SUM(FS66,FU66,GE66,GG66,GQ66,GS66,HC66,HE66)</f>
        <v>2.2484431333988857E-2</v>
      </c>
      <c r="IF66" s="86">
        <f>SUM(C66,O66,AA66,AM66,AY66)</f>
        <v>10</v>
      </c>
      <c r="IG66" s="86">
        <f>SUM(BK66,BW66,CI66,CU66,DG66)</f>
        <v>4</v>
      </c>
      <c r="IH66" s="86">
        <f>SUM(DS66,EE66,EQ66,FC66)</f>
        <v>8</v>
      </c>
      <c r="II66" s="86">
        <f>SUM(FO66,GA66,GM66,GY66)</f>
        <v>7</v>
      </c>
      <c r="IJ66" s="88" t="s">
        <v>89</v>
      </c>
    </row>
    <row r="67" spans="1:244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HK66/HM59</f>
        <v>2.3355077716034471E-3</v>
      </c>
      <c r="HL67" s="66">
        <f>HL66/HN59</f>
        <v>2.6954177897574125E-3</v>
      </c>
      <c r="HM67" s="45"/>
      <c r="HN67" s="45"/>
      <c r="HO67" s="45"/>
      <c r="HP67" s="98"/>
      <c r="HQ67" s="45"/>
      <c r="HR67" s="45"/>
      <c r="HS67" s="45"/>
      <c r="HT67" s="55"/>
      <c r="HU67" s="45"/>
      <c r="HV67" s="45"/>
      <c r="HW67" s="46"/>
      <c r="HY67" s="72"/>
      <c r="HZ67" s="72"/>
      <c r="IA67" s="72"/>
      <c r="IF67" s="86">
        <f>SUM(E56,Q56,AC56,AO56,BA56)</f>
        <v>3361</v>
      </c>
      <c r="IG67" s="86">
        <f>SUM(BM56,BY56,CK56,CW56,DI56)</f>
        <v>3331</v>
      </c>
      <c r="IH67" s="86">
        <f>SUM(DU56,EG56,ES56,FE56)</f>
        <v>2806</v>
      </c>
      <c r="II67" s="86">
        <f>SUM(FQ56,GC56,GO56,HA56)</f>
        <v>2923</v>
      </c>
      <c r="IJ67" s="88" t="s">
        <v>84</v>
      </c>
    </row>
    <row r="68" spans="1:244" x14ac:dyDescent="0.25">
      <c r="A68" s="373">
        <v>32</v>
      </c>
      <c r="B68" s="68">
        <f>B65+1</f>
        <v>44990</v>
      </c>
      <c r="C68" s="33"/>
      <c r="D68" s="34"/>
      <c r="E68" s="34">
        <f>E65-C68</f>
        <v>846</v>
      </c>
      <c r="F68" s="34">
        <f>F65-D68</f>
        <v>75</v>
      </c>
      <c r="G68" s="34">
        <v>643</v>
      </c>
      <c r="H68" s="35">
        <f t="shared" ref="H68:H74" si="578">((G68+I68)/E68)</f>
        <v>0.77186761229314416</v>
      </c>
      <c r="I68" s="34">
        <v>10</v>
      </c>
      <c r="J68" s="35">
        <f>I68/(G68+I68)</f>
        <v>1.5313935681470138E-2</v>
      </c>
      <c r="K68" s="36"/>
      <c r="L68" s="34"/>
      <c r="M68" s="34"/>
      <c r="N68" s="37"/>
      <c r="O68" s="33"/>
      <c r="P68" s="34"/>
      <c r="Q68" s="34">
        <f>Q65-O68</f>
        <v>769</v>
      </c>
      <c r="R68" s="34">
        <f>R65-P68</f>
        <v>68</v>
      </c>
      <c r="S68" s="34">
        <v>550</v>
      </c>
      <c r="T68" s="35">
        <f t="shared" ref="T68:T74" si="579">((S68+U68)/Q68)</f>
        <v>0.72561768530559168</v>
      </c>
      <c r="U68" s="34">
        <v>8</v>
      </c>
      <c r="V68" s="35">
        <f t="shared" ref="V68:V74" si="580">U68/(S68+U68)</f>
        <v>1.4336917562724014E-2</v>
      </c>
      <c r="W68" s="36"/>
      <c r="X68" s="34"/>
      <c r="Y68" s="34"/>
      <c r="Z68" s="37"/>
      <c r="AA68" s="33"/>
      <c r="AB68" s="34"/>
      <c r="AC68" s="34">
        <f>AC65-AA68</f>
        <v>185</v>
      </c>
      <c r="AD68" s="34">
        <f>AD65-AB68</f>
        <v>15</v>
      </c>
      <c r="AE68" s="34">
        <v>133</v>
      </c>
      <c r="AF68" s="35">
        <f t="shared" ref="AF68:AF74" si="581">((AE68+AG68)/AC68)</f>
        <v>0.72432432432432436</v>
      </c>
      <c r="AG68" s="34">
        <v>1</v>
      </c>
      <c r="AH68" s="35">
        <f t="shared" ref="AH68:AH74" si="582">AG68/(AE68+AG68)</f>
        <v>7.462686567164179E-3</v>
      </c>
      <c r="AI68" s="36"/>
      <c r="AJ68" s="34"/>
      <c r="AK68" s="34"/>
      <c r="AL68" s="37"/>
      <c r="AM68" s="33"/>
      <c r="AN68" s="34"/>
      <c r="AO68" s="34">
        <f>AO65-AM68</f>
        <v>775</v>
      </c>
      <c r="AP68" s="34">
        <f>AP65-AN68</f>
        <v>69</v>
      </c>
      <c r="AQ68" s="34">
        <v>560</v>
      </c>
      <c r="AR68" s="35">
        <f t="shared" ref="AR68:AR74" si="583">((AQ68+AS68)/AO68)</f>
        <v>0.73161290322580641</v>
      </c>
      <c r="AS68" s="34">
        <v>7</v>
      </c>
      <c r="AT68" s="35">
        <f t="shared" ref="AT68:AT74" si="584">AS68/(AQ68+AS68)</f>
        <v>1.2345679012345678E-2</v>
      </c>
      <c r="AU68" s="36"/>
      <c r="AV68" s="34"/>
      <c r="AW68" s="34"/>
      <c r="AX68" s="37"/>
      <c r="AY68" s="33"/>
      <c r="AZ68" s="34"/>
      <c r="BA68" s="34">
        <f>BA65-AY68</f>
        <v>776</v>
      </c>
      <c r="BB68" s="34">
        <f>BB65-AZ68</f>
        <v>69</v>
      </c>
      <c r="BC68" s="34">
        <v>582</v>
      </c>
      <c r="BD68" s="35">
        <f t="shared" ref="BD68:BD74" si="585">((BC68+BE68)/BA68)</f>
        <v>0.76675257731958768</v>
      </c>
      <c r="BE68" s="34">
        <v>13</v>
      </c>
      <c r="BF68" s="35">
        <f t="shared" ref="BF68:BF74" si="586">BE68/(BC68+BE68)</f>
        <v>2.1848739495798318E-2</v>
      </c>
      <c r="BG68" s="36"/>
      <c r="BH68" s="34"/>
      <c r="BI68" s="34"/>
      <c r="BJ68" s="37"/>
      <c r="BK68" s="33">
        <v>1</v>
      </c>
      <c r="BL68" s="34"/>
      <c r="BM68" s="34">
        <f>BM65-BK68</f>
        <v>845</v>
      </c>
      <c r="BN68" s="34">
        <f>BN65-BL68</f>
        <v>77</v>
      </c>
      <c r="BO68" s="34">
        <v>593</v>
      </c>
      <c r="BP68" s="35">
        <f t="shared" ref="BP68:BP74" si="587">((BO68+BQ68)/BM68)</f>
        <v>0.71360946745562126</v>
      </c>
      <c r="BQ68" s="34">
        <v>10</v>
      </c>
      <c r="BR68" s="35">
        <f t="shared" ref="BR68:BR74" si="588">BQ68/(BO68+BQ68)</f>
        <v>1.658374792703151E-2</v>
      </c>
      <c r="BS68" s="36"/>
      <c r="BT68" s="34"/>
      <c r="BU68" s="34"/>
      <c r="BV68" s="37"/>
      <c r="BW68" s="33"/>
      <c r="BX68" s="34"/>
      <c r="BY68" s="34">
        <f>BY65-BW68</f>
        <v>764</v>
      </c>
      <c r="BZ68" s="34">
        <f>BZ65-BX68</f>
        <v>68</v>
      </c>
      <c r="CA68" s="34">
        <v>547</v>
      </c>
      <c r="CB68" s="35">
        <f t="shared" ref="CB68:CB74" si="589">((CA68+CC68)/BY68)</f>
        <v>0.72513089005235598</v>
      </c>
      <c r="CC68" s="34">
        <v>7</v>
      </c>
      <c r="CD68" s="35">
        <f t="shared" ref="CD68:CD74" si="590">CC68/(CA68+CC68)</f>
        <v>1.263537906137184E-2</v>
      </c>
      <c r="CE68" s="36"/>
      <c r="CF68" s="34"/>
      <c r="CG68" s="34"/>
      <c r="CH68" s="37"/>
      <c r="CI68" s="33"/>
      <c r="CJ68" s="34"/>
      <c r="CK68" s="34">
        <f>CK65-CI68</f>
        <v>189</v>
      </c>
      <c r="CL68" s="34">
        <f>CL65-CJ68</f>
        <v>17</v>
      </c>
      <c r="CM68" s="34">
        <v>119</v>
      </c>
      <c r="CN68" s="35">
        <f t="shared" ref="CN68:CN74" si="591">((CM68+CO68)/CK68)</f>
        <v>0.64550264550264547</v>
      </c>
      <c r="CO68" s="34">
        <v>3</v>
      </c>
      <c r="CP68" s="35">
        <f t="shared" ref="CP68:CP74" si="592">CO68/(CM68+CO68)</f>
        <v>2.4590163934426229E-2</v>
      </c>
      <c r="CQ68" s="36"/>
      <c r="CR68" s="34"/>
      <c r="CS68" s="34"/>
      <c r="CT68" s="37"/>
      <c r="CU68" s="33"/>
      <c r="CV68" s="34">
        <v>1</v>
      </c>
      <c r="CW68" s="34">
        <f>CW65-CU68</f>
        <v>762</v>
      </c>
      <c r="CX68" s="34">
        <f>CX65-CV68</f>
        <v>69</v>
      </c>
      <c r="CY68" s="34">
        <v>566</v>
      </c>
      <c r="CZ68" s="35">
        <f t="shared" ref="CZ68:CZ74" si="593">((CY68+DA68)/CW68)</f>
        <v>0.75984251968503935</v>
      </c>
      <c r="DA68" s="34">
        <v>13</v>
      </c>
      <c r="DB68" s="35">
        <f t="shared" ref="DB68:DB74" si="594">DA68/(CY68+DA68)</f>
        <v>2.2452504317789293E-2</v>
      </c>
      <c r="DC68" s="36"/>
      <c r="DD68" s="34"/>
      <c r="DE68" s="34"/>
      <c r="DF68" s="37"/>
      <c r="DG68" s="33"/>
      <c r="DH68" s="34"/>
      <c r="DI68" s="34">
        <f>DI65-DG68</f>
        <v>766</v>
      </c>
      <c r="DJ68" s="34">
        <f>DJ65-DH68</f>
        <v>70</v>
      </c>
      <c r="DK68" s="34">
        <v>586</v>
      </c>
      <c r="DL68" s="35">
        <f t="shared" ref="DL68:DL74" si="595">((DK68+DM68)/DI68)</f>
        <v>0.78067885117493474</v>
      </c>
      <c r="DM68" s="34">
        <v>12</v>
      </c>
      <c r="DN68" s="35">
        <f t="shared" ref="DN68:DN74" si="596">DM68/(DK68+DM68)</f>
        <v>2.0066889632107024E-2</v>
      </c>
      <c r="DO68" s="36"/>
      <c r="DP68" s="34"/>
      <c r="DQ68" s="34"/>
      <c r="DR68" s="37"/>
      <c r="DS68" s="33">
        <v>1</v>
      </c>
      <c r="DT68" s="34"/>
      <c r="DU68" s="34">
        <f>DU65-DS68</f>
        <v>860</v>
      </c>
      <c r="DV68" s="34">
        <f>DV65-DT68</f>
        <v>78</v>
      </c>
      <c r="DW68" s="34">
        <v>660</v>
      </c>
      <c r="DX68" s="35">
        <f t="shared" ref="DX68:DX74" si="597">((DW68+DY68)/DU68)</f>
        <v>0.78255813953488373</v>
      </c>
      <c r="DY68" s="34">
        <v>13</v>
      </c>
      <c r="DZ68" s="35">
        <f t="shared" ref="DZ68:DZ74" si="598">DY68/(DW68+DY68)</f>
        <v>1.9316493313521546E-2</v>
      </c>
      <c r="EA68" s="36"/>
      <c r="EB68" s="34"/>
      <c r="EC68" s="34"/>
      <c r="ED68" s="37"/>
      <c r="EE68" s="33">
        <v>1</v>
      </c>
      <c r="EF68" s="34"/>
      <c r="EG68" s="34">
        <f>EG65-EE68</f>
        <v>864</v>
      </c>
      <c r="EH68" s="34">
        <f>EH65-EF68</f>
        <v>79</v>
      </c>
      <c r="EI68" s="34">
        <v>655</v>
      </c>
      <c r="EJ68" s="35">
        <f t="shared" ref="EJ68:EJ74" si="599">((EI68+EK68)/EG68)</f>
        <v>0.77893518518518523</v>
      </c>
      <c r="EK68" s="34">
        <v>18</v>
      </c>
      <c r="EL68" s="35">
        <f t="shared" ref="EL68:EL74" si="600">EK68/(EI68+EK68)</f>
        <v>2.6745913818722138E-2</v>
      </c>
      <c r="EM68" s="36"/>
      <c r="EN68" s="34"/>
      <c r="EO68" s="34"/>
      <c r="EP68" s="37"/>
      <c r="EQ68" s="33"/>
      <c r="ER68" s="34"/>
      <c r="ES68" s="34">
        <f>ES65-EQ68</f>
        <v>205</v>
      </c>
      <c r="ET68" s="34">
        <f>ET65-ER68</f>
        <v>16</v>
      </c>
      <c r="EU68" s="34">
        <v>144</v>
      </c>
      <c r="EV68" s="35">
        <f t="shared" ref="EV68:EV74" si="601">((EU68+EW68)/ES68)</f>
        <v>0.72682926829268291</v>
      </c>
      <c r="EW68" s="34">
        <v>5</v>
      </c>
      <c r="EX68" s="35">
        <f t="shared" ref="EX68:EX74" si="602">EW68/(EU68+EW68)</f>
        <v>3.3557046979865772E-2</v>
      </c>
      <c r="EY68" s="36"/>
      <c r="EZ68" s="34"/>
      <c r="FA68" s="34"/>
      <c r="FB68" s="37"/>
      <c r="FC68" s="33"/>
      <c r="FD68" s="34"/>
      <c r="FE68" s="34">
        <f>FE65-FC68</f>
        <v>867</v>
      </c>
      <c r="FF68" s="34">
        <f>FF65-FD68</f>
        <v>78</v>
      </c>
      <c r="FG68" s="34">
        <v>690</v>
      </c>
      <c r="FH68" s="35">
        <f t="shared" ref="FH68:FH74" si="603">((FG68+FI68)/FE68)</f>
        <v>0.80622837370242217</v>
      </c>
      <c r="FI68" s="34">
        <v>9</v>
      </c>
      <c r="FJ68" s="35">
        <f t="shared" ref="FJ68:FJ74" si="604">FI68/(FG68+FI68)</f>
        <v>1.2875536480686695E-2</v>
      </c>
      <c r="FK68" s="36"/>
      <c r="FL68" s="34"/>
      <c r="FM68" s="34"/>
      <c r="FN68" s="37"/>
      <c r="FO68" s="33"/>
      <c r="FP68" s="34"/>
      <c r="FQ68" s="34">
        <f>FQ65-FO68</f>
        <v>909</v>
      </c>
      <c r="FR68" s="34">
        <f>FR65-FP68</f>
        <v>81</v>
      </c>
      <c r="FS68" s="34">
        <v>680</v>
      </c>
      <c r="FT68" s="35">
        <f t="shared" ref="FT68:FT74" si="605">((FS68+FU68)/FQ68)</f>
        <v>0.77447744774477445</v>
      </c>
      <c r="FU68" s="34">
        <v>24</v>
      </c>
      <c r="FV68" s="35">
        <f t="shared" ref="FV68:FV74" si="606">FU68/(FS68+FU68)</f>
        <v>3.4090909090909088E-2</v>
      </c>
      <c r="FW68" s="36"/>
      <c r="FX68" s="34"/>
      <c r="FY68" s="34"/>
      <c r="FZ68" s="37"/>
      <c r="GA68" s="33"/>
      <c r="GB68" s="34"/>
      <c r="GC68" s="34">
        <f>GC65-GA68</f>
        <v>904</v>
      </c>
      <c r="GD68" s="34">
        <f>GD65-GB68</f>
        <v>82</v>
      </c>
      <c r="GE68" s="34">
        <v>619</v>
      </c>
      <c r="GF68" s="35">
        <f t="shared" ref="GF68:GF74" si="607">((GE68+GG68)/GC68)</f>
        <v>0.70353982300884954</v>
      </c>
      <c r="GG68" s="34">
        <v>17</v>
      </c>
      <c r="GH68" s="35">
        <f t="shared" ref="GH68:GH74" si="608">GG68/(GE68+GG68)</f>
        <v>2.6729559748427674E-2</v>
      </c>
      <c r="GI68" s="36"/>
      <c r="GJ68" s="34"/>
      <c r="GK68" s="34"/>
      <c r="GL68" s="37"/>
      <c r="GM68" s="33"/>
      <c r="GN68" s="34"/>
      <c r="GO68" s="34">
        <f>GO65-GM68</f>
        <v>192</v>
      </c>
      <c r="GP68" s="34">
        <f>GP65-GN68</f>
        <v>17</v>
      </c>
      <c r="GQ68" s="34">
        <v>139</v>
      </c>
      <c r="GR68" s="35">
        <f t="shared" ref="GR68:GR74" si="609">((GQ68+GS68)/GO68)</f>
        <v>0.75</v>
      </c>
      <c r="GS68" s="34">
        <v>5</v>
      </c>
      <c r="GT68" s="35">
        <f t="shared" ref="GT68:GT74" si="610">GS68/(GQ68+GS68)</f>
        <v>3.4722222222222224E-2</v>
      </c>
      <c r="GU68" s="36"/>
      <c r="GV68" s="34"/>
      <c r="GW68" s="34"/>
      <c r="GX68" s="37"/>
      <c r="GY68" s="33"/>
      <c r="GZ68" s="34"/>
      <c r="HA68" s="34">
        <f>HA65-GY68</f>
        <v>911</v>
      </c>
      <c r="HB68" s="34">
        <f>HB65-GZ68</f>
        <v>82</v>
      </c>
      <c r="HC68" s="34">
        <v>680</v>
      </c>
      <c r="HD68" s="35">
        <f t="shared" ref="HD68:HD74" si="611">((HC68+HE68)/HA68)</f>
        <v>0.76289791437980237</v>
      </c>
      <c r="HE68" s="34">
        <v>15</v>
      </c>
      <c r="HF68" s="35">
        <f t="shared" ref="HF68:HF74" si="612">HE68/(HC68+HE68)</f>
        <v>2.1582733812949641E-2</v>
      </c>
      <c r="HG68" s="36"/>
      <c r="HH68" s="34"/>
      <c r="HI68" s="34"/>
      <c r="HJ68" s="37"/>
      <c r="HK68" s="33">
        <f t="shared" ref="HK68:HK75" si="613">+C68+O68+AA68+AM68+AY68+BK68+BW68+CI68+CU68+DG68+DS68+EE68+EQ68+FC68+FO68+GA68+GM68+GY68</f>
        <v>3</v>
      </c>
      <c r="HL68" s="34">
        <f t="shared" ref="HL68:HL75" si="614">+D68+P68+AB68+AN68+AZ68+BL68+BX68+CJ68+CV68+DH68+DT68+EF68+ER68+FD68+FP68+GB68+GN68+GZ68</f>
        <v>1</v>
      </c>
      <c r="HM68" s="34">
        <f t="shared" ref="HM68:HM75" si="615">+E68+Q68+AC68+AO68+BA68+BM68+BY68+CK68+CW68+DI68+DU68+EG68+ES68+FE68+FQ68+GC68+GO68+HA68</f>
        <v>12389</v>
      </c>
      <c r="HN68" s="34">
        <f t="shared" ref="HN68:HN75" si="616">+F68+R68+AD68+AP68+BB68+BN68+BZ68+CL68+CX68+DJ68+DV68+EH68+ET68+FF68+FR68+GD68+GP68+HB68</f>
        <v>1110</v>
      </c>
      <c r="HO68" s="34">
        <f t="shared" ref="HO68:HO75" si="617">+G68+S68+AE68+AQ68+BC68+BO68+CA68+CM68+CY68+DK68+DW68+EI68+EU68+FG68+FS68+GE68+GQ68+HC68+I68+U68+AG68+AS68+BE68+BQ68+CC68+CO68+DA68+DM68+DY68+EK68+EW68+FI68+FU68+GG68+GS68+HE68</f>
        <v>9336</v>
      </c>
      <c r="HP68" s="94">
        <f t="shared" ref="HP68:HP74" si="618">+(HO68)/HM68</f>
        <v>0.75357171684558888</v>
      </c>
      <c r="HQ68" s="48">
        <f t="shared" ref="HQ68:HQ75" si="619">+I68+U68+AG68+AS68+BE68+BQ68+CC68+CO68+DA68+DM68+DY68+EK68+EW68+FI68+FU68+GG68+GS68+HE68</f>
        <v>190</v>
      </c>
      <c r="HR68" s="35">
        <f t="shared" ref="HR68:HR75" si="620">+(HQ68/(HO68))</f>
        <v>2.035132819194516E-2</v>
      </c>
      <c r="HS68" s="49">
        <v>57.4</v>
      </c>
      <c r="HT68" s="50">
        <v>8959</v>
      </c>
      <c r="HU68" s="49">
        <f t="shared" ref="HU68:HU74" si="621">+HT68/HO68*100</f>
        <v>95.96186803770351</v>
      </c>
      <c r="HV68" s="48"/>
      <c r="HW68" s="37"/>
      <c r="HX68" s="73">
        <f t="shared" ref="HX68:HX74" si="622">SUM(G68,I68,S68,U68,AE68,AG68,AQ68,AS68,BC68,BE68)/SUM(E68,Q68,AC68,AO68,BA68)</f>
        <v>0.74813488510892268</v>
      </c>
      <c r="HY68" s="73">
        <f t="shared" ref="HY68:HY74" si="623">SUM(BO68,BQ68,CA68,CC68,CM68,CO68,CY68,DA68,DK68,DM68)/SUM(BM68,BY68,CK68,CW68,DI68)</f>
        <v>0.73842453397474439</v>
      </c>
      <c r="HZ68" s="73">
        <f t="shared" ref="HZ68:HZ74" si="624">SUM(DW68,DY68,EI68,EK68,EU68,EW68,FG68,FI68)/SUM(DU68,EG68,ES68,FE68)</f>
        <v>0.78469241773962806</v>
      </c>
      <c r="IA68" s="73">
        <f t="shared" ref="IA68:IA74" si="625">SUM(FS68,FU68,GE68,GG68,GQ68,GS68,HC68,HE68)/SUM(FQ68,GC68,GO68,HA68)</f>
        <v>0.74725651577503427</v>
      </c>
      <c r="IB68" s="84"/>
      <c r="IC68" s="84"/>
      <c r="ID68" s="84"/>
      <c r="IE68" s="84"/>
    </row>
    <row r="69" spans="1:244" x14ac:dyDescent="0.25">
      <c r="A69" s="374"/>
      <c r="B69" s="41">
        <f t="shared" ref="B69:B74" si="626">+B68+1</f>
        <v>44991</v>
      </c>
      <c r="C69" s="10"/>
      <c r="D69" s="11"/>
      <c r="E69" s="69">
        <f t="shared" ref="E69:F74" si="627">E68-C69</f>
        <v>846</v>
      </c>
      <c r="F69" s="69">
        <f t="shared" si="627"/>
        <v>75</v>
      </c>
      <c r="G69" s="11">
        <v>630</v>
      </c>
      <c r="H69" s="12">
        <f t="shared" si="578"/>
        <v>0.75295508274231682</v>
      </c>
      <c r="I69" s="11">
        <v>7</v>
      </c>
      <c r="J69" s="12">
        <f t="shared" ref="J69:J74" si="628">I69/(G69+I69)</f>
        <v>1.098901098901099E-2</v>
      </c>
      <c r="K69" s="13"/>
      <c r="L69" s="11"/>
      <c r="M69" s="11"/>
      <c r="N69" s="14"/>
      <c r="O69" s="10"/>
      <c r="P69" s="11"/>
      <c r="Q69" s="69">
        <f t="shared" ref="Q69:Q74" si="629">Q68-O69</f>
        <v>769</v>
      </c>
      <c r="R69" s="69">
        <f t="shared" ref="R69:R74" si="630">R68-P69</f>
        <v>68</v>
      </c>
      <c r="S69" s="11">
        <v>560</v>
      </c>
      <c r="T69" s="12">
        <f t="shared" si="579"/>
        <v>0.74122236671001296</v>
      </c>
      <c r="U69" s="11">
        <v>10</v>
      </c>
      <c r="V69" s="12">
        <f t="shared" si="580"/>
        <v>1.7543859649122806E-2</v>
      </c>
      <c r="W69" s="13"/>
      <c r="X69" s="11"/>
      <c r="Y69" s="11"/>
      <c r="Z69" s="14"/>
      <c r="AA69" s="10"/>
      <c r="AB69" s="11"/>
      <c r="AC69" s="69">
        <f t="shared" ref="AC69:AC74" si="631">AC68-AA69</f>
        <v>185</v>
      </c>
      <c r="AD69" s="69">
        <f t="shared" ref="AD69:AD74" si="632">AD68-AB69</f>
        <v>15</v>
      </c>
      <c r="AE69" s="11">
        <v>133</v>
      </c>
      <c r="AF69" s="12">
        <f t="shared" si="581"/>
        <v>0.72972972972972971</v>
      </c>
      <c r="AG69" s="11">
        <v>2</v>
      </c>
      <c r="AH69" s="12">
        <f t="shared" si="582"/>
        <v>1.4814814814814815E-2</v>
      </c>
      <c r="AI69" s="13"/>
      <c r="AJ69" s="11"/>
      <c r="AK69" s="11"/>
      <c r="AL69" s="14"/>
      <c r="AM69" s="10"/>
      <c r="AN69" s="11"/>
      <c r="AO69" s="69">
        <f t="shared" ref="AO69:AO74" si="633">AO68-AM69</f>
        <v>775</v>
      </c>
      <c r="AP69" s="69">
        <f t="shared" ref="AP69:AP74" si="634">AP68-AN69</f>
        <v>69</v>
      </c>
      <c r="AQ69" s="11">
        <v>523</v>
      </c>
      <c r="AR69" s="12">
        <f t="shared" si="583"/>
        <v>0.68129032258064515</v>
      </c>
      <c r="AS69" s="11">
        <v>5</v>
      </c>
      <c r="AT69" s="12">
        <f t="shared" si="584"/>
        <v>9.46969696969697E-3</v>
      </c>
      <c r="AU69" s="13"/>
      <c r="AV69" s="11"/>
      <c r="AW69" s="11"/>
      <c r="AX69" s="14"/>
      <c r="AY69" s="10"/>
      <c r="AZ69" s="11"/>
      <c r="BA69" s="69">
        <f t="shared" ref="BA69:BA74" si="635">BA68-AY69</f>
        <v>776</v>
      </c>
      <c r="BB69" s="69">
        <f t="shared" ref="BB69:BB74" si="636">BB68-AZ69</f>
        <v>69</v>
      </c>
      <c r="BC69" s="11">
        <v>561</v>
      </c>
      <c r="BD69" s="12">
        <f t="shared" si="585"/>
        <v>0.73582474226804129</v>
      </c>
      <c r="BE69" s="11">
        <v>10</v>
      </c>
      <c r="BF69" s="12">
        <f t="shared" si="586"/>
        <v>1.7513134851138354E-2</v>
      </c>
      <c r="BG69" s="13"/>
      <c r="BH69" s="11"/>
      <c r="BI69" s="11"/>
      <c r="BJ69" s="14"/>
      <c r="BK69" s="10"/>
      <c r="BL69" s="11"/>
      <c r="BM69" s="69">
        <f t="shared" ref="BM69:BM74" si="637">BM68-BK69</f>
        <v>845</v>
      </c>
      <c r="BN69" s="69">
        <f t="shared" ref="BN69:BN74" si="638">BN68-BL69</f>
        <v>77</v>
      </c>
      <c r="BO69" s="11">
        <v>605</v>
      </c>
      <c r="BP69" s="12">
        <f t="shared" si="587"/>
        <v>0.73254437869822486</v>
      </c>
      <c r="BQ69" s="11">
        <v>14</v>
      </c>
      <c r="BR69" s="12">
        <f t="shared" si="588"/>
        <v>2.2617124394184167E-2</v>
      </c>
      <c r="BS69" s="13"/>
      <c r="BT69" s="11"/>
      <c r="BU69" s="11"/>
      <c r="BV69" s="14"/>
      <c r="BW69" s="10"/>
      <c r="BX69" s="11"/>
      <c r="BY69" s="69">
        <f t="shared" ref="BY69:BY74" si="639">BY68-BW69</f>
        <v>764</v>
      </c>
      <c r="BZ69" s="69">
        <f t="shared" ref="BZ69:BZ74" si="640">BZ68-BX69</f>
        <v>68</v>
      </c>
      <c r="CA69" s="11">
        <v>541</v>
      </c>
      <c r="CB69" s="12">
        <f t="shared" si="589"/>
        <v>0.72120418848167545</v>
      </c>
      <c r="CC69" s="11">
        <v>10</v>
      </c>
      <c r="CD69" s="12">
        <f t="shared" si="590"/>
        <v>1.8148820326678767E-2</v>
      </c>
      <c r="CE69" s="13"/>
      <c r="CF69" s="11"/>
      <c r="CG69" s="11"/>
      <c r="CH69" s="14"/>
      <c r="CI69" s="10"/>
      <c r="CJ69" s="11"/>
      <c r="CK69" s="69">
        <f t="shared" ref="CK69:CK74" si="641">CK68-CI69</f>
        <v>189</v>
      </c>
      <c r="CL69" s="69">
        <f t="shared" ref="CL69:CL74" si="642">CL68-CJ69</f>
        <v>17</v>
      </c>
      <c r="CM69" s="11">
        <v>134</v>
      </c>
      <c r="CN69" s="12">
        <f t="shared" si="591"/>
        <v>0.73015873015873012</v>
      </c>
      <c r="CO69" s="11">
        <v>4</v>
      </c>
      <c r="CP69" s="12">
        <f t="shared" si="592"/>
        <v>2.8985507246376812E-2</v>
      </c>
      <c r="CQ69" s="13"/>
      <c r="CR69" s="11"/>
      <c r="CS69" s="11"/>
      <c r="CT69" s="14"/>
      <c r="CU69" s="10"/>
      <c r="CV69" s="11"/>
      <c r="CW69" s="69">
        <f t="shared" ref="CW69:CW74" si="643">CW68-CU69</f>
        <v>762</v>
      </c>
      <c r="CX69" s="69">
        <f t="shared" ref="CX69:CX74" si="644">CX68-CV69</f>
        <v>69</v>
      </c>
      <c r="CY69" s="11">
        <v>548</v>
      </c>
      <c r="CZ69" s="12">
        <f t="shared" si="593"/>
        <v>0.73490813648293962</v>
      </c>
      <c r="DA69" s="11">
        <v>12</v>
      </c>
      <c r="DB69" s="12">
        <f t="shared" si="594"/>
        <v>2.1428571428571429E-2</v>
      </c>
      <c r="DC69" s="13"/>
      <c r="DD69" s="11"/>
      <c r="DE69" s="11"/>
      <c r="DF69" s="14"/>
      <c r="DG69" s="10"/>
      <c r="DH69" s="11"/>
      <c r="DI69" s="69">
        <f t="shared" ref="DI69:DI74" si="645">DI68-DG69</f>
        <v>766</v>
      </c>
      <c r="DJ69" s="69">
        <f t="shared" ref="DJ69:DJ74" si="646">DJ68-DH69</f>
        <v>70</v>
      </c>
      <c r="DK69" s="11">
        <v>561</v>
      </c>
      <c r="DL69" s="12">
        <f t="shared" si="595"/>
        <v>0.74804177545691908</v>
      </c>
      <c r="DM69" s="11">
        <v>12</v>
      </c>
      <c r="DN69" s="12">
        <f t="shared" si="596"/>
        <v>2.0942408376963352E-2</v>
      </c>
      <c r="DO69" s="13"/>
      <c r="DP69" s="11"/>
      <c r="DQ69" s="11"/>
      <c r="DR69" s="14"/>
      <c r="DS69" s="10"/>
      <c r="DT69" s="11"/>
      <c r="DU69" s="69">
        <f t="shared" ref="DU69:DU74" si="647">DU68-DS69</f>
        <v>860</v>
      </c>
      <c r="DV69" s="69">
        <f t="shared" ref="DV69:DV74" si="648">DV68-DT69</f>
        <v>78</v>
      </c>
      <c r="DW69" s="11">
        <v>641</v>
      </c>
      <c r="DX69" s="12">
        <f t="shared" si="597"/>
        <v>0.76860465116279075</v>
      </c>
      <c r="DY69" s="11">
        <v>20</v>
      </c>
      <c r="DZ69" s="12">
        <f t="shared" si="598"/>
        <v>3.0257186081694403E-2</v>
      </c>
      <c r="EA69" s="13"/>
      <c r="EB69" s="11"/>
      <c r="EC69" s="11"/>
      <c r="ED69" s="14"/>
      <c r="EE69" s="10"/>
      <c r="EF69" s="11"/>
      <c r="EG69" s="69">
        <f t="shared" ref="EG69:EG74" si="649">EG68-EE69</f>
        <v>864</v>
      </c>
      <c r="EH69" s="69">
        <f t="shared" ref="EH69:EH74" si="650">EH68-EF69</f>
        <v>79</v>
      </c>
      <c r="EI69" s="11">
        <v>650</v>
      </c>
      <c r="EJ69" s="12">
        <f t="shared" si="599"/>
        <v>0.76620370370370372</v>
      </c>
      <c r="EK69" s="11">
        <v>12</v>
      </c>
      <c r="EL69" s="12">
        <f t="shared" si="600"/>
        <v>1.812688821752266E-2</v>
      </c>
      <c r="EM69" s="13"/>
      <c r="EN69" s="11"/>
      <c r="EO69" s="11"/>
      <c r="EP69" s="14"/>
      <c r="EQ69" s="10"/>
      <c r="ER69" s="11"/>
      <c r="ES69" s="69">
        <f t="shared" ref="ES69:ES74" si="651">ES68-EQ69</f>
        <v>205</v>
      </c>
      <c r="ET69" s="69">
        <f t="shared" ref="ET69:ET74" si="652">ET68-ER69</f>
        <v>16</v>
      </c>
      <c r="EU69" s="11">
        <v>156</v>
      </c>
      <c r="EV69" s="12">
        <f t="shared" si="601"/>
        <v>0.79512195121951224</v>
      </c>
      <c r="EW69" s="11">
        <v>7</v>
      </c>
      <c r="EX69" s="12">
        <f t="shared" si="602"/>
        <v>4.2944785276073622E-2</v>
      </c>
      <c r="EY69" s="13"/>
      <c r="EZ69" s="11"/>
      <c r="FA69" s="11"/>
      <c r="FB69" s="14"/>
      <c r="FC69" s="10"/>
      <c r="FD69" s="11"/>
      <c r="FE69" s="69">
        <f t="shared" ref="FE69:FE74" si="653">FE68-FC69</f>
        <v>867</v>
      </c>
      <c r="FF69" s="69">
        <f t="shared" ref="FF69:FF74" si="654">FF68-FD69</f>
        <v>78</v>
      </c>
      <c r="FG69" s="11">
        <v>652</v>
      </c>
      <c r="FH69" s="12">
        <f t="shared" si="603"/>
        <v>0.76470588235294112</v>
      </c>
      <c r="FI69" s="11">
        <v>11</v>
      </c>
      <c r="FJ69" s="12">
        <f t="shared" si="604"/>
        <v>1.6591251885369532E-2</v>
      </c>
      <c r="FK69" s="13"/>
      <c r="FL69" s="11"/>
      <c r="FM69" s="11"/>
      <c r="FN69" s="14"/>
      <c r="FO69" s="10"/>
      <c r="FP69" s="11"/>
      <c r="FQ69" s="69">
        <f t="shared" ref="FQ69:FQ74" si="655">FQ68-FO69</f>
        <v>909</v>
      </c>
      <c r="FR69" s="69">
        <f t="shared" ref="FR69:FR74" si="656">FR68-FP69</f>
        <v>81</v>
      </c>
      <c r="FS69" s="11">
        <v>681</v>
      </c>
      <c r="FT69" s="12">
        <f t="shared" si="605"/>
        <v>0.76567656765676573</v>
      </c>
      <c r="FU69" s="11">
        <v>15</v>
      </c>
      <c r="FV69" s="12">
        <f t="shared" si="606"/>
        <v>2.1551724137931036E-2</v>
      </c>
      <c r="FW69" s="13"/>
      <c r="FX69" s="11"/>
      <c r="FY69" s="11"/>
      <c r="FZ69" s="14"/>
      <c r="GA69" s="10"/>
      <c r="GB69" s="11"/>
      <c r="GC69" s="69">
        <f t="shared" ref="GC69:GC74" si="657">GC68-GA69</f>
        <v>904</v>
      </c>
      <c r="GD69" s="69">
        <f t="shared" ref="GD69:GD74" si="658">GD68-GB69</f>
        <v>82</v>
      </c>
      <c r="GE69" s="11">
        <v>630</v>
      </c>
      <c r="GF69" s="12">
        <f t="shared" si="607"/>
        <v>0.70353982300884954</v>
      </c>
      <c r="GG69" s="11">
        <v>6</v>
      </c>
      <c r="GH69" s="12">
        <f t="shared" si="608"/>
        <v>9.433962264150943E-3</v>
      </c>
      <c r="GI69" s="13"/>
      <c r="GJ69" s="11"/>
      <c r="GK69" s="11"/>
      <c r="GL69" s="14"/>
      <c r="GM69" s="10">
        <v>1</v>
      </c>
      <c r="GN69" s="11"/>
      <c r="GO69" s="69">
        <f t="shared" ref="GO69:GO74" si="659">GO68-GM69</f>
        <v>191</v>
      </c>
      <c r="GP69" s="69">
        <f t="shared" ref="GP69:GP74" si="660">GP68-GN69</f>
        <v>17</v>
      </c>
      <c r="GQ69" s="11">
        <v>132</v>
      </c>
      <c r="GR69" s="12">
        <f t="shared" si="609"/>
        <v>0.70680628272251311</v>
      </c>
      <c r="GS69" s="11">
        <v>3</v>
      </c>
      <c r="GT69" s="12">
        <f t="shared" si="610"/>
        <v>2.2222222222222223E-2</v>
      </c>
      <c r="GU69" s="13"/>
      <c r="GV69" s="11"/>
      <c r="GW69" s="11"/>
      <c r="GX69" s="14"/>
      <c r="GY69" s="10"/>
      <c r="GZ69" s="11"/>
      <c r="HA69" s="69">
        <f t="shared" ref="HA69:HA74" si="661">HA68-GY69</f>
        <v>911</v>
      </c>
      <c r="HB69" s="69">
        <f t="shared" ref="HB69:HB74" si="662">HB68-GZ69</f>
        <v>82</v>
      </c>
      <c r="HC69" s="11">
        <v>690</v>
      </c>
      <c r="HD69" s="12">
        <f t="shared" si="611"/>
        <v>0.76289791437980237</v>
      </c>
      <c r="HE69" s="11">
        <v>5</v>
      </c>
      <c r="HF69" s="12">
        <f t="shared" si="612"/>
        <v>7.1942446043165471E-3</v>
      </c>
      <c r="HG69" s="13"/>
      <c r="HH69" s="11"/>
      <c r="HI69" s="11"/>
      <c r="HJ69" s="14"/>
      <c r="HK69" s="10">
        <f t="shared" si="613"/>
        <v>1</v>
      </c>
      <c r="HL69" s="11">
        <f t="shared" si="614"/>
        <v>0</v>
      </c>
      <c r="HM69" s="11">
        <f t="shared" si="615"/>
        <v>12388</v>
      </c>
      <c r="HN69" s="11">
        <f t="shared" si="616"/>
        <v>1110</v>
      </c>
      <c r="HO69" s="11">
        <f t="shared" si="617"/>
        <v>9193</v>
      </c>
      <c r="HP69" s="95">
        <f t="shared" si="618"/>
        <v>0.74208911850177595</v>
      </c>
      <c r="HQ69" s="15">
        <f t="shared" si="619"/>
        <v>165</v>
      </c>
      <c r="HR69" s="12">
        <f t="shared" si="620"/>
        <v>1.7948439029696509E-2</v>
      </c>
      <c r="HS69" s="16">
        <v>57.3</v>
      </c>
      <c r="HT69" s="17">
        <v>8847</v>
      </c>
      <c r="HU69" s="16">
        <f t="shared" si="621"/>
        <v>96.236266724681812</v>
      </c>
      <c r="HV69" s="15"/>
      <c r="HW69" s="14"/>
      <c r="HX69" s="73">
        <f t="shared" si="622"/>
        <v>0.72843927185914648</v>
      </c>
      <c r="HY69" s="73">
        <f t="shared" si="623"/>
        <v>0.73391461214672282</v>
      </c>
      <c r="HZ69" s="73">
        <f t="shared" si="624"/>
        <v>0.76859799713876964</v>
      </c>
      <c r="IA69" s="73">
        <f t="shared" si="625"/>
        <v>0.7416809605488851</v>
      </c>
      <c r="IB69" s="84"/>
      <c r="IC69" s="84"/>
      <c r="ID69" s="84"/>
      <c r="IE69" s="84"/>
    </row>
    <row r="70" spans="1:244" x14ac:dyDescent="0.25">
      <c r="A70" s="374"/>
      <c r="B70" s="41">
        <f t="shared" si="626"/>
        <v>44992</v>
      </c>
      <c r="C70" s="10"/>
      <c r="D70" s="11"/>
      <c r="E70" s="69">
        <f t="shared" si="627"/>
        <v>846</v>
      </c>
      <c r="F70" s="69">
        <f t="shared" si="627"/>
        <v>75</v>
      </c>
      <c r="G70" s="11">
        <v>656</v>
      </c>
      <c r="H70" s="12">
        <f t="shared" si="578"/>
        <v>0.78132387706855788</v>
      </c>
      <c r="I70" s="11">
        <v>5</v>
      </c>
      <c r="J70" s="12">
        <f t="shared" si="628"/>
        <v>7.5642965204236008E-3</v>
      </c>
      <c r="K70" s="13"/>
      <c r="L70" s="11"/>
      <c r="M70" s="11"/>
      <c r="N70" s="14"/>
      <c r="O70" s="10">
        <v>1</v>
      </c>
      <c r="P70" s="11"/>
      <c r="Q70" s="69">
        <f t="shared" si="629"/>
        <v>768</v>
      </c>
      <c r="R70" s="69">
        <f t="shared" si="630"/>
        <v>68</v>
      </c>
      <c r="S70" s="11">
        <v>589</v>
      </c>
      <c r="T70" s="12">
        <f t="shared" si="579"/>
        <v>0.77864583333333337</v>
      </c>
      <c r="U70" s="11">
        <v>9</v>
      </c>
      <c r="V70" s="12">
        <f t="shared" si="580"/>
        <v>1.5050167224080268E-2</v>
      </c>
      <c r="W70" s="13"/>
      <c r="X70" s="11"/>
      <c r="Y70" s="11"/>
      <c r="Z70" s="14"/>
      <c r="AA70" s="10"/>
      <c r="AB70" s="11"/>
      <c r="AC70" s="69">
        <f t="shared" si="631"/>
        <v>185</v>
      </c>
      <c r="AD70" s="69">
        <f t="shared" si="632"/>
        <v>15</v>
      </c>
      <c r="AE70" s="11">
        <v>137</v>
      </c>
      <c r="AF70" s="12">
        <f t="shared" si="581"/>
        <v>0.76216216216216215</v>
      </c>
      <c r="AG70" s="11">
        <v>4</v>
      </c>
      <c r="AH70" s="12">
        <f t="shared" si="582"/>
        <v>2.8368794326241134E-2</v>
      </c>
      <c r="AI70" s="13"/>
      <c r="AJ70" s="11"/>
      <c r="AK70" s="11"/>
      <c r="AL70" s="14"/>
      <c r="AM70" s="10"/>
      <c r="AN70" s="11"/>
      <c r="AO70" s="69">
        <f t="shared" si="633"/>
        <v>775</v>
      </c>
      <c r="AP70" s="69">
        <f t="shared" si="634"/>
        <v>69</v>
      </c>
      <c r="AQ70" s="11">
        <v>567</v>
      </c>
      <c r="AR70" s="12">
        <f t="shared" si="583"/>
        <v>0.74451612903225806</v>
      </c>
      <c r="AS70" s="11">
        <v>10</v>
      </c>
      <c r="AT70" s="12">
        <f t="shared" si="584"/>
        <v>1.7331022530329289E-2</v>
      </c>
      <c r="AU70" s="13"/>
      <c r="AV70" s="11"/>
      <c r="AW70" s="11"/>
      <c r="AX70" s="14"/>
      <c r="AY70" s="10">
        <v>1</v>
      </c>
      <c r="AZ70" s="11"/>
      <c r="BA70" s="69">
        <f t="shared" si="635"/>
        <v>775</v>
      </c>
      <c r="BB70" s="69">
        <f t="shared" si="636"/>
        <v>69</v>
      </c>
      <c r="BC70" s="11">
        <v>587</v>
      </c>
      <c r="BD70" s="12">
        <f t="shared" si="585"/>
        <v>0.77290322580645165</v>
      </c>
      <c r="BE70" s="11">
        <v>12</v>
      </c>
      <c r="BF70" s="12">
        <f t="shared" si="586"/>
        <v>2.003338898163606E-2</v>
      </c>
      <c r="BG70" s="13"/>
      <c r="BH70" s="11"/>
      <c r="BI70" s="11"/>
      <c r="BJ70" s="14"/>
      <c r="BK70" s="10">
        <v>1</v>
      </c>
      <c r="BL70" s="11"/>
      <c r="BM70" s="69">
        <f t="shared" si="637"/>
        <v>844</v>
      </c>
      <c r="BN70" s="69">
        <f t="shared" si="638"/>
        <v>77</v>
      </c>
      <c r="BO70" s="11">
        <v>604</v>
      </c>
      <c r="BP70" s="12">
        <f t="shared" si="587"/>
        <v>0.73341232227488151</v>
      </c>
      <c r="BQ70" s="11">
        <v>15</v>
      </c>
      <c r="BR70" s="12">
        <f t="shared" si="588"/>
        <v>2.4232633279483037E-2</v>
      </c>
      <c r="BS70" s="13"/>
      <c r="BT70" s="11"/>
      <c r="BU70" s="11"/>
      <c r="BV70" s="14"/>
      <c r="BW70" s="10"/>
      <c r="BX70" s="11"/>
      <c r="BY70" s="69">
        <f t="shared" si="639"/>
        <v>764</v>
      </c>
      <c r="BZ70" s="69">
        <f t="shared" si="640"/>
        <v>68</v>
      </c>
      <c r="CA70" s="11">
        <v>543</v>
      </c>
      <c r="CB70" s="12">
        <f t="shared" si="589"/>
        <v>0.72643979057591623</v>
      </c>
      <c r="CC70" s="11">
        <v>12</v>
      </c>
      <c r="CD70" s="12">
        <f t="shared" si="590"/>
        <v>2.1621621621621623E-2</v>
      </c>
      <c r="CE70" s="13"/>
      <c r="CF70" s="11"/>
      <c r="CG70" s="11"/>
      <c r="CH70" s="14"/>
      <c r="CI70" s="10"/>
      <c r="CJ70" s="11"/>
      <c r="CK70" s="69">
        <f t="shared" si="641"/>
        <v>189</v>
      </c>
      <c r="CL70" s="69">
        <f t="shared" si="642"/>
        <v>17</v>
      </c>
      <c r="CM70" s="11">
        <v>128</v>
      </c>
      <c r="CN70" s="12">
        <f t="shared" si="591"/>
        <v>0.70370370370370372</v>
      </c>
      <c r="CO70" s="11">
        <v>5</v>
      </c>
      <c r="CP70" s="12">
        <f t="shared" si="592"/>
        <v>3.7593984962406013E-2</v>
      </c>
      <c r="CQ70" s="13"/>
      <c r="CR70" s="11"/>
      <c r="CS70" s="11"/>
      <c r="CT70" s="14"/>
      <c r="CU70" s="10"/>
      <c r="CV70" s="11"/>
      <c r="CW70" s="69">
        <f t="shared" si="643"/>
        <v>762</v>
      </c>
      <c r="CX70" s="69">
        <f t="shared" si="644"/>
        <v>69</v>
      </c>
      <c r="CY70" s="11">
        <v>570</v>
      </c>
      <c r="CZ70" s="12">
        <f t="shared" si="593"/>
        <v>0.75984251968503935</v>
      </c>
      <c r="DA70" s="11">
        <v>9</v>
      </c>
      <c r="DB70" s="12">
        <f t="shared" si="594"/>
        <v>1.5544041450777202E-2</v>
      </c>
      <c r="DC70" s="13"/>
      <c r="DD70" s="11"/>
      <c r="DE70" s="11"/>
      <c r="DF70" s="14"/>
      <c r="DG70" s="10">
        <v>1</v>
      </c>
      <c r="DH70" s="11"/>
      <c r="DI70" s="69">
        <f t="shared" si="645"/>
        <v>765</v>
      </c>
      <c r="DJ70" s="69">
        <f t="shared" si="646"/>
        <v>70</v>
      </c>
      <c r="DK70" s="11">
        <v>562</v>
      </c>
      <c r="DL70" s="12">
        <f t="shared" si="595"/>
        <v>0.75032679738562091</v>
      </c>
      <c r="DM70" s="11">
        <v>12</v>
      </c>
      <c r="DN70" s="12">
        <f t="shared" si="596"/>
        <v>2.0905923344947737E-2</v>
      </c>
      <c r="DO70" s="13"/>
      <c r="DP70" s="11"/>
      <c r="DQ70" s="11"/>
      <c r="DR70" s="14"/>
      <c r="DS70" s="10"/>
      <c r="DT70" s="11"/>
      <c r="DU70" s="69">
        <f t="shared" si="647"/>
        <v>860</v>
      </c>
      <c r="DV70" s="69">
        <f t="shared" si="648"/>
        <v>78</v>
      </c>
      <c r="DW70" s="11">
        <v>642</v>
      </c>
      <c r="DX70" s="12">
        <f t="shared" si="597"/>
        <v>0.76279069767441865</v>
      </c>
      <c r="DY70" s="11">
        <v>14</v>
      </c>
      <c r="DZ70" s="12">
        <f t="shared" si="598"/>
        <v>2.1341463414634148E-2</v>
      </c>
      <c r="EA70" s="13"/>
      <c r="EB70" s="11"/>
      <c r="EC70" s="11"/>
      <c r="ED70" s="14"/>
      <c r="EE70" s="10"/>
      <c r="EF70" s="11"/>
      <c r="EG70" s="69">
        <f t="shared" si="649"/>
        <v>864</v>
      </c>
      <c r="EH70" s="69">
        <f t="shared" si="650"/>
        <v>79</v>
      </c>
      <c r="EI70" s="11">
        <v>649</v>
      </c>
      <c r="EJ70" s="12">
        <f t="shared" si="599"/>
        <v>0.76273148148148151</v>
      </c>
      <c r="EK70" s="11">
        <v>10</v>
      </c>
      <c r="EL70" s="12">
        <f t="shared" si="600"/>
        <v>1.5174506828528073E-2</v>
      </c>
      <c r="EM70" s="13"/>
      <c r="EN70" s="11"/>
      <c r="EO70" s="11"/>
      <c r="EP70" s="14"/>
      <c r="EQ70" s="10"/>
      <c r="ER70" s="11"/>
      <c r="ES70" s="69">
        <f t="shared" si="651"/>
        <v>205</v>
      </c>
      <c r="ET70" s="69">
        <f t="shared" si="652"/>
        <v>16</v>
      </c>
      <c r="EU70" s="11">
        <v>135</v>
      </c>
      <c r="EV70" s="12">
        <f t="shared" si="601"/>
        <v>0.68292682926829273</v>
      </c>
      <c r="EW70" s="11">
        <v>5</v>
      </c>
      <c r="EX70" s="12">
        <f t="shared" si="602"/>
        <v>3.5714285714285712E-2</v>
      </c>
      <c r="EY70" s="13"/>
      <c r="EZ70" s="11"/>
      <c r="FA70" s="11"/>
      <c r="FB70" s="14"/>
      <c r="FC70" s="10"/>
      <c r="FD70" s="11"/>
      <c r="FE70" s="69">
        <f t="shared" si="653"/>
        <v>867</v>
      </c>
      <c r="FF70" s="69">
        <f t="shared" si="654"/>
        <v>78</v>
      </c>
      <c r="FG70" s="11">
        <v>691</v>
      </c>
      <c r="FH70" s="12">
        <f t="shared" si="603"/>
        <v>0.80853517877739334</v>
      </c>
      <c r="FI70" s="11">
        <v>10</v>
      </c>
      <c r="FJ70" s="12">
        <f t="shared" si="604"/>
        <v>1.4265335235378032E-2</v>
      </c>
      <c r="FK70" s="13"/>
      <c r="FL70" s="11"/>
      <c r="FM70" s="11"/>
      <c r="FN70" s="14"/>
      <c r="FO70" s="10"/>
      <c r="FP70" s="11"/>
      <c r="FQ70" s="69">
        <f t="shared" si="655"/>
        <v>909</v>
      </c>
      <c r="FR70" s="69">
        <f t="shared" si="656"/>
        <v>81</v>
      </c>
      <c r="FS70" s="11">
        <v>671</v>
      </c>
      <c r="FT70" s="12">
        <f t="shared" si="605"/>
        <v>0.76237623762376239</v>
      </c>
      <c r="FU70" s="11">
        <v>22</v>
      </c>
      <c r="FV70" s="12">
        <f t="shared" si="606"/>
        <v>3.1746031746031744E-2</v>
      </c>
      <c r="FW70" s="13"/>
      <c r="FX70" s="11"/>
      <c r="FY70" s="11"/>
      <c r="FZ70" s="14"/>
      <c r="GA70" s="10"/>
      <c r="GB70" s="11"/>
      <c r="GC70" s="69">
        <f t="shared" si="657"/>
        <v>904</v>
      </c>
      <c r="GD70" s="69">
        <f t="shared" si="658"/>
        <v>82</v>
      </c>
      <c r="GE70" s="11">
        <v>627</v>
      </c>
      <c r="GF70" s="12">
        <f t="shared" si="607"/>
        <v>0.70796460176991149</v>
      </c>
      <c r="GG70" s="11">
        <v>13</v>
      </c>
      <c r="GH70" s="12">
        <f t="shared" si="608"/>
        <v>2.0312500000000001E-2</v>
      </c>
      <c r="GI70" s="13"/>
      <c r="GJ70" s="11"/>
      <c r="GK70" s="11"/>
      <c r="GL70" s="14"/>
      <c r="GM70" s="10"/>
      <c r="GN70" s="11"/>
      <c r="GO70" s="69">
        <f t="shared" si="659"/>
        <v>191</v>
      </c>
      <c r="GP70" s="69">
        <f t="shared" si="660"/>
        <v>17</v>
      </c>
      <c r="GQ70" s="11">
        <v>128</v>
      </c>
      <c r="GR70" s="12">
        <f t="shared" si="609"/>
        <v>0.67539267015706805</v>
      </c>
      <c r="GS70" s="11">
        <v>1</v>
      </c>
      <c r="GT70" s="12">
        <f t="shared" si="610"/>
        <v>7.7519379844961239E-3</v>
      </c>
      <c r="GU70" s="13"/>
      <c r="GV70" s="11"/>
      <c r="GW70" s="11"/>
      <c r="GX70" s="14"/>
      <c r="GY70" s="10"/>
      <c r="GZ70" s="11"/>
      <c r="HA70" s="69">
        <f t="shared" si="661"/>
        <v>911</v>
      </c>
      <c r="HB70" s="69">
        <f t="shared" si="662"/>
        <v>82</v>
      </c>
      <c r="HC70" s="11">
        <v>712</v>
      </c>
      <c r="HD70" s="12">
        <f t="shared" si="611"/>
        <v>0.79582875960482991</v>
      </c>
      <c r="HE70" s="11">
        <v>13</v>
      </c>
      <c r="HF70" s="12">
        <f t="shared" si="612"/>
        <v>1.793103448275862E-2</v>
      </c>
      <c r="HG70" s="13"/>
      <c r="HH70" s="11"/>
      <c r="HI70" s="11"/>
      <c r="HJ70" s="14"/>
      <c r="HK70" s="10">
        <f t="shared" si="613"/>
        <v>4</v>
      </c>
      <c r="HL70" s="11">
        <f t="shared" si="614"/>
        <v>0</v>
      </c>
      <c r="HM70" s="11">
        <f t="shared" si="615"/>
        <v>12384</v>
      </c>
      <c r="HN70" s="11">
        <f t="shared" si="616"/>
        <v>1110</v>
      </c>
      <c r="HO70" s="11">
        <f t="shared" si="617"/>
        <v>9379</v>
      </c>
      <c r="HP70" s="95">
        <f t="shared" si="618"/>
        <v>0.75734819121447028</v>
      </c>
      <c r="HQ70" s="15">
        <f t="shared" si="619"/>
        <v>181</v>
      </c>
      <c r="HR70" s="12">
        <f t="shared" si="620"/>
        <v>1.9298432668728008E-2</v>
      </c>
      <c r="HS70" s="16">
        <v>57.1</v>
      </c>
      <c r="HT70" s="17">
        <v>9014</v>
      </c>
      <c r="HU70" s="16">
        <f t="shared" si="621"/>
        <v>96.108327113764787</v>
      </c>
      <c r="HV70" s="15"/>
      <c r="HW70" s="14"/>
      <c r="HX70" s="73">
        <f t="shared" si="622"/>
        <v>0.76918483129292325</v>
      </c>
      <c r="HY70" s="73">
        <f t="shared" si="623"/>
        <v>0.74007220216606495</v>
      </c>
      <c r="HZ70" s="73">
        <f t="shared" si="624"/>
        <v>0.77110157367668097</v>
      </c>
      <c r="IA70" s="73">
        <f t="shared" si="625"/>
        <v>0.75025728987993134</v>
      </c>
      <c r="IB70" s="84"/>
      <c r="IC70" s="84"/>
      <c r="ID70" s="84"/>
      <c r="IE70" s="84"/>
    </row>
    <row r="71" spans="1:244" x14ac:dyDescent="0.25">
      <c r="A71" s="374"/>
      <c r="B71" s="41">
        <f t="shared" si="626"/>
        <v>44993</v>
      </c>
      <c r="C71" s="10"/>
      <c r="D71" s="11"/>
      <c r="E71" s="69">
        <f t="shared" si="627"/>
        <v>846</v>
      </c>
      <c r="F71" s="69">
        <f t="shared" si="627"/>
        <v>75</v>
      </c>
      <c r="G71" s="11">
        <v>638</v>
      </c>
      <c r="H71" s="12">
        <f t="shared" si="578"/>
        <v>0.77541371158392436</v>
      </c>
      <c r="I71" s="11">
        <v>18</v>
      </c>
      <c r="J71" s="12">
        <f t="shared" si="628"/>
        <v>2.7439024390243903E-2</v>
      </c>
      <c r="K71" s="11"/>
      <c r="L71" s="11"/>
      <c r="M71" s="18"/>
      <c r="N71" s="20"/>
      <c r="O71" s="10"/>
      <c r="P71" s="11"/>
      <c r="Q71" s="69">
        <f t="shared" si="629"/>
        <v>768</v>
      </c>
      <c r="R71" s="69">
        <f t="shared" si="630"/>
        <v>68</v>
      </c>
      <c r="S71" s="11">
        <v>581</v>
      </c>
      <c r="T71" s="12">
        <f t="shared" si="579"/>
        <v>0.76822916666666663</v>
      </c>
      <c r="U71" s="11">
        <v>9</v>
      </c>
      <c r="V71" s="12">
        <f t="shared" si="580"/>
        <v>1.5254237288135594E-2</v>
      </c>
      <c r="W71" s="11"/>
      <c r="X71" s="11"/>
      <c r="Y71" s="18"/>
      <c r="Z71" s="20"/>
      <c r="AA71" s="10"/>
      <c r="AB71" s="11"/>
      <c r="AC71" s="69">
        <f t="shared" si="631"/>
        <v>185</v>
      </c>
      <c r="AD71" s="69">
        <f t="shared" si="632"/>
        <v>15</v>
      </c>
      <c r="AE71" s="11">
        <v>147</v>
      </c>
      <c r="AF71" s="12">
        <f t="shared" si="581"/>
        <v>0.80540540540540539</v>
      </c>
      <c r="AG71" s="11">
        <v>2</v>
      </c>
      <c r="AH71" s="12">
        <f t="shared" si="582"/>
        <v>1.3422818791946308E-2</v>
      </c>
      <c r="AI71" s="11"/>
      <c r="AJ71" s="11"/>
      <c r="AK71" s="18"/>
      <c r="AL71" s="20"/>
      <c r="AM71" s="10"/>
      <c r="AN71" s="11"/>
      <c r="AO71" s="69">
        <f t="shared" si="633"/>
        <v>775</v>
      </c>
      <c r="AP71" s="69">
        <f t="shared" si="634"/>
        <v>69</v>
      </c>
      <c r="AQ71" s="11">
        <v>587</v>
      </c>
      <c r="AR71" s="12">
        <f t="shared" si="583"/>
        <v>0.76774193548387093</v>
      </c>
      <c r="AS71" s="11">
        <v>8</v>
      </c>
      <c r="AT71" s="12">
        <f t="shared" si="584"/>
        <v>1.3445378151260505E-2</v>
      </c>
      <c r="AU71" s="11"/>
      <c r="AV71" s="11"/>
      <c r="AW71" s="18"/>
      <c r="AX71" s="20"/>
      <c r="AY71" s="10"/>
      <c r="AZ71" s="11"/>
      <c r="BA71" s="69">
        <f t="shared" si="635"/>
        <v>775</v>
      </c>
      <c r="BB71" s="69">
        <f t="shared" si="636"/>
        <v>69</v>
      </c>
      <c r="BC71" s="11">
        <v>601</v>
      </c>
      <c r="BD71" s="12">
        <f t="shared" si="585"/>
        <v>0.79225806451612901</v>
      </c>
      <c r="BE71" s="11">
        <v>13</v>
      </c>
      <c r="BF71" s="12">
        <f t="shared" si="586"/>
        <v>2.1172638436482084E-2</v>
      </c>
      <c r="BG71" s="11"/>
      <c r="BH71" s="11"/>
      <c r="BI71" s="18"/>
      <c r="BJ71" s="20"/>
      <c r="BK71" s="10">
        <v>1</v>
      </c>
      <c r="BL71" s="11"/>
      <c r="BM71" s="69">
        <f t="shared" si="637"/>
        <v>843</v>
      </c>
      <c r="BN71" s="69">
        <f t="shared" si="638"/>
        <v>77</v>
      </c>
      <c r="BO71" s="11">
        <v>602</v>
      </c>
      <c r="BP71" s="12">
        <f t="shared" si="587"/>
        <v>0.73190984578884932</v>
      </c>
      <c r="BQ71" s="11">
        <v>15</v>
      </c>
      <c r="BR71" s="12">
        <f t="shared" si="588"/>
        <v>2.4311183144246355E-2</v>
      </c>
      <c r="BS71" s="11"/>
      <c r="BT71" s="11"/>
      <c r="BU71" s="18"/>
      <c r="BV71" s="20"/>
      <c r="BW71" s="10"/>
      <c r="BX71" s="11"/>
      <c r="BY71" s="69">
        <f t="shared" si="639"/>
        <v>764</v>
      </c>
      <c r="BZ71" s="69">
        <f t="shared" si="640"/>
        <v>68</v>
      </c>
      <c r="CA71" s="11">
        <v>570</v>
      </c>
      <c r="CB71" s="12">
        <f t="shared" si="589"/>
        <v>0.76701570680628273</v>
      </c>
      <c r="CC71" s="11">
        <v>16</v>
      </c>
      <c r="CD71" s="12">
        <f t="shared" si="590"/>
        <v>2.7303754266211604E-2</v>
      </c>
      <c r="CE71" s="11"/>
      <c r="CF71" s="11"/>
      <c r="CG71" s="18"/>
      <c r="CH71" s="20"/>
      <c r="CI71" s="10">
        <v>1</v>
      </c>
      <c r="CJ71" s="11"/>
      <c r="CK71" s="69">
        <f t="shared" si="641"/>
        <v>188</v>
      </c>
      <c r="CL71" s="69">
        <f t="shared" si="642"/>
        <v>17</v>
      </c>
      <c r="CM71" s="11">
        <v>109</v>
      </c>
      <c r="CN71" s="12">
        <f t="shared" si="591"/>
        <v>0.60106382978723405</v>
      </c>
      <c r="CO71" s="11">
        <v>4</v>
      </c>
      <c r="CP71" s="12">
        <f t="shared" si="592"/>
        <v>3.5398230088495575E-2</v>
      </c>
      <c r="CQ71" s="11"/>
      <c r="CR71" s="11"/>
      <c r="CS71" s="18"/>
      <c r="CT71" s="20"/>
      <c r="CU71" s="10"/>
      <c r="CV71" s="11"/>
      <c r="CW71" s="69">
        <f t="shared" si="643"/>
        <v>762</v>
      </c>
      <c r="CX71" s="69">
        <f t="shared" si="644"/>
        <v>69</v>
      </c>
      <c r="CY71" s="11">
        <v>570</v>
      </c>
      <c r="CZ71" s="12">
        <f t="shared" si="593"/>
        <v>0.76771653543307083</v>
      </c>
      <c r="DA71" s="11">
        <v>15</v>
      </c>
      <c r="DB71" s="12">
        <f t="shared" si="594"/>
        <v>2.564102564102564E-2</v>
      </c>
      <c r="DC71" s="11"/>
      <c r="DD71" s="11"/>
      <c r="DE71" s="18"/>
      <c r="DF71" s="20"/>
      <c r="DG71" s="10">
        <v>1</v>
      </c>
      <c r="DH71" s="11"/>
      <c r="DI71" s="69">
        <f t="shared" si="645"/>
        <v>764</v>
      </c>
      <c r="DJ71" s="69">
        <f t="shared" si="646"/>
        <v>70</v>
      </c>
      <c r="DK71" s="11">
        <v>597</v>
      </c>
      <c r="DL71" s="12">
        <f t="shared" si="595"/>
        <v>0.7879581151832461</v>
      </c>
      <c r="DM71" s="11">
        <v>5</v>
      </c>
      <c r="DN71" s="12">
        <f t="shared" si="596"/>
        <v>8.3056478405315621E-3</v>
      </c>
      <c r="DO71" s="11"/>
      <c r="DP71" s="11"/>
      <c r="DQ71" s="18"/>
      <c r="DR71" s="20"/>
      <c r="DS71" s="10"/>
      <c r="DT71" s="11"/>
      <c r="DU71" s="69">
        <f t="shared" si="647"/>
        <v>860</v>
      </c>
      <c r="DV71" s="69">
        <f t="shared" si="648"/>
        <v>78</v>
      </c>
      <c r="DW71" s="11">
        <v>650</v>
      </c>
      <c r="DX71" s="12">
        <f t="shared" si="597"/>
        <v>0.77674418604651163</v>
      </c>
      <c r="DY71" s="11">
        <v>18</v>
      </c>
      <c r="DZ71" s="12">
        <f t="shared" si="598"/>
        <v>2.6946107784431138E-2</v>
      </c>
      <c r="EA71" s="11"/>
      <c r="EB71" s="11"/>
      <c r="EC71" s="18"/>
      <c r="ED71" s="20"/>
      <c r="EE71" s="10"/>
      <c r="EF71" s="11"/>
      <c r="EG71" s="69">
        <f t="shared" si="649"/>
        <v>864</v>
      </c>
      <c r="EH71" s="69">
        <f t="shared" si="650"/>
        <v>79</v>
      </c>
      <c r="EI71" s="11">
        <v>659</v>
      </c>
      <c r="EJ71" s="12">
        <f t="shared" si="599"/>
        <v>0.78472222222222221</v>
      </c>
      <c r="EK71" s="11">
        <v>19</v>
      </c>
      <c r="EL71" s="12">
        <f t="shared" si="600"/>
        <v>2.8023598820058997E-2</v>
      </c>
      <c r="EM71" s="11"/>
      <c r="EN71" s="11"/>
      <c r="EO71" s="18"/>
      <c r="EP71" s="20"/>
      <c r="EQ71" s="10">
        <v>2</v>
      </c>
      <c r="ER71" s="11"/>
      <c r="ES71" s="69">
        <f t="shared" si="651"/>
        <v>203</v>
      </c>
      <c r="ET71" s="69">
        <f t="shared" si="652"/>
        <v>16</v>
      </c>
      <c r="EU71" s="11">
        <v>134</v>
      </c>
      <c r="EV71" s="12">
        <f t="shared" si="601"/>
        <v>0.68965517241379315</v>
      </c>
      <c r="EW71" s="11">
        <v>6</v>
      </c>
      <c r="EX71" s="12">
        <f t="shared" si="602"/>
        <v>4.2857142857142858E-2</v>
      </c>
      <c r="EY71" s="11"/>
      <c r="EZ71" s="11"/>
      <c r="FA71" s="18"/>
      <c r="FB71" s="20"/>
      <c r="FC71" s="10"/>
      <c r="FD71" s="11"/>
      <c r="FE71" s="69">
        <f t="shared" si="653"/>
        <v>867</v>
      </c>
      <c r="FF71" s="69">
        <f t="shared" si="654"/>
        <v>78</v>
      </c>
      <c r="FG71" s="11">
        <v>709</v>
      </c>
      <c r="FH71" s="12">
        <f t="shared" si="603"/>
        <v>0.82929642445213381</v>
      </c>
      <c r="FI71" s="11">
        <v>10</v>
      </c>
      <c r="FJ71" s="12">
        <f t="shared" si="604"/>
        <v>1.3908205841446454E-2</v>
      </c>
      <c r="FK71" s="11"/>
      <c r="FL71" s="11"/>
      <c r="FM71" s="18"/>
      <c r="FN71" s="20"/>
      <c r="FO71" s="10">
        <v>1</v>
      </c>
      <c r="FP71" s="11"/>
      <c r="FQ71" s="69">
        <f t="shared" si="655"/>
        <v>908</v>
      </c>
      <c r="FR71" s="69">
        <f t="shared" si="656"/>
        <v>81</v>
      </c>
      <c r="FS71" s="11">
        <v>686</v>
      </c>
      <c r="FT71" s="12">
        <f t="shared" si="605"/>
        <v>0.77643171806167399</v>
      </c>
      <c r="FU71" s="11">
        <v>19</v>
      </c>
      <c r="FV71" s="12">
        <f t="shared" si="606"/>
        <v>2.6950354609929079E-2</v>
      </c>
      <c r="FW71" s="11"/>
      <c r="FX71" s="11"/>
      <c r="FY71" s="18"/>
      <c r="FZ71" s="20"/>
      <c r="GA71" s="10">
        <v>2</v>
      </c>
      <c r="GB71" s="11"/>
      <c r="GC71" s="69">
        <f t="shared" si="657"/>
        <v>902</v>
      </c>
      <c r="GD71" s="69">
        <f t="shared" si="658"/>
        <v>82</v>
      </c>
      <c r="GE71" s="11">
        <v>620</v>
      </c>
      <c r="GF71" s="12">
        <f t="shared" si="607"/>
        <v>0.71286031042128606</v>
      </c>
      <c r="GG71" s="11">
        <v>23</v>
      </c>
      <c r="GH71" s="12">
        <f t="shared" si="608"/>
        <v>3.5769828926905133E-2</v>
      </c>
      <c r="GI71" s="11"/>
      <c r="GJ71" s="11"/>
      <c r="GK71" s="18"/>
      <c r="GL71" s="20"/>
      <c r="GM71" s="10">
        <v>1</v>
      </c>
      <c r="GN71" s="11"/>
      <c r="GO71" s="69">
        <f t="shared" si="659"/>
        <v>190</v>
      </c>
      <c r="GP71" s="69">
        <f t="shared" si="660"/>
        <v>17</v>
      </c>
      <c r="GQ71" s="11">
        <v>125</v>
      </c>
      <c r="GR71" s="12">
        <f t="shared" si="609"/>
        <v>0.66842105263157892</v>
      </c>
      <c r="GS71" s="11">
        <v>2</v>
      </c>
      <c r="GT71" s="12">
        <f t="shared" si="610"/>
        <v>1.5748031496062992E-2</v>
      </c>
      <c r="GU71" s="11"/>
      <c r="GV71" s="11"/>
      <c r="GW71" s="18"/>
      <c r="GX71" s="20"/>
      <c r="GY71" s="10"/>
      <c r="GZ71" s="11"/>
      <c r="HA71" s="69">
        <f t="shared" si="661"/>
        <v>911</v>
      </c>
      <c r="HB71" s="69">
        <f t="shared" si="662"/>
        <v>82</v>
      </c>
      <c r="HC71" s="11">
        <v>719</v>
      </c>
      <c r="HD71" s="12">
        <f t="shared" si="611"/>
        <v>0.79912184412733256</v>
      </c>
      <c r="HE71" s="11">
        <v>9</v>
      </c>
      <c r="HF71" s="12">
        <f t="shared" si="612"/>
        <v>1.2362637362637362E-2</v>
      </c>
      <c r="HG71" s="11"/>
      <c r="HH71" s="11"/>
      <c r="HI71" s="18"/>
      <c r="HJ71" s="20"/>
      <c r="HK71" s="10">
        <f t="shared" si="613"/>
        <v>9</v>
      </c>
      <c r="HL71" s="11">
        <f t="shared" si="614"/>
        <v>0</v>
      </c>
      <c r="HM71" s="11">
        <f t="shared" si="615"/>
        <v>12375</v>
      </c>
      <c r="HN71" s="11">
        <f t="shared" si="616"/>
        <v>1110</v>
      </c>
      <c r="HO71" s="11">
        <f t="shared" si="617"/>
        <v>9515</v>
      </c>
      <c r="HP71" s="95">
        <f t="shared" si="618"/>
        <v>0.76888888888888884</v>
      </c>
      <c r="HQ71" s="15">
        <f t="shared" si="619"/>
        <v>211</v>
      </c>
      <c r="HR71" s="12">
        <f t="shared" si="620"/>
        <v>2.2175512348922753E-2</v>
      </c>
      <c r="HS71" s="16">
        <v>57.4</v>
      </c>
      <c r="HT71" s="17">
        <v>9099</v>
      </c>
      <c r="HU71" s="16">
        <f t="shared" si="621"/>
        <v>95.627955859169731</v>
      </c>
      <c r="HV71" s="18"/>
      <c r="HW71" s="20"/>
      <c r="HX71" s="73">
        <f t="shared" si="622"/>
        <v>0.77754553598088982</v>
      </c>
      <c r="HY71" s="73">
        <f t="shared" si="623"/>
        <v>0.75368864799759105</v>
      </c>
      <c r="HZ71" s="73">
        <f t="shared" si="624"/>
        <v>0.78919112383679313</v>
      </c>
      <c r="IA71" s="73">
        <f t="shared" si="625"/>
        <v>0.75678461009962217</v>
      </c>
      <c r="IB71" s="84"/>
      <c r="IC71" s="84"/>
      <c r="ID71" s="84"/>
      <c r="IE71" s="84"/>
    </row>
    <row r="72" spans="1:244" x14ac:dyDescent="0.25">
      <c r="A72" s="374"/>
      <c r="B72" s="41">
        <f>+B71+1</f>
        <v>44994</v>
      </c>
      <c r="C72" s="10"/>
      <c r="D72" s="11"/>
      <c r="E72" s="69">
        <f t="shared" si="627"/>
        <v>846</v>
      </c>
      <c r="F72" s="69">
        <f t="shared" si="627"/>
        <v>75</v>
      </c>
      <c r="G72" s="11">
        <v>646</v>
      </c>
      <c r="H72" s="12">
        <f t="shared" si="578"/>
        <v>0.77777777777777779</v>
      </c>
      <c r="I72" s="11">
        <v>12</v>
      </c>
      <c r="J72" s="12">
        <f t="shared" si="628"/>
        <v>1.82370820668693E-2</v>
      </c>
      <c r="K72" s="13"/>
      <c r="L72" s="13"/>
      <c r="M72" s="25">
        <v>3888</v>
      </c>
      <c r="N72" s="38">
        <v>4190</v>
      </c>
      <c r="O72" s="10"/>
      <c r="P72" s="11"/>
      <c r="Q72" s="69">
        <f t="shared" si="629"/>
        <v>768</v>
      </c>
      <c r="R72" s="69">
        <f t="shared" si="630"/>
        <v>68</v>
      </c>
      <c r="S72" s="11">
        <v>555</v>
      </c>
      <c r="T72" s="12">
        <f t="shared" si="579"/>
        <v>0.7421875</v>
      </c>
      <c r="U72" s="11">
        <v>15</v>
      </c>
      <c r="V72" s="12">
        <f t="shared" si="580"/>
        <v>2.6315789473684209E-2</v>
      </c>
      <c r="W72" s="13"/>
      <c r="X72" s="13"/>
      <c r="Y72" s="25">
        <v>3888</v>
      </c>
      <c r="Z72" s="38">
        <v>4190</v>
      </c>
      <c r="AA72" s="10"/>
      <c r="AB72" s="11"/>
      <c r="AC72" s="69">
        <f t="shared" si="631"/>
        <v>185</v>
      </c>
      <c r="AD72" s="69">
        <f t="shared" si="632"/>
        <v>15</v>
      </c>
      <c r="AE72" s="11">
        <v>132</v>
      </c>
      <c r="AF72" s="12">
        <f t="shared" si="581"/>
        <v>0.72432432432432436</v>
      </c>
      <c r="AG72" s="11">
        <v>2</v>
      </c>
      <c r="AH72" s="12">
        <f t="shared" si="582"/>
        <v>1.4925373134328358E-2</v>
      </c>
      <c r="AI72" s="13"/>
      <c r="AJ72" s="13"/>
      <c r="AK72" s="25">
        <v>3888</v>
      </c>
      <c r="AL72" s="38">
        <v>4190</v>
      </c>
      <c r="AM72" s="10"/>
      <c r="AN72" s="11"/>
      <c r="AO72" s="69">
        <f t="shared" si="633"/>
        <v>775</v>
      </c>
      <c r="AP72" s="69">
        <f t="shared" si="634"/>
        <v>69</v>
      </c>
      <c r="AQ72" s="11">
        <v>570</v>
      </c>
      <c r="AR72" s="12">
        <f t="shared" si="583"/>
        <v>0.74838709677419357</v>
      </c>
      <c r="AS72" s="11">
        <v>10</v>
      </c>
      <c r="AT72" s="12">
        <f t="shared" si="584"/>
        <v>1.7241379310344827E-2</v>
      </c>
      <c r="AU72" s="13"/>
      <c r="AV72" s="13"/>
      <c r="AW72" s="25">
        <v>3888</v>
      </c>
      <c r="AX72" s="38">
        <v>4190</v>
      </c>
      <c r="AY72" s="10"/>
      <c r="AZ72" s="11"/>
      <c r="BA72" s="69">
        <f t="shared" si="635"/>
        <v>775</v>
      </c>
      <c r="BB72" s="69">
        <f t="shared" si="636"/>
        <v>69</v>
      </c>
      <c r="BC72" s="11">
        <v>599</v>
      </c>
      <c r="BD72" s="12">
        <f t="shared" si="585"/>
        <v>0.79612903225806453</v>
      </c>
      <c r="BE72" s="11">
        <v>18</v>
      </c>
      <c r="BF72" s="12">
        <f t="shared" si="586"/>
        <v>2.9173419773095625E-2</v>
      </c>
      <c r="BG72" s="13"/>
      <c r="BH72" s="13"/>
      <c r="BI72" s="25">
        <v>3888</v>
      </c>
      <c r="BJ72" s="38">
        <v>4190</v>
      </c>
      <c r="BK72" s="10"/>
      <c r="BL72" s="11"/>
      <c r="BM72" s="69">
        <f t="shared" si="637"/>
        <v>843</v>
      </c>
      <c r="BN72" s="69">
        <f t="shared" si="638"/>
        <v>77</v>
      </c>
      <c r="BO72" s="11">
        <v>579</v>
      </c>
      <c r="BP72" s="12">
        <f t="shared" si="587"/>
        <v>0.70106761565836295</v>
      </c>
      <c r="BQ72" s="11">
        <v>12</v>
      </c>
      <c r="BR72" s="12">
        <f t="shared" si="588"/>
        <v>2.030456852791878E-2</v>
      </c>
      <c r="BS72" s="13"/>
      <c r="BT72" s="13"/>
      <c r="BU72" s="25">
        <v>3888</v>
      </c>
      <c r="BV72" s="38">
        <v>4190</v>
      </c>
      <c r="BW72" s="10"/>
      <c r="BX72" s="11"/>
      <c r="BY72" s="69">
        <f t="shared" si="639"/>
        <v>764</v>
      </c>
      <c r="BZ72" s="69">
        <f t="shared" si="640"/>
        <v>68</v>
      </c>
      <c r="CA72" s="11">
        <v>558</v>
      </c>
      <c r="CB72" s="12">
        <f t="shared" si="589"/>
        <v>0.73560209424083767</v>
      </c>
      <c r="CC72" s="11">
        <v>4</v>
      </c>
      <c r="CD72" s="12">
        <f t="shared" si="590"/>
        <v>7.1174377224199285E-3</v>
      </c>
      <c r="CE72" s="13"/>
      <c r="CF72" s="13"/>
      <c r="CG72" s="25">
        <v>3888</v>
      </c>
      <c r="CH72" s="38">
        <v>4190</v>
      </c>
      <c r="CI72" s="10">
        <v>2</v>
      </c>
      <c r="CJ72" s="11"/>
      <c r="CK72" s="69">
        <f t="shared" si="641"/>
        <v>186</v>
      </c>
      <c r="CL72" s="69">
        <f t="shared" si="642"/>
        <v>17</v>
      </c>
      <c r="CM72" s="11">
        <v>107</v>
      </c>
      <c r="CN72" s="12">
        <f t="shared" si="591"/>
        <v>0.58064516129032262</v>
      </c>
      <c r="CO72" s="11">
        <v>1</v>
      </c>
      <c r="CP72" s="12">
        <f t="shared" si="592"/>
        <v>9.2592592592592587E-3</v>
      </c>
      <c r="CQ72" s="13"/>
      <c r="CR72" s="13"/>
      <c r="CS72" s="25">
        <v>3888</v>
      </c>
      <c r="CT72" s="38">
        <v>4190</v>
      </c>
      <c r="CU72" s="10"/>
      <c r="CV72" s="11"/>
      <c r="CW72" s="69">
        <f t="shared" si="643"/>
        <v>762</v>
      </c>
      <c r="CX72" s="69">
        <f t="shared" si="644"/>
        <v>69</v>
      </c>
      <c r="CY72" s="11">
        <v>591</v>
      </c>
      <c r="CZ72" s="12">
        <f t="shared" si="593"/>
        <v>0.79002624671916011</v>
      </c>
      <c r="DA72" s="11">
        <v>11</v>
      </c>
      <c r="DB72" s="12">
        <f t="shared" si="594"/>
        <v>1.8272425249169437E-2</v>
      </c>
      <c r="DC72" s="13"/>
      <c r="DD72" s="13"/>
      <c r="DE72" s="25">
        <v>3888</v>
      </c>
      <c r="DF72" s="38">
        <v>4190</v>
      </c>
      <c r="DG72" s="10"/>
      <c r="DH72" s="11"/>
      <c r="DI72" s="69">
        <f t="shared" si="645"/>
        <v>764</v>
      </c>
      <c r="DJ72" s="69">
        <f t="shared" si="646"/>
        <v>70</v>
      </c>
      <c r="DK72" s="11">
        <v>579</v>
      </c>
      <c r="DL72" s="12">
        <f t="shared" si="595"/>
        <v>0.77617801047120416</v>
      </c>
      <c r="DM72" s="11">
        <v>14</v>
      </c>
      <c r="DN72" s="12">
        <f t="shared" si="596"/>
        <v>2.3608768971332208E-2</v>
      </c>
      <c r="DO72" s="13"/>
      <c r="DP72" s="13"/>
      <c r="DQ72" s="25">
        <v>3888</v>
      </c>
      <c r="DR72" s="38">
        <v>4190</v>
      </c>
      <c r="DS72" s="10"/>
      <c r="DT72" s="11"/>
      <c r="DU72" s="69">
        <f t="shared" si="647"/>
        <v>860</v>
      </c>
      <c r="DV72" s="69">
        <f t="shared" si="648"/>
        <v>78</v>
      </c>
      <c r="DW72" s="11">
        <v>681</v>
      </c>
      <c r="DX72" s="12">
        <f t="shared" si="597"/>
        <v>0.80813953488372092</v>
      </c>
      <c r="DY72" s="11">
        <v>14</v>
      </c>
      <c r="DZ72" s="12">
        <f t="shared" si="598"/>
        <v>2.0143884892086329E-2</v>
      </c>
      <c r="EA72" s="13"/>
      <c r="EB72" s="13"/>
      <c r="EC72" s="25">
        <v>3888</v>
      </c>
      <c r="ED72" s="38">
        <v>4190</v>
      </c>
      <c r="EE72" s="10"/>
      <c r="EF72" s="11"/>
      <c r="EG72" s="69">
        <f t="shared" si="649"/>
        <v>864</v>
      </c>
      <c r="EH72" s="69">
        <f t="shared" si="650"/>
        <v>79</v>
      </c>
      <c r="EI72" s="11">
        <v>640</v>
      </c>
      <c r="EJ72" s="12">
        <f t="shared" si="599"/>
        <v>0.76157407407407407</v>
      </c>
      <c r="EK72" s="11">
        <v>18</v>
      </c>
      <c r="EL72" s="12">
        <f t="shared" si="600"/>
        <v>2.7355623100303952E-2</v>
      </c>
      <c r="EM72" s="13"/>
      <c r="EN72" s="13"/>
      <c r="EO72" s="25">
        <v>3888</v>
      </c>
      <c r="EP72" s="38">
        <v>4190</v>
      </c>
      <c r="EQ72" s="10"/>
      <c r="ER72" s="11"/>
      <c r="ES72" s="69">
        <f t="shared" si="651"/>
        <v>203</v>
      </c>
      <c r="ET72" s="69">
        <f t="shared" si="652"/>
        <v>16</v>
      </c>
      <c r="EU72" s="11">
        <v>147</v>
      </c>
      <c r="EV72" s="12">
        <f t="shared" si="601"/>
        <v>0.73399014778325122</v>
      </c>
      <c r="EW72" s="11">
        <v>2</v>
      </c>
      <c r="EX72" s="12">
        <f t="shared" si="602"/>
        <v>1.3422818791946308E-2</v>
      </c>
      <c r="EY72" s="13"/>
      <c r="EZ72" s="13"/>
      <c r="FA72" s="25">
        <v>3888</v>
      </c>
      <c r="FB72" s="38">
        <v>4190</v>
      </c>
      <c r="FC72" s="10"/>
      <c r="FD72" s="11"/>
      <c r="FE72" s="69">
        <f t="shared" si="653"/>
        <v>867</v>
      </c>
      <c r="FF72" s="69">
        <f t="shared" si="654"/>
        <v>78</v>
      </c>
      <c r="FG72" s="11">
        <v>701</v>
      </c>
      <c r="FH72" s="12">
        <f t="shared" si="603"/>
        <v>0.81891580161476352</v>
      </c>
      <c r="FI72" s="11">
        <v>9</v>
      </c>
      <c r="FJ72" s="12">
        <f t="shared" si="604"/>
        <v>1.2676056338028169E-2</v>
      </c>
      <c r="FK72" s="13"/>
      <c r="FL72" s="13"/>
      <c r="FM72" s="25">
        <v>3888</v>
      </c>
      <c r="FN72" s="38">
        <v>4190</v>
      </c>
      <c r="FO72" s="10"/>
      <c r="FP72" s="11"/>
      <c r="FQ72" s="69">
        <f t="shared" si="655"/>
        <v>908</v>
      </c>
      <c r="FR72" s="69">
        <f t="shared" si="656"/>
        <v>81</v>
      </c>
      <c r="FS72" s="11">
        <v>701</v>
      </c>
      <c r="FT72" s="12">
        <f t="shared" si="605"/>
        <v>0.79074889867841414</v>
      </c>
      <c r="FU72" s="11">
        <v>17</v>
      </c>
      <c r="FV72" s="12">
        <f t="shared" si="606"/>
        <v>2.3676880222841225E-2</v>
      </c>
      <c r="FW72" s="13"/>
      <c r="FX72" s="13"/>
      <c r="FY72" s="25">
        <v>3888</v>
      </c>
      <c r="FZ72" s="38">
        <v>4190</v>
      </c>
      <c r="GA72" s="10"/>
      <c r="GB72" s="11"/>
      <c r="GC72" s="69">
        <f t="shared" si="657"/>
        <v>902</v>
      </c>
      <c r="GD72" s="69">
        <f t="shared" si="658"/>
        <v>82</v>
      </c>
      <c r="GE72" s="11">
        <v>641</v>
      </c>
      <c r="GF72" s="12">
        <f t="shared" si="607"/>
        <v>0.72838137472283815</v>
      </c>
      <c r="GG72" s="11">
        <v>16</v>
      </c>
      <c r="GH72" s="12">
        <f t="shared" si="608"/>
        <v>2.4353120243531201E-2</v>
      </c>
      <c r="GI72" s="13"/>
      <c r="GJ72" s="13"/>
      <c r="GK72" s="25">
        <v>3888</v>
      </c>
      <c r="GL72" s="38">
        <v>4190</v>
      </c>
      <c r="GM72" s="10"/>
      <c r="GN72" s="11"/>
      <c r="GO72" s="69">
        <f t="shared" si="659"/>
        <v>190</v>
      </c>
      <c r="GP72" s="69">
        <f t="shared" si="660"/>
        <v>17</v>
      </c>
      <c r="GQ72" s="11">
        <v>133</v>
      </c>
      <c r="GR72" s="12">
        <f t="shared" si="609"/>
        <v>0.70526315789473681</v>
      </c>
      <c r="GS72" s="11">
        <v>1</v>
      </c>
      <c r="GT72" s="12">
        <f t="shared" si="610"/>
        <v>7.462686567164179E-3</v>
      </c>
      <c r="GU72" s="13"/>
      <c r="GV72" s="13"/>
      <c r="GW72" s="25">
        <v>3888</v>
      </c>
      <c r="GX72" s="38">
        <v>4190</v>
      </c>
      <c r="GY72" s="10"/>
      <c r="GZ72" s="11"/>
      <c r="HA72" s="69">
        <f t="shared" si="661"/>
        <v>911</v>
      </c>
      <c r="HB72" s="69">
        <f t="shared" si="662"/>
        <v>82</v>
      </c>
      <c r="HC72" s="11">
        <v>693</v>
      </c>
      <c r="HD72" s="12">
        <f t="shared" si="611"/>
        <v>0.7694840834248079</v>
      </c>
      <c r="HE72" s="11">
        <v>8</v>
      </c>
      <c r="HF72" s="12">
        <f t="shared" si="612"/>
        <v>1.1412268188302425E-2</v>
      </c>
      <c r="HG72" s="13"/>
      <c r="HH72" s="13"/>
      <c r="HI72" s="25">
        <v>3888</v>
      </c>
      <c r="HJ72" s="38">
        <v>4190</v>
      </c>
      <c r="HK72" s="10">
        <f t="shared" si="613"/>
        <v>2</v>
      </c>
      <c r="HL72" s="11">
        <f t="shared" si="614"/>
        <v>0</v>
      </c>
      <c r="HM72" s="11">
        <f t="shared" si="615"/>
        <v>12373</v>
      </c>
      <c r="HN72" s="11">
        <f t="shared" si="616"/>
        <v>1110</v>
      </c>
      <c r="HO72" s="11">
        <f t="shared" si="617"/>
        <v>9437</v>
      </c>
      <c r="HP72" s="95">
        <f t="shared" si="618"/>
        <v>0.76270912470702334</v>
      </c>
      <c r="HQ72" s="15">
        <f t="shared" si="619"/>
        <v>184</v>
      </c>
      <c r="HR72" s="12">
        <f t="shared" si="620"/>
        <v>1.9497721733601779E-2</v>
      </c>
      <c r="HS72" s="16">
        <v>58.3</v>
      </c>
      <c r="HT72" s="17">
        <v>9058</v>
      </c>
      <c r="HU72" s="16">
        <f t="shared" si="621"/>
        <v>95.983893186393971</v>
      </c>
      <c r="HV72" s="23">
        <v>3888</v>
      </c>
      <c r="HW72" s="22">
        <v>4190</v>
      </c>
      <c r="HX72" s="73">
        <f t="shared" si="622"/>
        <v>0.76410868916094354</v>
      </c>
      <c r="HY72" s="73">
        <f t="shared" si="623"/>
        <v>0.73998192226574266</v>
      </c>
      <c r="HZ72" s="73">
        <f t="shared" si="624"/>
        <v>0.79169649248389407</v>
      </c>
      <c r="IA72" s="73">
        <f t="shared" si="625"/>
        <v>0.75918928203366542</v>
      </c>
      <c r="IB72" s="84"/>
      <c r="IC72" s="84"/>
      <c r="ID72" s="84"/>
      <c r="IE72" s="84"/>
    </row>
    <row r="73" spans="1:244" x14ac:dyDescent="0.25">
      <c r="A73" s="374"/>
      <c r="B73" s="41">
        <f t="shared" si="626"/>
        <v>44995</v>
      </c>
      <c r="C73" s="10"/>
      <c r="D73" s="11"/>
      <c r="E73" s="69">
        <f t="shared" si="627"/>
        <v>846</v>
      </c>
      <c r="F73" s="69">
        <f t="shared" si="627"/>
        <v>75</v>
      </c>
      <c r="G73" s="11">
        <v>635</v>
      </c>
      <c r="H73" s="12">
        <f t="shared" si="578"/>
        <v>0.76122931442080377</v>
      </c>
      <c r="I73" s="11">
        <v>9</v>
      </c>
      <c r="J73" s="12">
        <f t="shared" si="628"/>
        <v>1.3975155279503106E-2</v>
      </c>
      <c r="K73" s="13"/>
      <c r="L73" s="11"/>
      <c r="M73" s="25">
        <v>4220.5263157894733</v>
      </c>
      <c r="N73" s="38">
        <v>4495</v>
      </c>
      <c r="O73" s="10"/>
      <c r="P73" s="11"/>
      <c r="Q73" s="69">
        <f t="shared" si="629"/>
        <v>768</v>
      </c>
      <c r="R73" s="69">
        <f t="shared" si="630"/>
        <v>68</v>
      </c>
      <c r="S73" s="11">
        <v>567</v>
      </c>
      <c r="T73" s="12">
        <f t="shared" si="579"/>
        <v>0.74348958333333337</v>
      </c>
      <c r="U73" s="11">
        <v>4</v>
      </c>
      <c r="V73" s="12">
        <f t="shared" si="580"/>
        <v>7.0052539404553416E-3</v>
      </c>
      <c r="W73" s="13"/>
      <c r="X73" s="11"/>
      <c r="Y73" s="25">
        <v>4372.1875</v>
      </c>
      <c r="Z73" s="38">
        <v>4451.33</v>
      </c>
      <c r="AA73" s="10"/>
      <c r="AB73" s="11"/>
      <c r="AC73" s="69">
        <f t="shared" si="631"/>
        <v>185</v>
      </c>
      <c r="AD73" s="69">
        <f t="shared" si="632"/>
        <v>15</v>
      </c>
      <c r="AE73" s="11">
        <v>125</v>
      </c>
      <c r="AF73" s="12">
        <f t="shared" si="581"/>
        <v>0.68648648648648647</v>
      </c>
      <c r="AG73" s="11">
        <v>2</v>
      </c>
      <c r="AH73" s="12">
        <f t="shared" si="582"/>
        <v>1.5748031496062992E-2</v>
      </c>
      <c r="AI73" s="13"/>
      <c r="AJ73" s="11"/>
      <c r="AK73" s="25">
        <v>4296</v>
      </c>
      <c r="AL73" s="38">
        <v>4451.33</v>
      </c>
      <c r="AM73" s="10"/>
      <c r="AN73" s="11"/>
      <c r="AO73" s="69">
        <f t="shared" si="633"/>
        <v>775</v>
      </c>
      <c r="AP73" s="69">
        <f t="shared" si="634"/>
        <v>69</v>
      </c>
      <c r="AQ73" s="11">
        <v>538</v>
      </c>
      <c r="AR73" s="12">
        <f t="shared" si="583"/>
        <v>0.6967741935483871</v>
      </c>
      <c r="AS73" s="11">
        <v>2</v>
      </c>
      <c r="AT73" s="12">
        <f t="shared" si="584"/>
        <v>3.7037037037037038E-3</v>
      </c>
      <c r="AU73" s="13"/>
      <c r="AV73" s="11"/>
      <c r="AW73" s="25">
        <v>4381.7948717948721</v>
      </c>
      <c r="AX73" s="38">
        <v>4530</v>
      </c>
      <c r="AY73" s="10"/>
      <c r="AZ73" s="11"/>
      <c r="BA73" s="69">
        <f t="shared" si="635"/>
        <v>775</v>
      </c>
      <c r="BB73" s="69">
        <f t="shared" si="636"/>
        <v>69</v>
      </c>
      <c r="BC73" s="11">
        <v>607</v>
      </c>
      <c r="BD73" s="12">
        <f t="shared" si="585"/>
        <v>0.79225806451612901</v>
      </c>
      <c r="BE73" s="11">
        <v>7</v>
      </c>
      <c r="BF73" s="12">
        <f t="shared" si="586"/>
        <v>1.1400651465798045E-2</v>
      </c>
      <c r="BG73" s="13"/>
      <c r="BH73" s="11"/>
      <c r="BI73" s="25">
        <v>4351</v>
      </c>
      <c r="BJ73" s="38">
        <v>4375.38</v>
      </c>
      <c r="BK73" s="10"/>
      <c r="BL73" s="11"/>
      <c r="BM73" s="69">
        <f t="shared" si="637"/>
        <v>843</v>
      </c>
      <c r="BN73" s="69">
        <f t="shared" si="638"/>
        <v>77</v>
      </c>
      <c r="BO73" s="11">
        <v>622</v>
      </c>
      <c r="BP73" s="12">
        <f t="shared" si="587"/>
        <v>0.76037959667852906</v>
      </c>
      <c r="BQ73" s="11">
        <v>19</v>
      </c>
      <c r="BR73" s="12">
        <f t="shared" si="588"/>
        <v>2.9641185647425898E-2</v>
      </c>
      <c r="BS73" s="13"/>
      <c r="BT73" s="11"/>
      <c r="BU73" s="25">
        <v>4275.3658536585363</v>
      </c>
      <c r="BV73" s="38">
        <v>4401.54</v>
      </c>
      <c r="BW73" s="10"/>
      <c r="BX73" s="11"/>
      <c r="BY73" s="69">
        <f t="shared" si="639"/>
        <v>764</v>
      </c>
      <c r="BZ73" s="69">
        <f t="shared" si="640"/>
        <v>68</v>
      </c>
      <c r="CA73" s="11">
        <v>591</v>
      </c>
      <c r="CB73" s="12">
        <f t="shared" si="589"/>
        <v>0.78926701570680624</v>
      </c>
      <c r="CC73" s="11">
        <v>12</v>
      </c>
      <c r="CD73" s="12">
        <f t="shared" si="590"/>
        <v>1.9900497512437811E-2</v>
      </c>
      <c r="CE73" s="13"/>
      <c r="CF73" s="11"/>
      <c r="CG73" s="25">
        <v>4445.4838709677415</v>
      </c>
      <c r="CH73" s="38">
        <v>4502.5</v>
      </c>
      <c r="CI73" s="10">
        <v>1</v>
      </c>
      <c r="CJ73" s="11"/>
      <c r="CK73" s="69">
        <f t="shared" si="641"/>
        <v>185</v>
      </c>
      <c r="CL73" s="69">
        <f t="shared" si="642"/>
        <v>17</v>
      </c>
      <c r="CM73" s="11">
        <v>149</v>
      </c>
      <c r="CN73" s="12">
        <f t="shared" si="591"/>
        <v>0.82162162162162167</v>
      </c>
      <c r="CO73" s="11">
        <v>3</v>
      </c>
      <c r="CP73" s="12">
        <f t="shared" si="592"/>
        <v>1.9736842105263157E-2</v>
      </c>
      <c r="CQ73" s="13"/>
      <c r="CR73" s="11"/>
      <c r="CS73" s="25">
        <v>4445.4838709677415</v>
      </c>
      <c r="CT73" s="38">
        <v>4350</v>
      </c>
      <c r="CU73" s="10">
        <v>1</v>
      </c>
      <c r="CV73" s="11"/>
      <c r="CW73" s="69">
        <f t="shared" si="643"/>
        <v>761</v>
      </c>
      <c r="CX73" s="69">
        <f t="shared" si="644"/>
        <v>69</v>
      </c>
      <c r="CY73" s="11">
        <v>543</v>
      </c>
      <c r="CZ73" s="12">
        <f t="shared" si="593"/>
        <v>0.72404730617608415</v>
      </c>
      <c r="DA73" s="11">
        <v>8</v>
      </c>
      <c r="DB73" s="12">
        <f t="shared" si="594"/>
        <v>1.4519056261343012E-2</v>
      </c>
      <c r="DC73" s="13"/>
      <c r="DD73" s="11"/>
      <c r="DE73" s="25">
        <v>4349.4871794871797</v>
      </c>
      <c r="DF73" s="38">
        <v>4480</v>
      </c>
      <c r="DG73" s="10"/>
      <c r="DH73" s="11"/>
      <c r="DI73" s="69">
        <f t="shared" si="645"/>
        <v>764</v>
      </c>
      <c r="DJ73" s="69">
        <f t="shared" si="646"/>
        <v>70</v>
      </c>
      <c r="DK73" s="11">
        <v>553</v>
      </c>
      <c r="DL73" s="12">
        <f t="shared" si="595"/>
        <v>0.74476439790575921</v>
      </c>
      <c r="DM73" s="11">
        <v>16</v>
      </c>
      <c r="DN73" s="12">
        <f t="shared" si="596"/>
        <v>2.8119507908611598E-2</v>
      </c>
      <c r="DO73" s="13"/>
      <c r="DP73" s="11"/>
      <c r="DQ73" s="25">
        <v>4446.25</v>
      </c>
      <c r="DR73" s="38">
        <v>4635.71</v>
      </c>
      <c r="DS73" s="10"/>
      <c r="DT73" s="11"/>
      <c r="DU73" s="69">
        <f t="shared" si="647"/>
        <v>860</v>
      </c>
      <c r="DV73" s="69">
        <f t="shared" si="648"/>
        <v>78</v>
      </c>
      <c r="DW73" s="11">
        <v>670</v>
      </c>
      <c r="DX73" s="12">
        <f t="shared" si="597"/>
        <v>0.78953488372093028</v>
      </c>
      <c r="DY73" s="11">
        <v>9</v>
      </c>
      <c r="DZ73" s="12">
        <f t="shared" si="598"/>
        <v>1.3254786450662739E-2</v>
      </c>
      <c r="EA73" s="13"/>
      <c r="EB73" s="11"/>
      <c r="EC73" s="25">
        <v>4326.0465116279074</v>
      </c>
      <c r="ED73" s="38">
        <v>4273.75</v>
      </c>
      <c r="EE73" s="10"/>
      <c r="EF73" s="11"/>
      <c r="EG73" s="69">
        <f t="shared" si="649"/>
        <v>864</v>
      </c>
      <c r="EH73" s="69">
        <f t="shared" si="650"/>
        <v>79</v>
      </c>
      <c r="EI73" s="11">
        <v>675</v>
      </c>
      <c r="EJ73" s="12">
        <f t="shared" si="599"/>
        <v>0.79282407407407407</v>
      </c>
      <c r="EK73" s="11">
        <v>10</v>
      </c>
      <c r="EL73" s="12">
        <f t="shared" si="600"/>
        <v>1.4598540145985401E-2</v>
      </c>
      <c r="EM73" s="13"/>
      <c r="EN73" s="11"/>
      <c r="EO73" s="25">
        <v>4325.1219512195121</v>
      </c>
      <c r="EP73" s="38">
        <v>4257.8599999999997</v>
      </c>
      <c r="EQ73" s="10"/>
      <c r="ER73" s="11"/>
      <c r="ES73" s="69">
        <f t="shared" si="651"/>
        <v>203</v>
      </c>
      <c r="ET73" s="69">
        <f t="shared" si="652"/>
        <v>16</v>
      </c>
      <c r="EU73" s="11">
        <v>147</v>
      </c>
      <c r="EV73" s="12">
        <f t="shared" si="601"/>
        <v>0.75369458128078815</v>
      </c>
      <c r="EW73" s="11">
        <v>6</v>
      </c>
      <c r="EX73" s="12">
        <f t="shared" si="602"/>
        <v>3.9215686274509803E-2</v>
      </c>
      <c r="EY73" s="13"/>
      <c r="EZ73" s="11"/>
      <c r="FA73" s="25">
        <v>4354</v>
      </c>
      <c r="FB73" s="38">
        <v>4387.5</v>
      </c>
      <c r="FC73" s="10">
        <v>1</v>
      </c>
      <c r="FD73" s="11"/>
      <c r="FE73" s="69">
        <f t="shared" si="653"/>
        <v>866</v>
      </c>
      <c r="FF73" s="69">
        <f t="shared" si="654"/>
        <v>78</v>
      </c>
      <c r="FG73" s="11">
        <v>729</v>
      </c>
      <c r="FH73" s="12">
        <f t="shared" si="603"/>
        <v>0.84757505773672059</v>
      </c>
      <c r="FI73" s="11">
        <v>5</v>
      </c>
      <c r="FJ73" s="12">
        <f t="shared" si="604"/>
        <v>6.8119891008174387E-3</v>
      </c>
      <c r="FK73" s="13"/>
      <c r="FL73" s="11"/>
      <c r="FM73" s="25">
        <v>4271.25</v>
      </c>
      <c r="FN73" s="38">
        <v>4422.3999999999996</v>
      </c>
      <c r="FO73" s="10"/>
      <c r="FP73" s="11"/>
      <c r="FQ73" s="69">
        <f t="shared" si="655"/>
        <v>908</v>
      </c>
      <c r="FR73" s="69">
        <f t="shared" si="656"/>
        <v>81</v>
      </c>
      <c r="FS73" s="11">
        <v>712</v>
      </c>
      <c r="FT73" s="12">
        <f t="shared" si="605"/>
        <v>0.80286343612334798</v>
      </c>
      <c r="FU73" s="11">
        <v>17</v>
      </c>
      <c r="FV73" s="12">
        <f t="shared" si="606"/>
        <v>2.3319615912208505E-2</v>
      </c>
      <c r="FW73" s="13"/>
      <c r="FX73" s="11"/>
      <c r="FY73" s="25">
        <v>4294.347826086957</v>
      </c>
      <c r="FZ73" s="38">
        <v>4293.33</v>
      </c>
      <c r="GA73" s="10"/>
      <c r="GB73" s="11"/>
      <c r="GC73" s="69">
        <f t="shared" si="657"/>
        <v>902</v>
      </c>
      <c r="GD73" s="69">
        <f t="shared" si="658"/>
        <v>82</v>
      </c>
      <c r="GE73" s="11">
        <v>663</v>
      </c>
      <c r="GF73" s="12">
        <f t="shared" si="607"/>
        <v>0.75609756097560976</v>
      </c>
      <c r="GG73" s="11">
        <v>19</v>
      </c>
      <c r="GH73" s="12">
        <f t="shared" si="608"/>
        <v>2.7859237536656891E-2</v>
      </c>
      <c r="GI73" s="13"/>
      <c r="GJ73" s="11"/>
      <c r="GK73" s="25">
        <v>4207.4468085106382</v>
      </c>
      <c r="GL73" s="38">
        <v>4331.1000000000004</v>
      </c>
      <c r="GM73" s="10"/>
      <c r="GN73" s="11"/>
      <c r="GO73" s="69">
        <f t="shared" si="659"/>
        <v>190</v>
      </c>
      <c r="GP73" s="69">
        <f t="shared" si="660"/>
        <v>17</v>
      </c>
      <c r="GQ73" s="11">
        <v>129</v>
      </c>
      <c r="GR73" s="12">
        <f t="shared" si="609"/>
        <v>0.7</v>
      </c>
      <c r="GS73" s="11">
        <v>4</v>
      </c>
      <c r="GT73" s="12">
        <f t="shared" si="610"/>
        <v>3.007518796992481E-2</v>
      </c>
      <c r="GU73" s="13"/>
      <c r="GV73" s="11"/>
      <c r="GW73" s="25">
        <v>4098.2352941176468</v>
      </c>
      <c r="GX73" s="38">
        <v>4392.5</v>
      </c>
      <c r="GY73" s="10"/>
      <c r="GZ73" s="11"/>
      <c r="HA73" s="69">
        <f t="shared" si="661"/>
        <v>911</v>
      </c>
      <c r="HB73" s="69">
        <f t="shared" si="662"/>
        <v>82</v>
      </c>
      <c r="HC73" s="11">
        <v>716</v>
      </c>
      <c r="HD73" s="12">
        <f t="shared" si="611"/>
        <v>0.79363336992316136</v>
      </c>
      <c r="HE73" s="11">
        <v>7</v>
      </c>
      <c r="HF73" s="12">
        <f t="shared" si="612"/>
        <v>9.6818810511756573E-3</v>
      </c>
      <c r="HG73" s="13"/>
      <c r="HH73" s="11"/>
      <c r="HI73" s="25">
        <v>4179.130434782609</v>
      </c>
      <c r="HJ73" s="38">
        <v>4374.12</v>
      </c>
      <c r="HK73" s="10">
        <f t="shared" si="613"/>
        <v>3</v>
      </c>
      <c r="HL73" s="11">
        <f t="shared" si="614"/>
        <v>0</v>
      </c>
      <c r="HM73" s="11">
        <f t="shared" si="615"/>
        <v>12370</v>
      </c>
      <c r="HN73" s="11">
        <f t="shared" si="616"/>
        <v>1110</v>
      </c>
      <c r="HO73" s="11">
        <f t="shared" si="617"/>
        <v>9530</v>
      </c>
      <c r="HP73" s="95">
        <f t="shared" si="618"/>
        <v>0.77041228779304771</v>
      </c>
      <c r="HQ73" s="15">
        <f t="shared" si="619"/>
        <v>159</v>
      </c>
      <c r="HR73" s="12">
        <f t="shared" si="620"/>
        <v>1.6684155299055613E-2</v>
      </c>
      <c r="HS73" s="16">
        <v>58.2</v>
      </c>
      <c r="HT73" s="17">
        <v>9155</v>
      </c>
      <c r="HU73" s="16">
        <f t="shared" si="621"/>
        <v>96.065057712486876</v>
      </c>
      <c r="HV73" s="23">
        <v>4302.8026533996681</v>
      </c>
      <c r="HW73" s="22">
        <v>4403.7700000000004</v>
      </c>
      <c r="HX73" s="73">
        <f t="shared" si="622"/>
        <v>0.74529710361301882</v>
      </c>
      <c r="HY73" s="73">
        <f t="shared" si="623"/>
        <v>0.75851673198673497</v>
      </c>
      <c r="HZ73" s="73">
        <f t="shared" si="624"/>
        <v>0.80594343000358037</v>
      </c>
      <c r="IA73" s="73">
        <f t="shared" si="625"/>
        <v>0.77877018206801785</v>
      </c>
      <c r="IB73" s="84"/>
      <c r="IC73" s="84"/>
      <c r="ID73" s="84"/>
      <c r="IE73" s="84"/>
    </row>
    <row r="74" spans="1:244" x14ac:dyDescent="0.25">
      <c r="A74" s="374"/>
      <c r="B74" s="41">
        <f t="shared" si="626"/>
        <v>44996</v>
      </c>
      <c r="C74" s="10"/>
      <c r="D74" s="11"/>
      <c r="E74" s="69">
        <f t="shared" si="627"/>
        <v>846</v>
      </c>
      <c r="F74" s="69">
        <f t="shared" si="627"/>
        <v>75</v>
      </c>
      <c r="G74" s="11">
        <v>641</v>
      </c>
      <c r="H74" s="12">
        <f t="shared" si="578"/>
        <v>0.7671394799054374</v>
      </c>
      <c r="I74" s="11">
        <v>8</v>
      </c>
      <c r="J74" s="12">
        <f t="shared" si="628"/>
        <v>1.2326656394453005E-2</v>
      </c>
      <c r="K74" s="13"/>
      <c r="L74" s="11"/>
      <c r="M74" s="39">
        <v>92.10526315789474</v>
      </c>
      <c r="N74" s="43">
        <v>100</v>
      </c>
      <c r="O74" s="10"/>
      <c r="P74" s="11"/>
      <c r="Q74" s="69">
        <f t="shared" si="629"/>
        <v>768</v>
      </c>
      <c r="R74" s="69">
        <f t="shared" si="630"/>
        <v>68</v>
      </c>
      <c r="S74" s="11">
        <v>582</v>
      </c>
      <c r="T74" s="12">
        <f t="shared" si="579"/>
        <v>0.76692708333333337</v>
      </c>
      <c r="U74" s="11">
        <v>7</v>
      </c>
      <c r="V74" s="12">
        <f t="shared" si="580"/>
        <v>1.1884550084889643E-2</v>
      </c>
      <c r="W74" s="13"/>
      <c r="X74" s="11"/>
      <c r="Y74" s="39">
        <v>84.375</v>
      </c>
      <c r="Z74" s="43">
        <v>86.67</v>
      </c>
      <c r="AA74" s="10"/>
      <c r="AB74" s="11"/>
      <c r="AC74" s="69">
        <f t="shared" si="631"/>
        <v>185</v>
      </c>
      <c r="AD74" s="69">
        <f t="shared" si="632"/>
        <v>15</v>
      </c>
      <c r="AE74" s="11">
        <v>145</v>
      </c>
      <c r="AF74" s="12">
        <f t="shared" si="581"/>
        <v>0.81081081081081086</v>
      </c>
      <c r="AG74" s="11">
        <v>5</v>
      </c>
      <c r="AH74" s="12">
        <f t="shared" si="582"/>
        <v>3.3333333333333333E-2</v>
      </c>
      <c r="AI74" s="13"/>
      <c r="AJ74" s="11"/>
      <c r="AK74" s="39">
        <v>90</v>
      </c>
      <c r="AL74" s="43">
        <v>86.67</v>
      </c>
      <c r="AM74" s="10"/>
      <c r="AN74" s="11"/>
      <c r="AO74" s="69">
        <f t="shared" si="633"/>
        <v>775</v>
      </c>
      <c r="AP74" s="69">
        <f t="shared" si="634"/>
        <v>69</v>
      </c>
      <c r="AQ74" s="11">
        <v>626</v>
      </c>
      <c r="AR74" s="12">
        <f t="shared" si="583"/>
        <v>0.8167741935483871</v>
      </c>
      <c r="AS74" s="11">
        <v>7</v>
      </c>
      <c r="AT74" s="12">
        <f t="shared" si="584"/>
        <v>1.1058451816745656E-2</v>
      </c>
      <c r="AU74" s="13"/>
      <c r="AV74" s="11"/>
      <c r="AW74" s="39">
        <v>89.743589743589737</v>
      </c>
      <c r="AX74" s="43">
        <v>92.3</v>
      </c>
      <c r="AY74" s="10"/>
      <c r="AZ74" s="11"/>
      <c r="BA74" s="69">
        <f t="shared" si="635"/>
        <v>775</v>
      </c>
      <c r="BB74" s="69">
        <f t="shared" si="636"/>
        <v>69</v>
      </c>
      <c r="BC74" s="11">
        <v>518</v>
      </c>
      <c r="BD74" s="12">
        <f t="shared" si="585"/>
        <v>0.68903225806451618</v>
      </c>
      <c r="BE74" s="11">
        <v>16</v>
      </c>
      <c r="BF74" s="12">
        <f t="shared" si="586"/>
        <v>2.9962546816479401E-2</v>
      </c>
      <c r="BG74" s="13"/>
      <c r="BH74" s="11"/>
      <c r="BI74" s="39">
        <v>95</v>
      </c>
      <c r="BJ74" s="43">
        <v>100</v>
      </c>
      <c r="BK74" s="10"/>
      <c r="BL74" s="11"/>
      <c r="BM74" s="69">
        <f t="shared" si="637"/>
        <v>843</v>
      </c>
      <c r="BN74" s="69">
        <f t="shared" si="638"/>
        <v>77</v>
      </c>
      <c r="BO74" s="11">
        <v>628</v>
      </c>
      <c r="BP74" s="12">
        <f t="shared" si="587"/>
        <v>0.76156583629893237</v>
      </c>
      <c r="BQ74" s="11">
        <v>14</v>
      </c>
      <c r="BR74" s="12">
        <f t="shared" si="588"/>
        <v>2.1806853582554516E-2</v>
      </c>
      <c r="BS74" s="13"/>
      <c r="BT74" s="11"/>
      <c r="BU74" s="39">
        <v>97.560975609756099</v>
      </c>
      <c r="BV74" s="43">
        <v>100</v>
      </c>
      <c r="BW74" s="10"/>
      <c r="BX74" s="11"/>
      <c r="BY74" s="69">
        <f t="shared" si="639"/>
        <v>764</v>
      </c>
      <c r="BZ74" s="69">
        <f t="shared" si="640"/>
        <v>68</v>
      </c>
      <c r="CA74" s="11">
        <v>586</v>
      </c>
      <c r="CB74" s="12">
        <f t="shared" si="589"/>
        <v>0.77748691099476441</v>
      </c>
      <c r="CC74" s="11">
        <v>8</v>
      </c>
      <c r="CD74" s="12">
        <f t="shared" si="590"/>
        <v>1.3468013468013467E-2</v>
      </c>
      <c r="CE74" s="13"/>
      <c r="CF74" s="11"/>
      <c r="CG74" s="39">
        <v>93.548387096774192</v>
      </c>
      <c r="CH74" s="43">
        <v>100</v>
      </c>
      <c r="CI74" s="10"/>
      <c r="CJ74" s="11"/>
      <c r="CK74" s="69">
        <f t="shared" si="641"/>
        <v>185</v>
      </c>
      <c r="CL74" s="69">
        <f t="shared" si="642"/>
        <v>17</v>
      </c>
      <c r="CM74" s="11">
        <v>123</v>
      </c>
      <c r="CN74" s="12">
        <f t="shared" si="591"/>
        <v>0.69189189189189193</v>
      </c>
      <c r="CO74" s="11">
        <v>5</v>
      </c>
      <c r="CP74" s="12">
        <f t="shared" si="592"/>
        <v>3.90625E-2</v>
      </c>
      <c r="CQ74" s="13"/>
      <c r="CR74" s="11"/>
      <c r="CS74" s="39">
        <v>93.548387096774192</v>
      </c>
      <c r="CT74" s="43">
        <v>100</v>
      </c>
      <c r="CU74" s="10"/>
      <c r="CV74" s="11"/>
      <c r="CW74" s="69">
        <f t="shared" si="643"/>
        <v>761</v>
      </c>
      <c r="CX74" s="69">
        <f t="shared" si="644"/>
        <v>69</v>
      </c>
      <c r="CY74" s="11">
        <v>555</v>
      </c>
      <c r="CZ74" s="12">
        <f t="shared" si="593"/>
        <v>0.7411300919842313</v>
      </c>
      <c r="DA74" s="11">
        <v>9</v>
      </c>
      <c r="DB74" s="12">
        <f t="shared" si="594"/>
        <v>1.5957446808510637E-2</v>
      </c>
      <c r="DC74" s="13"/>
      <c r="DD74" s="11"/>
      <c r="DE74" s="39">
        <v>87.179487179487182</v>
      </c>
      <c r="DF74" s="43">
        <v>100</v>
      </c>
      <c r="DG74" s="10"/>
      <c r="DH74" s="11"/>
      <c r="DI74" s="69">
        <f t="shared" si="645"/>
        <v>764</v>
      </c>
      <c r="DJ74" s="69">
        <f t="shared" si="646"/>
        <v>70</v>
      </c>
      <c r="DK74" s="11">
        <v>584</v>
      </c>
      <c r="DL74" s="12">
        <f t="shared" si="595"/>
        <v>0.77486910994764402</v>
      </c>
      <c r="DM74" s="11">
        <v>8</v>
      </c>
      <c r="DN74" s="12">
        <f t="shared" si="596"/>
        <v>1.3513513513513514E-2</v>
      </c>
      <c r="DO74" s="13"/>
      <c r="DP74" s="11"/>
      <c r="DQ74" s="39">
        <v>84.375</v>
      </c>
      <c r="DR74" s="43">
        <v>100</v>
      </c>
      <c r="DS74" s="10"/>
      <c r="DT74" s="11"/>
      <c r="DU74" s="69">
        <f t="shared" si="647"/>
        <v>860</v>
      </c>
      <c r="DV74" s="69">
        <f t="shared" si="648"/>
        <v>78</v>
      </c>
      <c r="DW74" s="11">
        <v>640</v>
      </c>
      <c r="DX74" s="12">
        <f t="shared" si="597"/>
        <v>0.75697674418604655</v>
      </c>
      <c r="DY74" s="11">
        <v>11</v>
      </c>
      <c r="DZ74" s="12">
        <f t="shared" si="598"/>
        <v>1.6897081413210446E-2</v>
      </c>
      <c r="EA74" s="13"/>
      <c r="EB74" s="11"/>
      <c r="EC74" s="39">
        <v>95.348837209302332</v>
      </c>
      <c r="ED74" s="43">
        <v>100</v>
      </c>
      <c r="EE74" s="10"/>
      <c r="EF74" s="11"/>
      <c r="EG74" s="69">
        <f t="shared" si="649"/>
        <v>864</v>
      </c>
      <c r="EH74" s="69">
        <f t="shared" si="650"/>
        <v>79</v>
      </c>
      <c r="EI74" s="11">
        <v>640</v>
      </c>
      <c r="EJ74" s="12">
        <f t="shared" si="599"/>
        <v>0.75694444444444442</v>
      </c>
      <c r="EK74" s="11">
        <v>14</v>
      </c>
      <c r="EL74" s="12">
        <f t="shared" si="600"/>
        <v>2.1406727828746176E-2</v>
      </c>
      <c r="EM74" s="13"/>
      <c r="EN74" s="11"/>
      <c r="EO74" s="39">
        <v>87.804878048780495</v>
      </c>
      <c r="EP74" s="43">
        <v>100</v>
      </c>
      <c r="EQ74" s="10"/>
      <c r="ER74" s="11"/>
      <c r="ES74" s="69">
        <f t="shared" si="651"/>
        <v>203</v>
      </c>
      <c r="ET74" s="69">
        <f t="shared" si="652"/>
        <v>16</v>
      </c>
      <c r="EU74" s="11">
        <v>147</v>
      </c>
      <c r="EV74" s="12">
        <f t="shared" si="601"/>
        <v>0.74876847290640391</v>
      </c>
      <c r="EW74" s="11">
        <v>5</v>
      </c>
      <c r="EX74" s="12">
        <f t="shared" si="602"/>
        <v>3.2894736842105261E-2</v>
      </c>
      <c r="EY74" s="13"/>
      <c r="EZ74" s="11"/>
      <c r="FA74" s="39">
        <v>60</v>
      </c>
      <c r="FB74" s="43">
        <v>100</v>
      </c>
      <c r="FC74" s="10"/>
      <c r="FD74" s="11"/>
      <c r="FE74" s="69">
        <f t="shared" si="653"/>
        <v>866</v>
      </c>
      <c r="FF74" s="69">
        <f t="shared" si="654"/>
        <v>78</v>
      </c>
      <c r="FG74" s="11">
        <v>686</v>
      </c>
      <c r="FH74" s="12">
        <f t="shared" si="603"/>
        <v>0.80023094688221708</v>
      </c>
      <c r="FI74" s="11">
        <v>7</v>
      </c>
      <c r="FJ74" s="12">
        <f t="shared" si="604"/>
        <v>1.0101010101010102E-2</v>
      </c>
      <c r="FK74" s="13"/>
      <c r="FL74" s="11"/>
      <c r="FM74" s="39">
        <v>80</v>
      </c>
      <c r="FN74" s="43">
        <v>94.12</v>
      </c>
      <c r="FO74" s="10"/>
      <c r="FP74" s="11"/>
      <c r="FQ74" s="69">
        <f t="shared" si="655"/>
        <v>908</v>
      </c>
      <c r="FR74" s="69">
        <f t="shared" si="656"/>
        <v>81</v>
      </c>
      <c r="FS74" s="11">
        <v>684</v>
      </c>
      <c r="FT74" s="12">
        <f t="shared" si="605"/>
        <v>0.7687224669603524</v>
      </c>
      <c r="FU74" s="11">
        <v>14</v>
      </c>
      <c r="FV74" s="12">
        <f t="shared" si="606"/>
        <v>2.0057306590257881E-2</v>
      </c>
      <c r="FW74" s="13"/>
      <c r="FX74" s="11"/>
      <c r="FY74" s="39">
        <v>78.260869565217391</v>
      </c>
      <c r="FZ74" s="43">
        <v>94.44</v>
      </c>
      <c r="GA74" s="10"/>
      <c r="GB74" s="11"/>
      <c r="GC74" s="69">
        <f t="shared" si="657"/>
        <v>902</v>
      </c>
      <c r="GD74" s="69">
        <f t="shared" si="658"/>
        <v>82</v>
      </c>
      <c r="GE74" s="11">
        <v>621</v>
      </c>
      <c r="GF74" s="12">
        <f t="shared" si="607"/>
        <v>0.70620842572062081</v>
      </c>
      <c r="GG74" s="11">
        <v>16</v>
      </c>
      <c r="GH74" s="12">
        <f t="shared" si="608"/>
        <v>2.5117739403453691E-2</v>
      </c>
      <c r="GI74" s="13"/>
      <c r="GJ74" s="11"/>
      <c r="GK74" s="39">
        <v>80.851063829787236</v>
      </c>
      <c r="GL74" s="43">
        <v>100</v>
      </c>
      <c r="GM74" s="10">
        <v>2</v>
      </c>
      <c r="GN74" s="11"/>
      <c r="GO74" s="69">
        <f t="shared" si="659"/>
        <v>188</v>
      </c>
      <c r="GP74" s="69">
        <f t="shared" si="660"/>
        <v>17</v>
      </c>
      <c r="GQ74" s="11">
        <v>133</v>
      </c>
      <c r="GR74" s="12">
        <f t="shared" si="609"/>
        <v>0.72340425531914898</v>
      </c>
      <c r="GS74" s="11">
        <v>3</v>
      </c>
      <c r="GT74" s="12">
        <f t="shared" si="610"/>
        <v>2.2058823529411766E-2</v>
      </c>
      <c r="GU74" s="13"/>
      <c r="GV74" s="11"/>
      <c r="GW74" s="39">
        <v>94.117647058823536</v>
      </c>
      <c r="GX74" s="43">
        <v>100</v>
      </c>
      <c r="GY74" s="10"/>
      <c r="GZ74" s="11"/>
      <c r="HA74" s="69">
        <f t="shared" si="661"/>
        <v>911</v>
      </c>
      <c r="HB74" s="69">
        <f t="shared" si="662"/>
        <v>82</v>
      </c>
      <c r="HC74" s="11">
        <v>680</v>
      </c>
      <c r="HD74" s="12">
        <f t="shared" si="611"/>
        <v>0.75631174533479695</v>
      </c>
      <c r="HE74" s="11">
        <v>9</v>
      </c>
      <c r="HF74" s="12">
        <f t="shared" si="612"/>
        <v>1.3062409288824383E-2</v>
      </c>
      <c r="HG74" s="13"/>
      <c r="HH74" s="11"/>
      <c r="HI74" s="39">
        <v>84.782608695652172</v>
      </c>
      <c r="HJ74" s="43">
        <v>70.59</v>
      </c>
      <c r="HK74" s="10">
        <f t="shared" si="613"/>
        <v>2</v>
      </c>
      <c r="HL74" s="11">
        <f t="shared" si="614"/>
        <v>0</v>
      </c>
      <c r="HM74" s="11">
        <f t="shared" si="615"/>
        <v>12368</v>
      </c>
      <c r="HN74" s="11">
        <f t="shared" si="616"/>
        <v>1110</v>
      </c>
      <c r="HO74" s="11">
        <f t="shared" si="617"/>
        <v>9385</v>
      </c>
      <c r="HP74" s="95">
        <f t="shared" si="618"/>
        <v>0.75881306597671405</v>
      </c>
      <c r="HQ74" s="15">
        <f t="shared" si="619"/>
        <v>166</v>
      </c>
      <c r="HR74" s="12">
        <f t="shared" si="620"/>
        <v>1.7687799680340968E-2</v>
      </c>
      <c r="HS74" s="16">
        <v>58.4</v>
      </c>
      <c r="HT74" s="17">
        <v>9035</v>
      </c>
      <c r="HU74" s="16">
        <f t="shared" si="621"/>
        <v>96.270644645711243</v>
      </c>
      <c r="HV74" s="23">
        <v>85.737976782752895</v>
      </c>
      <c r="HW74" s="22">
        <v>90.58</v>
      </c>
      <c r="HX74" s="73">
        <f t="shared" si="622"/>
        <v>0.76291430277694838</v>
      </c>
      <c r="HY74" s="73">
        <f t="shared" si="623"/>
        <v>0.75972264094060893</v>
      </c>
      <c r="HZ74" s="73">
        <f t="shared" si="624"/>
        <v>0.76978159684926606</v>
      </c>
      <c r="IA74" s="73">
        <f t="shared" si="625"/>
        <v>0.74252320385012027</v>
      </c>
      <c r="IB74" s="84"/>
      <c r="IC74" s="84"/>
      <c r="ID74" s="84"/>
      <c r="IE74" s="84"/>
      <c r="IF74" s="85">
        <f>IF75/IF76</f>
        <v>5.9683676514473295E-4</v>
      </c>
      <c r="IG74" s="85">
        <f>IG75/IG76</f>
        <v>3.0057108506161708E-3</v>
      </c>
      <c r="IH74" s="85">
        <f>IH75/IH76</f>
        <v>1.7869907076483202E-3</v>
      </c>
      <c r="II74" s="85">
        <f>II75/II76</f>
        <v>2.4005486968449933E-3</v>
      </c>
      <c r="IJ74" s="88" t="s">
        <v>90</v>
      </c>
    </row>
    <row r="75" spans="1:244" ht="19.5" thickBot="1" x14ac:dyDescent="0.3">
      <c r="A75" s="374"/>
      <c r="B75" s="42"/>
      <c r="C75" s="26">
        <f>SUM(C68:C74)</f>
        <v>0</v>
      </c>
      <c r="D75" s="27">
        <f>SUM(D68:D74)</f>
        <v>0</v>
      </c>
      <c r="E75" s="27"/>
      <c r="F75" s="27"/>
      <c r="G75" s="27">
        <f>SUM(G68:G74)</f>
        <v>4489</v>
      </c>
      <c r="H75" s="28">
        <f>((G75+I75)/7)/E74</f>
        <v>0.76967240797028025</v>
      </c>
      <c r="I75" s="27">
        <f>SUM(I68:I74)</f>
        <v>69</v>
      </c>
      <c r="J75" s="28">
        <f>(I75/(I75+G75))</f>
        <v>1.5138218516893374E-2</v>
      </c>
      <c r="K75" s="27"/>
      <c r="L75" s="27"/>
      <c r="M75" s="29">
        <f>M73/M72*100-100</f>
        <v>8.5526315789473699</v>
      </c>
      <c r="N75" s="67">
        <f>N73/N72*100-100</f>
        <v>7.2792362768496304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3984</v>
      </c>
      <c r="T75" s="28">
        <f>((S75+U75)/7)/Q74</f>
        <v>0.75260416666666663</v>
      </c>
      <c r="U75" s="27">
        <f>SUM(U68:U74)</f>
        <v>62</v>
      </c>
      <c r="V75" s="28">
        <f>(U75/(U75+S75))</f>
        <v>1.532377656945131E-2</v>
      </c>
      <c r="W75" s="27"/>
      <c r="X75" s="27"/>
      <c r="Y75" s="29">
        <f>Y73/Y72*100-100</f>
        <v>12.453382201646093</v>
      </c>
      <c r="Z75" s="67">
        <f>Z73/Z72*100-100</f>
        <v>6.2369928400954677</v>
      </c>
      <c r="AA75" s="26">
        <f>SUM(AA68:AA74)</f>
        <v>0</v>
      </c>
      <c r="AB75" s="27">
        <f>SUM(AB68:AB74)</f>
        <v>0</v>
      </c>
      <c r="AC75" s="27"/>
      <c r="AD75" s="27"/>
      <c r="AE75" s="27">
        <f>SUM(AE68:AE74)</f>
        <v>952</v>
      </c>
      <c r="AF75" s="28">
        <f>((AE75+AG75)/7)/AC74</f>
        <v>0.74903474903474909</v>
      </c>
      <c r="AG75" s="27">
        <f>SUM(AG68:AG74)</f>
        <v>18</v>
      </c>
      <c r="AH75" s="28">
        <f>(AG75/(AG75+AE75))</f>
        <v>1.8556701030927835E-2</v>
      </c>
      <c r="AI75" s="27"/>
      <c r="AJ75" s="27"/>
      <c r="AK75" s="29">
        <f>AK73/AK72*100-100</f>
        <v>10.493827160493822</v>
      </c>
      <c r="AL75" s="67">
        <f>AL73/AL72*100-100</f>
        <v>6.2369928400954677</v>
      </c>
      <c r="AM75" s="26">
        <f>SUM(AM68:AM74)</f>
        <v>0</v>
      </c>
      <c r="AN75" s="27">
        <f>SUM(AN68:AN74)</f>
        <v>0</v>
      </c>
      <c r="AO75" s="27"/>
      <c r="AP75" s="27"/>
      <c r="AQ75" s="27">
        <f>SUM(AQ68:AQ74)</f>
        <v>3971</v>
      </c>
      <c r="AR75" s="28">
        <f>((AQ75+AS75)/7)/AO74</f>
        <v>0.74101382488479273</v>
      </c>
      <c r="AS75" s="27">
        <f>SUM(AS68:AS74)</f>
        <v>49</v>
      </c>
      <c r="AT75" s="28">
        <f>(AS75/(AS75+AQ75))</f>
        <v>1.218905472636816E-2</v>
      </c>
      <c r="AU75" s="27"/>
      <c r="AV75" s="27"/>
      <c r="AW75" s="29">
        <f>AW73/AW72*100-100</f>
        <v>12.700485385670561</v>
      </c>
      <c r="AX75" s="67">
        <f>AX73/AX72*100-100</f>
        <v>8.1145584725536963</v>
      </c>
      <c r="AY75" s="26">
        <f>SUM(AY68:AY74)</f>
        <v>1</v>
      </c>
      <c r="AZ75" s="27">
        <f>SUM(AZ68:AZ74)</f>
        <v>0</v>
      </c>
      <c r="BA75" s="27"/>
      <c r="BB75" s="27"/>
      <c r="BC75" s="27">
        <f>SUM(BC68:BC74)</f>
        <v>4055</v>
      </c>
      <c r="BD75" s="28">
        <f>((BC75+BE75)/7)/BA74</f>
        <v>0.76387096774193552</v>
      </c>
      <c r="BE75" s="27">
        <f>SUM(BE68:BE74)</f>
        <v>89</v>
      </c>
      <c r="BF75" s="28">
        <f>(BE75/(BE75+BC75))</f>
        <v>2.1476833976833976E-2</v>
      </c>
      <c r="BG75" s="27"/>
      <c r="BH75" s="27"/>
      <c r="BI75" s="29">
        <f>BI73/BI72*100-100</f>
        <v>11.908436213991777</v>
      </c>
      <c r="BJ75" s="67">
        <f>BJ73/BJ72*100-100</f>
        <v>4.4243436754176599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4233</v>
      </c>
      <c r="BP75" s="28">
        <f>((BO75+BQ75)/7)/BM74</f>
        <v>0.73411286222674121</v>
      </c>
      <c r="BQ75" s="27">
        <f>SUM(BQ68:BQ74)</f>
        <v>99</v>
      </c>
      <c r="BR75" s="28">
        <f>(BQ75/(BQ75+BO75))</f>
        <v>2.2853185595567867E-2</v>
      </c>
      <c r="BS75" s="27"/>
      <c r="BT75" s="27"/>
      <c r="BU75" s="29">
        <f>BU73/BU72*100-100</f>
        <v>9.9631135200240806</v>
      </c>
      <c r="BV75" s="67">
        <f>BV73/BV72*100-100</f>
        <v>5.0486873508353227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3936</v>
      </c>
      <c r="CB75" s="28">
        <f>((CA75+CC75)/7)/BY74</f>
        <v>0.7488780852655198</v>
      </c>
      <c r="CC75" s="27">
        <f>SUM(CC68:CC74)</f>
        <v>69</v>
      </c>
      <c r="CD75" s="28">
        <f>(CC75/(CC75+CA75))</f>
        <v>1.7228464419475654E-2</v>
      </c>
      <c r="CE75" s="27"/>
      <c r="CF75" s="27"/>
      <c r="CG75" s="29">
        <f>CG73/CG72*100-100</f>
        <v>14.338576928182661</v>
      </c>
      <c r="CH75" s="67">
        <f>CH73/CH72*100-100</f>
        <v>7.4582338902147995</v>
      </c>
      <c r="CI75" s="26">
        <f>SUM(CI68:CI74)</f>
        <v>4</v>
      </c>
      <c r="CJ75" s="27">
        <f>SUM(CJ68:CJ74)</f>
        <v>0</v>
      </c>
      <c r="CK75" s="27"/>
      <c r="CL75" s="27"/>
      <c r="CM75" s="27">
        <f>SUM(CM68:CM74)</f>
        <v>869</v>
      </c>
      <c r="CN75" s="28">
        <f>((CM75+CO75)/7)/CK74</f>
        <v>0.69034749034749032</v>
      </c>
      <c r="CO75" s="27">
        <f>SUM(CO68:CO74)</f>
        <v>25</v>
      </c>
      <c r="CP75" s="28">
        <f>(CO75/(CO75+CM75))</f>
        <v>2.7964205816554809E-2</v>
      </c>
      <c r="CQ75" s="27"/>
      <c r="CR75" s="27"/>
      <c r="CS75" s="29">
        <f>CS73/CS72*100-100</f>
        <v>14.338576928182661</v>
      </c>
      <c r="CT75" s="67">
        <f>CT73/CT72*100-100</f>
        <v>3.818615751789963</v>
      </c>
      <c r="CU75" s="26">
        <f>SUM(CU68:CU74)</f>
        <v>1</v>
      </c>
      <c r="CV75" s="27">
        <f>SUM(CV68:CV74)</f>
        <v>1</v>
      </c>
      <c r="CW75" s="27"/>
      <c r="CX75" s="27"/>
      <c r="CY75" s="27">
        <f>SUM(CY68:CY74)</f>
        <v>3943</v>
      </c>
      <c r="CZ75" s="28">
        <f>((CY75+DA75)/7)/CW74</f>
        <v>0.7546461422939742</v>
      </c>
      <c r="DA75" s="27">
        <f>SUM(DA68:DA74)</f>
        <v>77</v>
      </c>
      <c r="DB75" s="28">
        <f>(DA75/(DA75+CY75))</f>
        <v>1.9154228855721392E-2</v>
      </c>
      <c r="DC75" s="27"/>
      <c r="DD75" s="27"/>
      <c r="DE75" s="29">
        <f>DE73/DE72*100-100</f>
        <v>11.869526221378067</v>
      </c>
      <c r="DF75" s="67">
        <f>DF73/DF72*100-100</f>
        <v>6.9212410501193347</v>
      </c>
      <c r="DG75" s="26">
        <f>SUM(DG68:DG74)</f>
        <v>2</v>
      </c>
      <c r="DH75" s="27">
        <f>SUM(DH68:DH74)</f>
        <v>0</v>
      </c>
      <c r="DI75" s="27"/>
      <c r="DJ75" s="27"/>
      <c r="DK75" s="27">
        <f>SUM(DK68:DK74)</f>
        <v>4022</v>
      </c>
      <c r="DL75" s="28">
        <f>((DK75+DM75)/7)/DI74</f>
        <v>0.76682872101720279</v>
      </c>
      <c r="DM75" s="27">
        <f>SUM(DM68:DM74)</f>
        <v>79</v>
      </c>
      <c r="DN75" s="28">
        <f>(DM75/(DM75+DK75))</f>
        <v>1.9263594245306024E-2</v>
      </c>
      <c r="DO75" s="27"/>
      <c r="DP75" s="27"/>
      <c r="DQ75" s="29">
        <f>DQ73/DQ72*100-100</f>
        <v>14.358281893004119</v>
      </c>
      <c r="DR75" s="67">
        <f>DR73/DR72*100-100</f>
        <v>10.63747016706445</v>
      </c>
      <c r="DS75" s="26">
        <f>SUM(DS68:DS74)</f>
        <v>1</v>
      </c>
      <c r="DT75" s="27">
        <f>SUM(DT68:DT74)</f>
        <v>0</v>
      </c>
      <c r="DU75" s="27"/>
      <c r="DV75" s="27"/>
      <c r="DW75" s="27">
        <f>SUM(DW68:DW74)</f>
        <v>4584</v>
      </c>
      <c r="DX75" s="28">
        <f>((DW75+DY75)/7)/DU74</f>
        <v>0.77790697674418607</v>
      </c>
      <c r="DY75" s="27">
        <f>SUM(DY68:DY74)</f>
        <v>99</v>
      </c>
      <c r="DZ75" s="28">
        <f>(DY75/(DY75+DW75))</f>
        <v>2.1140294682895581E-2</v>
      </c>
      <c r="EA75" s="27"/>
      <c r="EB75" s="27"/>
      <c r="EC75" s="29">
        <f>EC73/EC72*100-100</f>
        <v>11.266628385491444</v>
      </c>
      <c r="ED75" s="67">
        <f>ED73/ED72*100-100</f>
        <v>1.9988066825775661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4568</v>
      </c>
      <c r="EJ75" s="28">
        <f>((EI75+EK75)/7)/EG74</f>
        <v>0.7719907407407407</v>
      </c>
      <c r="EK75" s="27">
        <f>SUM(EK68:EK74)</f>
        <v>101</v>
      </c>
      <c r="EL75" s="28">
        <f>(EK75/(EK75+EI75))</f>
        <v>2.1632041122295994E-2</v>
      </c>
      <c r="EM75" s="27"/>
      <c r="EN75" s="27"/>
      <c r="EO75" s="29">
        <f>EO73/EO72*100-100</f>
        <v>11.242848539596494</v>
      </c>
      <c r="EP75" s="67">
        <f>EP73/EP72*100-100</f>
        <v>1.619570405727913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1010</v>
      </c>
      <c r="EV75" s="28">
        <f>((EU75+EW75)/7)/ES74</f>
        <v>0.73610133708655867</v>
      </c>
      <c r="EW75" s="27">
        <f>SUM(EW68:EW74)</f>
        <v>36</v>
      </c>
      <c r="EX75" s="28">
        <f>(EW75/(EW75+EU75))</f>
        <v>3.4416826003824091E-2</v>
      </c>
      <c r="EY75" s="27"/>
      <c r="EZ75" s="27"/>
      <c r="FA75" s="29">
        <f>FA73/FA72*100-100</f>
        <v>11.985596707818928</v>
      </c>
      <c r="FB75" s="67">
        <f>FB73/FB72*100-100</f>
        <v>4.7136038186157379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4858</v>
      </c>
      <c r="FH75" s="28">
        <f>((FG75+FI75)/7)/FE74</f>
        <v>0.8114483668756185</v>
      </c>
      <c r="FI75" s="27">
        <f>SUM(FI68:FI74)</f>
        <v>61</v>
      </c>
      <c r="FJ75" s="28">
        <f>(FI75/(FI75+FG75))</f>
        <v>1.2400894490750153E-2</v>
      </c>
      <c r="FK75" s="27"/>
      <c r="FL75" s="27"/>
      <c r="FM75" s="29">
        <f>FM73/FM72*100-100</f>
        <v>9.8572530864197603</v>
      </c>
      <c r="FN75" s="67">
        <f>FN73/FN72*100-100</f>
        <v>5.546539379474936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4815</v>
      </c>
      <c r="FT75" s="28">
        <f>((FS75+FU75)/7)/FQ74</f>
        <v>0.77769037130270602</v>
      </c>
      <c r="FU75" s="27">
        <f>SUM(FU68:FU74)</f>
        <v>128</v>
      </c>
      <c r="FV75" s="28">
        <f>(FU75/(FU75+FS75))</f>
        <v>2.5895205340886102E-2</v>
      </c>
      <c r="FW75" s="27"/>
      <c r="FX75" s="27"/>
      <c r="FY75" s="29">
        <f>FY73/FY72*100-100</f>
        <v>10.451332975487574</v>
      </c>
      <c r="FZ75" s="67">
        <f>FZ73/FZ72*100-100</f>
        <v>2.4661097852028462</v>
      </c>
      <c r="GA75" s="26">
        <f>SUM(GA68:GA74)</f>
        <v>2</v>
      </c>
      <c r="GB75" s="27">
        <f>SUM(GB68:GB74)</f>
        <v>0</v>
      </c>
      <c r="GC75" s="27"/>
      <c r="GD75" s="27"/>
      <c r="GE75" s="27">
        <f>SUM(GE68:GE74)</f>
        <v>4421</v>
      </c>
      <c r="GF75" s="28">
        <f>((GE75+GG75)/7)/GC74</f>
        <v>0.71761165663604698</v>
      </c>
      <c r="GG75" s="27">
        <f>SUM(GG68:GG74)</f>
        <v>110</v>
      </c>
      <c r="GH75" s="28">
        <f>(GG75/(GG75+GE75))</f>
        <v>2.4277201500772456E-2</v>
      </c>
      <c r="GI75" s="27"/>
      <c r="GJ75" s="27"/>
      <c r="GK75" s="29">
        <f>GK73/GK72*100-100</f>
        <v>8.2162244987304121</v>
      </c>
      <c r="GL75" s="67">
        <f>GL73/GL72*100-100</f>
        <v>3.3675417661097811</v>
      </c>
      <c r="GM75" s="26">
        <f>SUM(GM68:GM74)</f>
        <v>4</v>
      </c>
      <c r="GN75" s="27">
        <f>SUM(GN68:GN74)</f>
        <v>0</v>
      </c>
      <c r="GO75" s="27"/>
      <c r="GP75" s="27"/>
      <c r="GQ75" s="27">
        <f>SUM(GQ68:GQ74)</f>
        <v>919</v>
      </c>
      <c r="GR75" s="28">
        <f>((GQ75+GS75)/7)/GO74</f>
        <v>0.71276595744680848</v>
      </c>
      <c r="GS75" s="27">
        <f>SUM(GS68:GS74)</f>
        <v>19</v>
      </c>
      <c r="GT75" s="28">
        <f>(GS75/(GS75+GQ75))</f>
        <v>2.0255863539445629E-2</v>
      </c>
      <c r="GU75" s="27"/>
      <c r="GV75" s="27"/>
      <c r="GW75" s="29">
        <f>GW73/GW72*100-100</f>
        <v>5.4072863713386425</v>
      </c>
      <c r="GX75" s="67">
        <f>GX73/GX72*100-100</f>
        <v>4.8329355608591982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4890</v>
      </c>
      <c r="HD75" s="28">
        <f>((HC75+HE75)/7)/HA74</f>
        <v>0.77716794731064764</v>
      </c>
      <c r="HE75" s="27">
        <f>SUM(HE68:HE74)</f>
        <v>66</v>
      </c>
      <c r="HF75" s="28">
        <f>(HE75/(HE75+HC75))</f>
        <v>1.3317191283292978E-2</v>
      </c>
      <c r="HG75" s="27"/>
      <c r="HH75" s="27"/>
      <c r="HI75" s="29">
        <f>HI73/HI72*100-100</f>
        <v>7.4879227053140198</v>
      </c>
      <c r="HJ75" s="67">
        <f>HJ73/HJ72*100-100</f>
        <v>4.3942720763723031</v>
      </c>
      <c r="HK75" s="26">
        <f t="shared" si="613"/>
        <v>24</v>
      </c>
      <c r="HL75" s="27">
        <f t="shared" si="614"/>
        <v>1</v>
      </c>
      <c r="HM75" s="27">
        <f t="shared" si="615"/>
        <v>0</v>
      </c>
      <c r="HN75" s="27">
        <f t="shared" si="616"/>
        <v>0</v>
      </c>
      <c r="HO75" s="27">
        <f t="shared" si="617"/>
        <v>65775</v>
      </c>
      <c r="HP75" s="96">
        <f>+((HO75)/HM74)/7</f>
        <v>0.7597371095915727</v>
      </c>
      <c r="HQ75" s="62">
        <f t="shared" si="619"/>
        <v>1256</v>
      </c>
      <c r="HR75" s="52">
        <f t="shared" si="620"/>
        <v>1.9095400988217409E-2</v>
      </c>
      <c r="HS75" s="53">
        <f>SUM(HS68:HS74)/7</f>
        <v>57.728571428571421</v>
      </c>
      <c r="HT75" s="54">
        <f>SUM(HT68:HT74)</f>
        <v>63167</v>
      </c>
      <c r="HU75" s="53">
        <f>AVERAGE(HU68:HU74)</f>
        <v>96.036287611416</v>
      </c>
      <c r="HV75" s="63">
        <f>HV73/HV72*100-100</f>
        <v>10.668792525711623</v>
      </c>
      <c r="HW75" s="67">
        <f>HW73/HW72*100-100</f>
        <v>5.1019093078758999</v>
      </c>
      <c r="HX75" s="73">
        <f>SUM(G75,I75,S75,U75,AE75,AG75,AQ75,AS75,BC75,BE75)/7/SUM(E74,Q74,AC74,AO74,BA74)</f>
        <v>0.7566437742609734</v>
      </c>
      <c r="HY75" s="73">
        <f>SUM(BO75,BQ75,CA75,CC75,CM75,CO75,CY75,DA75,DK75,DM75)/7/SUM(BM74,BY74,CK74,CW74,DI74)</f>
        <v>0.74731900598647649</v>
      </c>
      <c r="HZ75" s="73">
        <f>SUM(DW75,DY75,EI75,EK75,EU75,EW75,FG75,FI75)/7/SUM(DU74,EG74,ES74,FE74)</f>
        <v>0.78343818730499726</v>
      </c>
      <c r="IA75" s="73">
        <f>SUM(FS75,FU75,GE75,GG75,GQ75,GS75,HC75,HE75)/7/SUM(FQ74,GC74,GO74,HA74)</f>
        <v>0.75470215587094247</v>
      </c>
      <c r="IB75" s="84">
        <f>SUM(I75,U75,AG75,AS75,BE75)/SUM(G75,I75,S75,U75,AE75,AG75,AQ75,AS75,BC75,BE75)</f>
        <v>1.617995264404104E-2</v>
      </c>
      <c r="IC75" s="84">
        <f>SUM(BQ75,CC75,CO75,DA75,DM75)/SUM(BO75,BQ75,CA75,CC75,CM75,CO75,CY75,DA75,DK75,DM75)</f>
        <v>2.0112955278930384E-2</v>
      </c>
      <c r="ID75" s="84">
        <f>SUM(DY75,EK75,EW75,FI75)/SUM(DW75,DY75,EI75,EK75,EU75,EW75,FG75,FI75)</f>
        <v>1.9390220016974602E-2</v>
      </c>
      <c r="IE75" s="84">
        <f>SUM(FU75,GG75,GS75,HE75)/SUM(FS75,FU75,GE75,GG75,GQ75,GS75,HC75,HE75)</f>
        <v>2.1017699115044249E-2</v>
      </c>
      <c r="IF75" s="86">
        <f>SUM(C75,O75,AA75,AM75,AY75)</f>
        <v>2</v>
      </c>
      <c r="IG75" s="86">
        <f>SUM(BK75,BW75,CI75,CU75,DG75)</f>
        <v>10</v>
      </c>
      <c r="IH75" s="86">
        <f>SUM(DS75,EE75,EQ75,FC75)</f>
        <v>5</v>
      </c>
      <c r="II75" s="86">
        <f>SUM(FO75,GA75,GM75,GY75)</f>
        <v>7</v>
      </c>
      <c r="IJ75" s="88" t="s">
        <v>89</v>
      </c>
    </row>
    <row r="76" spans="1:244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HK75/HM68</f>
        <v>1.9372023569295342E-3</v>
      </c>
      <c r="HL76" s="66">
        <f>HL75/HN68</f>
        <v>9.0090090090090091E-4</v>
      </c>
      <c r="HM76" s="45"/>
      <c r="HN76" s="45"/>
      <c r="HO76" s="45"/>
      <c r="HP76" s="98"/>
      <c r="HQ76" s="45"/>
      <c r="HR76" s="45"/>
      <c r="HS76" s="45"/>
      <c r="HT76" s="55"/>
      <c r="HU76" s="45"/>
      <c r="HV76" s="45"/>
      <c r="HW76" s="46"/>
      <c r="HY76" s="72"/>
      <c r="HZ76" s="72"/>
      <c r="IA76" s="72"/>
      <c r="IF76" s="86">
        <f>SUM(E65,Q65,AC65,AO65,BA65)</f>
        <v>3351</v>
      </c>
      <c r="IG76" s="86">
        <f>SUM(BM65,BY65,CK65,CW65,DI65)</f>
        <v>3327</v>
      </c>
      <c r="IH76" s="86">
        <f>SUM(DU65,EG65,ES65,FE65)</f>
        <v>2798</v>
      </c>
      <c r="II76" s="86">
        <f>SUM(FQ65,GC65,GO65,HA65)</f>
        <v>2916</v>
      </c>
      <c r="IJ76" s="88" t="s">
        <v>84</v>
      </c>
    </row>
    <row r="77" spans="1:244" x14ac:dyDescent="0.25">
      <c r="A77" s="373">
        <v>33</v>
      </c>
      <c r="B77" s="68">
        <f>B74+1</f>
        <v>44997</v>
      </c>
      <c r="C77" s="33"/>
      <c r="D77" s="34"/>
      <c r="E77" s="34">
        <f>E74-C77</f>
        <v>846</v>
      </c>
      <c r="F77" s="34">
        <f>F74-D77</f>
        <v>75</v>
      </c>
      <c r="G77" s="34">
        <v>634</v>
      </c>
      <c r="H77" s="35">
        <f t="shared" ref="H77:H83" si="663">((G77+I77)/E77)</f>
        <v>0.76477541371158397</v>
      </c>
      <c r="I77" s="34">
        <v>13</v>
      </c>
      <c r="J77" s="35">
        <f>I77/(G77+I77)</f>
        <v>2.009273570324575E-2</v>
      </c>
      <c r="K77" s="36"/>
      <c r="L77" s="34"/>
      <c r="M77" s="34"/>
      <c r="N77" s="37"/>
      <c r="O77" s="33"/>
      <c r="P77" s="34"/>
      <c r="Q77" s="34">
        <f>Q74-O77</f>
        <v>768</v>
      </c>
      <c r="R77" s="34">
        <f>R74-P77</f>
        <v>68</v>
      </c>
      <c r="S77" s="34">
        <v>540</v>
      </c>
      <c r="T77" s="35">
        <f t="shared" ref="T77:T83" si="664">((S77+U77)/Q77)</f>
        <v>0.70833333333333337</v>
      </c>
      <c r="U77" s="34">
        <v>4</v>
      </c>
      <c r="V77" s="35">
        <f t="shared" ref="V77:V83" si="665">U77/(S77+U77)</f>
        <v>7.3529411764705881E-3</v>
      </c>
      <c r="W77" s="36"/>
      <c r="X77" s="34"/>
      <c r="Y77" s="34"/>
      <c r="Z77" s="37"/>
      <c r="AA77" s="33">
        <v>1</v>
      </c>
      <c r="AB77" s="34"/>
      <c r="AC77" s="34">
        <f>AC74-AA77</f>
        <v>184</v>
      </c>
      <c r="AD77" s="34">
        <f>AD74-AB77</f>
        <v>15</v>
      </c>
      <c r="AE77" s="34">
        <v>140</v>
      </c>
      <c r="AF77" s="35">
        <f t="shared" ref="AF77:AF83" si="666">((AE77+AG77)/AC77)</f>
        <v>0.76086956521739135</v>
      </c>
      <c r="AG77" s="34">
        <v>0</v>
      </c>
      <c r="AH77" s="35">
        <f t="shared" ref="AH77:AH83" si="667">AG77/(AE77+AG77)</f>
        <v>0</v>
      </c>
      <c r="AI77" s="36"/>
      <c r="AJ77" s="34"/>
      <c r="AK77" s="34"/>
      <c r="AL77" s="37"/>
      <c r="AM77" s="33"/>
      <c r="AN77" s="34"/>
      <c r="AO77" s="34">
        <f>AO74-AM77</f>
        <v>775</v>
      </c>
      <c r="AP77" s="34">
        <f>AP74-AN77</f>
        <v>69</v>
      </c>
      <c r="AQ77" s="34">
        <v>604</v>
      </c>
      <c r="AR77" s="35">
        <f t="shared" ref="AR77:AR83" si="668">((AQ77+AS77)/AO77)</f>
        <v>0.78580645161290319</v>
      </c>
      <c r="AS77" s="34">
        <v>5</v>
      </c>
      <c r="AT77" s="35">
        <f t="shared" ref="AT77:AT83" si="669">AS77/(AQ77+AS77)</f>
        <v>8.2101806239737278E-3</v>
      </c>
      <c r="AU77" s="36"/>
      <c r="AV77" s="34"/>
      <c r="AW77" s="34"/>
      <c r="AX77" s="37"/>
      <c r="AY77" s="33"/>
      <c r="AZ77" s="34"/>
      <c r="BA77" s="34">
        <f>BA74-AY77</f>
        <v>775</v>
      </c>
      <c r="BB77" s="34">
        <f>BB74-AZ77</f>
        <v>69</v>
      </c>
      <c r="BC77" s="34">
        <v>581</v>
      </c>
      <c r="BD77" s="35">
        <f t="shared" ref="BD77:BD83" si="670">((BC77+BE77)/BA77)</f>
        <v>0.76516129032258062</v>
      </c>
      <c r="BE77" s="34">
        <v>12</v>
      </c>
      <c r="BF77" s="35">
        <f t="shared" ref="BF77:BF83" si="671">BE77/(BC77+BE77)</f>
        <v>2.0236087689713321E-2</v>
      </c>
      <c r="BG77" s="36"/>
      <c r="BH77" s="34"/>
      <c r="BI77" s="34"/>
      <c r="BJ77" s="37"/>
      <c r="BK77" s="33"/>
      <c r="BL77" s="34"/>
      <c r="BM77" s="34">
        <f>BM74-BK77</f>
        <v>843</v>
      </c>
      <c r="BN77" s="34">
        <f>BN74-BL77</f>
        <v>77</v>
      </c>
      <c r="BO77" s="34">
        <v>639</v>
      </c>
      <c r="BP77" s="35">
        <f t="shared" ref="BP77:BP83" si="672">((BO77+BQ77)/BM77)</f>
        <v>0.77105575326215892</v>
      </c>
      <c r="BQ77" s="34">
        <v>11</v>
      </c>
      <c r="BR77" s="35">
        <f t="shared" ref="BR77:BR83" si="673">BQ77/(BO77+BQ77)</f>
        <v>1.6923076923076923E-2</v>
      </c>
      <c r="BS77" s="36"/>
      <c r="BT77" s="34"/>
      <c r="BU77" s="34"/>
      <c r="BV77" s="37"/>
      <c r="BW77" s="33"/>
      <c r="BX77" s="34"/>
      <c r="BY77" s="34">
        <f>BY74-BW77</f>
        <v>764</v>
      </c>
      <c r="BZ77" s="34">
        <f>BZ74-BX77</f>
        <v>68</v>
      </c>
      <c r="CA77" s="34">
        <v>579</v>
      </c>
      <c r="CB77" s="35">
        <f t="shared" ref="CB77:CB83" si="674">((CA77+CC77)/BY77)</f>
        <v>0.76963350785340312</v>
      </c>
      <c r="CC77" s="34">
        <v>9</v>
      </c>
      <c r="CD77" s="35">
        <f t="shared" ref="CD77:CD83" si="675">CC77/(CA77+CC77)</f>
        <v>1.5306122448979591E-2</v>
      </c>
      <c r="CE77" s="36"/>
      <c r="CF77" s="34"/>
      <c r="CG77" s="34"/>
      <c r="CH77" s="37"/>
      <c r="CI77" s="33">
        <v>2</v>
      </c>
      <c r="CJ77" s="34"/>
      <c r="CK77" s="34">
        <f>CK74-CI77</f>
        <v>183</v>
      </c>
      <c r="CL77" s="34">
        <f>CL74-CJ77</f>
        <v>17</v>
      </c>
      <c r="CM77" s="34">
        <v>114</v>
      </c>
      <c r="CN77" s="35">
        <f t="shared" ref="CN77:CN83" si="676">((CM77+CO77)/CK77)</f>
        <v>0.63934426229508201</v>
      </c>
      <c r="CO77" s="34">
        <v>3</v>
      </c>
      <c r="CP77" s="35">
        <f t="shared" ref="CP77:CP83" si="677">CO77/(CM77+CO77)</f>
        <v>2.564102564102564E-2</v>
      </c>
      <c r="CQ77" s="36"/>
      <c r="CR77" s="34"/>
      <c r="CS77" s="34"/>
      <c r="CT77" s="37"/>
      <c r="CU77" s="33"/>
      <c r="CV77" s="34"/>
      <c r="CW77" s="34">
        <f>CW74-CU77</f>
        <v>761</v>
      </c>
      <c r="CX77" s="34">
        <f>CX74-CV77</f>
        <v>69</v>
      </c>
      <c r="CY77" s="34">
        <v>597</v>
      </c>
      <c r="CZ77" s="35">
        <f t="shared" ref="CZ77:CZ83" si="678">((CY77+DA77)/CW77)</f>
        <v>0.79237844940867275</v>
      </c>
      <c r="DA77" s="34">
        <v>6</v>
      </c>
      <c r="DB77" s="35">
        <f t="shared" ref="DB77:DB83" si="679">DA77/(CY77+DA77)</f>
        <v>9.9502487562189053E-3</v>
      </c>
      <c r="DC77" s="36"/>
      <c r="DD77" s="34"/>
      <c r="DE77" s="34"/>
      <c r="DF77" s="37"/>
      <c r="DG77" s="33"/>
      <c r="DH77" s="34"/>
      <c r="DI77" s="34">
        <f>DI74-DG77</f>
        <v>764</v>
      </c>
      <c r="DJ77" s="34">
        <f>DJ74-DH77</f>
        <v>70</v>
      </c>
      <c r="DK77" s="34">
        <v>581</v>
      </c>
      <c r="DL77" s="35">
        <f t="shared" ref="DL77:DL83" si="680">((DK77+DM77)/DI77)</f>
        <v>0.77486910994764402</v>
      </c>
      <c r="DM77" s="34">
        <v>11</v>
      </c>
      <c r="DN77" s="35">
        <f t="shared" ref="DN77:DN83" si="681">DM77/(DK77+DM77)</f>
        <v>1.8581081081081082E-2</v>
      </c>
      <c r="DO77" s="36"/>
      <c r="DP77" s="34"/>
      <c r="DQ77" s="34"/>
      <c r="DR77" s="37"/>
      <c r="DS77" s="33"/>
      <c r="DT77" s="34"/>
      <c r="DU77" s="34">
        <f>DU74-DS77</f>
        <v>860</v>
      </c>
      <c r="DV77" s="34">
        <f>DV74-DT77</f>
        <v>78</v>
      </c>
      <c r="DW77" s="34">
        <v>672</v>
      </c>
      <c r="DX77" s="35">
        <f t="shared" ref="DX77:DX83" si="682">((DW77+DY77)/DU77)</f>
        <v>0.7988372093023256</v>
      </c>
      <c r="DY77" s="34">
        <v>15</v>
      </c>
      <c r="DZ77" s="35">
        <f t="shared" ref="DZ77:DZ83" si="683">DY77/(DW77+DY77)</f>
        <v>2.1834061135371178E-2</v>
      </c>
      <c r="EA77" s="36"/>
      <c r="EB77" s="34"/>
      <c r="EC77" s="34"/>
      <c r="ED77" s="37"/>
      <c r="EE77" s="33"/>
      <c r="EF77" s="34"/>
      <c r="EG77" s="34">
        <f>EG74-EE77</f>
        <v>864</v>
      </c>
      <c r="EH77" s="34">
        <f>EH74-EF77</f>
        <v>79</v>
      </c>
      <c r="EI77" s="34">
        <v>661</v>
      </c>
      <c r="EJ77" s="35">
        <f t="shared" ref="EJ77:EJ83" si="684">((EI77+EK77)/EG77)</f>
        <v>0.78587962962962965</v>
      </c>
      <c r="EK77" s="34">
        <v>18</v>
      </c>
      <c r="EL77" s="35">
        <f t="shared" ref="EL77:EL83" si="685">EK77/(EI77+EK77)</f>
        <v>2.6509572901325478E-2</v>
      </c>
      <c r="EM77" s="36"/>
      <c r="EN77" s="34"/>
      <c r="EO77" s="34"/>
      <c r="EP77" s="37"/>
      <c r="EQ77" s="33"/>
      <c r="ER77" s="34"/>
      <c r="ES77" s="34">
        <f>ES74-EQ77</f>
        <v>203</v>
      </c>
      <c r="ET77" s="34">
        <f>ET74-ER77</f>
        <v>16</v>
      </c>
      <c r="EU77" s="34">
        <v>142</v>
      </c>
      <c r="EV77" s="35">
        <f t="shared" ref="EV77:EV83" si="686">((EU77+EW77)/ES77)</f>
        <v>0.7142857142857143</v>
      </c>
      <c r="EW77" s="34">
        <v>3</v>
      </c>
      <c r="EX77" s="35">
        <f t="shared" ref="EX77:EX83" si="687">EW77/(EU77+EW77)</f>
        <v>2.0689655172413793E-2</v>
      </c>
      <c r="EY77" s="36"/>
      <c r="EZ77" s="34"/>
      <c r="FA77" s="34"/>
      <c r="FB77" s="37"/>
      <c r="FC77" s="33"/>
      <c r="FD77" s="34"/>
      <c r="FE77" s="34">
        <f>FE74-FC77</f>
        <v>866</v>
      </c>
      <c r="FF77" s="34">
        <f>FF74-FD77</f>
        <v>78</v>
      </c>
      <c r="FG77" s="34">
        <v>700</v>
      </c>
      <c r="FH77" s="35">
        <f t="shared" ref="FH77:FH83" si="688">((FG77+FI77)/FE77)</f>
        <v>0.815242494226328</v>
      </c>
      <c r="FI77" s="34">
        <v>6</v>
      </c>
      <c r="FJ77" s="35">
        <f t="shared" ref="FJ77:FJ83" si="689">FI77/(FG77+FI77)</f>
        <v>8.4985835694051E-3</v>
      </c>
      <c r="FK77" s="36"/>
      <c r="FL77" s="34"/>
      <c r="FM77" s="34"/>
      <c r="FN77" s="37"/>
      <c r="FO77" s="33"/>
      <c r="FP77" s="34"/>
      <c r="FQ77" s="34">
        <f>FQ74-FO77</f>
        <v>908</v>
      </c>
      <c r="FR77" s="34">
        <f>FR74-FP77</f>
        <v>81</v>
      </c>
      <c r="FS77" s="34">
        <v>681</v>
      </c>
      <c r="FT77" s="35">
        <f t="shared" ref="FT77:FT83" si="690">((FS77+FU77)/FQ77)</f>
        <v>0.76651982378854622</v>
      </c>
      <c r="FU77" s="34">
        <v>15</v>
      </c>
      <c r="FV77" s="35">
        <f t="shared" ref="FV77:FV83" si="691">FU77/(FS77+FU77)</f>
        <v>2.1551724137931036E-2</v>
      </c>
      <c r="FW77" s="36"/>
      <c r="FX77" s="34"/>
      <c r="FY77" s="34"/>
      <c r="FZ77" s="37"/>
      <c r="GA77" s="33"/>
      <c r="GB77" s="34"/>
      <c r="GC77" s="34">
        <f>GC74-GA77</f>
        <v>902</v>
      </c>
      <c r="GD77" s="34">
        <f>GD74-GB77</f>
        <v>82</v>
      </c>
      <c r="GE77" s="34">
        <v>652</v>
      </c>
      <c r="GF77" s="35">
        <f t="shared" ref="GF77:GF83" si="692">((GE77+GG77)/GC77)</f>
        <v>0.73503325942350328</v>
      </c>
      <c r="GG77" s="34">
        <v>11</v>
      </c>
      <c r="GH77" s="35">
        <f t="shared" ref="GH77:GH83" si="693">GG77/(GE77+GG77)</f>
        <v>1.6591251885369532E-2</v>
      </c>
      <c r="GI77" s="36"/>
      <c r="GJ77" s="34"/>
      <c r="GK77" s="34"/>
      <c r="GL77" s="37"/>
      <c r="GM77" s="33"/>
      <c r="GN77" s="34"/>
      <c r="GO77" s="34">
        <f>GO74-GM77</f>
        <v>188</v>
      </c>
      <c r="GP77" s="34">
        <f>GP74-GN77</f>
        <v>17</v>
      </c>
      <c r="GQ77" s="34">
        <v>137</v>
      </c>
      <c r="GR77" s="35">
        <f t="shared" ref="GR77:GR83" si="694">((GQ77+GS77)/GO77)</f>
        <v>0.75531914893617025</v>
      </c>
      <c r="GS77" s="34">
        <v>5</v>
      </c>
      <c r="GT77" s="35">
        <f t="shared" ref="GT77:GT83" si="695">GS77/(GQ77+GS77)</f>
        <v>3.5211267605633804E-2</v>
      </c>
      <c r="GU77" s="36"/>
      <c r="GV77" s="34"/>
      <c r="GW77" s="34"/>
      <c r="GX77" s="37"/>
      <c r="GY77" s="33"/>
      <c r="GZ77" s="34"/>
      <c r="HA77" s="34">
        <f>HA74-GY77</f>
        <v>911</v>
      </c>
      <c r="HB77" s="34">
        <f>HB74-GZ77</f>
        <v>82</v>
      </c>
      <c r="HC77" s="34">
        <v>690</v>
      </c>
      <c r="HD77" s="35">
        <f t="shared" ref="HD77:HD83" si="696">((HC77+HE77)/HA77)</f>
        <v>0.7694840834248079</v>
      </c>
      <c r="HE77" s="34">
        <v>11</v>
      </c>
      <c r="HF77" s="35">
        <f t="shared" ref="HF77:HF83" si="697">HE77/(HC77+HE77)</f>
        <v>1.5691868758915834E-2</v>
      </c>
      <c r="HG77" s="36"/>
      <c r="HH77" s="34"/>
      <c r="HI77" s="34"/>
      <c r="HJ77" s="37"/>
      <c r="HK77" s="33">
        <f t="shared" ref="HK77:HN84" si="698">+C77+O77+AA77+AM77+AY77+BK77+BW77+CI77+CU77+DG77+DS77+EE77+EQ77+FC77+FO77+GA77+GM77+GY77</f>
        <v>3</v>
      </c>
      <c r="HL77" s="34">
        <f t="shared" si="698"/>
        <v>0</v>
      </c>
      <c r="HM77" s="34">
        <f t="shared" si="698"/>
        <v>12365</v>
      </c>
      <c r="HN77" s="34">
        <f t="shared" si="698"/>
        <v>1110</v>
      </c>
      <c r="HO77" s="34">
        <f t="shared" ref="HO77:HO84" si="699">+G77+S77+AE77+AQ77+BC77+BO77+CA77+CM77+CY77+DK77+DW77+EI77+EU77+FG77+FS77+GE77+GQ77+HC77+I77+U77+AG77+AS77+BE77+BQ77+CC77+CO77+DA77+DM77+DY77+EK77+EW77+FI77+FU77+GG77+GS77+HE77</f>
        <v>9502</v>
      </c>
      <c r="HP77" s="94">
        <f t="shared" ref="HP77:HP83" si="700">+(HO77)/HM77</f>
        <v>0.76845936109987867</v>
      </c>
      <c r="HQ77" s="48">
        <f t="shared" ref="HQ77:HQ84" si="701">+I77+U77+AG77+AS77+BE77+BQ77+CC77+CO77+DA77+DM77+DY77+EK77+EW77+FI77+FU77+GG77+GS77+HE77</f>
        <v>158</v>
      </c>
      <c r="HR77" s="35">
        <f t="shared" ref="HR77:HR84" si="702">+(HQ77/(HO77))</f>
        <v>1.6628078299305408E-2</v>
      </c>
      <c r="HS77" s="49">
        <v>58.7</v>
      </c>
      <c r="HT77" s="50">
        <v>9148</v>
      </c>
      <c r="HU77" s="49">
        <f t="shared" ref="HU77:HU83" si="703">+HT77/HO77*100</f>
        <v>96.274468532940432</v>
      </c>
      <c r="HV77" s="48"/>
      <c r="HW77" s="37"/>
      <c r="HX77" s="73">
        <f t="shared" ref="HX77:HX83" si="704">SUM(G77,I77,S77,U77,AE77,AG77,AQ77,AS77,BC77,BE77)/SUM(E77,Q77,AC77,AO77,BA77)</f>
        <v>0.75657108721624855</v>
      </c>
      <c r="HY77" s="73">
        <f t="shared" ref="HY77:HY83" si="705">SUM(BO77,BQ77,CA77,CC77,CM77,CO77,CY77,DA77,DK77,DM77)/SUM(BM77,BY77,CK77,CW77,DI77)</f>
        <v>0.76923076923076927</v>
      </c>
      <c r="HZ77" s="73">
        <f t="shared" ref="HZ77:HZ83" si="706">SUM(DW77,DY77,EI77,EK77,EU77,EW77,FG77,FI77)/SUM(DU77,EG77,ES77,FE77)</f>
        <v>0.79377013963480125</v>
      </c>
      <c r="IA77" s="73">
        <f t="shared" ref="IA77:IA83" si="707">SUM(FS77,FU77,GE77,GG77,GQ77,GS77,HC77,HE77)/SUM(FQ77,GC77,GO77,HA77)</f>
        <v>0.75696115503609485</v>
      </c>
    </row>
    <row r="78" spans="1:244" x14ac:dyDescent="0.25">
      <c r="A78" s="374"/>
      <c r="B78" s="41">
        <f t="shared" ref="B78:B83" si="708">+B77+1</f>
        <v>44998</v>
      </c>
      <c r="C78" s="10"/>
      <c r="D78" s="11"/>
      <c r="E78" s="69">
        <f t="shared" ref="E78:F83" si="709">E77-C78</f>
        <v>846</v>
      </c>
      <c r="F78" s="69">
        <f t="shared" si="709"/>
        <v>75</v>
      </c>
      <c r="G78" s="11">
        <v>640</v>
      </c>
      <c r="H78" s="12">
        <f t="shared" si="663"/>
        <v>0.76477541371158397</v>
      </c>
      <c r="I78" s="11">
        <v>7</v>
      </c>
      <c r="J78" s="12">
        <f t="shared" ref="J78:J83" si="710">I78/(G78+I78)</f>
        <v>1.0819165378670788E-2</v>
      </c>
      <c r="K78" s="13"/>
      <c r="L78" s="11"/>
      <c r="M78" s="11"/>
      <c r="N78" s="14"/>
      <c r="O78" s="10"/>
      <c r="P78" s="11"/>
      <c r="Q78" s="69">
        <f t="shared" ref="Q78:R83" si="711">Q77-O78</f>
        <v>768</v>
      </c>
      <c r="R78" s="69">
        <f t="shared" si="711"/>
        <v>68</v>
      </c>
      <c r="S78" s="11">
        <v>576</v>
      </c>
      <c r="T78" s="12">
        <f t="shared" si="664"/>
        <v>0.75911458333333337</v>
      </c>
      <c r="U78" s="11">
        <v>7</v>
      </c>
      <c r="V78" s="12">
        <f t="shared" si="665"/>
        <v>1.2006861063464836E-2</v>
      </c>
      <c r="W78" s="13"/>
      <c r="X78" s="11"/>
      <c r="Y78" s="11"/>
      <c r="Z78" s="14"/>
      <c r="AA78" s="10">
        <v>1</v>
      </c>
      <c r="AB78" s="11"/>
      <c r="AC78" s="69">
        <f t="shared" ref="AC78:AD83" si="712">AC77-AA78</f>
        <v>183</v>
      </c>
      <c r="AD78" s="69">
        <f t="shared" si="712"/>
        <v>15</v>
      </c>
      <c r="AE78" s="11">
        <v>127</v>
      </c>
      <c r="AF78" s="12">
        <f t="shared" si="666"/>
        <v>0.70491803278688525</v>
      </c>
      <c r="AG78" s="11">
        <v>2</v>
      </c>
      <c r="AH78" s="12">
        <f t="shared" si="667"/>
        <v>1.5503875968992248E-2</v>
      </c>
      <c r="AI78" s="13"/>
      <c r="AJ78" s="11"/>
      <c r="AK78" s="11"/>
      <c r="AL78" s="14"/>
      <c r="AM78" s="10"/>
      <c r="AN78" s="11"/>
      <c r="AO78" s="69">
        <f t="shared" ref="AO78:AP83" si="713">AO77-AM78</f>
        <v>775</v>
      </c>
      <c r="AP78" s="69">
        <f t="shared" si="713"/>
        <v>69</v>
      </c>
      <c r="AQ78" s="11">
        <v>579</v>
      </c>
      <c r="AR78" s="12">
        <f t="shared" si="668"/>
        <v>0.75612903225806449</v>
      </c>
      <c r="AS78" s="11">
        <v>7</v>
      </c>
      <c r="AT78" s="12">
        <f t="shared" si="669"/>
        <v>1.1945392491467578E-2</v>
      </c>
      <c r="AU78" s="13"/>
      <c r="AV78" s="11"/>
      <c r="AW78" s="11"/>
      <c r="AX78" s="14"/>
      <c r="AY78" s="10">
        <v>1</v>
      </c>
      <c r="AZ78" s="11"/>
      <c r="BA78" s="69">
        <f t="shared" ref="BA78:BB83" si="714">BA77-AY78</f>
        <v>774</v>
      </c>
      <c r="BB78" s="69">
        <f t="shared" si="714"/>
        <v>69</v>
      </c>
      <c r="BC78" s="11">
        <v>605</v>
      </c>
      <c r="BD78" s="12">
        <f t="shared" si="670"/>
        <v>0.79328165374677007</v>
      </c>
      <c r="BE78" s="11">
        <v>9</v>
      </c>
      <c r="BF78" s="12">
        <f t="shared" si="671"/>
        <v>1.4657980456026058E-2</v>
      </c>
      <c r="BG78" s="13"/>
      <c r="BH78" s="11"/>
      <c r="BI78" s="11"/>
      <c r="BJ78" s="14"/>
      <c r="BK78" s="10"/>
      <c r="BL78" s="11"/>
      <c r="BM78" s="69">
        <f t="shared" ref="BM78:BN83" si="715">BM77-BK78</f>
        <v>843</v>
      </c>
      <c r="BN78" s="69">
        <f t="shared" si="715"/>
        <v>77</v>
      </c>
      <c r="BO78" s="11">
        <v>613</v>
      </c>
      <c r="BP78" s="12">
        <f t="shared" si="672"/>
        <v>0.74377224199288261</v>
      </c>
      <c r="BQ78" s="11">
        <v>14</v>
      </c>
      <c r="BR78" s="12">
        <f t="shared" si="673"/>
        <v>2.2328548644338118E-2</v>
      </c>
      <c r="BS78" s="13"/>
      <c r="BT78" s="11"/>
      <c r="BU78" s="11"/>
      <c r="BV78" s="14"/>
      <c r="BW78" s="10"/>
      <c r="BX78" s="11"/>
      <c r="BY78" s="69">
        <f t="shared" ref="BY78:BZ83" si="716">BY77-BW78</f>
        <v>764</v>
      </c>
      <c r="BZ78" s="69">
        <f t="shared" si="716"/>
        <v>68</v>
      </c>
      <c r="CA78" s="11">
        <v>539</v>
      </c>
      <c r="CB78" s="12">
        <f t="shared" si="674"/>
        <v>0.72251308900523559</v>
      </c>
      <c r="CC78" s="11">
        <v>13</v>
      </c>
      <c r="CD78" s="12">
        <f t="shared" si="675"/>
        <v>2.355072463768116E-2</v>
      </c>
      <c r="CE78" s="13"/>
      <c r="CF78" s="11"/>
      <c r="CG78" s="11"/>
      <c r="CH78" s="14"/>
      <c r="CI78" s="10">
        <v>1</v>
      </c>
      <c r="CJ78" s="11"/>
      <c r="CK78" s="69">
        <f t="shared" ref="CK78:CL83" si="717">CK77-CI78</f>
        <v>182</v>
      </c>
      <c r="CL78" s="69">
        <f t="shared" si="717"/>
        <v>17</v>
      </c>
      <c r="CM78" s="11">
        <v>131</v>
      </c>
      <c r="CN78" s="12">
        <f t="shared" si="676"/>
        <v>0.73076923076923073</v>
      </c>
      <c r="CO78" s="11">
        <v>2</v>
      </c>
      <c r="CP78" s="12">
        <f t="shared" si="677"/>
        <v>1.5037593984962405E-2</v>
      </c>
      <c r="CQ78" s="13"/>
      <c r="CR78" s="11"/>
      <c r="CS78" s="11"/>
      <c r="CT78" s="14"/>
      <c r="CU78" s="10">
        <v>1</v>
      </c>
      <c r="CV78" s="11"/>
      <c r="CW78" s="69">
        <f t="shared" ref="CW78:CX83" si="718">CW77-CU78</f>
        <v>760</v>
      </c>
      <c r="CX78" s="69">
        <f t="shared" si="718"/>
        <v>69</v>
      </c>
      <c r="CY78" s="11">
        <v>556</v>
      </c>
      <c r="CZ78" s="12">
        <f t="shared" si="678"/>
        <v>0.73815789473684212</v>
      </c>
      <c r="DA78" s="11">
        <v>5</v>
      </c>
      <c r="DB78" s="12">
        <f t="shared" si="679"/>
        <v>8.9126559714795012E-3</v>
      </c>
      <c r="DC78" s="13"/>
      <c r="DD78" s="11"/>
      <c r="DE78" s="11"/>
      <c r="DF78" s="14"/>
      <c r="DG78" s="10">
        <v>1</v>
      </c>
      <c r="DH78" s="11"/>
      <c r="DI78" s="69">
        <f t="shared" ref="DI78:DJ83" si="719">DI77-DG78</f>
        <v>763</v>
      </c>
      <c r="DJ78" s="69">
        <f t="shared" si="719"/>
        <v>70</v>
      </c>
      <c r="DK78" s="11">
        <v>581</v>
      </c>
      <c r="DL78" s="12">
        <f t="shared" si="680"/>
        <v>0.7771952817824378</v>
      </c>
      <c r="DM78" s="11">
        <v>12</v>
      </c>
      <c r="DN78" s="12">
        <f t="shared" si="681"/>
        <v>2.0236087689713321E-2</v>
      </c>
      <c r="DO78" s="13"/>
      <c r="DP78" s="11"/>
      <c r="DQ78" s="11"/>
      <c r="DR78" s="14"/>
      <c r="DS78" s="10"/>
      <c r="DT78" s="11"/>
      <c r="DU78" s="69">
        <f t="shared" ref="DU78:DV83" si="720">DU77-DS78</f>
        <v>860</v>
      </c>
      <c r="DV78" s="69">
        <f t="shared" si="720"/>
        <v>78</v>
      </c>
      <c r="DW78" s="11">
        <v>647</v>
      </c>
      <c r="DX78" s="12">
        <f t="shared" si="682"/>
        <v>0.76744186046511631</v>
      </c>
      <c r="DY78" s="11">
        <v>13</v>
      </c>
      <c r="DZ78" s="12">
        <f t="shared" si="683"/>
        <v>1.9696969696969695E-2</v>
      </c>
      <c r="EA78" s="13"/>
      <c r="EB78" s="11"/>
      <c r="EC78" s="11"/>
      <c r="ED78" s="14"/>
      <c r="EE78" s="10"/>
      <c r="EF78" s="11"/>
      <c r="EG78" s="69">
        <f t="shared" ref="EG78:EH83" si="721">EG77-EE78</f>
        <v>864</v>
      </c>
      <c r="EH78" s="69">
        <f t="shared" si="721"/>
        <v>79</v>
      </c>
      <c r="EI78" s="11">
        <v>674</v>
      </c>
      <c r="EJ78" s="12">
        <f t="shared" si="684"/>
        <v>0.79166666666666663</v>
      </c>
      <c r="EK78" s="11">
        <v>10</v>
      </c>
      <c r="EL78" s="12">
        <f t="shared" si="685"/>
        <v>1.4619883040935672E-2</v>
      </c>
      <c r="EM78" s="13"/>
      <c r="EN78" s="11"/>
      <c r="EO78" s="11"/>
      <c r="EP78" s="14"/>
      <c r="EQ78" s="10"/>
      <c r="ER78" s="11"/>
      <c r="ES78" s="69">
        <f t="shared" ref="ES78:ET83" si="722">ES77-EQ78</f>
        <v>203</v>
      </c>
      <c r="ET78" s="69">
        <f t="shared" si="722"/>
        <v>16</v>
      </c>
      <c r="EU78" s="11">
        <v>143</v>
      </c>
      <c r="EV78" s="12">
        <f t="shared" si="686"/>
        <v>0.7142857142857143</v>
      </c>
      <c r="EW78" s="11">
        <v>2</v>
      </c>
      <c r="EX78" s="12">
        <f t="shared" si="687"/>
        <v>1.3793103448275862E-2</v>
      </c>
      <c r="EY78" s="13"/>
      <c r="EZ78" s="11"/>
      <c r="FA78" s="11"/>
      <c r="FB78" s="14"/>
      <c r="FC78" s="10"/>
      <c r="FD78" s="11"/>
      <c r="FE78" s="69">
        <f t="shared" ref="FE78:FF83" si="723">FE77-FC78</f>
        <v>866</v>
      </c>
      <c r="FF78" s="69">
        <f t="shared" si="723"/>
        <v>78</v>
      </c>
      <c r="FG78" s="11">
        <v>693</v>
      </c>
      <c r="FH78" s="12">
        <f t="shared" si="688"/>
        <v>0.81293302540415702</v>
      </c>
      <c r="FI78" s="11">
        <v>11</v>
      </c>
      <c r="FJ78" s="12">
        <f t="shared" si="689"/>
        <v>1.5625E-2</v>
      </c>
      <c r="FK78" s="13"/>
      <c r="FL78" s="11"/>
      <c r="FM78" s="11"/>
      <c r="FN78" s="14"/>
      <c r="FO78" s="10">
        <v>1</v>
      </c>
      <c r="FP78" s="11"/>
      <c r="FQ78" s="69">
        <f t="shared" ref="FQ78:FR83" si="724">FQ77-FO78</f>
        <v>907</v>
      </c>
      <c r="FR78" s="69">
        <f t="shared" si="724"/>
        <v>81</v>
      </c>
      <c r="FS78" s="11">
        <v>675</v>
      </c>
      <c r="FT78" s="12">
        <f t="shared" si="690"/>
        <v>0.76846747519294378</v>
      </c>
      <c r="FU78" s="11">
        <v>22</v>
      </c>
      <c r="FV78" s="12">
        <f t="shared" si="691"/>
        <v>3.1563845050215207E-2</v>
      </c>
      <c r="FW78" s="13"/>
      <c r="FX78" s="11"/>
      <c r="FY78" s="11"/>
      <c r="FZ78" s="14"/>
      <c r="GA78" s="10"/>
      <c r="GB78" s="11"/>
      <c r="GC78" s="69">
        <f t="shared" ref="GC78:GD83" si="725">GC77-GA78</f>
        <v>902</v>
      </c>
      <c r="GD78" s="69">
        <f t="shared" si="725"/>
        <v>82</v>
      </c>
      <c r="GE78" s="11">
        <v>615</v>
      </c>
      <c r="GF78" s="12">
        <f t="shared" si="692"/>
        <v>0.69290465631929044</v>
      </c>
      <c r="GG78" s="11">
        <v>10</v>
      </c>
      <c r="GH78" s="12">
        <f t="shared" si="693"/>
        <v>1.6E-2</v>
      </c>
      <c r="GI78" s="13"/>
      <c r="GJ78" s="11"/>
      <c r="GK78" s="11"/>
      <c r="GL78" s="14"/>
      <c r="GM78" s="10"/>
      <c r="GN78" s="11"/>
      <c r="GO78" s="69">
        <f t="shared" ref="GO78:GP83" si="726">GO77-GM78</f>
        <v>188</v>
      </c>
      <c r="GP78" s="69">
        <f t="shared" si="726"/>
        <v>17</v>
      </c>
      <c r="GQ78" s="11">
        <v>130</v>
      </c>
      <c r="GR78" s="12">
        <f t="shared" si="694"/>
        <v>0.7021276595744681</v>
      </c>
      <c r="GS78" s="11">
        <v>2</v>
      </c>
      <c r="GT78" s="12">
        <f t="shared" si="695"/>
        <v>1.5151515151515152E-2</v>
      </c>
      <c r="GU78" s="13"/>
      <c r="GV78" s="11"/>
      <c r="GW78" s="11"/>
      <c r="GX78" s="14"/>
      <c r="GY78" s="10"/>
      <c r="GZ78" s="11"/>
      <c r="HA78" s="69">
        <f t="shared" ref="HA78:HB83" si="727">HA77-GY78</f>
        <v>911</v>
      </c>
      <c r="HB78" s="69">
        <f t="shared" si="727"/>
        <v>82</v>
      </c>
      <c r="HC78" s="11">
        <v>727</v>
      </c>
      <c r="HD78" s="12">
        <f t="shared" si="696"/>
        <v>0.81009879253567507</v>
      </c>
      <c r="HE78" s="11">
        <v>11</v>
      </c>
      <c r="HF78" s="12">
        <f t="shared" si="697"/>
        <v>1.4905149051490514E-2</v>
      </c>
      <c r="HG78" s="13"/>
      <c r="HH78" s="11"/>
      <c r="HI78" s="11"/>
      <c r="HJ78" s="14"/>
      <c r="HK78" s="10">
        <f t="shared" si="698"/>
        <v>6</v>
      </c>
      <c r="HL78" s="11">
        <f t="shared" si="698"/>
        <v>0</v>
      </c>
      <c r="HM78" s="11">
        <f t="shared" si="698"/>
        <v>12359</v>
      </c>
      <c r="HN78" s="11">
        <f t="shared" si="698"/>
        <v>1110</v>
      </c>
      <c r="HO78" s="11">
        <f t="shared" si="699"/>
        <v>9410</v>
      </c>
      <c r="HP78" s="95">
        <f t="shared" si="700"/>
        <v>0.76138846184966424</v>
      </c>
      <c r="HQ78" s="15">
        <f t="shared" si="701"/>
        <v>159</v>
      </c>
      <c r="HR78" s="12">
        <f t="shared" si="702"/>
        <v>1.6896918172157278E-2</v>
      </c>
      <c r="HS78" s="16">
        <v>58.4</v>
      </c>
      <c r="HT78" s="17">
        <v>9040</v>
      </c>
      <c r="HU78" s="16">
        <f t="shared" si="703"/>
        <v>96.06801275239107</v>
      </c>
      <c r="HV78" s="15"/>
      <c r="HW78" s="14"/>
      <c r="HX78" s="73">
        <f t="shared" si="704"/>
        <v>0.76479378362223549</v>
      </c>
      <c r="HY78" s="73">
        <f t="shared" si="705"/>
        <v>0.74456521739130432</v>
      </c>
      <c r="HZ78" s="73">
        <f t="shared" si="706"/>
        <v>0.78517722878625129</v>
      </c>
      <c r="IA78" s="73">
        <f t="shared" si="707"/>
        <v>0.75378266850068776</v>
      </c>
    </row>
    <row r="79" spans="1:244" x14ac:dyDescent="0.25">
      <c r="A79" s="374"/>
      <c r="B79" s="41">
        <f t="shared" si="708"/>
        <v>44999</v>
      </c>
      <c r="C79" s="10"/>
      <c r="D79" s="11"/>
      <c r="E79" s="69">
        <f t="shared" si="709"/>
        <v>846</v>
      </c>
      <c r="F79" s="69">
        <f t="shared" si="709"/>
        <v>75</v>
      </c>
      <c r="G79" s="11">
        <v>650</v>
      </c>
      <c r="H79" s="12">
        <f t="shared" si="663"/>
        <v>0.77423167848699759</v>
      </c>
      <c r="I79" s="11">
        <v>5</v>
      </c>
      <c r="J79" s="12">
        <f t="shared" si="710"/>
        <v>7.6335877862595417E-3</v>
      </c>
      <c r="K79" s="13"/>
      <c r="L79" s="11"/>
      <c r="M79" s="11"/>
      <c r="N79" s="14"/>
      <c r="O79" s="10"/>
      <c r="P79" s="11"/>
      <c r="Q79" s="69">
        <f t="shared" si="711"/>
        <v>768</v>
      </c>
      <c r="R79" s="69">
        <f t="shared" si="711"/>
        <v>68</v>
      </c>
      <c r="S79" s="11">
        <v>576</v>
      </c>
      <c r="T79" s="12">
        <f t="shared" si="664"/>
        <v>0.75520833333333337</v>
      </c>
      <c r="U79" s="11">
        <v>4</v>
      </c>
      <c r="V79" s="12">
        <f t="shared" si="665"/>
        <v>6.8965517241379309E-3</v>
      </c>
      <c r="W79" s="13"/>
      <c r="X79" s="11"/>
      <c r="Y79" s="11"/>
      <c r="Z79" s="14"/>
      <c r="AA79" s="10"/>
      <c r="AB79" s="11">
        <v>1</v>
      </c>
      <c r="AC79" s="69">
        <f t="shared" si="712"/>
        <v>183</v>
      </c>
      <c r="AD79" s="69">
        <f t="shared" si="712"/>
        <v>14</v>
      </c>
      <c r="AE79" s="11">
        <v>136</v>
      </c>
      <c r="AF79" s="12">
        <f t="shared" si="666"/>
        <v>0.75409836065573765</v>
      </c>
      <c r="AG79" s="11">
        <v>2</v>
      </c>
      <c r="AH79" s="12">
        <f t="shared" si="667"/>
        <v>1.4492753623188406E-2</v>
      </c>
      <c r="AI79" s="13"/>
      <c r="AJ79" s="11"/>
      <c r="AK79" s="11"/>
      <c r="AL79" s="14"/>
      <c r="AM79" s="10"/>
      <c r="AN79" s="11"/>
      <c r="AO79" s="69">
        <f t="shared" si="713"/>
        <v>775</v>
      </c>
      <c r="AP79" s="69">
        <f t="shared" si="713"/>
        <v>69</v>
      </c>
      <c r="AQ79" s="11">
        <v>614</v>
      </c>
      <c r="AR79" s="12">
        <f t="shared" si="668"/>
        <v>0.80129032258064514</v>
      </c>
      <c r="AS79" s="11">
        <v>7</v>
      </c>
      <c r="AT79" s="12">
        <f t="shared" si="669"/>
        <v>1.1272141706924315E-2</v>
      </c>
      <c r="AU79" s="13"/>
      <c r="AV79" s="11"/>
      <c r="AW79" s="11"/>
      <c r="AX79" s="14"/>
      <c r="AY79" s="10"/>
      <c r="AZ79" s="11"/>
      <c r="BA79" s="69">
        <f t="shared" si="714"/>
        <v>774</v>
      </c>
      <c r="BB79" s="69">
        <f t="shared" si="714"/>
        <v>69</v>
      </c>
      <c r="BC79" s="11">
        <v>598</v>
      </c>
      <c r="BD79" s="12">
        <f t="shared" si="670"/>
        <v>0.7842377260981912</v>
      </c>
      <c r="BE79" s="11">
        <v>9</v>
      </c>
      <c r="BF79" s="12">
        <f t="shared" si="671"/>
        <v>1.4827018121911038E-2</v>
      </c>
      <c r="BG79" s="13"/>
      <c r="BH79" s="11"/>
      <c r="BI79" s="11"/>
      <c r="BJ79" s="14"/>
      <c r="BK79" s="10">
        <v>1</v>
      </c>
      <c r="BL79" s="11"/>
      <c r="BM79" s="69">
        <f t="shared" si="715"/>
        <v>842</v>
      </c>
      <c r="BN79" s="69">
        <f t="shared" si="715"/>
        <v>77</v>
      </c>
      <c r="BO79" s="11">
        <v>630</v>
      </c>
      <c r="BP79" s="12">
        <f t="shared" si="672"/>
        <v>0.75890736342042753</v>
      </c>
      <c r="BQ79" s="11">
        <v>9</v>
      </c>
      <c r="BR79" s="12">
        <f t="shared" si="673"/>
        <v>1.4084507042253521E-2</v>
      </c>
      <c r="BS79" s="13"/>
      <c r="BT79" s="11"/>
      <c r="BU79" s="11"/>
      <c r="BV79" s="14"/>
      <c r="BW79" s="10"/>
      <c r="BX79" s="11"/>
      <c r="BY79" s="69">
        <f t="shared" si="716"/>
        <v>764</v>
      </c>
      <c r="BZ79" s="69">
        <f t="shared" si="716"/>
        <v>68</v>
      </c>
      <c r="CA79" s="11">
        <v>539</v>
      </c>
      <c r="CB79" s="12">
        <f t="shared" si="674"/>
        <v>0.72251308900523559</v>
      </c>
      <c r="CC79" s="11">
        <v>13</v>
      </c>
      <c r="CD79" s="12">
        <f t="shared" si="675"/>
        <v>2.355072463768116E-2</v>
      </c>
      <c r="CE79" s="13"/>
      <c r="CF79" s="11"/>
      <c r="CG79" s="11"/>
      <c r="CH79" s="14"/>
      <c r="CI79" s="10"/>
      <c r="CJ79" s="11"/>
      <c r="CK79" s="69">
        <f t="shared" si="717"/>
        <v>182</v>
      </c>
      <c r="CL79" s="69">
        <f t="shared" si="717"/>
        <v>17</v>
      </c>
      <c r="CM79" s="11">
        <v>113</v>
      </c>
      <c r="CN79" s="12">
        <f t="shared" si="676"/>
        <v>0.63186813186813184</v>
      </c>
      <c r="CO79" s="11">
        <v>2</v>
      </c>
      <c r="CP79" s="12">
        <f t="shared" si="677"/>
        <v>1.7391304347826087E-2</v>
      </c>
      <c r="CQ79" s="13"/>
      <c r="CR79" s="11"/>
      <c r="CS79" s="11"/>
      <c r="CT79" s="14"/>
      <c r="CU79" s="10"/>
      <c r="CV79" s="11"/>
      <c r="CW79" s="69">
        <f t="shared" si="718"/>
        <v>760</v>
      </c>
      <c r="CX79" s="69">
        <f t="shared" si="718"/>
        <v>69</v>
      </c>
      <c r="CY79" s="11">
        <v>541</v>
      </c>
      <c r="CZ79" s="12">
        <f t="shared" si="678"/>
        <v>0.72105263157894739</v>
      </c>
      <c r="DA79" s="11">
        <v>7</v>
      </c>
      <c r="DB79" s="12">
        <f t="shared" si="679"/>
        <v>1.2773722627737226E-2</v>
      </c>
      <c r="DC79" s="13"/>
      <c r="DD79" s="11"/>
      <c r="DE79" s="11"/>
      <c r="DF79" s="14"/>
      <c r="DG79" s="10"/>
      <c r="DH79" s="11"/>
      <c r="DI79" s="69">
        <f t="shared" si="719"/>
        <v>763</v>
      </c>
      <c r="DJ79" s="69">
        <f t="shared" si="719"/>
        <v>70</v>
      </c>
      <c r="DK79" s="11">
        <v>592</v>
      </c>
      <c r="DL79" s="12">
        <f t="shared" si="680"/>
        <v>0.78374836173001305</v>
      </c>
      <c r="DM79" s="11">
        <v>6</v>
      </c>
      <c r="DN79" s="12">
        <f t="shared" si="681"/>
        <v>1.0033444816053512E-2</v>
      </c>
      <c r="DO79" s="13"/>
      <c r="DP79" s="11"/>
      <c r="DQ79" s="11"/>
      <c r="DR79" s="14"/>
      <c r="DS79" s="10">
        <v>1</v>
      </c>
      <c r="DT79" s="11"/>
      <c r="DU79" s="69">
        <f t="shared" si="720"/>
        <v>859</v>
      </c>
      <c r="DV79" s="69">
        <f t="shared" si="720"/>
        <v>78</v>
      </c>
      <c r="DW79" s="11">
        <v>636</v>
      </c>
      <c r="DX79" s="12">
        <f t="shared" si="682"/>
        <v>0.7566938300349243</v>
      </c>
      <c r="DY79" s="11">
        <v>14</v>
      </c>
      <c r="DZ79" s="12">
        <f t="shared" si="683"/>
        <v>2.1538461538461538E-2</v>
      </c>
      <c r="EA79" s="13"/>
      <c r="EB79" s="11"/>
      <c r="EC79" s="11"/>
      <c r="ED79" s="14"/>
      <c r="EE79" s="10"/>
      <c r="EF79" s="11"/>
      <c r="EG79" s="69">
        <f t="shared" si="721"/>
        <v>864</v>
      </c>
      <c r="EH79" s="69">
        <f t="shared" si="721"/>
        <v>79</v>
      </c>
      <c r="EI79" s="11">
        <v>665</v>
      </c>
      <c r="EJ79" s="12">
        <f t="shared" si="684"/>
        <v>0.78935185185185186</v>
      </c>
      <c r="EK79" s="11">
        <v>17</v>
      </c>
      <c r="EL79" s="12">
        <f t="shared" si="685"/>
        <v>2.4926686217008796E-2</v>
      </c>
      <c r="EM79" s="13"/>
      <c r="EN79" s="11"/>
      <c r="EO79" s="11"/>
      <c r="EP79" s="14"/>
      <c r="EQ79" s="10"/>
      <c r="ER79" s="11"/>
      <c r="ES79" s="69">
        <f t="shared" si="722"/>
        <v>203</v>
      </c>
      <c r="ET79" s="69">
        <f t="shared" si="722"/>
        <v>16</v>
      </c>
      <c r="EU79" s="11">
        <v>145</v>
      </c>
      <c r="EV79" s="12">
        <f t="shared" si="686"/>
        <v>0.74384236453201968</v>
      </c>
      <c r="EW79" s="11">
        <v>6</v>
      </c>
      <c r="EX79" s="12">
        <f t="shared" si="687"/>
        <v>3.9735099337748346E-2</v>
      </c>
      <c r="EY79" s="13"/>
      <c r="EZ79" s="11"/>
      <c r="FA79" s="11"/>
      <c r="FB79" s="14"/>
      <c r="FC79" s="10"/>
      <c r="FD79" s="11"/>
      <c r="FE79" s="69">
        <f t="shared" si="723"/>
        <v>866</v>
      </c>
      <c r="FF79" s="69">
        <f t="shared" si="723"/>
        <v>78</v>
      </c>
      <c r="FG79" s="11">
        <v>689</v>
      </c>
      <c r="FH79" s="12">
        <f t="shared" si="688"/>
        <v>0.8060046189376443</v>
      </c>
      <c r="FI79" s="11">
        <v>9</v>
      </c>
      <c r="FJ79" s="12">
        <f t="shared" si="689"/>
        <v>1.2893982808022923E-2</v>
      </c>
      <c r="FK79" s="13"/>
      <c r="FL79" s="11"/>
      <c r="FM79" s="11"/>
      <c r="FN79" s="14"/>
      <c r="FO79" s="10"/>
      <c r="FP79" s="11"/>
      <c r="FQ79" s="69">
        <f t="shared" si="724"/>
        <v>907</v>
      </c>
      <c r="FR79" s="69">
        <f t="shared" si="724"/>
        <v>81</v>
      </c>
      <c r="FS79" s="11">
        <v>664</v>
      </c>
      <c r="FT79" s="12">
        <f t="shared" si="690"/>
        <v>0.75413450937155457</v>
      </c>
      <c r="FU79" s="11">
        <v>20</v>
      </c>
      <c r="FV79" s="12">
        <f t="shared" si="691"/>
        <v>2.9239766081871343E-2</v>
      </c>
      <c r="FW79" s="13"/>
      <c r="FX79" s="11"/>
      <c r="FY79" s="11"/>
      <c r="FZ79" s="14"/>
      <c r="GA79" s="10"/>
      <c r="GB79" s="11"/>
      <c r="GC79" s="69">
        <f t="shared" si="725"/>
        <v>902</v>
      </c>
      <c r="GD79" s="69">
        <f t="shared" si="725"/>
        <v>82</v>
      </c>
      <c r="GE79" s="11">
        <v>629</v>
      </c>
      <c r="GF79" s="12">
        <f t="shared" si="692"/>
        <v>0.71507760532150777</v>
      </c>
      <c r="GG79" s="11">
        <v>16</v>
      </c>
      <c r="GH79" s="12">
        <f t="shared" si="693"/>
        <v>2.4806201550387597E-2</v>
      </c>
      <c r="GI79" s="13"/>
      <c r="GJ79" s="11"/>
      <c r="GK79" s="11"/>
      <c r="GL79" s="14"/>
      <c r="GM79" s="10"/>
      <c r="GN79" s="11"/>
      <c r="GO79" s="69">
        <f t="shared" si="726"/>
        <v>188</v>
      </c>
      <c r="GP79" s="69">
        <f t="shared" si="726"/>
        <v>17</v>
      </c>
      <c r="GQ79" s="11">
        <v>140</v>
      </c>
      <c r="GR79" s="12">
        <f t="shared" si="694"/>
        <v>0.77127659574468088</v>
      </c>
      <c r="GS79" s="11">
        <v>5</v>
      </c>
      <c r="GT79" s="12">
        <f t="shared" si="695"/>
        <v>3.4482758620689655E-2</v>
      </c>
      <c r="GU79" s="13"/>
      <c r="GV79" s="11"/>
      <c r="GW79" s="11"/>
      <c r="GX79" s="14"/>
      <c r="GY79" s="10"/>
      <c r="GZ79" s="11"/>
      <c r="HA79" s="69">
        <f t="shared" si="727"/>
        <v>911</v>
      </c>
      <c r="HB79" s="69">
        <f t="shared" si="727"/>
        <v>82</v>
      </c>
      <c r="HC79" s="11">
        <v>695</v>
      </c>
      <c r="HD79" s="12">
        <f t="shared" si="696"/>
        <v>0.7749725576289791</v>
      </c>
      <c r="HE79" s="11">
        <v>11</v>
      </c>
      <c r="HF79" s="12">
        <f t="shared" si="697"/>
        <v>1.5580736543909348E-2</v>
      </c>
      <c r="HG79" s="13"/>
      <c r="HH79" s="11"/>
      <c r="HI79" s="11"/>
      <c r="HJ79" s="14"/>
      <c r="HK79" s="10">
        <f t="shared" si="698"/>
        <v>2</v>
      </c>
      <c r="HL79" s="11">
        <f t="shared" si="698"/>
        <v>1</v>
      </c>
      <c r="HM79" s="11">
        <f t="shared" si="698"/>
        <v>12357</v>
      </c>
      <c r="HN79" s="11">
        <f t="shared" si="698"/>
        <v>1109</v>
      </c>
      <c r="HO79" s="11">
        <f t="shared" si="699"/>
        <v>9414</v>
      </c>
      <c r="HP79" s="95">
        <f t="shared" si="700"/>
        <v>0.76183539694100511</v>
      </c>
      <c r="HQ79" s="15">
        <f t="shared" si="701"/>
        <v>162</v>
      </c>
      <c r="HR79" s="12">
        <f t="shared" si="702"/>
        <v>1.7208413001912046E-2</v>
      </c>
      <c r="HS79" s="16">
        <v>58.7</v>
      </c>
      <c r="HT79" s="17">
        <v>9023</v>
      </c>
      <c r="HU79" s="16">
        <f t="shared" si="703"/>
        <v>95.846611429785426</v>
      </c>
      <c r="HV79" s="15"/>
      <c r="HW79" s="14"/>
      <c r="HX79" s="73">
        <f t="shared" si="704"/>
        <v>0.77734608487746559</v>
      </c>
      <c r="HY79" s="73">
        <f t="shared" si="705"/>
        <v>0.74056176381757777</v>
      </c>
      <c r="HZ79" s="73">
        <f t="shared" si="706"/>
        <v>0.78116045845272208</v>
      </c>
      <c r="IA79" s="73">
        <f t="shared" si="707"/>
        <v>0.74965612104539203</v>
      </c>
    </row>
    <row r="80" spans="1:244" x14ac:dyDescent="0.25">
      <c r="A80" s="374"/>
      <c r="B80" s="41">
        <f t="shared" si="708"/>
        <v>45000</v>
      </c>
      <c r="C80" s="10"/>
      <c r="D80" s="11"/>
      <c r="E80" s="69">
        <f t="shared" si="709"/>
        <v>846</v>
      </c>
      <c r="F80" s="69">
        <f t="shared" si="709"/>
        <v>75</v>
      </c>
      <c r="G80" s="11">
        <v>654</v>
      </c>
      <c r="H80" s="12">
        <f t="shared" si="663"/>
        <v>0.78841607565011818</v>
      </c>
      <c r="I80" s="11">
        <v>13</v>
      </c>
      <c r="J80" s="12">
        <f t="shared" si="710"/>
        <v>1.9490254872563718E-2</v>
      </c>
      <c r="K80" s="11"/>
      <c r="L80" s="11"/>
      <c r="M80" s="18"/>
      <c r="N80" s="20"/>
      <c r="O80" s="10"/>
      <c r="P80" s="11"/>
      <c r="Q80" s="69">
        <f t="shared" si="711"/>
        <v>768</v>
      </c>
      <c r="R80" s="69">
        <f t="shared" si="711"/>
        <v>68</v>
      </c>
      <c r="S80" s="11">
        <v>542</v>
      </c>
      <c r="T80" s="12">
        <f t="shared" si="664"/>
        <v>0.71484375</v>
      </c>
      <c r="U80" s="11">
        <v>7</v>
      </c>
      <c r="V80" s="12">
        <f t="shared" si="665"/>
        <v>1.2750455373406194E-2</v>
      </c>
      <c r="W80" s="11"/>
      <c r="X80" s="11"/>
      <c r="Y80" s="18"/>
      <c r="Z80" s="20"/>
      <c r="AA80" s="10"/>
      <c r="AB80" s="11"/>
      <c r="AC80" s="69">
        <f t="shared" si="712"/>
        <v>183</v>
      </c>
      <c r="AD80" s="69">
        <f t="shared" si="712"/>
        <v>14</v>
      </c>
      <c r="AE80" s="11">
        <v>136</v>
      </c>
      <c r="AF80" s="12">
        <f t="shared" si="666"/>
        <v>0.75409836065573765</v>
      </c>
      <c r="AG80" s="11">
        <v>2</v>
      </c>
      <c r="AH80" s="12">
        <f t="shared" si="667"/>
        <v>1.4492753623188406E-2</v>
      </c>
      <c r="AI80" s="11"/>
      <c r="AJ80" s="11"/>
      <c r="AK80" s="18"/>
      <c r="AL80" s="20"/>
      <c r="AM80" s="10"/>
      <c r="AN80" s="11"/>
      <c r="AO80" s="69">
        <f t="shared" si="713"/>
        <v>775</v>
      </c>
      <c r="AP80" s="69">
        <f t="shared" si="713"/>
        <v>69</v>
      </c>
      <c r="AQ80" s="11">
        <v>552</v>
      </c>
      <c r="AR80" s="12">
        <f t="shared" si="668"/>
        <v>0.72</v>
      </c>
      <c r="AS80" s="11">
        <v>6</v>
      </c>
      <c r="AT80" s="12">
        <f t="shared" si="669"/>
        <v>1.0752688172043012E-2</v>
      </c>
      <c r="AU80" s="11"/>
      <c r="AV80" s="11"/>
      <c r="AW80" s="18"/>
      <c r="AX80" s="20"/>
      <c r="AY80" s="10"/>
      <c r="AZ80" s="11"/>
      <c r="BA80" s="69">
        <f t="shared" si="714"/>
        <v>774</v>
      </c>
      <c r="BB80" s="69">
        <f t="shared" si="714"/>
        <v>69</v>
      </c>
      <c r="BC80" s="11">
        <v>552</v>
      </c>
      <c r="BD80" s="12">
        <f t="shared" si="670"/>
        <v>0.72480620155038755</v>
      </c>
      <c r="BE80" s="11">
        <v>9</v>
      </c>
      <c r="BF80" s="12">
        <f t="shared" si="671"/>
        <v>1.6042780748663103E-2</v>
      </c>
      <c r="BG80" s="11"/>
      <c r="BH80" s="11"/>
      <c r="BI80" s="18"/>
      <c r="BJ80" s="20"/>
      <c r="BK80" s="10"/>
      <c r="BL80" s="11"/>
      <c r="BM80" s="69">
        <f t="shared" si="715"/>
        <v>842</v>
      </c>
      <c r="BN80" s="69">
        <f t="shared" si="715"/>
        <v>77</v>
      </c>
      <c r="BO80" s="11">
        <v>595</v>
      </c>
      <c r="BP80" s="12">
        <f t="shared" si="672"/>
        <v>0.7220902612826603</v>
      </c>
      <c r="BQ80" s="11">
        <v>13</v>
      </c>
      <c r="BR80" s="12">
        <f t="shared" si="673"/>
        <v>2.1381578947368422E-2</v>
      </c>
      <c r="BS80" s="11"/>
      <c r="BT80" s="11"/>
      <c r="BU80" s="18"/>
      <c r="BV80" s="20"/>
      <c r="BW80" s="10">
        <v>1</v>
      </c>
      <c r="BX80" s="11"/>
      <c r="BY80" s="69">
        <f t="shared" si="716"/>
        <v>763</v>
      </c>
      <c r="BZ80" s="69">
        <f t="shared" si="716"/>
        <v>68</v>
      </c>
      <c r="CA80" s="11">
        <v>559</v>
      </c>
      <c r="CB80" s="12">
        <f t="shared" si="674"/>
        <v>0.74311926605504586</v>
      </c>
      <c r="CC80" s="11">
        <v>8</v>
      </c>
      <c r="CD80" s="12">
        <f t="shared" si="675"/>
        <v>1.4109347442680775E-2</v>
      </c>
      <c r="CE80" s="11"/>
      <c r="CF80" s="11"/>
      <c r="CG80" s="18"/>
      <c r="CH80" s="20"/>
      <c r="CI80" s="10"/>
      <c r="CJ80" s="11"/>
      <c r="CK80" s="69">
        <f t="shared" si="717"/>
        <v>182</v>
      </c>
      <c r="CL80" s="69">
        <f t="shared" si="717"/>
        <v>17</v>
      </c>
      <c r="CM80" s="11">
        <v>123</v>
      </c>
      <c r="CN80" s="12">
        <f t="shared" si="676"/>
        <v>0.68681318681318682</v>
      </c>
      <c r="CO80" s="11">
        <v>2</v>
      </c>
      <c r="CP80" s="12">
        <f t="shared" si="677"/>
        <v>1.6E-2</v>
      </c>
      <c r="CQ80" s="11"/>
      <c r="CR80" s="11"/>
      <c r="CS80" s="18"/>
      <c r="CT80" s="20"/>
      <c r="CU80" s="10"/>
      <c r="CV80" s="11"/>
      <c r="CW80" s="69">
        <f t="shared" si="718"/>
        <v>760</v>
      </c>
      <c r="CX80" s="69">
        <f t="shared" si="718"/>
        <v>69</v>
      </c>
      <c r="CY80" s="11">
        <v>550</v>
      </c>
      <c r="CZ80" s="12">
        <f t="shared" si="678"/>
        <v>0.74736842105263157</v>
      </c>
      <c r="DA80" s="11">
        <v>18</v>
      </c>
      <c r="DB80" s="12">
        <f t="shared" si="679"/>
        <v>3.1690140845070422E-2</v>
      </c>
      <c r="DC80" s="11"/>
      <c r="DD80" s="11"/>
      <c r="DE80" s="18"/>
      <c r="DF80" s="20"/>
      <c r="DG80" s="10"/>
      <c r="DH80" s="11"/>
      <c r="DI80" s="69">
        <f t="shared" si="719"/>
        <v>763</v>
      </c>
      <c r="DJ80" s="69">
        <f t="shared" si="719"/>
        <v>70</v>
      </c>
      <c r="DK80" s="11">
        <v>581</v>
      </c>
      <c r="DL80" s="12">
        <f t="shared" si="680"/>
        <v>0.78505897771952815</v>
      </c>
      <c r="DM80" s="11">
        <v>18</v>
      </c>
      <c r="DN80" s="12">
        <f t="shared" si="681"/>
        <v>3.0050083472454091E-2</v>
      </c>
      <c r="DO80" s="11"/>
      <c r="DP80" s="11"/>
      <c r="DQ80" s="18"/>
      <c r="DR80" s="20"/>
      <c r="DS80" s="10">
        <v>2</v>
      </c>
      <c r="DT80" s="11"/>
      <c r="DU80" s="69">
        <f t="shared" si="720"/>
        <v>857</v>
      </c>
      <c r="DV80" s="69">
        <f t="shared" si="720"/>
        <v>78</v>
      </c>
      <c r="DW80" s="11">
        <v>645</v>
      </c>
      <c r="DX80" s="12">
        <f t="shared" si="682"/>
        <v>0.76546091015169193</v>
      </c>
      <c r="DY80" s="11">
        <v>11</v>
      </c>
      <c r="DZ80" s="12">
        <f t="shared" si="683"/>
        <v>1.676829268292683E-2</v>
      </c>
      <c r="EA80" s="11"/>
      <c r="EB80" s="11"/>
      <c r="EC80" s="18"/>
      <c r="ED80" s="20"/>
      <c r="EE80" s="10"/>
      <c r="EF80" s="11"/>
      <c r="EG80" s="69">
        <f t="shared" si="721"/>
        <v>864</v>
      </c>
      <c r="EH80" s="69">
        <f t="shared" si="721"/>
        <v>79</v>
      </c>
      <c r="EI80" s="11">
        <v>632</v>
      </c>
      <c r="EJ80" s="12">
        <f t="shared" si="684"/>
        <v>0.75347222222222221</v>
      </c>
      <c r="EK80" s="11">
        <v>19</v>
      </c>
      <c r="EL80" s="12">
        <f t="shared" si="685"/>
        <v>2.9185867895545316E-2</v>
      </c>
      <c r="EM80" s="11"/>
      <c r="EN80" s="11"/>
      <c r="EO80" s="18"/>
      <c r="EP80" s="20"/>
      <c r="EQ80" s="10"/>
      <c r="ER80" s="11"/>
      <c r="ES80" s="69">
        <f t="shared" si="722"/>
        <v>203</v>
      </c>
      <c r="ET80" s="69">
        <f t="shared" si="722"/>
        <v>16</v>
      </c>
      <c r="EU80" s="11">
        <v>143</v>
      </c>
      <c r="EV80" s="12">
        <f t="shared" si="686"/>
        <v>0.70935960591133007</v>
      </c>
      <c r="EW80" s="11">
        <v>1</v>
      </c>
      <c r="EX80" s="12">
        <f t="shared" si="687"/>
        <v>6.9444444444444441E-3</v>
      </c>
      <c r="EY80" s="11"/>
      <c r="EZ80" s="11"/>
      <c r="FA80" s="18"/>
      <c r="FB80" s="20"/>
      <c r="FC80" s="10"/>
      <c r="FD80" s="11"/>
      <c r="FE80" s="69">
        <f t="shared" si="723"/>
        <v>866</v>
      </c>
      <c r="FF80" s="69">
        <f t="shared" si="723"/>
        <v>78</v>
      </c>
      <c r="FG80" s="11">
        <v>667</v>
      </c>
      <c r="FH80" s="12">
        <f t="shared" si="688"/>
        <v>0.77829099307159355</v>
      </c>
      <c r="FI80" s="11">
        <v>7</v>
      </c>
      <c r="FJ80" s="12">
        <f t="shared" si="689"/>
        <v>1.0385756676557863E-2</v>
      </c>
      <c r="FK80" s="11"/>
      <c r="FL80" s="11"/>
      <c r="FM80" s="18"/>
      <c r="FN80" s="20"/>
      <c r="FO80" s="10"/>
      <c r="FP80" s="11"/>
      <c r="FQ80" s="69">
        <f t="shared" si="724"/>
        <v>907</v>
      </c>
      <c r="FR80" s="69">
        <f t="shared" si="724"/>
        <v>81</v>
      </c>
      <c r="FS80" s="11">
        <v>679</v>
      </c>
      <c r="FT80" s="12">
        <f t="shared" si="690"/>
        <v>0.77287761852260195</v>
      </c>
      <c r="FU80" s="11">
        <v>22</v>
      </c>
      <c r="FV80" s="12">
        <f t="shared" si="691"/>
        <v>3.1383737517831668E-2</v>
      </c>
      <c r="FW80" s="11"/>
      <c r="FX80" s="11"/>
      <c r="FY80" s="18"/>
      <c r="FZ80" s="20"/>
      <c r="GA80" s="10"/>
      <c r="GB80" s="11"/>
      <c r="GC80" s="69">
        <f t="shared" si="725"/>
        <v>902</v>
      </c>
      <c r="GD80" s="69">
        <f t="shared" si="725"/>
        <v>82</v>
      </c>
      <c r="GE80" s="11">
        <v>620</v>
      </c>
      <c r="GF80" s="12">
        <f t="shared" si="692"/>
        <v>0.69844789356984482</v>
      </c>
      <c r="GG80" s="11">
        <v>10</v>
      </c>
      <c r="GH80" s="12">
        <f t="shared" si="693"/>
        <v>1.5873015873015872E-2</v>
      </c>
      <c r="GI80" s="11"/>
      <c r="GJ80" s="11"/>
      <c r="GK80" s="18"/>
      <c r="GL80" s="20"/>
      <c r="GM80" s="10"/>
      <c r="GN80" s="11"/>
      <c r="GO80" s="69">
        <f t="shared" si="726"/>
        <v>188</v>
      </c>
      <c r="GP80" s="69">
        <f t="shared" si="726"/>
        <v>17</v>
      </c>
      <c r="GQ80" s="11">
        <v>114</v>
      </c>
      <c r="GR80" s="12">
        <f t="shared" si="694"/>
        <v>0.62765957446808507</v>
      </c>
      <c r="GS80" s="11">
        <v>4</v>
      </c>
      <c r="GT80" s="12">
        <f t="shared" si="695"/>
        <v>3.3898305084745763E-2</v>
      </c>
      <c r="GU80" s="11"/>
      <c r="GV80" s="11"/>
      <c r="GW80" s="18"/>
      <c r="GX80" s="20"/>
      <c r="GY80" s="10"/>
      <c r="GZ80" s="11"/>
      <c r="HA80" s="69">
        <f t="shared" si="727"/>
        <v>911</v>
      </c>
      <c r="HB80" s="69">
        <f t="shared" si="727"/>
        <v>82</v>
      </c>
      <c r="HC80" s="11">
        <v>660</v>
      </c>
      <c r="HD80" s="12">
        <f t="shared" si="696"/>
        <v>0.73655323819978047</v>
      </c>
      <c r="HE80" s="11">
        <v>11</v>
      </c>
      <c r="HF80" s="12">
        <f t="shared" si="697"/>
        <v>1.6393442622950821E-2</v>
      </c>
      <c r="HG80" s="11"/>
      <c r="HH80" s="11"/>
      <c r="HI80" s="18"/>
      <c r="HJ80" s="20"/>
      <c r="HK80" s="10">
        <f t="shared" si="698"/>
        <v>3</v>
      </c>
      <c r="HL80" s="11">
        <f t="shared" si="698"/>
        <v>0</v>
      </c>
      <c r="HM80" s="11">
        <f t="shared" si="698"/>
        <v>12354</v>
      </c>
      <c r="HN80" s="11">
        <f t="shared" si="698"/>
        <v>1109</v>
      </c>
      <c r="HO80" s="11">
        <f t="shared" si="699"/>
        <v>9185</v>
      </c>
      <c r="HP80" s="95">
        <f t="shared" si="700"/>
        <v>0.74348389185688846</v>
      </c>
      <c r="HQ80" s="15">
        <f t="shared" si="701"/>
        <v>181</v>
      </c>
      <c r="HR80" s="12">
        <f t="shared" si="702"/>
        <v>1.9706042460533479E-2</v>
      </c>
      <c r="HS80" s="16">
        <v>58.2</v>
      </c>
      <c r="HT80" s="17">
        <v>8823</v>
      </c>
      <c r="HU80" s="16">
        <f t="shared" si="703"/>
        <v>96.058791507893304</v>
      </c>
      <c r="HV80" s="18"/>
      <c r="HW80" s="20"/>
      <c r="HX80" s="73">
        <f t="shared" si="704"/>
        <v>0.73909145248057384</v>
      </c>
      <c r="HY80" s="73">
        <f t="shared" si="705"/>
        <v>0.74531722054380667</v>
      </c>
      <c r="HZ80" s="73">
        <f t="shared" si="706"/>
        <v>0.76164874551971329</v>
      </c>
      <c r="IA80" s="73">
        <f t="shared" si="707"/>
        <v>0.72902338376891329</v>
      </c>
    </row>
    <row r="81" spans="1:244" x14ac:dyDescent="0.25">
      <c r="A81" s="374"/>
      <c r="B81" s="41">
        <f>+B80+1</f>
        <v>45001</v>
      </c>
      <c r="C81" s="10"/>
      <c r="D81" s="11"/>
      <c r="E81" s="69">
        <f t="shared" si="709"/>
        <v>846</v>
      </c>
      <c r="F81" s="69">
        <f t="shared" si="709"/>
        <v>75</v>
      </c>
      <c r="G81" s="11">
        <v>664</v>
      </c>
      <c r="H81" s="12">
        <f t="shared" si="663"/>
        <v>0.7978723404255319</v>
      </c>
      <c r="I81" s="11">
        <v>11</v>
      </c>
      <c r="J81" s="12">
        <f t="shared" si="710"/>
        <v>1.6296296296296295E-2</v>
      </c>
      <c r="K81" s="13"/>
      <c r="L81" s="13"/>
      <c r="M81" s="25">
        <v>3906</v>
      </c>
      <c r="N81" s="38">
        <v>4205</v>
      </c>
      <c r="O81" s="10"/>
      <c r="P81" s="11"/>
      <c r="Q81" s="69">
        <f t="shared" si="711"/>
        <v>768</v>
      </c>
      <c r="R81" s="69">
        <f t="shared" si="711"/>
        <v>68</v>
      </c>
      <c r="S81" s="11">
        <v>563</v>
      </c>
      <c r="T81" s="12">
        <f t="shared" si="664"/>
        <v>0.74088541666666663</v>
      </c>
      <c r="U81" s="11">
        <v>6</v>
      </c>
      <c r="V81" s="12">
        <f t="shared" si="665"/>
        <v>1.054481546572935E-2</v>
      </c>
      <c r="W81" s="13"/>
      <c r="X81" s="13"/>
      <c r="Y81" s="25">
        <v>3906</v>
      </c>
      <c r="Z81" s="38">
        <v>4205</v>
      </c>
      <c r="AA81" s="10"/>
      <c r="AB81" s="11"/>
      <c r="AC81" s="69">
        <f t="shared" si="712"/>
        <v>183</v>
      </c>
      <c r="AD81" s="69">
        <f t="shared" si="712"/>
        <v>14</v>
      </c>
      <c r="AE81" s="11">
        <v>120</v>
      </c>
      <c r="AF81" s="12">
        <f t="shared" si="666"/>
        <v>0.66666666666666663</v>
      </c>
      <c r="AG81" s="11">
        <v>2</v>
      </c>
      <c r="AH81" s="12">
        <f t="shared" si="667"/>
        <v>1.6393442622950821E-2</v>
      </c>
      <c r="AI81" s="13"/>
      <c r="AJ81" s="13"/>
      <c r="AK81" s="25">
        <v>3906</v>
      </c>
      <c r="AL81" s="38">
        <v>4205</v>
      </c>
      <c r="AM81" s="10"/>
      <c r="AN81" s="11"/>
      <c r="AO81" s="69">
        <f t="shared" si="713"/>
        <v>775</v>
      </c>
      <c r="AP81" s="69">
        <f t="shared" si="713"/>
        <v>69</v>
      </c>
      <c r="AQ81" s="11">
        <v>615</v>
      </c>
      <c r="AR81" s="12">
        <f t="shared" si="668"/>
        <v>0.80387096774193545</v>
      </c>
      <c r="AS81" s="11">
        <v>8</v>
      </c>
      <c r="AT81" s="12">
        <f t="shared" si="669"/>
        <v>1.2841091492776886E-2</v>
      </c>
      <c r="AU81" s="13"/>
      <c r="AV81" s="13"/>
      <c r="AW81" s="25">
        <v>3906</v>
      </c>
      <c r="AX81" s="38">
        <v>4205</v>
      </c>
      <c r="AY81" s="10"/>
      <c r="AZ81" s="11"/>
      <c r="BA81" s="69">
        <f t="shared" si="714"/>
        <v>774</v>
      </c>
      <c r="BB81" s="69">
        <f t="shared" si="714"/>
        <v>69</v>
      </c>
      <c r="BC81" s="11">
        <v>597</v>
      </c>
      <c r="BD81" s="12">
        <f t="shared" si="670"/>
        <v>0.78682170542635654</v>
      </c>
      <c r="BE81" s="11">
        <v>12</v>
      </c>
      <c r="BF81" s="12">
        <f t="shared" si="671"/>
        <v>1.9704433497536946E-2</v>
      </c>
      <c r="BG81" s="13"/>
      <c r="BH81" s="13"/>
      <c r="BI81" s="25">
        <v>3906</v>
      </c>
      <c r="BJ81" s="38">
        <v>4205</v>
      </c>
      <c r="BK81" s="10"/>
      <c r="BL81" s="11"/>
      <c r="BM81" s="69">
        <f t="shared" si="715"/>
        <v>842</v>
      </c>
      <c r="BN81" s="69">
        <f t="shared" si="715"/>
        <v>77</v>
      </c>
      <c r="BO81" s="11">
        <v>628</v>
      </c>
      <c r="BP81" s="12">
        <f t="shared" si="672"/>
        <v>0.76128266033254155</v>
      </c>
      <c r="BQ81" s="11">
        <v>13</v>
      </c>
      <c r="BR81" s="12">
        <f t="shared" si="673"/>
        <v>2.0280811232449299E-2</v>
      </c>
      <c r="BS81" s="13"/>
      <c r="BT81" s="13"/>
      <c r="BU81" s="25">
        <v>3906</v>
      </c>
      <c r="BV81" s="38">
        <v>4205</v>
      </c>
      <c r="BW81" s="10"/>
      <c r="BX81" s="11"/>
      <c r="BY81" s="69">
        <f t="shared" si="716"/>
        <v>763</v>
      </c>
      <c r="BZ81" s="69">
        <f t="shared" si="716"/>
        <v>68</v>
      </c>
      <c r="CA81" s="11">
        <v>572</v>
      </c>
      <c r="CB81" s="12">
        <f t="shared" si="674"/>
        <v>0.76408912188728706</v>
      </c>
      <c r="CC81" s="11">
        <v>11</v>
      </c>
      <c r="CD81" s="12">
        <f t="shared" si="675"/>
        <v>1.8867924528301886E-2</v>
      </c>
      <c r="CE81" s="13"/>
      <c r="CF81" s="13"/>
      <c r="CG81" s="25">
        <v>3906</v>
      </c>
      <c r="CH81" s="38">
        <v>4205</v>
      </c>
      <c r="CI81" s="10"/>
      <c r="CJ81" s="11"/>
      <c r="CK81" s="69">
        <f t="shared" si="717"/>
        <v>182</v>
      </c>
      <c r="CL81" s="69">
        <f t="shared" si="717"/>
        <v>17</v>
      </c>
      <c r="CM81" s="11">
        <v>114</v>
      </c>
      <c r="CN81" s="12">
        <f t="shared" si="676"/>
        <v>0.65934065934065933</v>
      </c>
      <c r="CO81" s="11">
        <v>6</v>
      </c>
      <c r="CP81" s="12">
        <f t="shared" si="677"/>
        <v>0.05</v>
      </c>
      <c r="CQ81" s="13"/>
      <c r="CR81" s="13"/>
      <c r="CS81" s="25">
        <v>3906</v>
      </c>
      <c r="CT81" s="38">
        <v>4205</v>
      </c>
      <c r="CU81" s="10">
        <v>1</v>
      </c>
      <c r="CV81" s="11"/>
      <c r="CW81" s="69">
        <f t="shared" si="718"/>
        <v>759</v>
      </c>
      <c r="CX81" s="69">
        <f t="shared" si="718"/>
        <v>69</v>
      </c>
      <c r="CY81" s="11">
        <v>564</v>
      </c>
      <c r="CZ81" s="12">
        <f t="shared" si="678"/>
        <v>0.76021080368906457</v>
      </c>
      <c r="DA81" s="11">
        <v>13</v>
      </c>
      <c r="DB81" s="12">
        <f t="shared" si="679"/>
        <v>2.2530329289428077E-2</v>
      </c>
      <c r="DC81" s="13"/>
      <c r="DD81" s="13"/>
      <c r="DE81" s="25">
        <v>3906</v>
      </c>
      <c r="DF81" s="38">
        <v>4205</v>
      </c>
      <c r="DG81" s="10"/>
      <c r="DH81" s="11"/>
      <c r="DI81" s="69">
        <f t="shared" si="719"/>
        <v>763</v>
      </c>
      <c r="DJ81" s="69">
        <f t="shared" si="719"/>
        <v>70</v>
      </c>
      <c r="DK81" s="11">
        <v>595</v>
      </c>
      <c r="DL81" s="12">
        <f t="shared" si="680"/>
        <v>0.79947575360419398</v>
      </c>
      <c r="DM81" s="11">
        <v>15</v>
      </c>
      <c r="DN81" s="12">
        <f t="shared" si="681"/>
        <v>2.4590163934426229E-2</v>
      </c>
      <c r="DO81" s="13"/>
      <c r="DP81" s="13"/>
      <c r="DQ81" s="25">
        <v>3906</v>
      </c>
      <c r="DR81" s="38">
        <v>4205</v>
      </c>
      <c r="DS81" s="10"/>
      <c r="DT81" s="11"/>
      <c r="DU81" s="69">
        <f t="shared" si="720"/>
        <v>857</v>
      </c>
      <c r="DV81" s="69">
        <f t="shared" si="720"/>
        <v>78</v>
      </c>
      <c r="DW81" s="11">
        <v>659</v>
      </c>
      <c r="DX81" s="12">
        <f t="shared" si="682"/>
        <v>0.77946324387397903</v>
      </c>
      <c r="DY81" s="11">
        <v>9</v>
      </c>
      <c r="DZ81" s="12">
        <f t="shared" si="683"/>
        <v>1.3473053892215569E-2</v>
      </c>
      <c r="EA81" s="13"/>
      <c r="EB81" s="13"/>
      <c r="EC81" s="25">
        <v>3906</v>
      </c>
      <c r="ED81" s="38">
        <v>4205</v>
      </c>
      <c r="EE81" s="10"/>
      <c r="EF81" s="11"/>
      <c r="EG81" s="69">
        <f t="shared" si="721"/>
        <v>864</v>
      </c>
      <c r="EH81" s="69">
        <f t="shared" si="721"/>
        <v>79</v>
      </c>
      <c r="EI81" s="11">
        <v>634</v>
      </c>
      <c r="EJ81" s="12">
        <f t="shared" si="684"/>
        <v>0.75231481481481477</v>
      </c>
      <c r="EK81" s="11">
        <v>16</v>
      </c>
      <c r="EL81" s="12">
        <f t="shared" si="685"/>
        <v>2.4615384615384615E-2</v>
      </c>
      <c r="EM81" s="13"/>
      <c r="EN81" s="13"/>
      <c r="EO81" s="25">
        <v>3906</v>
      </c>
      <c r="EP81" s="38">
        <v>4205</v>
      </c>
      <c r="EQ81" s="10"/>
      <c r="ER81" s="11"/>
      <c r="ES81" s="69">
        <f t="shared" si="722"/>
        <v>203</v>
      </c>
      <c r="ET81" s="69">
        <f t="shared" si="722"/>
        <v>16</v>
      </c>
      <c r="EU81" s="11">
        <v>153</v>
      </c>
      <c r="EV81" s="12">
        <f t="shared" si="686"/>
        <v>0.77339901477832518</v>
      </c>
      <c r="EW81" s="11">
        <v>4</v>
      </c>
      <c r="EX81" s="12">
        <f t="shared" si="687"/>
        <v>2.5477707006369428E-2</v>
      </c>
      <c r="EY81" s="13"/>
      <c r="EZ81" s="13"/>
      <c r="FA81" s="25">
        <v>3906</v>
      </c>
      <c r="FB81" s="38">
        <v>4205</v>
      </c>
      <c r="FC81" s="10"/>
      <c r="FD81" s="11"/>
      <c r="FE81" s="69">
        <f t="shared" si="723"/>
        <v>866</v>
      </c>
      <c r="FF81" s="69">
        <f t="shared" si="723"/>
        <v>78</v>
      </c>
      <c r="FG81" s="11">
        <v>685</v>
      </c>
      <c r="FH81" s="12">
        <f t="shared" si="688"/>
        <v>0.79907621247113159</v>
      </c>
      <c r="FI81" s="11">
        <v>7</v>
      </c>
      <c r="FJ81" s="12">
        <f t="shared" si="689"/>
        <v>1.0115606936416185E-2</v>
      </c>
      <c r="FK81" s="13"/>
      <c r="FL81" s="13"/>
      <c r="FM81" s="25">
        <v>3906</v>
      </c>
      <c r="FN81" s="38">
        <v>4205</v>
      </c>
      <c r="FO81" s="10"/>
      <c r="FP81" s="11"/>
      <c r="FQ81" s="69">
        <f t="shared" si="724"/>
        <v>907</v>
      </c>
      <c r="FR81" s="69">
        <f t="shared" si="724"/>
        <v>81</v>
      </c>
      <c r="FS81" s="11">
        <v>642</v>
      </c>
      <c r="FT81" s="12">
        <f t="shared" si="690"/>
        <v>0.72546857772877615</v>
      </c>
      <c r="FU81" s="11">
        <v>16</v>
      </c>
      <c r="FV81" s="12">
        <f t="shared" si="691"/>
        <v>2.4316109422492401E-2</v>
      </c>
      <c r="FW81" s="13"/>
      <c r="FX81" s="13"/>
      <c r="FY81" s="25">
        <v>3906</v>
      </c>
      <c r="FZ81" s="38">
        <v>4205</v>
      </c>
      <c r="GA81" s="10"/>
      <c r="GB81" s="11"/>
      <c r="GC81" s="69">
        <f t="shared" si="725"/>
        <v>902</v>
      </c>
      <c r="GD81" s="69">
        <f t="shared" si="725"/>
        <v>82</v>
      </c>
      <c r="GE81" s="11">
        <v>642</v>
      </c>
      <c r="GF81" s="12">
        <f t="shared" si="692"/>
        <v>0.72283813747228376</v>
      </c>
      <c r="GG81" s="11">
        <v>10</v>
      </c>
      <c r="GH81" s="12">
        <f t="shared" si="693"/>
        <v>1.5337423312883436E-2</v>
      </c>
      <c r="GI81" s="13"/>
      <c r="GJ81" s="13"/>
      <c r="GK81" s="25">
        <v>3906</v>
      </c>
      <c r="GL81" s="38">
        <v>4205</v>
      </c>
      <c r="GM81" s="10"/>
      <c r="GN81" s="11"/>
      <c r="GO81" s="69">
        <f t="shared" si="726"/>
        <v>188</v>
      </c>
      <c r="GP81" s="69">
        <f t="shared" si="726"/>
        <v>17</v>
      </c>
      <c r="GQ81" s="11">
        <v>150</v>
      </c>
      <c r="GR81" s="12">
        <f t="shared" si="694"/>
        <v>0.80851063829787229</v>
      </c>
      <c r="GS81" s="11">
        <v>2</v>
      </c>
      <c r="GT81" s="12">
        <f t="shared" si="695"/>
        <v>1.3157894736842105E-2</v>
      </c>
      <c r="GU81" s="13"/>
      <c r="GV81" s="13"/>
      <c r="GW81" s="25">
        <v>3906</v>
      </c>
      <c r="GX81" s="38">
        <v>4205</v>
      </c>
      <c r="GY81" s="10">
        <v>1</v>
      </c>
      <c r="GZ81" s="11"/>
      <c r="HA81" s="69">
        <f t="shared" si="727"/>
        <v>910</v>
      </c>
      <c r="HB81" s="69">
        <f t="shared" si="727"/>
        <v>82</v>
      </c>
      <c r="HC81" s="11">
        <v>686</v>
      </c>
      <c r="HD81" s="12">
        <f t="shared" si="696"/>
        <v>0.7604395604395604</v>
      </c>
      <c r="HE81" s="11">
        <v>6</v>
      </c>
      <c r="HF81" s="12">
        <f t="shared" si="697"/>
        <v>8.670520231213872E-3</v>
      </c>
      <c r="HG81" s="13"/>
      <c r="HH81" s="13"/>
      <c r="HI81" s="25">
        <v>3906</v>
      </c>
      <c r="HJ81" s="38">
        <v>4205</v>
      </c>
      <c r="HK81" s="10">
        <f t="shared" si="698"/>
        <v>2</v>
      </c>
      <c r="HL81" s="11">
        <f t="shared" si="698"/>
        <v>0</v>
      </c>
      <c r="HM81" s="11">
        <f t="shared" si="698"/>
        <v>12352</v>
      </c>
      <c r="HN81" s="11">
        <f t="shared" si="698"/>
        <v>1109</v>
      </c>
      <c r="HO81" s="11">
        <f t="shared" si="699"/>
        <v>9450</v>
      </c>
      <c r="HP81" s="95">
        <f t="shared" si="700"/>
        <v>0.76505829015544047</v>
      </c>
      <c r="HQ81" s="15">
        <f t="shared" si="701"/>
        <v>167</v>
      </c>
      <c r="HR81" s="12">
        <f t="shared" si="702"/>
        <v>1.7671957671957672E-2</v>
      </c>
      <c r="HS81" s="16">
        <v>58.3</v>
      </c>
      <c r="HT81" s="17">
        <v>9107</v>
      </c>
      <c r="HU81" s="16">
        <f t="shared" si="703"/>
        <v>96.370370370370367</v>
      </c>
      <c r="HV81" s="23">
        <v>3906</v>
      </c>
      <c r="HW81" s="22">
        <v>4205</v>
      </c>
      <c r="HX81" s="73">
        <f t="shared" si="704"/>
        <v>0.77644949193066348</v>
      </c>
      <c r="HY81" s="73">
        <f t="shared" si="705"/>
        <v>0.76488365064974317</v>
      </c>
      <c r="HZ81" s="73">
        <f t="shared" si="706"/>
        <v>0.77670250896057347</v>
      </c>
      <c r="IA81" s="73">
        <f t="shared" si="707"/>
        <v>0.74097007223942213</v>
      </c>
    </row>
    <row r="82" spans="1:244" x14ac:dyDescent="0.25">
      <c r="A82" s="374"/>
      <c r="B82" s="41">
        <f t="shared" si="708"/>
        <v>45002</v>
      </c>
      <c r="C82" s="10"/>
      <c r="D82" s="11"/>
      <c r="E82" s="69">
        <f t="shared" si="709"/>
        <v>846</v>
      </c>
      <c r="F82" s="69">
        <f t="shared" si="709"/>
        <v>75</v>
      </c>
      <c r="G82" s="11">
        <v>634</v>
      </c>
      <c r="H82" s="12">
        <f t="shared" si="663"/>
        <v>0.7635933806146572</v>
      </c>
      <c r="I82" s="11">
        <v>12</v>
      </c>
      <c r="J82" s="12">
        <f t="shared" si="710"/>
        <v>1.8575851393188854E-2</v>
      </c>
      <c r="K82" s="13"/>
      <c r="L82" s="11"/>
      <c r="M82" s="25">
        <v>4356.0465116279074</v>
      </c>
      <c r="N82" s="38">
        <v>4375</v>
      </c>
      <c r="O82" s="10"/>
      <c r="P82" s="11"/>
      <c r="Q82" s="69">
        <f t="shared" si="711"/>
        <v>768</v>
      </c>
      <c r="R82" s="69">
        <f t="shared" si="711"/>
        <v>68</v>
      </c>
      <c r="S82" s="11">
        <v>571</v>
      </c>
      <c r="T82" s="12">
        <f t="shared" si="664"/>
        <v>0.75390625</v>
      </c>
      <c r="U82" s="11">
        <v>8</v>
      </c>
      <c r="V82" s="12">
        <f t="shared" si="665"/>
        <v>1.3816925734024179E-2</v>
      </c>
      <c r="W82" s="13"/>
      <c r="X82" s="11"/>
      <c r="Y82" s="25">
        <v>4405.2777777777774</v>
      </c>
      <c r="Z82" s="38">
        <v>4599.333333333333</v>
      </c>
      <c r="AA82" s="10"/>
      <c r="AB82" s="11"/>
      <c r="AC82" s="69">
        <f t="shared" si="712"/>
        <v>183</v>
      </c>
      <c r="AD82" s="69">
        <f t="shared" si="712"/>
        <v>14</v>
      </c>
      <c r="AE82" s="11">
        <v>142</v>
      </c>
      <c r="AF82" s="12">
        <f t="shared" si="666"/>
        <v>0.77595628415300544</v>
      </c>
      <c r="AG82" s="11">
        <v>0</v>
      </c>
      <c r="AH82" s="12">
        <f t="shared" si="667"/>
        <v>0</v>
      </c>
      <c r="AI82" s="13"/>
      <c r="AJ82" s="11"/>
      <c r="AK82" s="25">
        <v>4475</v>
      </c>
      <c r="AL82" s="38">
        <v>4694</v>
      </c>
      <c r="AM82" s="10"/>
      <c r="AN82" s="11"/>
      <c r="AO82" s="69">
        <f t="shared" si="713"/>
        <v>775</v>
      </c>
      <c r="AP82" s="69">
        <f t="shared" si="713"/>
        <v>69</v>
      </c>
      <c r="AQ82" s="11">
        <v>570</v>
      </c>
      <c r="AR82" s="12">
        <f t="shared" si="668"/>
        <v>0.74709677419354836</v>
      </c>
      <c r="AS82" s="11">
        <v>9</v>
      </c>
      <c r="AT82" s="12">
        <f t="shared" si="669"/>
        <v>1.5544041450777202E-2</v>
      </c>
      <c r="AU82" s="13"/>
      <c r="AV82" s="11"/>
      <c r="AW82" s="25">
        <v>4374.3589743589746</v>
      </c>
      <c r="AX82" s="38">
        <v>4593.8461538461543</v>
      </c>
      <c r="AY82" s="10"/>
      <c r="AZ82" s="11"/>
      <c r="BA82" s="69">
        <f t="shared" si="714"/>
        <v>774</v>
      </c>
      <c r="BB82" s="69">
        <f t="shared" si="714"/>
        <v>69</v>
      </c>
      <c r="BC82" s="11">
        <v>595</v>
      </c>
      <c r="BD82" s="12">
        <f t="shared" si="670"/>
        <v>0.77906976744186052</v>
      </c>
      <c r="BE82" s="11">
        <v>8</v>
      </c>
      <c r="BF82" s="12">
        <f t="shared" si="671"/>
        <v>1.3266998341625208E-2</v>
      </c>
      <c r="BG82" s="13"/>
      <c r="BH82" s="11"/>
      <c r="BI82" s="25">
        <v>4312.7777777777774</v>
      </c>
      <c r="BJ82" s="38">
        <v>4515.333333333333</v>
      </c>
      <c r="BK82" s="10"/>
      <c r="BL82" s="11"/>
      <c r="BM82" s="69">
        <f t="shared" si="715"/>
        <v>842</v>
      </c>
      <c r="BN82" s="69">
        <f t="shared" si="715"/>
        <v>77</v>
      </c>
      <c r="BO82" s="11">
        <v>625</v>
      </c>
      <c r="BP82" s="12">
        <f t="shared" si="672"/>
        <v>0.76009501187648454</v>
      </c>
      <c r="BQ82" s="11">
        <v>15</v>
      </c>
      <c r="BR82" s="12">
        <f t="shared" si="673"/>
        <v>2.34375E-2</v>
      </c>
      <c r="BS82" s="13"/>
      <c r="BT82" s="11"/>
      <c r="BU82" s="25">
        <v>4326.0975609756097</v>
      </c>
      <c r="BV82" s="38">
        <v>4695.7142857142853</v>
      </c>
      <c r="BW82" s="10"/>
      <c r="BX82" s="11"/>
      <c r="BY82" s="69">
        <f t="shared" si="716"/>
        <v>763</v>
      </c>
      <c r="BZ82" s="69">
        <f t="shared" si="716"/>
        <v>68</v>
      </c>
      <c r="CA82" s="11">
        <v>553</v>
      </c>
      <c r="CB82" s="12">
        <f t="shared" si="674"/>
        <v>0.73263433813892531</v>
      </c>
      <c r="CC82" s="11">
        <v>6</v>
      </c>
      <c r="CD82" s="12">
        <f t="shared" si="675"/>
        <v>1.0733452593917709E-2</v>
      </c>
      <c r="CE82" s="13"/>
      <c r="CF82" s="11"/>
      <c r="CG82" s="25">
        <v>4398.0555555555557</v>
      </c>
      <c r="CH82" s="38">
        <v>4596</v>
      </c>
      <c r="CI82" s="10"/>
      <c r="CJ82" s="11"/>
      <c r="CK82" s="69">
        <f t="shared" si="717"/>
        <v>182</v>
      </c>
      <c r="CL82" s="69">
        <f t="shared" si="717"/>
        <v>17</v>
      </c>
      <c r="CM82" s="11">
        <v>118</v>
      </c>
      <c r="CN82" s="12">
        <f t="shared" si="676"/>
        <v>0.65934065934065933</v>
      </c>
      <c r="CO82" s="11">
        <v>2</v>
      </c>
      <c r="CP82" s="12">
        <f t="shared" si="677"/>
        <v>1.6666666666666666E-2</v>
      </c>
      <c r="CQ82" s="13"/>
      <c r="CR82" s="11"/>
      <c r="CS82" s="25">
        <v>4282.2222222222226</v>
      </c>
      <c r="CT82" s="38">
        <v>4302</v>
      </c>
      <c r="CU82" s="10"/>
      <c r="CV82" s="11"/>
      <c r="CW82" s="69">
        <f t="shared" si="718"/>
        <v>759</v>
      </c>
      <c r="CX82" s="69">
        <f t="shared" si="718"/>
        <v>69</v>
      </c>
      <c r="CY82" s="11">
        <v>558</v>
      </c>
      <c r="CZ82" s="12">
        <f t="shared" si="678"/>
        <v>0.74835309617918311</v>
      </c>
      <c r="DA82" s="11">
        <v>10</v>
      </c>
      <c r="DB82" s="12">
        <f t="shared" si="679"/>
        <v>1.7605633802816902E-2</v>
      </c>
      <c r="DC82" s="13"/>
      <c r="DD82" s="11"/>
      <c r="DE82" s="25">
        <v>4392.8571428571431</v>
      </c>
      <c r="DF82" s="38">
        <v>4472.666666666667</v>
      </c>
      <c r="DG82" s="10"/>
      <c r="DH82" s="11"/>
      <c r="DI82" s="69">
        <f t="shared" si="719"/>
        <v>763</v>
      </c>
      <c r="DJ82" s="69">
        <f t="shared" si="719"/>
        <v>70</v>
      </c>
      <c r="DK82" s="11">
        <v>569</v>
      </c>
      <c r="DL82" s="12">
        <f t="shared" si="680"/>
        <v>0.76146788990825687</v>
      </c>
      <c r="DM82" s="11">
        <v>12</v>
      </c>
      <c r="DN82" s="12">
        <f t="shared" si="681"/>
        <v>2.0654044750430294E-2</v>
      </c>
      <c r="DO82" s="13"/>
      <c r="DP82" s="11"/>
      <c r="DQ82" s="25">
        <v>4460.5405405405409</v>
      </c>
      <c r="DR82" s="38">
        <v>4602.3529411764703</v>
      </c>
      <c r="DS82" s="10">
        <v>1</v>
      </c>
      <c r="DT82" s="11"/>
      <c r="DU82" s="69">
        <f t="shared" si="720"/>
        <v>856</v>
      </c>
      <c r="DV82" s="69">
        <f t="shared" si="720"/>
        <v>78</v>
      </c>
      <c r="DW82" s="11">
        <v>663</v>
      </c>
      <c r="DX82" s="12">
        <f t="shared" si="682"/>
        <v>0.79789719626168221</v>
      </c>
      <c r="DY82" s="11">
        <v>20</v>
      </c>
      <c r="DZ82" s="12">
        <f t="shared" si="683"/>
        <v>2.9282576866764276E-2</v>
      </c>
      <c r="EA82" s="13"/>
      <c r="EB82" s="11"/>
      <c r="EC82" s="25">
        <v>4333.9534883720926</v>
      </c>
      <c r="ED82" s="38">
        <v>4186.875</v>
      </c>
      <c r="EE82" s="10"/>
      <c r="EF82" s="11"/>
      <c r="EG82" s="69">
        <f t="shared" si="721"/>
        <v>864</v>
      </c>
      <c r="EH82" s="69">
        <f t="shared" si="721"/>
        <v>79</v>
      </c>
      <c r="EI82" s="11">
        <v>635</v>
      </c>
      <c r="EJ82" s="12">
        <f t="shared" si="684"/>
        <v>0.75347222222222221</v>
      </c>
      <c r="EK82" s="11">
        <v>16</v>
      </c>
      <c r="EL82" s="12">
        <f t="shared" si="685"/>
        <v>2.4577572964669739E-2</v>
      </c>
      <c r="EM82" s="13"/>
      <c r="EN82" s="11"/>
      <c r="EO82" s="25">
        <v>4275.227272727273</v>
      </c>
      <c r="EP82" s="38">
        <v>4326.1538461538457</v>
      </c>
      <c r="EQ82" s="10"/>
      <c r="ER82" s="11"/>
      <c r="ES82" s="69">
        <f t="shared" si="722"/>
        <v>203</v>
      </c>
      <c r="ET82" s="69">
        <f t="shared" si="722"/>
        <v>16</v>
      </c>
      <c r="EU82" s="11">
        <v>155</v>
      </c>
      <c r="EV82" s="12">
        <f t="shared" si="686"/>
        <v>0.7931034482758621</v>
      </c>
      <c r="EW82" s="11">
        <v>6</v>
      </c>
      <c r="EX82" s="12">
        <f t="shared" si="687"/>
        <v>3.7267080745341616E-2</v>
      </c>
      <c r="EY82" s="13"/>
      <c r="EZ82" s="11"/>
      <c r="FA82" s="25">
        <v>4122.727272727273</v>
      </c>
      <c r="FB82" s="38">
        <v>4420</v>
      </c>
      <c r="FC82" s="10"/>
      <c r="FD82" s="11"/>
      <c r="FE82" s="69">
        <f t="shared" si="723"/>
        <v>866</v>
      </c>
      <c r="FF82" s="69">
        <f t="shared" si="723"/>
        <v>78</v>
      </c>
      <c r="FG82" s="11">
        <v>670</v>
      </c>
      <c r="FH82" s="12">
        <f t="shared" si="688"/>
        <v>0.78637413394919164</v>
      </c>
      <c r="FI82" s="11">
        <v>11</v>
      </c>
      <c r="FJ82" s="12">
        <f t="shared" si="689"/>
        <v>1.6152716593245228E-2</v>
      </c>
      <c r="FK82" s="13"/>
      <c r="FL82" s="11"/>
      <c r="FM82" s="25">
        <v>4203.0232558139533</v>
      </c>
      <c r="FN82" s="38">
        <v>4565.625</v>
      </c>
      <c r="FO82" s="10"/>
      <c r="FP82" s="11"/>
      <c r="FQ82" s="69">
        <f t="shared" si="724"/>
        <v>907</v>
      </c>
      <c r="FR82" s="69">
        <f t="shared" si="724"/>
        <v>81</v>
      </c>
      <c r="FS82" s="11">
        <v>641</v>
      </c>
      <c r="FT82" s="12">
        <f t="shared" si="690"/>
        <v>0.72436604189636167</v>
      </c>
      <c r="FU82" s="11">
        <v>16</v>
      </c>
      <c r="FV82" s="12">
        <f t="shared" si="691"/>
        <v>2.4353120243531201E-2</v>
      </c>
      <c r="FW82" s="13"/>
      <c r="FX82" s="11"/>
      <c r="FY82" s="25">
        <v>4414</v>
      </c>
      <c r="FZ82" s="38">
        <v>4270</v>
      </c>
      <c r="GA82" s="10"/>
      <c r="GB82" s="11"/>
      <c r="GC82" s="69">
        <f t="shared" si="725"/>
        <v>902</v>
      </c>
      <c r="GD82" s="69">
        <f t="shared" si="725"/>
        <v>82</v>
      </c>
      <c r="GE82" s="11">
        <v>676</v>
      </c>
      <c r="GF82" s="12">
        <f t="shared" si="692"/>
        <v>0.76053215077605318</v>
      </c>
      <c r="GG82" s="11">
        <v>10</v>
      </c>
      <c r="GH82" s="12">
        <f t="shared" si="693"/>
        <v>1.4577259475218658E-2</v>
      </c>
      <c r="GI82" s="13"/>
      <c r="GJ82" s="11"/>
      <c r="GK82" s="25">
        <v>4407.6595744680853</v>
      </c>
      <c r="GL82" s="38">
        <v>4544.7058823529414</v>
      </c>
      <c r="GM82" s="10"/>
      <c r="GN82" s="11"/>
      <c r="GO82" s="69">
        <f t="shared" si="726"/>
        <v>188</v>
      </c>
      <c r="GP82" s="69">
        <f t="shared" si="726"/>
        <v>17</v>
      </c>
      <c r="GQ82" s="11">
        <v>132</v>
      </c>
      <c r="GR82" s="12">
        <f t="shared" si="694"/>
        <v>0.73404255319148937</v>
      </c>
      <c r="GS82" s="11">
        <v>6</v>
      </c>
      <c r="GT82" s="12">
        <f t="shared" si="695"/>
        <v>4.3478260869565216E-2</v>
      </c>
      <c r="GU82" s="13"/>
      <c r="GV82" s="11"/>
      <c r="GW82" s="25">
        <v>4215</v>
      </c>
      <c r="GX82" s="38">
        <v>4320</v>
      </c>
      <c r="GY82" s="10"/>
      <c r="GZ82" s="11"/>
      <c r="HA82" s="69">
        <f t="shared" si="727"/>
        <v>910</v>
      </c>
      <c r="HB82" s="69">
        <f t="shared" si="727"/>
        <v>82</v>
      </c>
      <c r="HC82" s="11">
        <v>685</v>
      </c>
      <c r="HD82" s="12">
        <f t="shared" si="696"/>
        <v>0.76263736263736259</v>
      </c>
      <c r="HE82" s="11">
        <v>9</v>
      </c>
      <c r="HF82" s="12">
        <f t="shared" si="697"/>
        <v>1.2968299711815562E-2</v>
      </c>
      <c r="HG82" s="13"/>
      <c r="HH82" s="11"/>
      <c r="HI82" s="25">
        <v>4360.4444444444443</v>
      </c>
      <c r="HJ82" s="38">
        <v>4450</v>
      </c>
      <c r="HK82" s="10">
        <f t="shared" si="698"/>
        <v>1</v>
      </c>
      <c r="HL82" s="11">
        <f t="shared" si="698"/>
        <v>0</v>
      </c>
      <c r="HM82" s="11">
        <f t="shared" si="698"/>
        <v>12351</v>
      </c>
      <c r="HN82" s="11">
        <f t="shared" si="698"/>
        <v>1109</v>
      </c>
      <c r="HO82" s="11">
        <f t="shared" si="699"/>
        <v>9368</v>
      </c>
      <c r="HP82" s="95">
        <f t="shared" si="700"/>
        <v>0.75848109464820668</v>
      </c>
      <c r="HQ82" s="15">
        <f t="shared" si="701"/>
        <v>176</v>
      </c>
      <c r="HR82" s="12">
        <f t="shared" si="702"/>
        <v>1.8787361229718188E-2</v>
      </c>
      <c r="HS82" s="16">
        <v>58.7</v>
      </c>
      <c r="HT82" s="17">
        <v>8993</v>
      </c>
      <c r="HU82" s="16">
        <f t="shared" si="703"/>
        <v>95.997011101622547</v>
      </c>
      <c r="HV82" s="23">
        <v>4349.9346405228762</v>
      </c>
      <c r="HW82" s="22">
        <v>4478.5897435897432</v>
      </c>
      <c r="HX82" s="73">
        <f t="shared" si="704"/>
        <v>0.76180514046622838</v>
      </c>
      <c r="HY82" s="73">
        <f t="shared" si="705"/>
        <v>0.74584466606225441</v>
      </c>
      <c r="HZ82" s="73">
        <f t="shared" si="706"/>
        <v>0.78020795984223734</v>
      </c>
      <c r="IA82" s="73">
        <f t="shared" si="707"/>
        <v>0.74819401444788447</v>
      </c>
    </row>
    <row r="83" spans="1:244" x14ac:dyDescent="0.25">
      <c r="A83" s="374"/>
      <c r="B83" s="41">
        <f t="shared" si="708"/>
        <v>45003</v>
      </c>
      <c r="C83" s="10"/>
      <c r="D83" s="11"/>
      <c r="E83" s="69">
        <f t="shared" si="709"/>
        <v>846</v>
      </c>
      <c r="F83" s="69">
        <f t="shared" si="709"/>
        <v>75</v>
      </c>
      <c r="G83" s="11">
        <v>680</v>
      </c>
      <c r="H83" s="12">
        <f t="shared" si="663"/>
        <v>0.81087470449172572</v>
      </c>
      <c r="I83" s="11">
        <v>6</v>
      </c>
      <c r="J83" s="12">
        <f t="shared" si="710"/>
        <v>8.7463556851311956E-3</v>
      </c>
      <c r="K83" s="13"/>
      <c r="L83" s="11"/>
      <c r="M83" s="39">
        <v>90.697674418604649</v>
      </c>
      <c r="N83" s="43">
        <v>100</v>
      </c>
      <c r="O83" s="10"/>
      <c r="P83" s="11"/>
      <c r="Q83" s="69">
        <f t="shared" si="711"/>
        <v>768</v>
      </c>
      <c r="R83" s="69">
        <f t="shared" si="711"/>
        <v>68</v>
      </c>
      <c r="S83" s="11">
        <v>596</v>
      </c>
      <c r="T83" s="12">
        <f t="shared" si="664"/>
        <v>0.78645833333333337</v>
      </c>
      <c r="U83" s="11">
        <v>8</v>
      </c>
      <c r="V83" s="12">
        <f t="shared" si="665"/>
        <v>1.3245033112582781E-2</v>
      </c>
      <c r="W83" s="13"/>
      <c r="X83" s="11"/>
      <c r="Y83" s="39">
        <v>86.111111111111114</v>
      </c>
      <c r="Z83" s="43">
        <v>86.666666666666671</v>
      </c>
      <c r="AA83" s="10"/>
      <c r="AB83" s="11"/>
      <c r="AC83" s="69">
        <f t="shared" si="712"/>
        <v>183</v>
      </c>
      <c r="AD83" s="69">
        <f t="shared" si="712"/>
        <v>14</v>
      </c>
      <c r="AE83" s="11">
        <v>168</v>
      </c>
      <c r="AF83" s="12">
        <f t="shared" si="666"/>
        <v>0.92349726775956287</v>
      </c>
      <c r="AG83" s="11">
        <v>1</v>
      </c>
      <c r="AH83" s="12">
        <f t="shared" si="667"/>
        <v>5.9171597633136093E-3</v>
      </c>
      <c r="AI83" s="13"/>
      <c r="AJ83" s="11"/>
      <c r="AK83" s="39">
        <v>87.5</v>
      </c>
      <c r="AL83" s="43">
        <v>100</v>
      </c>
      <c r="AM83" s="10"/>
      <c r="AN83" s="11"/>
      <c r="AO83" s="69">
        <f t="shared" si="713"/>
        <v>775</v>
      </c>
      <c r="AP83" s="69">
        <f t="shared" si="713"/>
        <v>69</v>
      </c>
      <c r="AQ83" s="11">
        <v>607</v>
      </c>
      <c r="AR83" s="12">
        <f t="shared" si="668"/>
        <v>0.79096774193548391</v>
      </c>
      <c r="AS83" s="11">
        <v>6</v>
      </c>
      <c r="AT83" s="12">
        <f t="shared" si="669"/>
        <v>9.7879282218597055E-3</v>
      </c>
      <c r="AU83" s="13"/>
      <c r="AV83" s="11"/>
      <c r="AW83" s="39">
        <v>89.743589743589737</v>
      </c>
      <c r="AX83" s="43">
        <v>84.615384615384613</v>
      </c>
      <c r="AY83" s="10"/>
      <c r="AZ83" s="11"/>
      <c r="BA83" s="69">
        <f t="shared" si="714"/>
        <v>774</v>
      </c>
      <c r="BB83" s="69">
        <f t="shared" si="714"/>
        <v>69</v>
      </c>
      <c r="BC83" s="11">
        <v>613</v>
      </c>
      <c r="BD83" s="12">
        <f t="shared" si="670"/>
        <v>0.79974160206718348</v>
      </c>
      <c r="BE83" s="11">
        <v>6</v>
      </c>
      <c r="BF83" s="12">
        <f t="shared" si="671"/>
        <v>9.6930533117932146E-3</v>
      </c>
      <c r="BG83" s="13"/>
      <c r="BH83" s="11"/>
      <c r="BI83" s="39">
        <v>86.111111111111114</v>
      </c>
      <c r="BJ83" s="43">
        <v>93.333333333333329</v>
      </c>
      <c r="BK83" s="10"/>
      <c r="BL83" s="11"/>
      <c r="BM83" s="69">
        <f t="shared" si="715"/>
        <v>842</v>
      </c>
      <c r="BN83" s="69">
        <f t="shared" si="715"/>
        <v>77</v>
      </c>
      <c r="BO83" s="11">
        <v>640</v>
      </c>
      <c r="BP83" s="12">
        <f t="shared" si="672"/>
        <v>0.76840855106888362</v>
      </c>
      <c r="BQ83" s="11">
        <v>7</v>
      </c>
      <c r="BR83" s="12">
        <f t="shared" si="673"/>
        <v>1.0819165378670788E-2</v>
      </c>
      <c r="BS83" s="13"/>
      <c r="BT83" s="11"/>
      <c r="BU83" s="39">
        <v>90.243902439024396</v>
      </c>
      <c r="BV83" s="43">
        <v>92.857142857142861</v>
      </c>
      <c r="BW83" s="10">
        <v>1</v>
      </c>
      <c r="BX83" s="11"/>
      <c r="BY83" s="69">
        <f t="shared" si="716"/>
        <v>762</v>
      </c>
      <c r="BZ83" s="69">
        <f t="shared" si="716"/>
        <v>68</v>
      </c>
      <c r="CA83" s="11">
        <v>554</v>
      </c>
      <c r="CB83" s="12">
        <f t="shared" si="674"/>
        <v>0.73622047244094491</v>
      </c>
      <c r="CC83" s="11">
        <v>7</v>
      </c>
      <c r="CD83" s="12">
        <f t="shared" si="675"/>
        <v>1.2477718360071301E-2</v>
      </c>
      <c r="CE83" s="13"/>
      <c r="CF83" s="11"/>
      <c r="CG83" s="39">
        <v>91.666666666666671</v>
      </c>
      <c r="CH83" s="43">
        <v>100</v>
      </c>
      <c r="CI83" s="10"/>
      <c r="CJ83" s="11"/>
      <c r="CK83" s="69">
        <f t="shared" si="717"/>
        <v>182</v>
      </c>
      <c r="CL83" s="69">
        <f t="shared" si="717"/>
        <v>17</v>
      </c>
      <c r="CM83" s="11">
        <v>118</v>
      </c>
      <c r="CN83" s="12">
        <f t="shared" si="676"/>
        <v>0.65934065934065933</v>
      </c>
      <c r="CO83" s="11">
        <v>2</v>
      </c>
      <c r="CP83" s="12">
        <f t="shared" si="677"/>
        <v>1.6666666666666666E-2</v>
      </c>
      <c r="CQ83" s="13"/>
      <c r="CR83" s="11"/>
      <c r="CS83" s="39">
        <v>77.777777777777771</v>
      </c>
      <c r="CT83" s="43">
        <v>100</v>
      </c>
      <c r="CU83" s="10"/>
      <c r="CV83" s="11"/>
      <c r="CW83" s="69">
        <f t="shared" si="718"/>
        <v>759</v>
      </c>
      <c r="CX83" s="69">
        <f t="shared" si="718"/>
        <v>69</v>
      </c>
      <c r="CY83" s="11">
        <v>565</v>
      </c>
      <c r="CZ83" s="12">
        <f t="shared" si="678"/>
        <v>0.75625823451910412</v>
      </c>
      <c r="DA83" s="11">
        <v>9</v>
      </c>
      <c r="DB83" s="12">
        <f t="shared" si="679"/>
        <v>1.5679442508710801E-2</v>
      </c>
      <c r="DC83" s="13"/>
      <c r="DD83" s="11"/>
      <c r="DE83" s="39">
        <v>94.285714285714292</v>
      </c>
      <c r="DF83" s="43">
        <v>86.666666666666671</v>
      </c>
      <c r="DG83" s="10"/>
      <c r="DH83" s="11"/>
      <c r="DI83" s="69">
        <f t="shared" si="719"/>
        <v>763</v>
      </c>
      <c r="DJ83" s="69">
        <f t="shared" si="719"/>
        <v>70</v>
      </c>
      <c r="DK83" s="11">
        <v>577</v>
      </c>
      <c r="DL83" s="12">
        <f t="shared" si="680"/>
        <v>0.78112712975098297</v>
      </c>
      <c r="DM83" s="11">
        <v>19</v>
      </c>
      <c r="DN83" s="12">
        <f t="shared" si="681"/>
        <v>3.1879194630872486E-2</v>
      </c>
      <c r="DO83" s="13"/>
      <c r="DP83" s="11"/>
      <c r="DQ83" s="39">
        <v>91.891891891891888</v>
      </c>
      <c r="DR83" s="43">
        <v>100</v>
      </c>
      <c r="DS83" s="10"/>
      <c r="DT83" s="11"/>
      <c r="DU83" s="69">
        <f t="shared" si="720"/>
        <v>856</v>
      </c>
      <c r="DV83" s="69">
        <f t="shared" si="720"/>
        <v>78</v>
      </c>
      <c r="DW83" s="11">
        <v>627</v>
      </c>
      <c r="DX83" s="12">
        <f t="shared" si="682"/>
        <v>0.75350467289719625</v>
      </c>
      <c r="DY83" s="11">
        <v>18</v>
      </c>
      <c r="DZ83" s="12">
        <f t="shared" si="683"/>
        <v>2.7906976744186046E-2</v>
      </c>
      <c r="EA83" s="13"/>
      <c r="EB83" s="11"/>
      <c r="EC83" s="39">
        <v>79.069767441860463</v>
      </c>
      <c r="ED83" s="43">
        <v>100</v>
      </c>
      <c r="EE83" s="10"/>
      <c r="EF83" s="11"/>
      <c r="EG83" s="69">
        <f t="shared" si="721"/>
        <v>864</v>
      </c>
      <c r="EH83" s="69">
        <f t="shared" si="721"/>
        <v>79</v>
      </c>
      <c r="EI83" s="11">
        <v>615</v>
      </c>
      <c r="EJ83" s="12">
        <f t="shared" si="684"/>
        <v>0.72569444444444442</v>
      </c>
      <c r="EK83" s="11">
        <v>12</v>
      </c>
      <c r="EL83" s="12">
        <f t="shared" si="685"/>
        <v>1.9138755980861243E-2</v>
      </c>
      <c r="EM83" s="13"/>
      <c r="EN83" s="11"/>
      <c r="EO83" s="39">
        <v>86.36363636363636</v>
      </c>
      <c r="EP83" s="43">
        <v>92.307692307692307</v>
      </c>
      <c r="EQ83" s="10"/>
      <c r="ER83" s="11"/>
      <c r="ES83" s="69">
        <f t="shared" si="722"/>
        <v>203</v>
      </c>
      <c r="ET83" s="69">
        <f t="shared" si="722"/>
        <v>16</v>
      </c>
      <c r="EU83" s="11">
        <v>150</v>
      </c>
      <c r="EV83" s="12">
        <f t="shared" si="686"/>
        <v>0.75862068965517238</v>
      </c>
      <c r="EW83" s="11">
        <v>4</v>
      </c>
      <c r="EX83" s="12">
        <f t="shared" si="687"/>
        <v>2.5974025974025976E-2</v>
      </c>
      <c r="EY83" s="13"/>
      <c r="EZ83" s="11"/>
      <c r="FA83" s="39">
        <v>90.909090909090907</v>
      </c>
      <c r="FB83" s="43">
        <v>100</v>
      </c>
      <c r="FC83" s="10"/>
      <c r="FD83" s="11"/>
      <c r="FE83" s="69">
        <f t="shared" si="723"/>
        <v>866</v>
      </c>
      <c r="FF83" s="69">
        <f t="shared" si="723"/>
        <v>78</v>
      </c>
      <c r="FG83" s="11">
        <v>649</v>
      </c>
      <c r="FH83" s="12">
        <f t="shared" si="688"/>
        <v>0.76096997690531176</v>
      </c>
      <c r="FI83" s="11">
        <v>10</v>
      </c>
      <c r="FJ83" s="12">
        <f t="shared" si="689"/>
        <v>1.5174506828528073E-2</v>
      </c>
      <c r="FK83" s="13"/>
      <c r="FL83" s="11"/>
      <c r="FM83" s="39">
        <v>83.720930232558146</v>
      </c>
      <c r="FN83" s="43">
        <v>87.5</v>
      </c>
      <c r="FO83" s="10"/>
      <c r="FP83" s="11"/>
      <c r="FQ83" s="69">
        <f t="shared" si="724"/>
        <v>907</v>
      </c>
      <c r="FR83" s="69">
        <f t="shared" si="724"/>
        <v>81</v>
      </c>
      <c r="FS83" s="11">
        <v>679</v>
      </c>
      <c r="FT83" s="12">
        <f t="shared" si="690"/>
        <v>0.75964718853362734</v>
      </c>
      <c r="FU83" s="11">
        <v>10</v>
      </c>
      <c r="FV83" s="12">
        <f t="shared" si="691"/>
        <v>1.4513788098693759E-2</v>
      </c>
      <c r="FW83" s="13"/>
      <c r="FX83" s="11"/>
      <c r="FY83" s="39">
        <v>86.666666666666671</v>
      </c>
      <c r="FZ83" s="43">
        <v>100</v>
      </c>
      <c r="GA83" s="10"/>
      <c r="GB83" s="11"/>
      <c r="GC83" s="69">
        <f t="shared" si="725"/>
        <v>902</v>
      </c>
      <c r="GD83" s="69">
        <f t="shared" si="725"/>
        <v>82</v>
      </c>
      <c r="GE83" s="11">
        <v>629</v>
      </c>
      <c r="GF83" s="12">
        <f t="shared" si="692"/>
        <v>0.70620842572062081</v>
      </c>
      <c r="GG83" s="11">
        <v>8</v>
      </c>
      <c r="GH83" s="12">
        <f t="shared" si="693"/>
        <v>1.2558869701726845E-2</v>
      </c>
      <c r="GI83" s="13"/>
      <c r="GJ83" s="11"/>
      <c r="GK83" s="39">
        <v>87.234042553191486</v>
      </c>
      <c r="GL83" s="43">
        <v>88.235294117647058</v>
      </c>
      <c r="GM83" s="10"/>
      <c r="GN83" s="11"/>
      <c r="GO83" s="69">
        <f t="shared" si="726"/>
        <v>188</v>
      </c>
      <c r="GP83" s="69">
        <f t="shared" si="726"/>
        <v>17</v>
      </c>
      <c r="GQ83" s="11">
        <v>132</v>
      </c>
      <c r="GR83" s="12">
        <f t="shared" si="694"/>
        <v>0.73404255319148937</v>
      </c>
      <c r="GS83" s="11">
        <v>6</v>
      </c>
      <c r="GT83" s="12">
        <f t="shared" si="695"/>
        <v>4.3478260869565216E-2</v>
      </c>
      <c r="GU83" s="13"/>
      <c r="GV83" s="11"/>
      <c r="GW83" s="39">
        <v>85.714285714285708</v>
      </c>
      <c r="GX83" s="43">
        <v>100</v>
      </c>
      <c r="GY83" s="10"/>
      <c r="GZ83" s="11"/>
      <c r="HA83" s="69">
        <f t="shared" si="727"/>
        <v>910</v>
      </c>
      <c r="HB83" s="69">
        <f t="shared" si="727"/>
        <v>82</v>
      </c>
      <c r="HC83" s="11">
        <v>709</v>
      </c>
      <c r="HD83" s="12">
        <f t="shared" si="696"/>
        <v>0.7857142857142857</v>
      </c>
      <c r="HE83" s="11">
        <v>6</v>
      </c>
      <c r="HF83" s="12">
        <f t="shared" si="697"/>
        <v>8.3916083916083916E-3</v>
      </c>
      <c r="HG83" s="13"/>
      <c r="HH83" s="11"/>
      <c r="HI83" s="39">
        <v>88.888888888888886</v>
      </c>
      <c r="HJ83" s="43">
        <v>81.25</v>
      </c>
      <c r="HK83" s="10">
        <f t="shared" si="698"/>
        <v>1</v>
      </c>
      <c r="HL83" s="11">
        <f t="shared" si="698"/>
        <v>0</v>
      </c>
      <c r="HM83" s="11">
        <f t="shared" si="698"/>
        <v>12350</v>
      </c>
      <c r="HN83" s="11">
        <f t="shared" si="698"/>
        <v>1109</v>
      </c>
      <c r="HO83" s="11">
        <f t="shared" si="699"/>
        <v>9453</v>
      </c>
      <c r="HP83" s="95">
        <f t="shared" si="700"/>
        <v>0.76542510121457485</v>
      </c>
      <c r="HQ83" s="15">
        <f t="shared" si="701"/>
        <v>145</v>
      </c>
      <c r="HR83" s="12">
        <f t="shared" si="702"/>
        <v>1.5339045805564371E-2</v>
      </c>
      <c r="HS83" s="16">
        <v>58.5</v>
      </c>
      <c r="HT83" s="17">
        <v>9090</v>
      </c>
      <c r="HU83" s="16">
        <f t="shared" si="703"/>
        <v>96.159949222469052</v>
      </c>
      <c r="HV83" s="23">
        <v>86.274509803921575</v>
      </c>
      <c r="HW83" s="22">
        <v>86.752136752136749</v>
      </c>
      <c r="HX83" s="73">
        <f t="shared" si="704"/>
        <v>0.80424387328153013</v>
      </c>
      <c r="HY83" s="73">
        <f t="shared" si="705"/>
        <v>0.75513905683192262</v>
      </c>
      <c r="HZ83" s="73">
        <f t="shared" si="706"/>
        <v>0.74757977769809969</v>
      </c>
      <c r="IA83" s="73">
        <f t="shared" si="707"/>
        <v>0.74957000343997249</v>
      </c>
      <c r="IF83" s="85">
        <f>IF84/IF85</f>
        <v>8.9578978799641684E-4</v>
      </c>
      <c r="IG83" s="85">
        <f>IG84/IG85</f>
        <v>2.7132951462164605E-3</v>
      </c>
      <c r="IH83" s="85">
        <f>IH84/IH85</f>
        <v>1.4321518080916578E-3</v>
      </c>
      <c r="II83" s="85">
        <f>II84/II85</f>
        <v>6.8752148504640774E-4</v>
      </c>
      <c r="IJ83" s="88" t="s">
        <v>90</v>
      </c>
    </row>
    <row r="84" spans="1:244" ht="19.5" thickBot="1" x14ac:dyDescent="0.3">
      <c r="A84" s="374"/>
      <c r="B84" s="42"/>
      <c r="C84" s="26">
        <f>SUM(C77:C83)</f>
        <v>0</v>
      </c>
      <c r="D84" s="27">
        <f>SUM(D77:D83)</f>
        <v>0</v>
      </c>
      <c r="E84" s="27"/>
      <c r="F84" s="27"/>
      <c r="G84" s="27">
        <f>SUM(G77:G83)</f>
        <v>4556</v>
      </c>
      <c r="H84" s="28">
        <f>((G84+I84)/7)/E83</f>
        <v>0.78064842958459979</v>
      </c>
      <c r="I84" s="27">
        <f>SUM(I77:I83)</f>
        <v>67</v>
      </c>
      <c r="J84" s="28">
        <f>(I84/(I84+G84))</f>
        <v>1.4492753623188406E-2</v>
      </c>
      <c r="K84" s="27"/>
      <c r="L84" s="27"/>
      <c r="M84" s="29">
        <f>M82/M81*100-100</f>
        <v>11.521928101072916</v>
      </c>
      <c r="N84" s="67">
        <f>N82/N81*100-100</f>
        <v>4.0428061831153457</v>
      </c>
      <c r="O84" s="26">
        <f>SUM(O77:O83)</f>
        <v>0</v>
      </c>
      <c r="P84" s="27">
        <f>SUM(P77:P83)</f>
        <v>0</v>
      </c>
      <c r="Q84" s="27"/>
      <c r="R84" s="27"/>
      <c r="S84" s="27">
        <f>SUM(S77:S83)</f>
        <v>3964</v>
      </c>
      <c r="T84" s="28">
        <f>((S84+U84)/7)/Q83</f>
        <v>0.7455357142857143</v>
      </c>
      <c r="U84" s="27">
        <f>SUM(U77:U83)</f>
        <v>44</v>
      </c>
      <c r="V84" s="28">
        <f>(U84/(U84+S84))</f>
        <v>1.0978043912175649E-2</v>
      </c>
      <c r="W84" s="27"/>
      <c r="X84" s="27"/>
      <c r="Y84" s="29">
        <f>Y82/Y81*100-100</f>
        <v>12.782329180178635</v>
      </c>
      <c r="Z84" s="67">
        <f>Z82/Z81*100-100</f>
        <v>9.3777249306381378</v>
      </c>
      <c r="AA84" s="26">
        <f>SUM(AA77:AA83)</f>
        <v>2</v>
      </c>
      <c r="AB84" s="27">
        <f>SUM(AB77:AB83)</f>
        <v>1</v>
      </c>
      <c r="AC84" s="27"/>
      <c r="AD84" s="27"/>
      <c r="AE84" s="27">
        <f>SUM(AE77:AE83)</f>
        <v>969</v>
      </c>
      <c r="AF84" s="28">
        <f>((AE84+AG84)/7)/AC83</f>
        <v>0.76346604215456682</v>
      </c>
      <c r="AG84" s="27">
        <f>SUM(AG77:AG83)</f>
        <v>9</v>
      </c>
      <c r="AH84" s="28">
        <f>(AG84/(AG84+AE84))</f>
        <v>9.202453987730062E-3</v>
      </c>
      <c r="AI84" s="27"/>
      <c r="AJ84" s="27"/>
      <c r="AK84" s="29">
        <f>AK82/AK81*100-100</f>
        <v>14.567332309267783</v>
      </c>
      <c r="AL84" s="67">
        <f>AL82/AL81*100-100</f>
        <v>11.629013079667061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4141</v>
      </c>
      <c r="AR84" s="28">
        <f>((AQ84+AS84)/7)/AO83</f>
        <v>0.7721658986175115</v>
      </c>
      <c r="AS84" s="27">
        <f>SUM(AS77:AS83)</f>
        <v>48</v>
      </c>
      <c r="AT84" s="28">
        <f>(AS84/(AS84+AQ84))</f>
        <v>1.1458582000477441E-2</v>
      </c>
      <c r="AU84" s="27"/>
      <c r="AV84" s="27"/>
      <c r="AW84" s="29">
        <f>AW82/AW81*100-100</f>
        <v>11.990757152047465</v>
      </c>
      <c r="AX84" s="67">
        <f>AX82/AX81*100-100</f>
        <v>9.2472331473520768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4141</v>
      </c>
      <c r="BD84" s="28">
        <f>((BC84+BE84)/7)/BA83</f>
        <v>0.77630121816168329</v>
      </c>
      <c r="BE84" s="27">
        <f>SUM(BE77:BE83)</f>
        <v>65</v>
      </c>
      <c r="BF84" s="28">
        <f>(BE84/(BE84+BC84))</f>
        <v>1.5454113171659534E-2</v>
      </c>
      <c r="BG84" s="27"/>
      <c r="BH84" s="27"/>
      <c r="BI84" s="29">
        <f>BI82/BI81*100-100</f>
        <v>10.414177618478689</v>
      </c>
      <c r="BJ84" s="67">
        <f>BJ82/BJ81*100-100</f>
        <v>7.380103051922319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4370</v>
      </c>
      <c r="BP84" s="28">
        <f>((BO84+BQ84)/7)/BM83</f>
        <v>0.75534441805225649</v>
      </c>
      <c r="BQ84" s="27">
        <f>SUM(BQ77:BQ83)</f>
        <v>82</v>
      </c>
      <c r="BR84" s="28">
        <f>(BQ84/(BQ84+BO84))</f>
        <v>1.8418688230008983E-2</v>
      </c>
      <c r="BS84" s="27"/>
      <c r="BT84" s="27"/>
      <c r="BU84" s="29">
        <f>BU82/BU81*100-100</f>
        <v>10.755185892872746</v>
      </c>
      <c r="BV84" s="67">
        <f>BV82/BV81*100-100</f>
        <v>11.669780873110241</v>
      </c>
      <c r="BW84" s="26">
        <f>SUM(BW77:BW83)</f>
        <v>2</v>
      </c>
      <c r="BX84" s="27">
        <f>SUM(BX77:BX83)</f>
        <v>0</v>
      </c>
      <c r="BY84" s="27"/>
      <c r="BZ84" s="27"/>
      <c r="CA84" s="27">
        <f>SUM(CA77:CA83)</f>
        <v>3895</v>
      </c>
      <c r="CB84" s="28">
        <f>((CA84+CC84)/7)/BY83</f>
        <v>0.7427821522309711</v>
      </c>
      <c r="CC84" s="27">
        <f>SUM(CC77:CC83)</f>
        <v>67</v>
      </c>
      <c r="CD84" s="28">
        <f>(CC84/(CC84+CA84))</f>
        <v>1.6910651186269561E-2</v>
      </c>
      <c r="CE84" s="27"/>
      <c r="CF84" s="27"/>
      <c r="CG84" s="29">
        <f>CG82/CG81*100-100</f>
        <v>12.597428457643517</v>
      </c>
      <c r="CH84" s="67">
        <f>CH82/CH81*100-100</f>
        <v>9.2984542211652865</v>
      </c>
      <c r="CI84" s="26">
        <f>SUM(CI77:CI83)</f>
        <v>3</v>
      </c>
      <c r="CJ84" s="27">
        <f>SUM(CJ77:CJ83)</f>
        <v>0</v>
      </c>
      <c r="CK84" s="27"/>
      <c r="CL84" s="27"/>
      <c r="CM84" s="27">
        <f>SUM(CM77:CM83)</f>
        <v>831</v>
      </c>
      <c r="CN84" s="28">
        <f>((CM84+CO84)/7)/CK83</f>
        <v>0.66718995290423866</v>
      </c>
      <c r="CO84" s="27">
        <f>SUM(CO77:CO83)</f>
        <v>19</v>
      </c>
      <c r="CP84" s="28">
        <f>(CO84/(CO84+CM84))</f>
        <v>2.2352941176470589E-2</v>
      </c>
      <c r="CQ84" s="27"/>
      <c r="CR84" s="27"/>
      <c r="CS84" s="29">
        <f>CS82/CS81*100-100</f>
        <v>9.6319053308300653</v>
      </c>
      <c r="CT84" s="67">
        <f>CT82/CT81*100-100</f>
        <v>2.3067776456599205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3931</v>
      </c>
      <c r="CZ84" s="28">
        <f>((CY84+DA84)/7)/CW83</f>
        <v>0.75268210050818751</v>
      </c>
      <c r="DA84" s="27">
        <f>SUM(DA77:DA83)</f>
        <v>68</v>
      </c>
      <c r="DB84" s="28">
        <f>(DA84/(DA84+CY84))</f>
        <v>1.700425106276569E-2</v>
      </c>
      <c r="DC84" s="27"/>
      <c r="DD84" s="27"/>
      <c r="DE84" s="29">
        <f>DE82/DE81*100-100</f>
        <v>12.464340574939655</v>
      </c>
      <c r="DF84" s="67">
        <f>DF82/DF81*100-100</f>
        <v>6.365437970669845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4076</v>
      </c>
      <c r="DL84" s="28">
        <f>((DK84+DM84)/7)/DI83</f>
        <v>0.78056543718404792</v>
      </c>
      <c r="DM84" s="27">
        <f>SUM(DM77:DM83)</f>
        <v>93</v>
      </c>
      <c r="DN84" s="28">
        <f>(DM84/(DM84+DK84))</f>
        <v>2.2307507795634444E-2</v>
      </c>
      <c r="DO84" s="27"/>
      <c r="DP84" s="27"/>
      <c r="DQ84" s="29">
        <f>DQ82/DQ81*100-100</f>
        <v>14.197146455210969</v>
      </c>
      <c r="DR84" s="67">
        <f>DR82/DR81*100-100</f>
        <v>9.4495348674547017</v>
      </c>
      <c r="DS84" s="26">
        <f>SUM(DS77:DS83)</f>
        <v>4</v>
      </c>
      <c r="DT84" s="27">
        <f>SUM(DT77:DT83)</f>
        <v>0</v>
      </c>
      <c r="DU84" s="27"/>
      <c r="DV84" s="27"/>
      <c r="DW84" s="27">
        <f>SUM(DW77:DW83)</f>
        <v>4549</v>
      </c>
      <c r="DX84" s="28">
        <f>((DW84+DY84)/7)/DU83</f>
        <v>0.77586782376501995</v>
      </c>
      <c r="DY84" s="27">
        <f>SUM(DY77:DY83)</f>
        <v>100</v>
      </c>
      <c r="DZ84" s="28">
        <f>(DY84/(DY84+DW84))</f>
        <v>2.1510002151000216E-2</v>
      </c>
      <c r="EA84" s="27"/>
      <c r="EB84" s="27"/>
      <c r="EC84" s="29">
        <f>EC82/EC81*100-100</f>
        <v>10.956310506197966</v>
      </c>
      <c r="ED84" s="67">
        <f>ED82/ED81*100-100</f>
        <v>-0.43103448275861922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4516</v>
      </c>
      <c r="EJ84" s="28">
        <f>((EI84+EK84)/7)/EG83</f>
        <v>0.76455026455026454</v>
      </c>
      <c r="EK84" s="27">
        <f>SUM(EK77:EK83)</f>
        <v>108</v>
      </c>
      <c r="EL84" s="28">
        <f>(EK84/(EK84+EI84))</f>
        <v>2.3356401384083045E-2</v>
      </c>
      <c r="EM84" s="27"/>
      <c r="EN84" s="27"/>
      <c r="EO84" s="29">
        <f>EO82/EO81*100-100</f>
        <v>9.4528231625005787</v>
      </c>
      <c r="EP84" s="67">
        <f>EP82/EP81*100-100</f>
        <v>2.8811854019939602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1031</v>
      </c>
      <c r="EV84" s="28">
        <f>((EU84+EW84)/7)/ES83</f>
        <v>0.74384236453201968</v>
      </c>
      <c r="EW84" s="27">
        <f>SUM(EW77:EW83)</f>
        <v>26</v>
      </c>
      <c r="EX84" s="28">
        <f>(EW84/(EW84+EU84))</f>
        <v>2.4597918637653739E-2</v>
      </c>
      <c r="EY84" s="27"/>
      <c r="EZ84" s="27"/>
      <c r="FA84" s="29">
        <f>FA82/FA81*100-100</f>
        <v>5.5485732905087701</v>
      </c>
      <c r="FB84" s="67">
        <f>FB82/FB81*100-100</f>
        <v>5.1129607609988028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4753</v>
      </c>
      <c r="FH84" s="28">
        <f>((FG84+FI84)/7)/FE83</f>
        <v>0.79412735070933682</v>
      </c>
      <c r="FI84" s="27">
        <f>SUM(FI77:FI83)</f>
        <v>61</v>
      </c>
      <c r="FJ84" s="28">
        <f>(FI84/(FI84+FG84))</f>
        <v>1.2671375155795596E-2</v>
      </c>
      <c r="FK84" s="27"/>
      <c r="FL84" s="27"/>
      <c r="FM84" s="29">
        <f>FM82/FM81*100-100</f>
        <v>7.6042820228866788</v>
      </c>
      <c r="FN84" s="67">
        <f>FN82/FN81*100-100</f>
        <v>8.5760998810939384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4661</v>
      </c>
      <c r="FT84" s="28">
        <f>((FS84+FU84)/7)/FQ83</f>
        <v>0.7531894786580563</v>
      </c>
      <c r="FU84" s="27">
        <f>SUM(FU77:FU83)</f>
        <v>121</v>
      </c>
      <c r="FV84" s="28">
        <f>(FU84/(FU84+FS84))</f>
        <v>2.5303220409870347E-2</v>
      </c>
      <c r="FW84" s="27"/>
      <c r="FX84" s="27"/>
      <c r="FY84" s="29">
        <f>FY82/FY81*100-100</f>
        <v>13.005632360471083</v>
      </c>
      <c r="FZ84" s="67">
        <f>FZ82/FZ81*100-100</f>
        <v>1.5457788347205792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4463</v>
      </c>
      <c r="GF84" s="28">
        <f>((GE84+GG84)/7)/GC83</f>
        <v>0.71872030408615784</v>
      </c>
      <c r="GG84" s="27">
        <f>SUM(GG77:GG83)</f>
        <v>75</v>
      </c>
      <c r="GH84" s="28">
        <f>(GG84/(GG84+GE84))</f>
        <v>1.6527104451300133E-2</v>
      </c>
      <c r="GI84" s="27"/>
      <c r="GJ84" s="27"/>
      <c r="GK84" s="29">
        <f>GK82/GK81*100-100</f>
        <v>12.843307078035977</v>
      </c>
      <c r="GL84" s="67">
        <f>GL82/GL81*100-100</f>
        <v>8.0786178918654343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935</v>
      </c>
      <c r="GR84" s="28">
        <f>((GQ84+GS84)/7)/GO83</f>
        <v>0.73328267477203646</v>
      </c>
      <c r="GS84" s="27">
        <f>SUM(GS77:GS83)</f>
        <v>30</v>
      </c>
      <c r="GT84" s="28">
        <f>(GS84/(GS84+GQ84))</f>
        <v>3.1088082901554404E-2</v>
      </c>
      <c r="GU84" s="27"/>
      <c r="GV84" s="27"/>
      <c r="GW84" s="29">
        <f>GW82/GW81*100-100</f>
        <v>7.9109062980030558</v>
      </c>
      <c r="GX84" s="67">
        <f>GX82/GX81*100-100</f>
        <v>2.7348394768133204</v>
      </c>
      <c r="GY84" s="26">
        <f>SUM(GY77:GY83)</f>
        <v>1</v>
      </c>
      <c r="GZ84" s="27">
        <f>SUM(GZ77:GZ83)</f>
        <v>0</v>
      </c>
      <c r="HA84" s="27"/>
      <c r="HB84" s="27"/>
      <c r="HC84" s="27">
        <f>SUM(HC77:HC83)</f>
        <v>4852</v>
      </c>
      <c r="HD84" s="28">
        <f>((HC84+HE84)/7)/HA83</f>
        <v>0.77189952904238623</v>
      </c>
      <c r="HE84" s="27">
        <f>SUM(HE77:HE83)</f>
        <v>65</v>
      </c>
      <c r="HF84" s="28">
        <f>(HE84/(HE84+HC84))</f>
        <v>1.3219442749644091E-2</v>
      </c>
      <c r="HG84" s="27"/>
      <c r="HH84" s="27"/>
      <c r="HI84" s="29">
        <f>HI82/HI81*100-100</f>
        <v>11.634522387210566</v>
      </c>
      <c r="HJ84" s="67">
        <f>HJ82/HJ81*100-100</f>
        <v>5.8263971462544646</v>
      </c>
      <c r="HK84" s="26">
        <f t="shared" si="698"/>
        <v>18</v>
      </c>
      <c r="HL84" s="27">
        <f t="shared" si="698"/>
        <v>1</v>
      </c>
      <c r="HM84" s="27">
        <f t="shared" si="698"/>
        <v>0</v>
      </c>
      <c r="HN84" s="27">
        <f t="shared" si="698"/>
        <v>0</v>
      </c>
      <c r="HO84" s="27">
        <f t="shared" si="699"/>
        <v>65782</v>
      </c>
      <c r="HP84" s="96">
        <f>+((HO84)/HM83)/7</f>
        <v>0.76092539039907459</v>
      </c>
      <c r="HQ84" s="62">
        <f t="shared" si="701"/>
        <v>1148</v>
      </c>
      <c r="HR84" s="52">
        <f t="shared" si="702"/>
        <v>1.7451582499771974E-2</v>
      </c>
      <c r="HS84" s="53">
        <f>SUM(HS77:HS83)/7</f>
        <v>58.5</v>
      </c>
      <c r="HT84" s="54">
        <f>SUM(HT77:HT83)</f>
        <v>63224</v>
      </c>
      <c r="HU84" s="53">
        <f>AVERAGE(HU77:HU83)</f>
        <v>96.110744988210328</v>
      </c>
      <c r="HV84" s="63">
        <f>HV82/HV81*100-100</f>
        <v>11.365454186453562</v>
      </c>
      <c r="HW84" s="67">
        <f>HW82/HW81*100-100</f>
        <v>6.5062959236561966</v>
      </c>
      <c r="HX84" s="73">
        <f>SUM(G84,I84,S84,U84,AE84,AG84,AQ84,AS84,BC84,BE84)/7/SUM(E83,Q83,AC83,AO83,BA83)</f>
        <v>0.76867901972504482</v>
      </c>
      <c r="HY84" s="73">
        <f>SUM(BO84,BQ84,CA84,CC84,CM84,CO84,CY84,DA84,DK84,DM84)/7/SUM(BM83,BY83,CK83,CW83,DI83)</f>
        <v>0.75280704784936947</v>
      </c>
      <c r="HZ84" s="73">
        <f>SUM(DW84,DY84,EI84,EK84,EU84,EW84,FG84,FI84)/7/SUM(DU83,EG83,ES83,FE83)</f>
        <v>0.77570045587256065</v>
      </c>
      <c r="IA84" s="73">
        <f>SUM(FS84,FU84,GE84,GG84,GQ84,GS84,HC84,HE84)/7/SUM(FQ83,GC83,GO83,HA83)</f>
        <v>0.74706373777581214</v>
      </c>
      <c r="IB84" s="84">
        <f>SUM(I84,U84,AG84,AS84,BE84)/SUM(G84,I84,S84,U84,AE84,AG84,AQ84,AS84,BC84,BE84)</f>
        <v>1.2941568540324373E-2</v>
      </c>
      <c r="IC84" s="84">
        <f>SUM(BQ84,CC84,CO84,DA84,DM84)/SUM(BO84,BQ84,CA84,CC84,CM84,CO84,CY84,DA84,DK84,DM84)</f>
        <v>1.8873336392840754E-2</v>
      </c>
      <c r="ID84" s="84">
        <f>SUM(DY84,EK84,EW84,FI84)/SUM(DW84,DY84,EI84,EK84,EU84,EW84,FG84,FI84)</f>
        <v>1.9479661912308505E-2</v>
      </c>
      <c r="IE84" s="84">
        <f>SUM(FU84,GG84,GS84,HE84)/SUM(FS84,FU84,GE84,GG84,GQ84,GS84,HC84,HE84)</f>
        <v>1.9142218129193526E-2</v>
      </c>
      <c r="IF84" s="86">
        <f>SUM(C84,O84,AA84,AM84,AY84)</f>
        <v>3</v>
      </c>
      <c r="IG84" s="86">
        <f>SUM(BK84,BW84,CI84,CU84,DG84)</f>
        <v>9</v>
      </c>
      <c r="IH84" s="86">
        <f>SUM(DS84,EE84,EQ84,FC84)</f>
        <v>4</v>
      </c>
      <c r="II84" s="86">
        <f>SUM(FO84,GA84,GM84,GY84)</f>
        <v>2</v>
      </c>
      <c r="IJ84" s="88" t="s">
        <v>89</v>
      </c>
    </row>
    <row r="85" spans="1:244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HK84/HM77</f>
        <v>1.4557217953902143E-3</v>
      </c>
      <c r="HL85" s="66">
        <f>HL84/HN77</f>
        <v>9.0090090090090091E-4</v>
      </c>
      <c r="HM85" s="45"/>
      <c r="HN85" s="45"/>
      <c r="HO85" s="45"/>
      <c r="HP85" s="98"/>
      <c r="HQ85" s="45"/>
      <c r="HR85" s="45"/>
      <c r="HS85" s="45"/>
      <c r="HT85" s="55"/>
      <c r="HU85" s="45"/>
      <c r="HV85" s="45"/>
      <c r="HW85" s="46"/>
      <c r="HY85" s="72"/>
      <c r="HZ85" s="72"/>
      <c r="IA85" s="72"/>
      <c r="IF85" s="86">
        <f>SUM(E74,Q74,AC74,AO74,BA74)</f>
        <v>3349</v>
      </c>
      <c r="IG85" s="86">
        <f>SUM(BM74,BY74,CK74,CW74,DI74)</f>
        <v>3317</v>
      </c>
      <c r="IH85" s="86">
        <f>SUM(DU74,EG74,ES74,FE74)</f>
        <v>2793</v>
      </c>
      <c r="II85" s="86">
        <f>SUM(FQ74,GC74,GO74,HA74)</f>
        <v>2909</v>
      </c>
      <c r="IJ85" s="88" t="s">
        <v>84</v>
      </c>
    </row>
    <row r="86" spans="1:244" x14ac:dyDescent="0.25">
      <c r="A86" s="373">
        <v>34</v>
      </c>
      <c r="B86" s="68">
        <f>B83+1</f>
        <v>45004</v>
      </c>
      <c r="C86" s="33"/>
      <c r="D86" s="34"/>
      <c r="E86" s="34">
        <f>E83-C86</f>
        <v>846</v>
      </c>
      <c r="F86" s="34">
        <f>F83-D86</f>
        <v>75</v>
      </c>
      <c r="G86" s="34">
        <v>641</v>
      </c>
      <c r="H86" s="35">
        <f t="shared" ref="H86:H92" si="728">((G86+I86)/E86)</f>
        <v>0.76595744680851063</v>
      </c>
      <c r="I86" s="34">
        <v>7</v>
      </c>
      <c r="J86" s="35">
        <f>I86/(G86+I86)</f>
        <v>1.0802469135802469E-2</v>
      </c>
      <c r="K86" s="36"/>
      <c r="L86" s="34"/>
      <c r="M86" s="34"/>
      <c r="N86" s="37"/>
      <c r="O86" s="33"/>
      <c r="P86" s="34"/>
      <c r="Q86" s="34">
        <f>Q83-O86</f>
        <v>768</v>
      </c>
      <c r="R86" s="34">
        <f>R83-P86</f>
        <v>68</v>
      </c>
      <c r="S86" s="34">
        <v>539</v>
      </c>
      <c r="T86" s="35">
        <f t="shared" ref="T86:T92" si="729">((S86+U86)/Q86)</f>
        <v>0.70963541666666663</v>
      </c>
      <c r="U86" s="34">
        <v>6</v>
      </c>
      <c r="V86" s="35">
        <f t="shared" ref="V86:V92" si="730">U86/(S86+U86)</f>
        <v>1.1009174311926606E-2</v>
      </c>
      <c r="W86" s="36"/>
      <c r="X86" s="34"/>
      <c r="Y86" s="34"/>
      <c r="Z86" s="37"/>
      <c r="AA86" s="33"/>
      <c r="AB86" s="34"/>
      <c r="AC86" s="34">
        <f>AC83-AA86</f>
        <v>183</v>
      </c>
      <c r="AD86" s="34">
        <f>AD83-AB86</f>
        <v>14</v>
      </c>
      <c r="AE86" s="34">
        <v>135</v>
      </c>
      <c r="AF86" s="35">
        <f t="shared" ref="AF86:AF92" si="731">((AE86+AG86)/AC86)</f>
        <v>0.73770491803278693</v>
      </c>
      <c r="AG86" s="34">
        <v>0</v>
      </c>
      <c r="AH86" s="35">
        <f t="shared" ref="AH86:AH92" si="732">AG86/(AE86+AG86)</f>
        <v>0</v>
      </c>
      <c r="AI86" s="36"/>
      <c r="AJ86" s="34"/>
      <c r="AK86" s="34"/>
      <c r="AL86" s="37"/>
      <c r="AM86" s="33"/>
      <c r="AN86" s="34"/>
      <c r="AO86" s="34">
        <f>AO83-AM86</f>
        <v>775</v>
      </c>
      <c r="AP86" s="34">
        <f>AP83-AN86</f>
        <v>69</v>
      </c>
      <c r="AQ86" s="34">
        <v>579</v>
      </c>
      <c r="AR86" s="35">
        <f t="shared" ref="AR86:AR92" si="733">((AQ86+AS86)/AO86)</f>
        <v>0.75354838709677419</v>
      </c>
      <c r="AS86" s="34">
        <v>5</v>
      </c>
      <c r="AT86" s="35">
        <f t="shared" ref="AT86:AT92" si="734">AS86/(AQ86+AS86)</f>
        <v>8.5616438356164379E-3</v>
      </c>
      <c r="AU86" s="36"/>
      <c r="AV86" s="34"/>
      <c r="AW86" s="34"/>
      <c r="AX86" s="37"/>
      <c r="AY86" s="33"/>
      <c r="AZ86" s="34"/>
      <c r="BA86" s="34">
        <f>BA83-AY86</f>
        <v>774</v>
      </c>
      <c r="BB86" s="34">
        <f>BB83-AZ86</f>
        <v>69</v>
      </c>
      <c r="BC86" s="34">
        <v>594</v>
      </c>
      <c r="BD86" s="35">
        <f t="shared" ref="BD86:BD92" si="735">((BC86+BE86)/BA86)</f>
        <v>0.78165374677002586</v>
      </c>
      <c r="BE86" s="34">
        <v>11</v>
      </c>
      <c r="BF86" s="35">
        <f t="shared" ref="BF86:BF92" si="736">BE86/(BC86+BE86)</f>
        <v>1.8181818181818181E-2</v>
      </c>
      <c r="BG86" s="36"/>
      <c r="BH86" s="34"/>
      <c r="BI86" s="34"/>
      <c r="BJ86" s="37"/>
      <c r="BK86" s="33"/>
      <c r="BL86" s="34"/>
      <c r="BM86" s="34">
        <f>BM83-BK86</f>
        <v>842</v>
      </c>
      <c r="BN86" s="34">
        <f>BN83-BL86</f>
        <v>77</v>
      </c>
      <c r="BO86" s="34">
        <v>617</v>
      </c>
      <c r="BP86" s="35">
        <f t="shared" ref="BP86:BP92" si="737">((BO86+BQ86)/BM86)</f>
        <v>0.74940617577197155</v>
      </c>
      <c r="BQ86" s="34">
        <v>14</v>
      </c>
      <c r="BR86" s="35">
        <f t="shared" ref="BR86:BR92" si="738">BQ86/(BO86+BQ86)</f>
        <v>2.2187004754358162E-2</v>
      </c>
      <c r="BS86" s="36"/>
      <c r="BT86" s="34"/>
      <c r="BU86" s="34"/>
      <c r="BV86" s="37"/>
      <c r="BW86" s="33"/>
      <c r="BX86" s="34"/>
      <c r="BY86" s="34">
        <f>BY83-BW86</f>
        <v>762</v>
      </c>
      <c r="BZ86" s="34">
        <f>BZ83-BX86</f>
        <v>68</v>
      </c>
      <c r="CA86" s="34">
        <v>540</v>
      </c>
      <c r="CB86" s="35">
        <f t="shared" ref="CB86:CB92" si="739">((CA86+CC86)/BY86)</f>
        <v>0.72440944881889768</v>
      </c>
      <c r="CC86" s="34">
        <v>12</v>
      </c>
      <c r="CD86" s="35">
        <f t="shared" ref="CD86:CD92" si="740">CC86/(CA86+CC86)</f>
        <v>2.1739130434782608E-2</v>
      </c>
      <c r="CE86" s="36"/>
      <c r="CF86" s="34"/>
      <c r="CG86" s="34"/>
      <c r="CH86" s="37"/>
      <c r="CI86" s="33"/>
      <c r="CJ86" s="34"/>
      <c r="CK86" s="34">
        <f>CK83-CI86</f>
        <v>182</v>
      </c>
      <c r="CL86" s="34">
        <f>CL83-CJ86</f>
        <v>17</v>
      </c>
      <c r="CM86" s="34">
        <v>116</v>
      </c>
      <c r="CN86" s="35">
        <f t="shared" ref="CN86:CN92" si="741">((CM86+CO86)/CK86)</f>
        <v>0.64835164835164838</v>
      </c>
      <c r="CO86" s="34">
        <v>2</v>
      </c>
      <c r="CP86" s="35">
        <f t="shared" ref="CP86:CP92" si="742">CO86/(CM86+CO86)</f>
        <v>1.6949152542372881E-2</v>
      </c>
      <c r="CQ86" s="36"/>
      <c r="CR86" s="34"/>
      <c r="CS86" s="34"/>
      <c r="CT86" s="37"/>
      <c r="CU86" s="33"/>
      <c r="CV86" s="34"/>
      <c r="CW86" s="34">
        <f>CW83-CU86</f>
        <v>759</v>
      </c>
      <c r="CX86" s="34">
        <f>CX83-CV86</f>
        <v>69</v>
      </c>
      <c r="CY86" s="34">
        <v>567</v>
      </c>
      <c r="CZ86" s="35">
        <f t="shared" ref="CZ86:CZ92" si="743">((CY86+DA86)/CW86)</f>
        <v>0.75494071146245056</v>
      </c>
      <c r="DA86" s="34">
        <v>6</v>
      </c>
      <c r="DB86" s="35">
        <f t="shared" ref="DB86:DB92" si="744">DA86/(CY86+DA86)</f>
        <v>1.0471204188481676E-2</v>
      </c>
      <c r="DC86" s="36"/>
      <c r="DD86" s="34"/>
      <c r="DE86" s="34"/>
      <c r="DF86" s="37"/>
      <c r="DG86" s="33"/>
      <c r="DH86" s="34"/>
      <c r="DI86" s="34">
        <f>DI83-DG86</f>
        <v>763</v>
      </c>
      <c r="DJ86" s="34">
        <f>DJ83-DH86</f>
        <v>70</v>
      </c>
      <c r="DK86" s="34">
        <v>565</v>
      </c>
      <c r="DL86" s="35">
        <f t="shared" ref="DL86:DL92" si="745">((DK86+DM86)/DI86)</f>
        <v>0.75622542595019659</v>
      </c>
      <c r="DM86" s="34">
        <v>12</v>
      </c>
      <c r="DN86" s="35">
        <f t="shared" ref="DN86:DN92" si="746">DM86/(DK86+DM86)</f>
        <v>2.0797227036395149E-2</v>
      </c>
      <c r="DO86" s="36"/>
      <c r="DP86" s="34"/>
      <c r="DQ86" s="34"/>
      <c r="DR86" s="37"/>
      <c r="DS86" s="33"/>
      <c r="DT86" s="34"/>
      <c r="DU86" s="34">
        <f>DU83-DS86</f>
        <v>856</v>
      </c>
      <c r="DV86" s="34">
        <f>DV83-DT86</f>
        <v>78</v>
      </c>
      <c r="DW86" s="34">
        <v>627</v>
      </c>
      <c r="DX86" s="35">
        <f t="shared" ref="DX86:DX92" si="747">((DW86+DY86)/DU86)</f>
        <v>0.75</v>
      </c>
      <c r="DY86" s="34">
        <v>15</v>
      </c>
      <c r="DZ86" s="35">
        <f t="shared" ref="DZ86:DZ92" si="748">DY86/(DW86+DY86)</f>
        <v>2.336448598130841E-2</v>
      </c>
      <c r="EA86" s="36"/>
      <c r="EB86" s="34"/>
      <c r="EC86" s="34"/>
      <c r="ED86" s="37"/>
      <c r="EE86" s="33"/>
      <c r="EF86" s="34"/>
      <c r="EG86" s="34">
        <f>EG83-EE86</f>
        <v>864</v>
      </c>
      <c r="EH86" s="34">
        <f>EH83-EF86</f>
        <v>79</v>
      </c>
      <c r="EI86" s="34">
        <v>616</v>
      </c>
      <c r="EJ86" s="35">
        <f t="shared" ref="EJ86:EJ92" si="749">((EI86+EK86)/EG86)</f>
        <v>0.73611111111111116</v>
      </c>
      <c r="EK86" s="34">
        <v>20</v>
      </c>
      <c r="EL86" s="35">
        <f t="shared" ref="EL86:EL92" si="750">EK86/(EI86+EK86)</f>
        <v>3.1446540880503145E-2</v>
      </c>
      <c r="EM86" s="36"/>
      <c r="EN86" s="34"/>
      <c r="EO86" s="34"/>
      <c r="EP86" s="37"/>
      <c r="EQ86" s="33"/>
      <c r="ER86" s="34"/>
      <c r="ES86" s="34">
        <f>ES83-EQ86</f>
        <v>203</v>
      </c>
      <c r="ET86" s="34">
        <f>ET83-ER86</f>
        <v>16</v>
      </c>
      <c r="EU86" s="34">
        <v>148</v>
      </c>
      <c r="EV86" s="35">
        <f t="shared" ref="EV86:EV92" si="751">((EU86+EW86)/ES86)</f>
        <v>0.74384236453201968</v>
      </c>
      <c r="EW86" s="34">
        <v>3</v>
      </c>
      <c r="EX86" s="35">
        <f t="shared" ref="EX86:EX92" si="752">EW86/(EU86+EW86)</f>
        <v>1.9867549668874173E-2</v>
      </c>
      <c r="EY86" s="36"/>
      <c r="EZ86" s="34"/>
      <c r="FA86" s="34"/>
      <c r="FB86" s="37"/>
      <c r="FC86" s="33"/>
      <c r="FD86" s="34"/>
      <c r="FE86" s="34">
        <f>FE83-FC86</f>
        <v>866</v>
      </c>
      <c r="FF86" s="34">
        <f>FF83-FD86</f>
        <v>78</v>
      </c>
      <c r="FG86" s="34">
        <v>669</v>
      </c>
      <c r="FH86" s="35">
        <f t="shared" ref="FH86:FH92" si="753">((FG86+FI86)/FE86)</f>
        <v>0.78406466512702078</v>
      </c>
      <c r="FI86" s="34">
        <v>10</v>
      </c>
      <c r="FJ86" s="35">
        <f t="shared" ref="FJ86:FJ92" si="754">FI86/(FG86+FI86)</f>
        <v>1.4727540500736377E-2</v>
      </c>
      <c r="FK86" s="36"/>
      <c r="FL86" s="34"/>
      <c r="FM86" s="34"/>
      <c r="FN86" s="37"/>
      <c r="FO86" s="33"/>
      <c r="FP86" s="34"/>
      <c r="FQ86" s="34">
        <f>FQ83-FO86</f>
        <v>907</v>
      </c>
      <c r="FR86" s="34">
        <f>FR83-FP86</f>
        <v>81</v>
      </c>
      <c r="FS86" s="34">
        <v>651</v>
      </c>
      <c r="FT86" s="35">
        <f t="shared" ref="FT86:FT92" si="755">((FS86+FU86)/FQ86)</f>
        <v>0.74090407938257996</v>
      </c>
      <c r="FU86" s="34">
        <v>21</v>
      </c>
      <c r="FV86" s="35">
        <f t="shared" ref="FV86:FV92" si="756">FU86/(FS86+FU86)</f>
        <v>3.125E-2</v>
      </c>
      <c r="FW86" s="36"/>
      <c r="FX86" s="34"/>
      <c r="FY86" s="34"/>
      <c r="FZ86" s="37"/>
      <c r="GA86" s="33"/>
      <c r="GB86" s="34"/>
      <c r="GC86" s="34">
        <f>GC83-GA86</f>
        <v>902</v>
      </c>
      <c r="GD86" s="34">
        <f>GD83-GB86</f>
        <v>82</v>
      </c>
      <c r="GE86" s="34">
        <v>647</v>
      </c>
      <c r="GF86" s="35">
        <f t="shared" ref="GF86:GF92" si="757">((GE86+GG86)/GC86)</f>
        <v>0.73946784922394682</v>
      </c>
      <c r="GG86" s="34">
        <v>20</v>
      </c>
      <c r="GH86" s="35">
        <f t="shared" ref="GH86:GH92" si="758">GG86/(GE86+GG86)</f>
        <v>2.9985007496251874E-2</v>
      </c>
      <c r="GI86" s="36"/>
      <c r="GJ86" s="34"/>
      <c r="GK86" s="34"/>
      <c r="GL86" s="37"/>
      <c r="GM86" s="33">
        <v>1</v>
      </c>
      <c r="GN86" s="34"/>
      <c r="GO86" s="34">
        <f>GO83-GM86</f>
        <v>187</v>
      </c>
      <c r="GP86" s="34">
        <f>GP83-GN86</f>
        <v>17</v>
      </c>
      <c r="GQ86" s="34">
        <v>145</v>
      </c>
      <c r="GR86" s="35">
        <f t="shared" ref="GR86:GR92" si="759">((GQ86+GS86)/GO86)</f>
        <v>0.81283422459893051</v>
      </c>
      <c r="GS86" s="34">
        <v>7</v>
      </c>
      <c r="GT86" s="35">
        <f t="shared" ref="GT86:GT92" si="760">GS86/(GQ86+GS86)</f>
        <v>4.6052631578947366E-2</v>
      </c>
      <c r="GU86" s="36"/>
      <c r="GV86" s="34"/>
      <c r="GW86" s="34"/>
      <c r="GX86" s="37"/>
      <c r="GY86" s="33"/>
      <c r="GZ86" s="34"/>
      <c r="HA86" s="34">
        <f>HA83-GY86</f>
        <v>910</v>
      </c>
      <c r="HB86" s="34">
        <f>HB83-GZ86</f>
        <v>82</v>
      </c>
      <c r="HC86" s="34">
        <v>709</v>
      </c>
      <c r="HD86" s="35">
        <f t="shared" ref="HD86:HD92" si="761">((HC86+HE86)/HA86)</f>
        <v>0.7857142857142857</v>
      </c>
      <c r="HE86" s="34">
        <v>6</v>
      </c>
      <c r="HF86" s="35">
        <f t="shared" ref="HF86:HF92" si="762">HE86/(HC86+HE86)</f>
        <v>8.3916083916083916E-3</v>
      </c>
      <c r="HG86" s="36"/>
      <c r="HH86" s="34"/>
      <c r="HI86" s="34"/>
      <c r="HJ86" s="37"/>
      <c r="HK86" s="33">
        <f t="shared" ref="HK86:HN92" si="763">+C86+O86+AA86+AM86+AY86+BK86+BW86+CI86+CU86+DG86+DS86+EE86+EQ86+FC86+FO86+GA86+GM86+GY86</f>
        <v>1</v>
      </c>
      <c r="HL86" s="34">
        <f t="shared" si="763"/>
        <v>0</v>
      </c>
      <c r="HM86" s="34">
        <f t="shared" si="763"/>
        <v>12349</v>
      </c>
      <c r="HN86" s="34">
        <f t="shared" si="763"/>
        <v>1109</v>
      </c>
      <c r="HO86" s="34">
        <f t="shared" ref="HO86:HO92" si="764">+G86+S86+AE86+AQ86+BC86+BO86+CA86+CM86+CY86+DK86+DW86+EI86+EU86+FG86+FS86+GE86+GQ86+HC86+I86+U86+AG86+AS86+BE86+BQ86+CC86+CO86+DA86+DM86+DY86+EK86+EW86+FI86+FU86+GG86+GS86+HE86</f>
        <v>9282</v>
      </c>
      <c r="HP86" s="94">
        <f t="shared" ref="HP86:HP92" si="765">+(HO86)/HM86</f>
        <v>0.75163980889140825</v>
      </c>
      <c r="HQ86" s="48">
        <f t="shared" ref="HQ86:HQ92" si="766">+I86+U86+AG86+AS86+BE86+BQ86+CC86+CO86+DA86+DM86+DY86+EK86+EW86+FI86+FU86+GG86+GS86+HE86</f>
        <v>177</v>
      </c>
      <c r="HR86" s="35">
        <f t="shared" ref="HR86:HR92" si="767">+(HQ86/(HO86))</f>
        <v>1.9069166127989659E-2</v>
      </c>
      <c r="HS86" s="49">
        <v>58.6</v>
      </c>
      <c r="HT86" s="50">
        <v>8911</v>
      </c>
      <c r="HU86" s="49">
        <f t="shared" ref="HU86:HU92" si="768">+HT86/HO86*100</f>
        <v>96.003016591251892</v>
      </c>
      <c r="HV86" s="48"/>
      <c r="HW86" s="37"/>
      <c r="HX86" s="73">
        <f t="shared" ref="HX86:HX92" si="769">SUM(G86,I86,S86,U86,AE86,AG86,AQ86,AS86,BC86,BE86)/SUM(E86,Q86,AC86,AO86,BA86)</f>
        <v>0.75224148236700539</v>
      </c>
      <c r="HY86" s="73">
        <f t="shared" ref="HY86:HY92" si="770">SUM(BO86,BQ86,CA86,CC86,CM86,CO86,CY86,DA86,DK86,DM86)/SUM(BM86,BY86,CK86,CW86,DI86)</f>
        <v>0.74093107617896015</v>
      </c>
      <c r="HZ86" s="73">
        <f t="shared" ref="HZ86:HZ92" si="771">SUM(DW86,DY86,EI86,EK86,EU86,EW86,FG86,FI86)/SUM(DU86,EG86,ES86,FE86)</f>
        <v>0.75582646109716745</v>
      </c>
      <c r="IA86" s="73">
        <f t="shared" ref="IA86:IA92" si="772">SUM(FS86,FU86,GE86,GG86,GQ86,GS86,HC86,HE86)/SUM(FQ86,GC86,GO86,HA86)</f>
        <v>0.75911906400550588</v>
      </c>
    </row>
    <row r="87" spans="1:244" x14ac:dyDescent="0.25">
      <c r="A87" s="374"/>
      <c r="B87" s="41">
        <f t="shared" ref="B87:B92" si="773">+B86+1</f>
        <v>45005</v>
      </c>
      <c r="C87" s="10"/>
      <c r="D87" s="11"/>
      <c r="E87" s="69">
        <f t="shared" ref="E87:F92" si="774">E86-C87</f>
        <v>846</v>
      </c>
      <c r="F87" s="69">
        <f t="shared" si="774"/>
        <v>75</v>
      </c>
      <c r="G87" s="11">
        <v>629</v>
      </c>
      <c r="H87" s="12">
        <f t="shared" si="728"/>
        <v>0.74822695035460995</v>
      </c>
      <c r="I87" s="11">
        <v>4</v>
      </c>
      <c r="J87" s="12">
        <f t="shared" ref="J87:J92" si="775">I87/(G87+I87)</f>
        <v>6.3191153238546603E-3</v>
      </c>
      <c r="K87" s="13"/>
      <c r="L87" s="11"/>
      <c r="M87" s="11"/>
      <c r="N87" s="14"/>
      <c r="O87" s="10"/>
      <c r="P87" s="11"/>
      <c r="Q87" s="69">
        <f t="shared" ref="Q87:R92" si="776">Q86-O87</f>
        <v>768</v>
      </c>
      <c r="R87" s="69">
        <f t="shared" si="776"/>
        <v>68</v>
      </c>
      <c r="S87" s="11">
        <v>607</v>
      </c>
      <c r="T87" s="12">
        <f t="shared" si="729"/>
        <v>0.79947916666666663</v>
      </c>
      <c r="U87" s="11">
        <v>7</v>
      </c>
      <c r="V87" s="12">
        <f t="shared" si="730"/>
        <v>1.1400651465798045E-2</v>
      </c>
      <c r="W87" s="13"/>
      <c r="X87" s="11"/>
      <c r="Y87" s="11"/>
      <c r="Z87" s="14"/>
      <c r="AA87" s="10"/>
      <c r="AB87" s="11"/>
      <c r="AC87" s="69">
        <f t="shared" ref="AC87:AD92" si="777">AC86-AA87</f>
        <v>183</v>
      </c>
      <c r="AD87" s="69">
        <f t="shared" si="777"/>
        <v>14</v>
      </c>
      <c r="AE87" s="11">
        <v>136</v>
      </c>
      <c r="AF87" s="12">
        <f t="shared" si="731"/>
        <v>0.75409836065573765</v>
      </c>
      <c r="AG87" s="11">
        <v>2</v>
      </c>
      <c r="AH87" s="12">
        <f t="shared" si="732"/>
        <v>1.4492753623188406E-2</v>
      </c>
      <c r="AI87" s="13"/>
      <c r="AJ87" s="11"/>
      <c r="AK87" s="11"/>
      <c r="AL87" s="14"/>
      <c r="AM87" s="10"/>
      <c r="AN87" s="11"/>
      <c r="AO87" s="69">
        <f t="shared" ref="AO87:AP92" si="778">AO86-AM87</f>
        <v>775</v>
      </c>
      <c r="AP87" s="69">
        <f t="shared" si="778"/>
        <v>69</v>
      </c>
      <c r="AQ87" s="11">
        <v>592</v>
      </c>
      <c r="AR87" s="12">
        <f t="shared" si="733"/>
        <v>0.77161290322580645</v>
      </c>
      <c r="AS87" s="11">
        <v>6</v>
      </c>
      <c r="AT87" s="12">
        <f t="shared" si="734"/>
        <v>1.0033444816053512E-2</v>
      </c>
      <c r="AU87" s="13"/>
      <c r="AV87" s="11"/>
      <c r="AW87" s="11"/>
      <c r="AX87" s="14"/>
      <c r="AY87" s="10"/>
      <c r="AZ87" s="11"/>
      <c r="BA87" s="69">
        <f t="shared" ref="BA87:BB92" si="779">BA86-AY87</f>
        <v>774</v>
      </c>
      <c r="BB87" s="69">
        <f t="shared" si="779"/>
        <v>69</v>
      </c>
      <c r="BC87" s="11">
        <v>597</v>
      </c>
      <c r="BD87" s="12">
        <f t="shared" si="735"/>
        <v>0.78294573643410847</v>
      </c>
      <c r="BE87" s="11">
        <v>9</v>
      </c>
      <c r="BF87" s="12">
        <f t="shared" si="736"/>
        <v>1.4851485148514851E-2</v>
      </c>
      <c r="BG87" s="13"/>
      <c r="BH87" s="11"/>
      <c r="BI87" s="11"/>
      <c r="BJ87" s="14"/>
      <c r="BK87" s="10"/>
      <c r="BL87" s="11"/>
      <c r="BM87" s="69">
        <f t="shared" ref="BM87:BN92" si="780">BM86-BK87</f>
        <v>842</v>
      </c>
      <c r="BN87" s="69">
        <f t="shared" si="780"/>
        <v>77</v>
      </c>
      <c r="BO87" s="11">
        <v>638</v>
      </c>
      <c r="BP87" s="12">
        <f t="shared" si="737"/>
        <v>0.77078384798099764</v>
      </c>
      <c r="BQ87" s="11">
        <v>11</v>
      </c>
      <c r="BR87" s="12">
        <f t="shared" si="738"/>
        <v>1.6949152542372881E-2</v>
      </c>
      <c r="BS87" s="13"/>
      <c r="BT87" s="11"/>
      <c r="BU87" s="11"/>
      <c r="BV87" s="14"/>
      <c r="BW87" s="10">
        <v>1</v>
      </c>
      <c r="BX87" s="11"/>
      <c r="BY87" s="69">
        <f t="shared" ref="BY87:BZ92" si="781">BY86-BW87</f>
        <v>761</v>
      </c>
      <c r="BZ87" s="69">
        <f t="shared" si="781"/>
        <v>68</v>
      </c>
      <c r="CA87" s="11">
        <v>568</v>
      </c>
      <c r="CB87" s="12">
        <f t="shared" si="739"/>
        <v>0.75032851511169518</v>
      </c>
      <c r="CC87" s="11">
        <v>3</v>
      </c>
      <c r="CD87" s="12">
        <f t="shared" si="740"/>
        <v>5.2539404553415062E-3</v>
      </c>
      <c r="CE87" s="13"/>
      <c r="CF87" s="11"/>
      <c r="CG87" s="11"/>
      <c r="CH87" s="14"/>
      <c r="CI87" s="10"/>
      <c r="CJ87" s="11"/>
      <c r="CK87" s="69">
        <f t="shared" ref="CK87:CL92" si="782">CK86-CI87</f>
        <v>182</v>
      </c>
      <c r="CL87" s="69">
        <f t="shared" si="782"/>
        <v>17</v>
      </c>
      <c r="CM87" s="11">
        <v>128</v>
      </c>
      <c r="CN87" s="12">
        <f t="shared" si="741"/>
        <v>0.72527472527472525</v>
      </c>
      <c r="CO87" s="11">
        <v>4</v>
      </c>
      <c r="CP87" s="12">
        <f t="shared" si="742"/>
        <v>3.0303030303030304E-2</v>
      </c>
      <c r="CQ87" s="13"/>
      <c r="CR87" s="11"/>
      <c r="CS87" s="11"/>
      <c r="CT87" s="14"/>
      <c r="CU87" s="10"/>
      <c r="CV87" s="11">
        <v>1</v>
      </c>
      <c r="CW87" s="69">
        <f t="shared" ref="CW87:CX92" si="783">CW86-CU87</f>
        <v>759</v>
      </c>
      <c r="CX87" s="69">
        <f t="shared" si="783"/>
        <v>68</v>
      </c>
      <c r="CY87" s="11">
        <v>552</v>
      </c>
      <c r="CZ87" s="12">
        <f t="shared" si="743"/>
        <v>0.7457180500658761</v>
      </c>
      <c r="DA87" s="11">
        <v>14</v>
      </c>
      <c r="DB87" s="12">
        <f t="shared" si="744"/>
        <v>2.4734982332155476E-2</v>
      </c>
      <c r="DC87" s="13"/>
      <c r="DD87" s="11"/>
      <c r="DE87" s="11"/>
      <c r="DF87" s="14"/>
      <c r="DG87" s="10"/>
      <c r="DH87" s="11"/>
      <c r="DI87" s="69">
        <f t="shared" ref="DI87:DJ92" si="784">DI86-DG87</f>
        <v>763</v>
      </c>
      <c r="DJ87" s="69">
        <f t="shared" si="784"/>
        <v>70</v>
      </c>
      <c r="DK87" s="11">
        <v>571</v>
      </c>
      <c r="DL87" s="12">
        <f t="shared" si="745"/>
        <v>0.7745740498034076</v>
      </c>
      <c r="DM87" s="11">
        <v>20</v>
      </c>
      <c r="DN87" s="12">
        <f t="shared" si="746"/>
        <v>3.3840947546531303E-2</v>
      </c>
      <c r="DO87" s="13"/>
      <c r="DP87" s="11"/>
      <c r="DQ87" s="11"/>
      <c r="DR87" s="14"/>
      <c r="DS87" s="10">
        <v>1</v>
      </c>
      <c r="DT87" s="11"/>
      <c r="DU87" s="69">
        <f t="shared" ref="DU87:DV92" si="785">DU86-DS87</f>
        <v>855</v>
      </c>
      <c r="DV87" s="69">
        <f t="shared" si="785"/>
        <v>78</v>
      </c>
      <c r="DW87" s="11">
        <v>611</v>
      </c>
      <c r="DX87" s="12">
        <f t="shared" si="747"/>
        <v>0.74269005847953218</v>
      </c>
      <c r="DY87" s="11">
        <v>24</v>
      </c>
      <c r="DZ87" s="12">
        <f t="shared" si="748"/>
        <v>3.7795275590551181E-2</v>
      </c>
      <c r="EA87" s="13"/>
      <c r="EB87" s="11"/>
      <c r="EC87" s="11"/>
      <c r="ED87" s="14"/>
      <c r="EE87" s="10">
        <v>1</v>
      </c>
      <c r="EF87" s="11"/>
      <c r="EG87" s="69">
        <f t="shared" ref="EG87:EH92" si="786">EG86-EE87</f>
        <v>863</v>
      </c>
      <c r="EH87" s="69">
        <f t="shared" si="786"/>
        <v>79</v>
      </c>
      <c r="EI87" s="11">
        <v>600</v>
      </c>
      <c r="EJ87" s="12">
        <f t="shared" si="749"/>
        <v>0.72074159907300117</v>
      </c>
      <c r="EK87" s="11">
        <v>22</v>
      </c>
      <c r="EL87" s="12">
        <f t="shared" si="750"/>
        <v>3.5369774919614148E-2</v>
      </c>
      <c r="EM87" s="13"/>
      <c r="EN87" s="11"/>
      <c r="EO87" s="11"/>
      <c r="EP87" s="14"/>
      <c r="EQ87" s="10"/>
      <c r="ER87" s="11"/>
      <c r="ES87" s="69">
        <f t="shared" ref="ES87:ET92" si="787">ES86-EQ87</f>
        <v>203</v>
      </c>
      <c r="ET87" s="69">
        <f t="shared" si="787"/>
        <v>16</v>
      </c>
      <c r="EU87" s="11">
        <v>135</v>
      </c>
      <c r="EV87" s="12">
        <f t="shared" si="751"/>
        <v>0.68965517241379315</v>
      </c>
      <c r="EW87" s="11">
        <v>5</v>
      </c>
      <c r="EX87" s="12">
        <f t="shared" si="752"/>
        <v>3.5714285714285712E-2</v>
      </c>
      <c r="EY87" s="13"/>
      <c r="EZ87" s="11"/>
      <c r="FA87" s="11"/>
      <c r="FB87" s="14"/>
      <c r="FC87" s="10"/>
      <c r="FD87" s="11"/>
      <c r="FE87" s="69">
        <f t="shared" ref="FE87:FF92" si="788">FE86-FC87</f>
        <v>866</v>
      </c>
      <c r="FF87" s="69">
        <f t="shared" si="788"/>
        <v>78</v>
      </c>
      <c r="FG87" s="11">
        <v>659</v>
      </c>
      <c r="FH87" s="12">
        <f t="shared" si="753"/>
        <v>0.76558891454965361</v>
      </c>
      <c r="FI87" s="11">
        <v>4</v>
      </c>
      <c r="FJ87" s="12">
        <f t="shared" si="754"/>
        <v>6.0331825037707393E-3</v>
      </c>
      <c r="FK87" s="13"/>
      <c r="FL87" s="11"/>
      <c r="FM87" s="11"/>
      <c r="FN87" s="14"/>
      <c r="FO87" s="10"/>
      <c r="FP87" s="11"/>
      <c r="FQ87" s="69">
        <f t="shared" ref="FQ87:FR92" si="789">FQ86-FO87</f>
        <v>907</v>
      </c>
      <c r="FR87" s="69">
        <f t="shared" si="789"/>
        <v>81</v>
      </c>
      <c r="FS87" s="11">
        <v>622</v>
      </c>
      <c r="FT87" s="12">
        <f t="shared" si="755"/>
        <v>0.71334068357221614</v>
      </c>
      <c r="FU87" s="11">
        <v>25</v>
      </c>
      <c r="FV87" s="12">
        <f t="shared" si="756"/>
        <v>3.8639876352395672E-2</v>
      </c>
      <c r="FW87" s="13"/>
      <c r="FX87" s="11"/>
      <c r="FY87" s="11"/>
      <c r="FZ87" s="14"/>
      <c r="GA87" s="10"/>
      <c r="GB87" s="11"/>
      <c r="GC87" s="69">
        <f t="shared" ref="GC87:GD92" si="790">GC86-GA87</f>
        <v>902</v>
      </c>
      <c r="GD87" s="69">
        <f t="shared" si="790"/>
        <v>82</v>
      </c>
      <c r="GE87" s="11">
        <v>605</v>
      </c>
      <c r="GF87" s="12">
        <f t="shared" si="757"/>
        <v>0.69068736141906872</v>
      </c>
      <c r="GG87" s="11">
        <v>18</v>
      </c>
      <c r="GH87" s="12">
        <f t="shared" si="758"/>
        <v>2.8892455858747994E-2</v>
      </c>
      <c r="GI87" s="13"/>
      <c r="GJ87" s="11"/>
      <c r="GK87" s="11"/>
      <c r="GL87" s="14"/>
      <c r="GM87" s="10">
        <v>1</v>
      </c>
      <c r="GN87" s="11"/>
      <c r="GO87" s="69">
        <f t="shared" ref="GO87:GP92" si="791">GO86-GM87</f>
        <v>186</v>
      </c>
      <c r="GP87" s="69">
        <f t="shared" si="791"/>
        <v>17</v>
      </c>
      <c r="GQ87" s="11">
        <v>146</v>
      </c>
      <c r="GR87" s="12">
        <f t="shared" si="759"/>
        <v>0.81720430107526887</v>
      </c>
      <c r="GS87" s="11">
        <v>6</v>
      </c>
      <c r="GT87" s="12">
        <f t="shared" si="760"/>
        <v>3.9473684210526314E-2</v>
      </c>
      <c r="GU87" s="13"/>
      <c r="GV87" s="11"/>
      <c r="GW87" s="11"/>
      <c r="GX87" s="14"/>
      <c r="GY87" s="10"/>
      <c r="GZ87" s="11"/>
      <c r="HA87" s="69">
        <f t="shared" ref="HA87:HB92" si="792">HA86-GY87</f>
        <v>910</v>
      </c>
      <c r="HB87" s="69">
        <f t="shared" si="792"/>
        <v>82</v>
      </c>
      <c r="HC87" s="11">
        <v>644</v>
      </c>
      <c r="HD87" s="12">
        <f t="shared" si="761"/>
        <v>0.72857142857142854</v>
      </c>
      <c r="HE87" s="11">
        <v>19</v>
      </c>
      <c r="HF87" s="12">
        <f t="shared" si="762"/>
        <v>2.8657616892911009E-2</v>
      </c>
      <c r="HG87" s="13"/>
      <c r="HH87" s="11"/>
      <c r="HI87" s="11"/>
      <c r="HJ87" s="14"/>
      <c r="HK87" s="10">
        <f t="shared" si="763"/>
        <v>4</v>
      </c>
      <c r="HL87" s="11">
        <f t="shared" si="763"/>
        <v>1</v>
      </c>
      <c r="HM87" s="11">
        <f t="shared" si="763"/>
        <v>12345</v>
      </c>
      <c r="HN87" s="11">
        <f t="shared" si="763"/>
        <v>1108</v>
      </c>
      <c r="HO87" s="11">
        <f t="shared" si="764"/>
        <v>9243</v>
      </c>
      <c r="HP87" s="95">
        <f t="shared" si="765"/>
        <v>0.74872417982989059</v>
      </c>
      <c r="HQ87" s="15">
        <f t="shared" si="766"/>
        <v>203</v>
      </c>
      <c r="HR87" s="12">
        <f t="shared" si="767"/>
        <v>2.1962566266363736E-2</v>
      </c>
      <c r="HS87" s="16">
        <v>58.8</v>
      </c>
      <c r="HT87" s="17">
        <v>8869</v>
      </c>
      <c r="HU87" s="16">
        <f t="shared" si="768"/>
        <v>95.953694687871902</v>
      </c>
      <c r="HV87" s="15"/>
      <c r="HW87" s="14"/>
      <c r="HX87" s="73">
        <f t="shared" si="769"/>
        <v>0.77375971309025704</v>
      </c>
      <c r="HY87" s="73">
        <f t="shared" si="770"/>
        <v>0.75869368007257332</v>
      </c>
      <c r="HZ87" s="73">
        <f t="shared" si="771"/>
        <v>0.73914603516325794</v>
      </c>
      <c r="IA87" s="73">
        <f t="shared" si="772"/>
        <v>0.71772805507745263</v>
      </c>
    </row>
    <row r="88" spans="1:244" x14ac:dyDescent="0.25">
      <c r="A88" s="374"/>
      <c r="B88" s="41">
        <f t="shared" si="773"/>
        <v>45006</v>
      </c>
      <c r="C88" s="10"/>
      <c r="D88" s="11"/>
      <c r="E88" s="69">
        <f t="shared" si="774"/>
        <v>846</v>
      </c>
      <c r="F88" s="69">
        <f t="shared" si="774"/>
        <v>75</v>
      </c>
      <c r="G88" s="11">
        <v>631</v>
      </c>
      <c r="H88" s="12">
        <f t="shared" si="728"/>
        <v>0.75295508274231682</v>
      </c>
      <c r="I88" s="11">
        <v>6</v>
      </c>
      <c r="J88" s="12">
        <f t="shared" si="775"/>
        <v>9.4191522762951327E-3</v>
      </c>
      <c r="K88" s="13"/>
      <c r="L88" s="11"/>
      <c r="M88" s="11"/>
      <c r="N88" s="14"/>
      <c r="O88" s="10"/>
      <c r="P88" s="11"/>
      <c r="Q88" s="69">
        <f t="shared" si="776"/>
        <v>768</v>
      </c>
      <c r="R88" s="69">
        <f t="shared" si="776"/>
        <v>68</v>
      </c>
      <c r="S88" s="11">
        <v>541</v>
      </c>
      <c r="T88" s="12">
        <f t="shared" si="729"/>
        <v>0.71484375</v>
      </c>
      <c r="U88" s="11">
        <v>8</v>
      </c>
      <c r="V88" s="12">
        <f t="shared" si="730"/>
        <v>1.4571948998178506E-2</v>
      </c>
      <c r="W88" s="13"/>
      <c r="X88" s="11"/>
      <c r="Y88" s="11"/>
      <c r="Z88" s="14"/>
      <c r="AA88" s="10">
        <v>1</v>
      </c>
      <c r="AB88" s="11"/>
      <c r="AC88" s="69">
        <f t="shared" si="777"/>
        <v>182</v>
      </c>
      <c r="AD88" s="69">
        <f t="shared" si="777"/>
        <v>14</v>
      </c>
      <c r="AE88" s="11">
        <v>141</v>
      </c>
      <c r="AF88" s="12">
        <f t="shared" si="731"/>
        <v>0.78021978021978022</v>
      </c>
      <c r="AG88" s="11">
        <v>1</v>
      </c>
      <c r="AH88" s="12">
        <f t="shared" si="732"/>
        <v>7.0422535211267607E-3</v>
      </c>
      <c r="AI88" s="13"/>
      <c r="AJ88" s="11"/>
      <c r="AK88" s="11"/>
      <c r="AL88" s="14"/>
      <c r="AM88" s="10"/>
      <c r="AN88" s="11"/>
      <c r="AO88" s="69">
        <f t="shared" si="778"/>
        <v>775</v>
      </c>
      <c r="AP88" s="69">
        <f t="shared" si="778"/>
        <v>69</v>
      </c>
      <c r="AQ88" s="11">
        <v>575</v>
      </c>
      <c r="AR88" s="12">
        <f t="shared" si="733"/>
        <v>0.75096774193548388</v>
      </c>
      <c r="AS88" s="11">
        <v>7</v>
      </c>
      <c r="AT88" s="12">
        <f t="shared" si="734"/>
        <v>1.2027491408934709E-2</v>
      </c>
      <c r="AU88" s="13"/>
      <c r="AV88" s="11"/>
      <c r="AW88" s="11"/>
      <c r="AX88" s="14"/>
      <c r="AY88" s="10"/>
      <c r="AZ88" s="11"/>
      <c r="BA88" s="69">
        <f t="shared" si="779"/>
        <v>774</v>
      </c>
      <c r="BB88" s="69">
        <f t="shared" si="779"/>
        <v>69</v>
      </c>
      <c r="BC88" s="11">
        <v>561</v>
      </c>
      <c r="BD88" s="12">
        <f t="shared" si="735"/>
        <v>0.7441860465116279</v>
      </c>
      <c r="BE88" s="11">
        <v>15</v>
      </c>
      <c r="BF88" s="12">
        <f t="shared" si="736"/>
        <v>2.6041666666666668E-2</v>
      </c>
      <c r="BG88" s="13"/>
      <c r="BH88" s="11"/>
      <c r="BI88" s="11"/>
      <c r="BJ88" s="14"/>
      <c r="BK88" s="10"/>
      <c r="BL88" s="11"/>
      <c r="BM88" s="69">
        <f t="shared" si="780"/>
        <v>842</v>
      </c>
      <c r="BN88" s="69">
        <f t="shared" si="780"/>
        <v>77</v>
      </c>
      <c r="BO88" s="11">
        <v>628</v>
      </c>
      <c r="BP88" s="12">
        <f t="shared" si="737"/>
        <v>0.76009501187648454</v>
      </c>
      <c r="BQ88" s="11">
        <v>12</v>
      </c>
      <c r="BR88" s="12">
        <f t="shared" si="738"/>
        <v>1.8749999999999999E-2</v>
      </c>
      <c r="BS88" s="13"/>
      <c r="BT88" s="11"/>
      <c r="BU88" s="11"/>
      <c r="BV88" s="14"/>
      <c r="BW88" s="10"/>
      <c r="BX88" s="11"/>
      <c r="BY88" s="69">
        <f t="shared" si="781"/>
        <v>761</v>
      </c>
      <c r="BZ88" s="69">
        <f t="shared" si="781"/>
        <v>68</v>
      </c>
      <c r="CA88" s="11">
        <v>544</v>
      </c>
      <c r="CB88" s="12">
        <f t="shared" si="739"/>
        <v>0.72273324572930353</v>
      </c>
      <c r="CC88" s="11">
        <v>6</v>
      </c>
      <c r="CD88" s="12">
        <f t="shared" si="740"/>
        <v>1.090909090909091E-2</v>
      </c>
      <c r="CE88" s="13"/>
      <c r="CF88" s="11"/>
      <c r="CG88" s="11"/>
      <c r="CH88" s="14"/>
      <c r="CI88" s="10"/>
      <c r="CJ88" s="11"/>
      <c r="CK88" s="69">
        <f t="shared" si="782"/>
        <v>182</v>
      </c>
      <c r="CL88" s="69">
        <f t="shared" si="782"/>
        <v>17</v>
      </c>
      <c r="CM88" s="11">
        <v>116</v>
      </c>
      <c r="CN88" s="12">
        <f t="shared" si="741"/>
        <v>0.64835164835164838</v>
      </c>
      <c r="CO88" s="11">
        <v>2</v>
      </c>
      <c r="CP88" s="12">
        <f t="shared" si="742"/>
        <v>1.6949152542372881E-2</v>
      </c>
      <c r="CQ88" s="13"/>
      <c r="CR88" s="11"/>
      <c r="CS88" s="11"/>
      <c r="CT88" s="14"/>
      <c r="CU88" s="10">
        <v>1</v>
      </c>
      <c r="CV88" s="11"/>
      <c r="CW88" s="69">
        <f t="shared" si="783"/>
        <v>758</v>
      </c>
      <c r="CX88" s="69">
        <f t="shared" si="783"/>
        <v>68</v>
      </c>
      <c r="CY88" s="11">
        <v>574</v>
      </c>
      <c r="CZ88" s="12">
        <f t="shared" si="743"/>
        <v>0.76649076517150394</v>
      </c>
      <c r="DA88" s="11">
        <v>7</v>
      </c>
      <c r="DB88" s="12">
        <f t="shared" si="744"/>
        <v>1.2048192771084338E-2</v>
      </c>
      <c r="DC88" s="13"/>
      <c r="DD88" s="11"/>
      <c r="DE88" s="11"/>
      <c r="DF88" s="14"/>
      <c r="DG88" s="10"/>
      <c r="DH88" s="11"/>
      <c r="DI88" s="69">
        <f t="shared" si="784"/>
        <v>763</v>
      </c>
      <c r="DJ88" s="69">
        <f t="shared" si="784"/>
        <v>70</v>
      </c>
      <c r="DK88" s="11">
        <v>589</v>
      </c>
      <c r="DL88" s="12">
        <f t="shared" si="745"/>
        <v>0.78243774574049807</v>
      </c>
      <c r="DM88" s="11">
        <v>8</v>
      </c>
      <c r="DN88" s="12">
        <f t="shared" si="746"/>
        <v>1.340033500837521E-2</v>
      </c>
      <c r="DO88" s="13"/>
      <c r="DP88" s="11"/>
      <c r="DQ88" s="11"/>
      <c r="DR88" s="14"/>
      <c r="DS88" s="10"/>
      <c r="DT88" s="11"/>
      <c r="DU88" s="69">
        <f t="shared" si="785"/>
        <v>855</v>
      </c>
      <c r="DV88" s="69">
        <f t="shared" si="785"/>
        <v>78</v>
      </c>
      <c r="DW88" s="11">
        <v>600</v>
      </c>
      <c r="DX88" s="12">
        <f t="shared" si="747"/>
        <v>0.7239766081871345</v>
      </c>
      <c r="DY88" s="11">
        <v>19</v>
      </c>
      <c r="DZ88" s="12">
        <f t="shared" si="748"/>
        <v>3.0694668820678513E-2</v>
      </c>
      <c r="EA88" s="13"/>
      <c r="EB88" s="11"/>
      <c r="EC88" s="11"/>
      <c r="ED88" s="14"/>
      <c r="EE88" s="10"/>
      <c r="EF88" s="11"/>
      <c r="EG88" s="69">
        <f t="shared" si="786"/>
        <v>863</v>
      </c>
      <c r="EH88" s="69">
        <f t="shared" si="786"/>
        <v>79</v>
      </c>
      <c r="EI88" s="11">
        <v>614</v>
      </c>
      <c r="EJ88" s="12">
        <f t="shared" si="749"/>
        <v>0.74275782155272307</v>
      </c>
      <c r="EK88" s="11">
        <v>27</v>
      </c>
      <c r="EL88" s="12">
        <f t="shared" si="750"/>
        <v>4.2121684867394697E-2</v>
      </c>
      <c r="EM88" s="13"/>
      <c r="EN88" s="11"/>
      <c r="EO88" s="11"/>
      <c r="EP88" s="14"/>
      <c r="EQ88" s="10"/>
      <c r="ER88" s="11"/>
      <c r="ES88" s="69">
        <f t="shared" si="787"/>
        <v>203</v>
      </c>
      <c r="ET88" s="69">
        <f t="shared" si="787"/>
        <v>16</v>
      </c>
      <c r="EU88" s="11">
        <v>147</v>
      </c>
      <c r="EV88" s="12">
        <f t="shared" si="751"/>
        <v>0.74876847290640391</v>
      </c>
      <c r="EW88" s="11">
        <v>5</v>
      </c>
      <c r="EX88" s="12">
        <f t="shared" si="752"/>
        <v>3.2894736842105261E-2</v>
      </c>
      <c r="EY88" s="13"/>
      <c r="EZ88" s="11"/>
      <c r="FA88" s="11"/>
      <c r="FB88" s="14"/>
      <c r="FC88" s="10"/>
      <c r="FD88" s="11"/>
      <c r="FE88" s="69">
        <f t="shared" si="788"/>
        <v>866</v>
      </c>
      <c r="FF88" s="69">
        <f t="shared" si="788"/>
        <v>78</v>
      </c>
      <c r="FG88" s="11">
        <v>668</v>
      </c>
      <c r="FH88" s="12">
        <f t="shared" si="753"/>
        <v>0.77829099307159355</v>
      </c>
      <c r="FI88" s="11">
        <v>6</v>
      </c>
      <c r="FJ88" s="12">
        <f t="shared" si="754"/>
        <v>8.9020771513353119E-3</v>
      </c>
      <c r="FK88" s="13"/>
      <c r="FL88" s="11"/>
      <c r="FM88" s="11"/>
      <c r="FN88" s="14"/>
      <c r="FO88" s="10">
        <v>1</v>
      </c>
      <c r="FP88" s="11"/>
      <c r="FQ88" s="69">
        <f t="shared" si="789"/>
        <v>906</v>
      </c>
      <c r="FR88" s="69">
        <f t="shared" si="789"/>
        <v>81</v>
      </c>
      <c r="FS88" s="11">
        <v>657</v>
      </c>
      <c r="FT88" s="12">
        <f t="shared" si="755"/>
        <v>0.74061810154525387</v>
      </c>
      <c r="FU88" s="11">
        <v>14</v>
      </c>
      <c r="FV88" s="12">
        <f t="shared" si="756"/>
        <v>2.0864381520119227E-2</v>
      </c>
      <c r="FW88" s="13"/>
      <c r="FX88" s="11"/>
      <c r="FY88" s="11"/>
      <c r="FZ88" s="14"/>
      <c r="GA88" s="10">
        <v>1</v>
      </c>
      <c r="GB88" s="11"/>
      <c r="GC88" s="69">
        <f t="shared" si="790"/>
        <v>901</v>
      </c>
      <c r="GD88" s="69">
        <f t="shared" si="790"/>
        <v>82</v>
      </c>
      <c r="GE88" s="11">
        <v>608</v>
      </c>
      <c r="GF88" s="12">
        <f t="shared" si="757"/>
        <v>0.69367369589345174</v>
      </c>
      <c r="GG88" s="11">
        <v>17</v>
      </c>
      <c r="GH88" s="12">
        <f t="shared" si="758"/>
        <v>2.7199999999999998E-2</v>
      </c>
      <c r="GI88" s="13"/>
      <c r="GJ88" s="11"/>
      <c r="GK88" s="11"/>
      <c r="GL88" s="14"/>
      <c r="GM88" s="10"/>
      <c r="GN88" s="11"/>
      <c r="GO88" s="69">
        <f t="shared" si="791"/>
        <v>186</v>
      </c>
      <c r="GP88" s="69">
        <f t="shared" si="791"/>
        <v>17</v>
      </c>
      <c r="GQ88" s="11">
        <v>147</v>
      </c>
      <c r="GR88" s="12">
        <f t="shared" si="759"/>
        <v>0.82258064516129037</v>
      </c>
      <c r="GS88" s="11">
        <v>6</v>
      </c>
      <c r="GT88" s="12">
        <f t="shared" si="760"/>
        <v>3.9215686274509803E-2</v>
      </c>
      <c r="GU88" s="13"/>
      <c r="GV88" s="11"/>
      <c r="GW88" s="11"/>
      <c r="GX88" s="14"/>
      <c r="GY88" s="10"/>
      <c r="GZ88" s="11"/>
      <c r="HA88" s="69">
        <f t="shared" si="792"/>
        <v>910</v>
      </c>
      <c r="HB88" s="69">
        <f t="shared" si="792"/>
        <v>82</v>
      </c>
      <c r="HC88" s="11">
        <v>649</v>
      </c>
      <c r="HD88" s="12">
        <f t="shared" si="761"/>
        <v>0.72857142857142854</v>
      </c>
      <c r="HE88" s="11">
        <v>14</v>
      </c>
      <c r="HF88" s="12">
        <f t="shared" si="762"/>
        <v>2.1116138763197588E-2</v>
      </c>
      <c r="HG88" s="13"/>
      <c r="HH88" s="11"/>
      <c r="HI88" s="11"/>
      <c r="HJ88" s="14"/>
      <c r="HK88" s="10">
        <f t="shared" si="763"/>
        <v>4</v>
      </c>
      <c r="HL88" s="11">
        <f t="shared" si="763"/>
        <v>0</v>
      </c>
      <c r="HM88" s="11">
        <f t="shared" si="763"/>
        <v>12341</v>
      </c>
      <c r="HN88" s="11">
        <f t="shared" si="763"/>
        <v>1108</v>
      </c>
      <c r="HO88" s="11">
        <f t="shared" si="764"/>
        <v>9170</v>
      </c>
      <c r="HP88" s="95">
        <f t="shared" si="765"/>
        <v>0.74305161656267726</v>
      </c>
      <c r="HQ88" s="15">
        <f t="shared" si="766"/>
        <v>180</v>
      </c>
      <c r="HR88" s="12">
        <f t="shared" si="767"/>
        <v>1.9629225736095966E-2</v>
      </c>
      <c r="HS88" s="16">
        <v>58.7</v>
      </c>
      <c r="HT88" s="17">
        <v>8789</v>
      </c>
      <c r="HU88" s="16">
        <f t="shared" si="768"/>
        <v>95.845147219193024</v>
      </c>
      <c r="HV88" s="15"/>
      <c r="HW88" s="14"/>
      <c r="HX88" s="73">
        <f t="shared" si="769"/>
        <v>0.74319880418535123</v>
      </c>
      <c r="HY88" s="73">
        <f t="shared" si="770"/>
        <v>0.75196612220205683</v>
      </c>
      <c r="HZ88" s="73">
        <f t="shared" si="771"/>
        <v>0.74847506279153209</v>
      </c>
      <c r="IA88" s="73">
        <f t="shared" si="772"/>
        <v>0.72752325180847399</v>
      </c>
    </row>
    <row r="89" spans="1:244" x14ac:dyDescent="0.25">
      <c r="A89" s="374"/>
      <c r="B89" s="41">
        <f t="shared" si="773"/>
        <v>45007</v>
      </c>
      <c r="C89" s="10"/>
      <c r="D89" s="11"/>
      <c r="E89" s="69">
        <f t="shared" si="774"/>
        <v>846</v>
      </c>
      <c r="F89" s="69">
        <f t="shared" si="774"/>
        <v>75</v>
      </c>
      <c r="G89" s="11">
        <v>631</v>
      </c>
      <c r="H89" s="12">
        <f t="shared" si="728"/>
        <v>0.75650118203309691</v>
      </c>
      <c r="I89" s="11">
        <v>9</v>
      </c>
      <c r="J89" s="12">
        <f t="shared" si="775"/>
        <v>1.40625E-2</v>
      </c>
      <c r="K89" s="11"/>
      <c r="L89" s="11"/>
      <c r="M89" s="18"/>
      <c r="N89" s="20"/>
      <c r="O89" s="10">
        <v>2</v>
      </c>
      <c r="P89" s="11"/>
      <c r="Q89" s="69">
        <f t="shared" si="776"/>
        <v>766</v>
      </c>
      <c r="R89" s="69">
        <f t="shared" si="776"/>
        <v>68</v>
      </c>
      <c r="S89" s="11">
        <v>552</v>
      </c>
      <c r="T89" s="12">
        <f t="shared" si="729"/>
        <v>0.73368146214099217</v>
      </c>
      <c r="U89" s="11">
        <v>10</v>
      </c>
      <c r="V89" s="12">
        <f t="shared" si="730"/>
        <v>1.7793594306049824E-2</v>
      </c>
      <c r="W89" s="11"/>
      <c r="X89" s="11"/>
      <c r="Y89" s="18"/>
      <c r="Z89" s="20"/>
      <c r="AA89" s="10"/>
      <c r="AB89" s="11"/>
      <c r="AC89" s="69">
        <f t="shared" si="777"/>
        <v>182</v>
      </c>
      <c r="AD89" s="69">
        <f t="shared" si="777"/>
        <v>14</v>
      </c>
      <c r="AE89" s="11">
        <v>146</v>
      </c>
      <c r="AF89" s="12">
        <f t="shared" si="731"/>
        <v>0.80769230769230771</v>
      </c>
      <c r="AG89" s="11">
        <v>1</v>
      </c>
      <c r="AH89" s="12">
        <f t="shared" si="732"/>
        <v>6.8027210884353739E-3</v>
      </c>
      <c r="AI89" s="11"/>
      <c r="AJ89" s="11"/>
      <c r="AK89" s="18"/>
      <c r="AL89" s="20"/>
      <c r="AM89" s="10"/>
      <c r="AN89" s="11"/>
      <c r="AO89" s="69">
        <f t="shared" si="778"/>
        <v>775</v>
      </c>
      <c r="AP89" s="69">
        <f t="shared" si="778"/>
        <v>69</v>
      </c>
      <c r="AQ89" s="11">
        <v>567</v>
      </c>
      <c r="AR89" s="12">
        <f t="shared" si="733"/>
        <v>0.74193548387096775</v>
      </c>
      <c r="AS89" s="11">
        <v>8</v>
      </c>
      <c r="AT89" s="12">
        <f t="shared" si="734"/>
        <v>1.391304347826087E-2</v>
      </c>
      <c r="AU89" s="11"/>
      <c r="AV89" s="11"/>
      <c r="AW89" s="18"/>
      <c r="AX89" s="20"/>
      <c r="AY89" s="10">
        <v>1</v>
      </c>
      <c r="AZ89" s="11"/>
      <c r="BA89" s="69">
        <f t="shared" si="779"/>
        <v>773</v>
      </c>
      <c r="BB89" s="69">
        <f t="shared" si="779"/>
        <v>69</v>
      </c>
      <c r="BC89" s="11">
        <v>587</v>
      </c>
      <c r="BD89" s="12">
        <f t="shared" si="735"/>
        <v>0.77231565329883567</v>
      </c>
      <c r="BE89" s="11">
        <v>10</v>
      </c>
      <c r="BF89" s="12">
        <f t="shared" si="736"/>
        <v>1.675041876046901E-2</v>
      </c>
      <c r="BG89" s="11"/>
      <c r="BH89" s="11"/>
      <c r="BI89" s="18"/>
      <c r="BJ89" s="20"/>
      <c r="BK89" s="10"/>
      <c r="BL89" s="11"/>
      <c r="BM89" s="69">
        <f t="shared" si="780"/>
        <v>842</v>
      </c>
      <c r="BN89" s="69">
        <f t="shared" si="780"/>
        <v>77</v>
      </c>
      <c r="BO89" s="11">
        <v>611</v>
      </c>
      <c r="BP89" s="12">
        <f t="shared" si="737"/>
        <v>0.74465558194774351</v>
      </c>
      <c r="BQ89" s="11">
        <v>16</v>
      </c>
      <c r="BR89" s="12">
        <f t="shared" si="738"/>
        <v>2.5518341307814992E-2</v>
      </c>
      <c r="BS89" s="11"/>
      <c r="BT89" s="11"/>
      <c r="BU89" s="18"/>
      <c r="BV89" s="20"/>
      <c r="BW89" s="10">
        <v>1</v>
      </c>
      <c r="BX89" s="11"/>
      <c r="BY89" s="69">
        <f t="shared" si="781"/>
        <v>760</v>
      </c>
      <c r="BZ89" s="69">
        <f t="shared" si="781"/>
        <v>68</v>
      </c>
      <c r="CA89" s="11">
        <v>569</v>
      </c>
      <c r="CB89" s="12">
        <f t="shared" si="739"/>
        <v>0.75789473684210529</v>
      </c>
      <c r="CC89" s="11">
        <v>7</v>
      </c>
      <c r="CD89" s="12">
        <f t="shared" si="740"/>
        <v>1.2152777777777778E-2</v>
      </c>
      <c r="CE89" s="11"/>
      <c r="CF89" s="11"/>
      <c r="CG89" s="18"/>
      <c r="CH89" s="20"/>
      <c r="CI89" s="10"/>
      <c r="CJ89" s="11"/>
      <c r="CK89" s="69">
        <f t="shared" si="782"/>
        <v>182</v>
      </c>
      <c r="CL89" s="69">
        <f t="shared" si="782"/>
        <v>17</v>
      </c>
      <c r="CM89" s="11">
        <v>123</v>
      </c>
      <c r="CN89" s="12">
        <f t="shared" si="741"/>
        <v>0.70329670329670335</v>
      </c>
      <c r="CO89" s="11">
        <v>5</v>
      </c>
      <c r="CP89" s="12">
        <f t="shared" si="742"/>
        <v>3.90625E-2</v>
      </c>
      <c r="CQ89" s="11"/>
      <c r="CR89" s="11"/>
      <c r="CS89" s="18"/>
      <c r="CT89" s="20"/>
      <c r="CU89" s="10"/>
      <c r="CV89" s="11"/>
      <c r="CW89" s="69">
        <f t="shared" si="783"/>
        <v>758</v>
      </c>
      <c r="CX89" s="69">
        <f t="shared" si="783"/>
        <v>68</v>
      </c>
      <c r="CY89" s="11">
        <v>573</v>
      </c>
      <c r="CZ89" s="12">
        <f t="shared" si="743"/>
        <v>0.76649076517150394</v>
      </c>
      <c r="DA89" s="11">
        <v>8</v>
      </c>
      <c r="DB89" s="12">
        <f t="shared" si="744"/>
        <v>1.3769363166953529E-2</v>
      </c>
      <c r="DC89" s="11"/>
      <c r="DD89" s="11"/>
      <c r="DE89" s="18"/>
      <c r="DF89" s="20"/>
      <c r="DG89" s="10"/>
      <c r="DH89" s="11"/>
      <c r="DI89" s="69">
        <f t="shared" si="784"/>
        <v>763</v>
      </c>
      <c r="DJ89" s="69">
        <f t="shared" si="784"/>
        <v>70</v>
      </c>
      <c r="DK89" s="11">
        <v>589</v>
      </c>
      <c r="DL89" s="12">
        <f t="shared" si="745"/>
        <v>0.79292267365661862</v>
      </c>
      <c r="DM89" s="11">
        <v>16</v>
      </c>
      <c r="DN89" s="12">
        <f t="shared" si="746"/>
        <v>2.6446280991735537E-2</v>
      </c>
      <c r="DO89" s="11"/>
      <c r="DP89" s="11"/>
      <c r="DQ89" s="18"/>
      <c r="DR89" s="20"/>
      <c r="DS89" s="10"/>
      <c r="DT89" s="11"/>
      <c r="DU89" s="69">
        <f t="shared" si="785"/>
        <v>855</v>
      </c>
      <c r="DV89" s="69">
        <f t="shared" si="785"/>
        <v>78</v>
      </c>
      <c r="DW89" s="11">
        <v>580</v>
      </c>
      <c r="DX89" s="12">
        <f t="shared" si="747"/>
        <v>0.69707602339181285</v>
      </c>
      <c r="DY89" s="11">
        <v>16</v>
      </c>
      <c r="DZ89" s="12">
        <f t="shared" si="748"/>
        <v>2.6845637583892617E-2</v>
      </c>
      <c r="EA89" s="11"/>
      <c r="EB89" s="11"/>
      <c r="EC89" s="18"/>
      <c r="ED89" s="20"/>
      <c r="EE89" s="10"/>
      <c r="EF89" s="11"/>
      <c r="EG89" s="69">
        <f t="shared" si="786"/>
        <v>863</v>
      </c>
      <c r="EH89" s="69">
        <f t="shared" si="786"/>
        <v>79</v>
      </c>
      <c r="EI89" s="11">
        <v>602</v>
      </c>
      <c r="EJ89" s="12">
        <f t="shared" si="749"/>
        <v>0.71726535341830822</v>
      </c>
      <c r="EK89" s="11">
        <v>17</v>
      </c>
      <c r="EL89" s="12">
        <f t="shared" si="750"/>
        <v>2.7463651050080775E-2</v>
      </c>
      <c r="EM89" s="11"/>
      <c r="EN89" s="11"/>
      <c r="EO89" s="18"/>
      <c r="EP89" s="20"/>
      <c r="EQ89" s="10"/>
      <c r="ER89" s="11"/>
      <c r="ES89" s="69">
        <f t="shared" si="787"/>
        <v>203</v>
      </c>
      <c r="ET89" s="69">
        <f t="shared" si="787"/>
        <v>16</v>
      </c>
      <c r="EU89" s="11">
        <v>158</v>
      </c>
      <c r="EV89" s="12">
        <f t="shared" si="751"/>
        <v>0.79802955665024633</v>
      </c>
      <c r="EW89" s="11">
        <v>4</v>
      </c>
      <c r="EX89" s="12">
        <f t="shared" si="752"/>
        <v>2.4691358024691357E-2</v>
      </c>
      <c r="EY89" s="11"/>
      <c r="EZ89" s="11"/>
      <c r="FA89" s="18"/>
      <c r="FB89" s="20"/>
      <c r="FC89" s="10"/>
      <c r="FD89" s="11"/>
      <c r="FE89" s="69">
        <f t="shared" si="788"/>
        <v>866</v>
      </c>
      <c r="FF89" s="69">
        <f t="shared" si="788"/>
        <v>78</v>
      </c>
      <c r="FG89" s="11">
        <v>656</v>
      </c>
      <c r="FH89" s="12">
        <f t="shared" si="753"/>
        <v>0.76096997690531176</v>
      </c>
      <c r="FI89" s="11">
        <v>3</v>
      </c>
      <c r="FJ89" s="12">
        <f t="shared" si="754"/>
        <v>4.552352048558422E-3</v>
      </c>
      <c r="FK89" s="11"/>
      <c r="FL89" s="11"/>
      <c r="FM89" s="18"/>
      <c r="FN89" s="20"/>
      <c r="FO89" s="10"/>
      <c r="FP89" s="11"/>
      <c r="FQ89" s="69">
        <f t="shared" si="789"/>
        <v>906</v>
      </c>
      <c r="FR89" s="69">
        <f t="shared" si="789"/>
        <v>81</v>
      </c>
      <c r="FS89" s="11">
        <v>648</v>
      </c>
      <c r="FT89" s="12">
        <f t="shared" si="755"/>
        <v>0.72847682119205293</v>
      </c>
      <c r="FU89" s="11">
        <v>12</v>
      </c>
      <c r="FV89" s="12">
        <f t="shared" si="756"/>
        <v>1.8181818181818181E-2</v>
      </c>
      <c r="FW89" s="11"/>
      <c r="FX89" s="11"/>
      <c r="FY89" s="18"/>
      <c r="FZ89" s="20"/>
      <c r="GA89" s="10"/>
      <c r="GB89" s="11"/>
      <c r="GC89" s="69">
        <f t="shared" si="790"/>
        <v>901</v>
      </c>
      <c r="GD89" s="69">
        <f t="shared" si="790"/>
        <v>82</v>
      </c>
      <c r="GE89" s="11">
        <v>679</v>
      </c>
      <c r="GF89" s="12">
        <f t="shared" si="757"/>
        <v>0.7702552719200888</v>
      </c>
      <c r="GG89" s="11">
        <v>15</v>
      </c>
      <c r="GH89" s="12">
        <f t="shared" si="758"/>
        <v>2.1613832853025938E-2</v>
      </c>
      <c r="GI89" s="11"/>
      <c r="GJ89" s="11"/>
      <c r="GK89" s="18"/>
      <c r="GL89" s="20"/>
      <c r="GM89" s="10"/>
      <c r="GN89" s="11"/>
      <c r="GO89" s="69">
        <f t="shared" si="791"/>
        <v>186</v>
      </c>
      <c r="GP89" s="69">
        <f t="shared" si="791"/>
        <v>17</v>
      </c>
      <c r="GQ89" s="11">
        <v>139</v>
      </c>
      <c r="GR89" s="12">
        <f t="shared" si="759"/>
        <v>0.75268817204301075</v>
      </c>
      <c r="GS89" s="11">
        <v>1</v>
      </c>
      <c r="GT89" s="12">
        <f t="shared" si="760"/>
        <v>7.1428571428571426E-3</v>
      </c>
      <c r="GU89" s="11"/>
      <c r="GV89" s="11"/>
      <c r="GW89" s="18"/>
      <c r="GX89" s="20"/>
      <c r="GY89" s="10"/>
      <c r="GZ89" s="11"/>
      <c r="HA89" s="69">
        <f t="shared" si="792"/>
        <v>910</v>
      </c>
      <c r="HB89" s="69">
        <f t="shared" si="792"/>
        <v>82</v>
      </c>
      <c r="HC89" s="11">
        <v>678</v>
      </c>
      <c r="HD89" s="12">
        <f t="shared" si="761"/>
        <v>0.75824175824175821</v>
      </c>
      <c r="HE89" s="11">
        <v>12</v>
      </c>
      <c r="HF89" s="12">
        <f t="shared" si="762"/>
        <v>1.7391304347826087E-2</v>
      </c>
      <c r="HG89" s="11"/>
      <c r="HH89" s="11"/>
      <c r="HI89" s="18"/>
      <c r="HJ89" s="20"/>
      <c r="HK89" s="10">
        <f t="shared" si="763"/>
        <v>4</v>
      </c>
      <c r="HL89" s="11">
        <f t="shared" si="763"/>
        <v>0</v>
      </c>
      <c r="HM89" s="11">
        <f t="shared" si="763"/>
        <v>12337</v>
      </c>
      <c r="HN89" s="11">
        <f t="shared" si="763"/>
        <v>1108</v>
      </c>
      <c r="HO89" s="11">
        <f t="shared" si="764"/>
        <v>9258</v>
      </c>
      <c r="HP89" s="95">
        <f t="shared" si="765"/>
        <v>0.75042554916106019</v>
      </c>
      <c r="HQ89" s="15">
        <f t="shared" si="766"/>
        <v>170</v>
      </c>
      <c r="HR89" s="12">
        <f t="shared" si="767"/>
        <v>1.8362497299632751E-2</v>
      </c>
      <c r="HS89" s="16">
        <v>58.9</v>
      </c>
      <c r="HT89" s="17">
        <v>8860</v>
      </c>
      <c r="HU89" s="16">
        <f t="shared" si="768"/>
        <v>95.70101533808598</v>
      </c>
      <c r="HV89" s="18"/>
      <c r="HW89" s="20"/>
      <c r="HX89" s="73">
        <f t="shared" si="769"/>
        <v>0.75433871932974272</v>
      </c>
      <c r="HY89" s="73">
        <f t="shared" si="770"/>
        <v>0.76157337367624811</v>
      </c>
      <c r="HZ89" s="73">
        <f t="shared" si="771"/>
        <v>0.73053462504485112</v>
      </c>
      <c r="IA89" s="73">
        <f t="shared" si="772"/>
        <v>0.75232518084739919</v>
      </c>
    </row>
    <row r="90" spans="1:244" x14ac:dyDescent="0.25">
      <c r="A90" s="374"/>
      <c r="B90" s="41">
        <f>+B89+1</f>
        <v>45008</v>
      </c>
      <c r="C90" s="10"/>
      <c r="D90" s="11"/>
      <c r="E90" s="69">
        <f t="shared" si="774"/>
        <v>846</v>
      </c>
      <c r="F90" s="69">
        <f t="shared" si="774"/>
        <v>75</v>
      </c>
      <c r="G90" s="11">
        <v>608</v>
      </c>
      <c r="H90" s="12">
        <f t="shared" si="728"/>
        <v>0.7364066193853428</v>
      </c>
      <c r="I90" s="11">
        <v>15</v>
      </c>
      <c r="J90" s="12">
        <f t="shared" si="775"/>
        <v>2.4077046548956663E-2</v>
      </c>
      <c r="K90" s="13"/>
      <c r="L90" s="13"/>
      <c r="M90" s="25">
        <v>3924</v>
      </c>
      <c r="N90" s="38">
        <v>4220</v>
      </c>
      <c r="O90" s="10"/>
      <c r="P90" s="11"/>
      <c r="Q90" s="69">
        <f t="shared" si="776"/>
        <v>766</v>
      </c>
      <c r="R90" s="69">
        <f t="shared" si="776"/>
        <v>68</v>
      </c>
      <c r="S90" s="11">
        <v>555</v>
      </c>
      <c r="T90" s="12">
        <f t="shared" si="729"/>
        <v>0.74281984334203655</v>
      </c>
      <c r="U90" s="11">
        <v>14</v>
      </c>
      <c r="V90" s="12">
        <f t="shared" si="730"/>
        <v>2.4604569420035149E-2</v>
      </c>
      <c r="W90" s="13"/>
      <c r="X90" s="13"/>
      <c r="Y90" s="25">
        <v>3924</v>
      </c>
      <c r="Z90" s="38">
        <v>4220</v>
      </c>
      <c r="AA90" s="10"/>
      <c r="AB90" s="11"/>
      <c r="AC90" s="69">
        <f t="shared" si="777"/>
        <v>182</v>
      </c>
      <c r="AD90" s="69">
        <f t="shared" si="777"/>
        <v>14</v>
      </c>
      <c r="AE90" s="11">
        <v>128</v>
      </c>
      <c r="AF90" s="12">
        <f t="shared" si="731"/>
        <v>0.70879120879120883</v>
      </c>
      <c r="AG90" s="11">
        <v>1</v>
      </c>
      <c r="AH90" s="12">
        <f t="shared" si="732"/>
        <v>7.7519379844961239E-3</v>
      </c>
      <c r="AI90" s="13"/>
      <c r="AJ90" s="13"/>
      <c r="AK90" s="25">
        <v>3924</v>
      </c>
      <c r="AL90" s="38">
        <v>4220</v>
      </c>
      <c r="AM90" s="10"/>
      <c r="AN90" s="11"/>
      <c r="AO90" s="69">
        <f t="shared" si="778"/>
        <v>775</v>
      </c>
      <c r="AP90" s="69">
        <f t="shared" si="778"/>
        <v>69</v>
      </c>
      <c r="AQ90" s="11">
        <v>571</v>
      </c>
      <c r="AR90" s="12">
        <f t="shared" si="733"/>
        <v>0.74709677419354836</v>
      </c>
      <c r="AS90" s="11">
        <v>8</v>
      </c>
      <c r="AT90" s="12">
        <f t="shared" si="734"/>
        <v>1.3816925734024179E-2</v>
      </c>
      <c r="AU90" s="13"/>
      <c r="AV90" s="13"/>
      <c r="AW90" s="25">
        <v>3924</v>
      </c>
      <c r="AX90" s="38">
        <v>4220</v>
      </c>
      <c r="AY90" s="10"/>
      <c r="AZ90" s="11"/>
      <c r="BA90" s="69">
        <f t="shared" si="779"/>
        <v>773</v>
      </c>
      <c r="BB90" s="69">
        <f t="shared" si="779"/>
        <v>69</v>
      </c>
      <c r="BC90" s="11">
        <v>569</v>
      </c>
      <c r="BD90" s="12">
        <f t="shared" si="735"/>
        <v>0.7438551099611902</v>
      </c>
      <c r="BE90" s="11">
        <v>6</v>
      </c>
      <c r="BF90" s="12">
        <f t="shared" si="736"/>
        <v>1.0434782608695653E-2</v>
      </c>
      <c r="BG90" s="13"/>
      <c r="BH90" s="13"/>
      <c r="BI90" s="25">
        <v>3924</v>
      </c>
      <c r="BJ90" s="38">
        <v>4220</v>
      </c>
      <c r="BK90" s="10">
        <v>1</v>
      </c>
      <c r="BL90" s="11"/>
      <c r="BM90" s="69">
        <f t="shared" si="780"/>
        <v>841</v>
      </c>
      <c r="BN90" s="69">
        <f t="shared" si="780"/>
        <v>77</v>
      </c>
      <c r="BO90" s="11">
        <v>597</v>
      </c>
      <c r="BP90" s="12">
        <f t="shared" si="737"/>
        <v>0.7146254458977408</v>
      </c>
      <c r="BQ90" s="11">
        <v>4</v>
      </c>
      <c r="BR90" s="12">
        <f t="shared" si="738"/>
        <v>6.6555740432612314E-3</v>
      </c>
      <c r="BS90" s="13"/>
      <c r="BT90" s="13"/>
      <c r="BU90" s="25">
        <v>3924</v>
      </c>
      <c r="BV90" s="38">
        <v>4220</v>
      </c>
      <c r="BW90" s="10"/>
      <c r="BX90" s="11"/>
      <c r="BY90" s="69">
        <f t="shared" si="781"/>
        <v>760</v>
      </c>
      <c r="BZ90" s="69">
        <f t="shared" si="781"/>
        <v>68</v>
      </c>
      <c r="CA90" s="11">
        <v>577</v>
      </c>
      <c r="CB90" s="12">
        <f t="shared" si="739"/>
        <v>0.76842105263157889</v>
      </c>
      <c r="CC90" s="11">
        <v>7</v>
      </c>
      <c r="CD90" s="12">
        <f t="shared" si="740"/>
        <v>1.1986301369863013E-2</v>
      </c>
      <c r="CE90" s="13"/>
      <c r="CF90" s="13"/>
      <c r="CG90" s="25">
        <v>3924</v>
      </c>
      <c r="CH90" s="38">
        <v>4220</v>
      </c>
      <c r="CI90" s="10">
        <v>1</v>
      </c>
      <c r="CJ90" s="11"/>
      <c r="CK90" s="69">
        <f t="shared" si="782"/>
        <v>181</v>
      </c>
      <c r="CL90" s="69">
        <f t="shared" si="782"/>
        <v>17</v>
      </c>
      <c r="CM90" s="11">
        <v>118</v>
      </c>
      <c r="CN90" s="12">
        <f t="shared" si="741"/>
        <v>0.65745856353591159</v>
      </c>
      <c r="CO90" s="11">
        <v>1</v>
      </c>
      <c r="CP90" s="12">
        <f t="shared" si="742"/>
        <v>8.4033613445378148E-3</v>
      </c>
      <c r="CQ90" s="13"/>
      <c r="CR90" s="13"/>
      <c r="CS90" s="25">
        <v>3924</v>
      </c>
      <c r="CT90" s="38">
        <v>4220</v>
      </c>
      <c r="CU90" s="10">
        <v>1</v>
      </c>
      <c r="CV90" s="11"/>
      <c r="CW90" s="69">
        <f t="shared" si="783"/>
        <v>757</v>
      </c>
      <c r="CX90" s="69">
        <f t="shared" si="783"/>
        <v>68</v>
      </c>
      <c r="CY90" s="11">
        <v>552</v>
      </c>
      <c r="CZ90" s="12">
        <f t="shared" si="743"/>
        <v>0.73183619550858647</v>
      </c>
      <c r="DA90" s="11">
        <v>2</v>
      </c>
      <c r="DB90" s="12">
        <f t="shared" si="744"/>
        <v>3.6101083032490976E-3</v>
      </c>
      <c r="DC90" s="13"/>
      <c r="DD90" s="13"/>
      <c r="DE90" s="25">
        <v>3924</v>
      </c>
      <c r="DF90" s="38">
        <v>4220</v>
      </c>
      <c r="DG90" s="10"/>
      <c r="DH90" s="11"/>
      <c r="DI90" s="69">
        <f t="shared" si="784"/>
        <v>763</v>
      </c>
      <c r="DJ90" s="69">
        <f t="shared" si="784"/>
        <v>70</v>
      </c>
      <c r="DK90" s="11">
        <v>581</v>
      </c>
      <c r="DL90" s="12">
        <f t="shared" si="745"/>
        <v>0.7771952817824378</v>
      </c>
      <c r="DM90" s="11">
        <v>12</v>
      </c>
      <c r="DN90" s="12">
        <f t="shared" si="746"/>
        <v>2.0236087689713321E-2</v>
      </c>
      <c r="DO90" s="13"/>
      <c r="DP90" s="13"/>
      <c r="DQ90" s="25">
        <v>3924</v>
      </c>
      <c r="DR90" s="38">
        <v>4220</v>
      </c>
      <c r="DS90" s="10"/>
      <c r="DT90" s="11"/>
      <c r="DU90" s="69">
        <f t="shared" si="785"/>
        <v>855</v>
      </c>
      <c r="DV90" s="69">
        <f t="shared" si="785"/>
        <v>78</v>
      </c>
      <c r="DW90" s="11">
        <v>630</v>
      </c>
      <c r="DX90" s="12">
        <f t="shared" si="747"/>
        <v>0.74970760233918132</v>
      </c>
      <c r="DY90" s="11">
        <v>11</v>
      </c>
      <c r="DZ90" s="12">
        <f t="shared" si="748"/>
        <v>1.7160686427457099E-2</v>
      </c>
      <c r="EA90" s="13"/>
      <c r="EB90" s="13"/>
      <c r="EC90" s="25">
        <v>3924</v>
      </c>
      <c r="ED90" s="38">
        <v>4220</v>
      </c>
      <c r="EE90" s="10"/>
      <c r="EF90" s="11"/>
      <c r="EG90" s="69">
        <f t="shared" si="786"/>
        <v>863</v>
      </c>
      <c r="EH90" s="69">
        <f t="shared" si="786"/>
        <v>79</v>
      </c>
      <c r="EI90" s="11">
        <v>601</v>
      </c>
      <c r="EJ90" s="12">
        <f t="shared" si="749"/>
        <v>0.7114716106604867</v>
      </c>
      <c r="EK90" s="11">
        <v>13</v>
      </c>
      <c r="EL90" s="12">
        <f t="shared" si="750"/>
        <v>2.1172638436482084E-2</v>
      </c>
      <c r="EM90" s="13"/>
      <c r="EN90" s="13"/>
      <c r="EO90" s="25">
        <v>3924</v>
      </c>
      <c r="EP90" s="38">
        <v>4220</v>
      </c>
      <c r="EQ90" s="10"/>
      <c r="ER90" s="11"/>
      <c r="ES90" s="69">
        <f t="shared" si="787"/>
        <v>203</v>
      </c>
      <c r="ET90" s="69">
        <f t="shared" si="787"/>
        <v>16</v>
      </c>
      <c r="EU90" s="11">
        <v>142</v>
      </c>
      <c r="EV90" s="12">
        <f t="shared" si="751"/>
        <v>0.73399014778325122</v>
      </c>
      <c r="EW90" s="11">
        <v>7</v>
      </c>
      <c r="EX90" s="12">
        <f t="shared" si="752"/>
        <v>4.6979865771812082E-2</v>
      </c>
      <c r="EY90" s="13"/>
      <c r="EZ90" s="13"/>
      <c r="FA90" s="25">
        <v>3924</v>
      </c>
      <c r="FB90" s="38">
        <v>4220</v>
      </c>
      <c r="FC90" s="10"/>
      <c r="FD90" s="11"/>
      <c r="FE90" s="69">
        <f t="shared" si="788"/>
        <v>866</v>
      </c>
      <c r="FF90" s="69">
        <f t="shared" si="788"/>
        <v>78</v>
      </c>
      <c r="FG90" s="11">
        <v>670</v>
      </c>
      <c r="FH90" s="12">
        <f t="shared" si="753"/>
        <v>0.78290993071593529</v>
      </c>
      <c r="FI90" s="11">
        <v>8</v>
      </c>
      <c r="FJ90" s="12">
        <f t="shared" si="754"/>
        <v>1.1799410029498525E-2</v>
      </c>
      <c r="FK90" s="13"/>
      <c r="FL90" s="13"/>
      <c r="FM90" s="25">
        <v>3924</v>
      </c>
      <c r="FN90" s="38">
        <v>4220</v>
      </c>
      <c r="FO90" s="10"/>
      <c r="FP90" s="11"/>
      <c r="FQ90" s="69">
        <f t="shared" si="789"/>
        <v>906</v>
      </c>
      <c r="FR90" s="69">
        <f t="shared" si="789"/>
        <v>81</v>
      </c>
      <c r="FS90" s="11">
        <v>665</v>
      </c>
      <c r="FT90" s="12">
        <f t="shared" si="755"/>
        <v>0.7472406181015453</v>
      </c>
      <c r="FU90" s="11">
        <v>12</v>
      </c>
      <c r="FV90" s="12">
        <f t="shared" si="756"/>
        <v>1.7725258493353029E-2</v>
      </c>
      <c r="FW90" s="13"/>
      <c r="FX90" s="13"/>
      <c r="FY90" s="25">
        <v>3924</v>
      </c>
      <c r="FZ90" s="38">
        <v>4220</v>
      </c>
      <c r="GA90" s="10">
        <v>1</v>
      </c>
      <c r="GB90" s="11">
        <v>1</v>
      </c>
      <c r="GC90" s="69">
        <f t="shared" si="790"/>
        <v>900</v>
      </c>
      <c r="GD90" s="69">
        <f t="shared" si="790"/>
        <v>81</v>
      </c>
      <c r="GE90" s="11">
        <v>681</v>
      </c>
      <c r="GF90" s="12">
        <f t="shared" si="757"/>
        <v>0.76777777777777778</v>
      </c>
      <c r="GG90" s="11">
        <v>10</v>
      </c>
      <c r="GH90" s="12">
        <f t="shared" si="758"/>
        <v>1.4471780028943559E-2</v>
      </c>
      <c r="GI90" s="13"/>
      <c r="GJ90" s="13"/>
      <c r="GK90" s="25">
        <v>3924</v>
      </c>
      <c r="GL90" s="38">
        <v>4220</v>
      </c>
      <c r="GM90" s="10"/>
      <c r="GN90" s="11"/>
      <c r="GO90" s="69">
        <f t="shared" si="791"/>
        <v>186</v>
      </c>
      <c r="GP90" s="69">
        <f t="shared" si="791"/>
        <v>17</v>
      </c>
      <c r="GQ90" s="11">
        <v>145</v>
      </c>
      <c r="GR90" s="12">
        <f t="shared" si="759"/>
        <v>0.79032258064516125</v>
      </c>
      <c r="GS90" s="11">
        <v>2</v>
      </c>
      <c r="GT90" s="12">
        <f t="shared" si="760"/>
        <v>1.3605442176870748E-2</v>
      </c>
      <c r="GU90" s="13"/>
      <c r="GV90" s="13"/>
      <c r="GW90" s="25">
        <v>3924</v>
      </c>
      <c r="GX90" s="38">
        <v>4220</v>
      </c>
      <c r="GY90" s="10"/>
      <c r="GZ90" s="11"/>
      <c r="HA90" s="69">
        <f t="shared" si="792"/>
        <v>910</v>
      </c>
      <c r="HB90" s="69">
        <f t="shared" si="792"/>
        <v>82</v>
      </c>
      <c r="HC90" s="11">
        <v>695</v>
      </c>
      <c r="HD90" s="12">
        <f t="shared" si="761"/>
        <v>0.77362637362637365</v>
      </c>
      <c r="HE90" s="11">
        <v>9</v>
      </c>
      <c r="HF90" s="12">
        <f t="shared" si="762"/>
        <v>1.278409090909091E-2</v>
      </c>
      <c r="HG90" s="13"/>
      <c r="HH90" s="13"/>
      <c r="HI90" s="25">
        <v>3924</v>
      </c>
      <c r="HJ90" s="38">
        <v>4220</v>
      </c>
      <c r="HK90" s="10">
        <f t="shared" si="763"/>
        <v>4</v>
      </c>
      <c r="HL90" s="11">
        <f t="shared" si="763"/>
        <v>1</v>
      </c>
      <c r="HM90" s="11">
        <f t="shared" si="763"/>
        <v>12333</v>
      </c>
      <c r="HN90" s="11">
        <f t="shared" si="763"/>
        <v>1107</v>
      </c>
      <c r="HO90" s="11">
        <f t="shared" si="764"/>
        <v>9227</v>
      </c>
      <c r="HP90" s="95">
        <f t="shared" si="765"/>
        <v>0.74815535555015</v>
      </c>
      <c r="HQ90" s="15">
        <f t="shared" si="766"/>
        <v>142</v>
      </c>
      <c r="HR90" s="12">
        <f t="shared" si="767"/>
        <v>1.5389617427116073E-2</v>
      </c>
      <c r="HS90" s="16">
        <v>58.8</v>
      </c>
      <c r="HT90" s="17">
        <v>8888</v>
      </c>
      <c r="HU90" s="16">
        <f t="shared" si="768"/>
        <v>96.325999783244825</v>
      </c>
      <c r="HV90" s="23">
        <v>3924</v>
      </c>
      <c r="HW90" s="22">
        <v>4220</v>
      </c>
      <c r="HX90" s="73">
        <f t="shared" si="769"/>
        <v>0.7405745062836625</v>
      </c>
      <c r="HY90" s="73">
        <f t="shared" si="770"/>
        <v>0.74227740763173833</v>
      </c>
      <c r="HZ90" s="73">
        <f t="shared" si="771"/>
        <v>0.74703982777179767</v>
      </c>
      <c r="IA90" s="73">
        <f t="shared" si="772"/>
        <v>0.76464507236388701</v>
      </c>
    </row>
    <row r="91" spans="1:244" x14ac:dyDescent="0.25">
      <c r="A91" s="374"/>
      <c r="B91" s="41">
        <f t="shared" si="773"/>
        <v>45009</v>
      </c>
      <c r="C91" s="10"/>
      <c r="D91" s="11"/>
      <c r="E91" s="69">
        <f t="shared" si="774"/>
        <v>846</v>
      </c>
      <c r="F91" s="69">
        <f t="shared" si="774"/>
        <v>75</v>
      </c>
      <c r="G91" s="11">
        <v>652</v>
      </c>
      <c r="H91" s="12">
        <f t="shared" si="728"/>
        <v>0.77777777777777779</v>
      </c>
      <c r="I91" s="11">
        <v>6</v>
      </c>
      <c r="J91" s="12">
        <f t="shared" si="775"/>
        <v>9.11854103343465E-3</v>
      </c>
      <c r="K91" s="13"/>
      <c r="L91" s="11"/>
      <c r="M91" s="25">
        <v>4486.74</v>
      </c>
      <c r="N91" s="38">
        <v>4451.33</v>
      </c>
      <c r="O91" s="10"/>
      <c r="P91" s="11"/>
      <c r="Q91" s="69">
        <f t="shared" si="776"/>
        <v>766</v>
      </c>
      <c r="R91" s="69">
        <f t="shared" si="776"/>
        <v>68</v>
      </c>
      <c r="S91" s="11">
        <v>545</v>
      </c>
      <c r="T91" s="12">
        <f t="shared" si="729"/>
        <v>0.71671018276762399</v>
      </c>
      <c r="U91" s="11">
        <v>4</v>
      </c>
      <c r="V91" s="12">
        <f t="shared" si="730"/>
        <v>7.2859744990892532E-3</v>
      </c>
      <c r="W91" s="13"/>
      <c r="X91" s="11"/>
      <c r="Y91" s="25">
        <v>4575.26</v>
      </c>
      <c r="Z91" s="38">
        <v>4575.33</v>
      </c>
      <c r="AA91" s="10"/>
      <c r="AB91" s="11"/>
      <c r="AC91" s="69">
        <f t="shared" si="777"/>
        <v>182</v>
      </c>
      <c r="AD91" s="69">
        <f t="shared" si="777"/>
        <v>14</v>
      </c>
      <c r="AE91" s="11">
        <v>147</v>
      </c>
      <c r="AF91" s="12">
        <f t="shared" si="731"/>
        <v>0.81868131868131866</v>
      </c>
      <c r="AG91" s="11">
        <v>2</v>
      </c>
      <c r="AH91" s="12">
        <f t="shared" si="732"/>
        <v>1.3422818791946308E-2</v>
      </c>
      <c r="AI91" s="13"/>
      <c r="AJ91" s="11"/>
      <c r="AK91" s="25">
        <v>4598.75</v>
      </c>
      <c r="AL91" s="38">
        <v>4692</v>
      </c>
      <c r="AM91" s="10"/>
      <c r="AN91" s="11"/>
      <c r="AO91" s="69">
        <f t="shared" si="778"/>
        <v>775</v>
      </c>
      <c r="AP91" s="69">
        <f t="shared" si="778"/>
        <v>69</v>
      </c>
      <c r="AQ91" s="11">
        <v>573</v>
      </c>
      <c r="AR91" s="12">
        <f t="shared" si="733"/>
        <v>0.74838709677419357</v>
      </c>
      <c r="AS91" s="11">
        <v>7</v>
      </c>
      <c r="AT91" s="12">
        <f t="shared" si="734"/>
        <v>1.2068965517241379E-2</v>
      </c>
      <c r="AU91" s="13"/>
      <c r="AV91" s="11"/>
      <c r="AW91" s="25">
        <v>4421.79</v>
      </c>
      <c r="AX91" s="38">
        <v>4545.38</v>
      </c>
      <c r="AY91" s="10"/>
      <c r="AZ91" s="11"/>
      <c r="BA91" s="69">
        <f t="shared" si="779"/>
        <v>773</v>
      </c>
      <c r="BB91" s="69">
        <f t="shared" si="779"/>
        <v>69</v>
      </c>
      <c r="BC91" s="11">
        <v>612</v>
      </c>
      <c r="BD91" s="12">
        <f t="shared" si="735"/>
        <v>0.80983182406209575</v>
      </c>
      <c r="BE91" s="11">
        <v>14</v>
      </c>
      <c r="BF91" s="12">
        <f t="shared" si="736"/>
        <v>2.2364217252396165E-2</v>
      </c>
      <c r="BG91" s="13"/>
      <c r="BH91" s="11"/>
      <c r="BI91" s="25">
        <v>4471.58</v>
      </c>
      <c r="BJ91" s="38">
        <v>4472.1400000000003</v>
      </c>
      <c r="BK91" s="10"/>
      <c r="BL91" s="11"/>
      <c r="BM91" s="69">
        <f t="shared" si="780"/>
        <v>841</v>
      </c>
      <c r="BN91" s="69">
        <f t="shared" si="780"/>
        <v>77</v>
      </c>
      <c r="BO91" s="11">
        <v>619</v>
      </c>
      <c r="BP91" s="12">
        <f t="shared" si="737"/>
        <v>0.74435196195005948</v>
      </c>
      <c r="BQ91" s="11">
        <v>7</v>
      </c>
      <c r="BR91" s="12">
        <f t="shared" si="738"/>
        <v>1.1182108626198083E-2</v>
      </c>
      <c r="BS91" s="13"/>
      <c r="BT91" s="11"/>
      <c r="BU91" s="25">
        <v>4356.74</v>
      </c>
      <c r="BV91" s="38">
        <v>4579.17</v>
      </c>
      <c r="BW91" s="10"/>
      <c r="BX91" s="11"/>
      <c r="BY91" s="69">
        <f t="shared" si="781"/>
        <v>760</v>
      </c>
      <c r="BZ91" s="69">
        <f t="shared" si="781"/>
        <v>68</v>
      </c>
      <c r="CA91" s="11">
        <v>582</v>
      </c>
      <c r="CB91" s="12">
        <f t="shared" si="739"/>
        <v>0.77763157894736845</v>
      </c>
      <c r="CC91" s="11">
        <v>9</v>
      </c>
      <c r="CD91" s="12">
        <f t="shared" si="740"/>
        <v>1.5228426395939087E-2</v>
      </c>
      <c r="CE91" s="13"/>
      <c r="CF91" s="11"/>
      <c r="CG91" s="25">
        <v>4471.79</v>
      </c>
      <c r="CH91" s="38">
        <v>4520.67</v>
      </c>
      <c r="CI91" s="10"/>
      <c r="CJ91" s="11"/>
      <c r="CK91" s="69">
        <f t="shared" si="782"/>
        <v>181</v>
      </c>
      <c r="CL91" s="69">
        <f t="shared" si="782"/>
        <v>17</v>
      </c>
      <c r="CM91" s="11">
        <v>131</v>
      </c>
      <c r="CN91" s="12">
        <f t="shared" si="741"/>
        <v>0.74033149171270718</v>
      </c>
      <c r="CO91" s="11">
        <v>3</v>
      </c>
      <c r="CP91" s="12">
        <f t="shared" si="742"/>
        <v>2.2388059701492536E-2</v>
      </c>
      <c r="CQ91" s="13"/>
      <c r="CR91" s="11"/>
      <c r="CS91" s="25">
        <v>4737</v>
      </c>
      <c r="CT91" s="38">
        <v>4444</v>
      </c>
      <c r="CU91" s="10"/>
      <c r="CV91" s="11"/>
      <c r="CW91" s="69">
        <f t="shared" si="783"/>
        <v>757</v>
      </c>
      <c r="CX91" s="69">
        <f t="shared" si="783"/>
        <v>68</v>
      </c>
      <c r="CY91" s="11">
        <v>604</v>
      </c>
      <c r="CZ91" s="12">
        <f t="shared" si="743"/>
        <v>0.80845442536327605</v>
      </c>
      <c r="DA91" s="11">
        <v>8</v>
      </c>
      <c r="DB91" s="12">
        <f t="shared" si="744"/>
        <v>1.3071895424836602E-2</v>
      </c>
      <c r="DC91" s="13"/>
      <c r="DD91" s="11"/>
      <c r="DE91" s="25">
        <v>4409.74</v>
      </c>
      <c r="DF91" s="38">
        <v>4604</v>
      </c>
      <c r="DG91" s="10"/>
      <c r="DH91" s="11"/>
      <c r="DI91" s="69">
        <f t="shared" si="784"/>
        <v>763</v>
      </c>
      <c r="DJ91" s="69">
        <f t="shared" si="784"/>
        <v>70</v>
      </c>
      <c r="DK91" s="11">
        <v>556</v>
      </c>
      <c r="DL91" s="12">
        <f t="shared" si="745"/>
        <v>0.74967234600262123</v>
      </c>
      <c r="DM91" s="11">
        <v>16</v>
      </c>
      <c r="DN91" s="12">
        <f t="shared" si="746"/>
        <v>2.7972027972027972E-2</v>
      </c>
      <c r="DO91" s="13"/>
      <c r="DP91" s="11"/>
      <c r="DQ91" s="25">
        <v>4520.25</v>
      </c>
      <c r="DR91" s="38">
        <v>4539.2299999999996</v>
      </c>
      <c r="DS91" s="10">
        <v>1</v>
      </c>
      <c r="DT91" s="11"/>
      <c r="DU91" s="69">
        <f t="shared" si="785"/>
        <v>854</v>
      </c>
      <c r="DV91" s="69">
        <f t="shared" si="785"/>
        <v>78</v>
      </c>
      <c r="DW91" s="11">
        <v>624</v>
      </c>
      <c r="DX91" s="12">
        <f t="shared" si="747"/>
        <v>0.74824355971896961</v>
      </c>
      <c r="DY91" s="11">
        <v>15</v>
      </c>
      <c r="DZ91" s="12">
        <f t="shared" si="748"/>
        <v>2.3474178403755867E-2</v>
      </c>
      <c r="EA91" s="13"/>
      <c r="EB91" s="11"/>
      <c r="EC91" s="25">
        <v>4406.3</v>
      </c>
      <c r="ED91" s="38">
        <v>4494.38</v>
      </c>
      <c r="EE91" s="10">
        <v>1</v>
      </c>
      <c r="EF91" s="11"/>
      <c r="EG91" s="69">
        <f t="shared" si="786"/>
        <v>862</v>
      </c>
      <c r="EH91" s="69">
        <f t="shared" si="786"/>
        <v>79</v>
      </c>
      <c r="EI91" s="11">
        <v>616</v>
      </c>
      <c r="EJ91" s="12">
        <f t="shared" si="749"/>
        <v>0.73201856148491884</v>
      </c>
      <c r="EK91" s="11">
        <v>15</v>
      </c>
      <c r="EL91" s="12">
        <f t="shared" si="750"/>
        <v>2.3771790808240888E-2</v>
      </c>
      <c r="EM91" s="13"/>
      <c r="EN91" s="11"/>
      <c r="EO91" s="25">
        <v>4412.8599999999997</v>
      </c>
      <c r="EP91" s="38">
        <v>4359.38</v>
      </c>
      <c r="EQ91" s="10">
        <v>1</v>
      </c>
      <c r="ER91" s="11"/>
      <c r="ES91" s="69">
        <f t="shared" si="787"/>
        <v>202</v>
      </c>
      <c r="ET91" s="69">
        <f t="shared" si="787"/>
        <v>16</v>
      </c>
      <c r="EU91" s="11">
        <v>130</v>
      </c>
      <c r="EV91" s="12">
        <f t="shared" si="751"/>
        <v>0.64851485148514854</v>
      </c>
      <c r="EW91" s="11">
        <v>1</v>
      </c>
      <c r="EX91" s="12">
        <f t="shared" si="752"/>
        <v>7.6335877862595417E-3</v>
      </c>
      <c r="EY91" s="13"/>
      <c r="EZ91" s="11"/>
      <c r="FA91" s="25">
        <v>4540</v>
      </c>
      <c r="FB91" s="38">
        <v>4500</v>
      </c>
      <c r="FC91" s="10"/>
      <c r="FD91" s="11"/>
      <c r="FE91" s="69">
        <f t="shared" si="788"/>
        <v>866</v>
      </c>
      <c r="FF91" s="69">
        <f t="shared" si="788"/>
        <v>78</v>
      </c>
      <c r="FG91" s="11">
        <v>674</v>
      </c>
      <c r="FH91" s="12">
        <f t="shared" si="753"/>
        <v>0.78290993071593529</v>
      </c>
      <c r="FI91" s="11">
        <v>4</v>
      </c>
      <c r="FJ91" s="12">
        <f t="shared" si="754"/>
        <v>5.8997050147492625E-3</v>
      </c>
      <c r="FK91" s="13"/>
      <c r="FL91" s="11"/>
      <c r="FM91" s="25">
        <v>4470.5</v>
      </c>
      <c r="FN91" s="38">
        <v>4495.3</v>
      </c>
      <c r="FO91" s="10"/>
      <c r="FP91" s="11"/>
      <c r="FQ91" s="69">
        <f t="shared" si="789"/>
        <v>906</v>
      </c>
      <c r="FR91" s="69">
        <f t="shared" si="789"/>
        <v>81</v>
      </c>
      <c r="FS91" s="11">
        <v>651</v>
      </c>
      <c r="FT91" s="12">
        <f t="shared" si="755"/>
        <v>0.73289183222958054</v>
      </c>
      <c r="FU91" s="11">
        <v>13</v>
      </c>
      <c r="FV91" s="12">
        <f t="shared" si="756"/>
        <v>1.9578313253012049E-2</v>
      </c>
      <c r="FW91" s="13"/>
      <c r="FX91" s="11"/>
      <c r="FY91" s="25">
        <v>4395.74</v>
      </c>
      <c r="FZ91" s="38">
        <v>4388.75</v>
      </c>
      <c r="GA91" s="10"/>
      <c r="GB91" s="11"/>
      <c r="GC91" s="69">
        <f t="shared" si="790"/>
        <v>900</v>
      </c>
      <c r="GD91" s="69">
        <f t="shared" si="790"/>
        <v>81</v>
      </c>
      <c r="GE91" s="11">
        <v>664</v>
      </c>
      <c r="GF91" s="12">
        <f t="shared" si="757"/>
        <v>0.74777777777777776</v>
      </c>
      <c r="GG91" s="11">
        <v>9</v>
      </c>
      <c r="GH91" s="12">
        <f t="shared" si="758"/>
        <v>1.3372956909361069E-2</v>
      </c>
      <c r="GI91" s="13"/>
      <c r="GJ91" s="11"/>
      <c r="GK91" s="25">
        <v>4299.8</v>
      </c>
      <c r="GL91" s="38">
        <v>4368.2</v>
      </c>
      <c r="GM91" s="10"/>
      <c r="GN91" s="11"/>
      <c r="GO91" s="69">
        <f t="shared" si="791"/>
        <v>186</v>
      </c>
      <c r="GP91" s="69">
        <f t="shared" si="791"/>
        <v>17</v>
      </c>
      <c r="GQ91" s="11">
        <v>137</v>
      </c>
      <c r="GR91" s="12">
        <f t="shared" si="759"/>
        <v>0.75806451612903225</v>
      </c>
      <c r="GS91" s="11">
        <v>4</v>
      </c>
      <c r="GT91" s="12">
        <f t="shared" si="760"/>
        <v>2.8368794326241134E-2</v>
      </c>
      <c r="GU91" s="13"/>
      <c r="GV91" s="11"/>
      <c r="GW91" s="25">
        <v>4120.71</v>
      </c>
      <c r="GX91" s="38">
        <v>4380</v>
      </c>
      <c r="GY91" s="10"/>
      <c r="GZ91" s="11"/>
      <c r="HA91" s="69">
        <f t="shared" si="792"/>
        <v>910</v>
      </c>
      <c r="HB91" s="69">
        <f t="shared" si="792"/>
        <v>82</v>
      </c>
      <c r="HC91" s="11">
        <v>707</v>
      </c>
      <c r="HD91" s="12">
        <f t="shared" si="761"/>
        <v>0.78351648351648351</v>
      </c>
      <c r="HE91" s="11">
        <v>6</v>
      </c>
      <c r="HF91" s="12">
        <f t="shared" si="762"/>
        <v>8.4151472650771386E-3</v>
      </c>
      <c r="HG91" s="13"/>
      <c r="HH91" s="11"/>
      <c r="HI91" s="25">
        <v>4364.7700000000004</v>
      </c>
      <c r="HJ91" s="38">
        <v>4456.47</v>
      </c>
      <c r="HK91" s="10">
        <f t="shared" si="763"/>
        <v>3</v>
      </c>
      <c r="HL91" s="11">
        <f t="shared" si="763"/>
        <v>0</v>
      </c>
      <c r="HM91" s="11">
        <f t="shared" si="763"/>
        <v>12330</v>
      </c>
      <c r="HN91" s="11">
        <f t="shared" si="763"/>
        <v>1107</v>
      </c>
      <c r="HO91" s="11">
        <f t="shared" si="764"/>
        <v>9367</v>
      </c>
      <c r="HP91" s="95">
        <f t="shared" si="765"/>
        <v>0.75969180859691809</v>
      </c>
      <c r="HQ91" s="15">
        <f t="shared" si="766"/>
        <v>143</v>
      </c>
      <c r="HR91" s="12">
        <f t="shared" si="767"/>
        <v>1.5266360627735667E-2</v>
      </c>
      <c r="HS91" s="16">
        <v>59.4</v>
      </c>
      <c r="HT91" s="17">
        <v>9030</v>
      </c>
      <c r="HU91" s="16">
        <f t="shared" si="768"/>
        <v>96.402263264652504</v>
      </c>
      <c r="HV91" s="23">
        <v>4431.6499999999996</v>
      </c>
      <c r="HW91" s="22">
        <v>4486.6099999999997</v>
      </c>
      <c r="HX91" s="73">
        <f t="shared" si="769"/>
        <v>0.76660682226211851</v>
      </c>
      <c r="HY91" s="73">
        <f t="shared" si="770"/>
        <v>0.76771653543307083</v>
      </c>
      <c r="HZ91" s="73">
        <f t="shared" si="771"/>
        <v>0.74676724137931039</v>
      </c>
      <c r="IA91" s="73">
        <f t="shared" si="772"/>
        <v>0.75499655410062028</v>
      </c>
    </row>
    <row r="92" spans="1:244" x14ac:dyDescent="0.25">
      <c r="A92" s="374"/>
      <c r="B92" s="41">
        <f t="shared" si="773"/>
        <v>45010</v>
      </c>
      <c r="C92" s="10"/>
      <c r="D92" s="11"/>
      <c r="E92" s="69">
        <f t="shared" si="774"/>
        <v>846</v>
      </c>
      <c r="F92" s="69">
        <f t="shared" si="774"/>
        <v>75</v>
      </c>
      <c r="G92" s="11">
        <v>622</v>
      </c>
      <c r="H92" s="12">
        <f t="shared" si="728"/>
        <v>0.75295508274231682</v>
      </c>
      <c r="I92" s="11">
        <v>15</v>
      </c>
      <c r="J92" s="12">
        <f t="shared" si="775"/>
        <v>2.3547880690737835E-2</v>
      </c>
      <c r="K92" s="13"/>
      <c r="L92" s="11"/>
      <c r="M92" s="39">
        <v>88.4</v>
      </c>
      <c r="N92" s="43">
        <v>100</v>
      </c>
      <c r="O92" s="10"/>
      <c r="P92" s="11"/>
      <c r="Q92" s="69">
        <f t="shared" si="776"/>
        <v>766</v>
      </c>
      <c r="R92" s="69">
        <f t="shared" si="776"/>
        <v>68</v>
      </c>
      <c r="S92" s="11">
        <v>558</v>
      </c>
      <c r="T92" s="12">
        <f t="shared" si="729"/>
        <v>0.74151436031331597</v>
      </c>
      <c r="U92" s="11">
        <v>10</v>
      </c>
      <c r="V92" s="12">
        <f t="shared" si="730"/>
        <v>1.7605633802816902E-2</v>
      </c>
      <c r="W92" s="13"/>
      <c r="X92" s="11"/>
      <c r="Y92" s="39">
        <v>86.84</v>
      </c>
      <c r="Z92" s="43">
        <v>93.33</v>
      </c>
      <c r="AA92" s="10"/>
      <c r="AB92" s="11"/>
      <c r="AC92" s="69">
        <f t="shared" si="777"/>
        <v>182</v>
      </c>
      <c r="AD92" s="69">
        <f t="shared" si="777"/>
        <v>14</v>
      </c>
      <c r="AE92" s="11">
        <v>130</v>
      </c>
      <c r="AF92" s="12">
        <f t="shared" si="731"/>
        <v>0.73076923076923073</v>
      </c>
      <c r="AG92" s="11">
        <v>3</v>
      </c>
      <c r="AH92" s="12">
        <f t="shared" si="732"/>
        <v>2.2556390977443608E-2</v>
      </c>
      <c r="AI92" s="13"/>
      <c r="AJ92" s="11"/>
      <c r="AK92" s="39">
        <v>100</v>
      </c>
      <c r="AL92" s="43">
        <v>100</v>
      </c>
      <c r="AM92" s="10"/>
      <c r="AN92" s="11"/>
      <c r="AO92" s="69">
        <f t="shared" si="778"/>
        <v>775</v>
      </c>
      <c r="AP92" s="69">
        <f t="shared" si="778"/>
        <v>69</v>
      </c>
      <c r="AQ92" s="11">
        <v>597</v>
      </c>
      <c r="AR92" s="12">
        <f t="shared" si="733"/>
        <v>0.77935483870967737</v>
      </c>
      <c r="AS92" s="11">
        <v>7</v>
      </c>
      <c r="AT92" s="12">
        <f t="shared" si="734"/>
        <v>1.1589403973509934E-2</v>
      </c>
      <c r="AU92" s="13"/>
      <c r="AV92" s="11"/>
      <c r="AW92" s="39">
        <v>89.7</v>
      </c>
      <c r="AX92" s="43">
        <v>100</v>
      </c>
      <c r="AY92" s="10"/>
      <c r="AZ92" s="11"/>
      <c r="BA92" s="69">
        <f t="shared" si="779"/>
        <v>773</v>
      </c>
      <c r="BB92" s="69">
        <f t="shared" si="779"/>
        <v>69</v>
      </c>
      <c r="BC92" s="11">
        <v>574</v>
      </c>
      <c r="BD92" s="12">
        <f t="shared" si="735"/>
        <v>0.75420439844760667</v>
      </c>
      <c r="BE92" s="11">
        <v>9</v>
      </c>
      <c r="BF92" s="12">
        <f t="shared" si="736"/>
        <v>1.5437392795883362E-2</v>
      </c>
      <c r="BG92" s="13"/>
      <c r="BH92" s="11"/>
      <c r="BI92" s="39">
        <v>73.680000000000007</v>
      </c>
      <c r="BJ92" s="43">
        <v>100</v>
      </c>
      <c r="BK92" s="10"/>
      <c r="BL92" s="11"/>
      <c r="BM92" s="69">
        <f t="shared" si="780"/>
        <v>841</v>
      </c>
      <c r="BN92" s="69">
        <f t="shared" si="780"/>
        <v>77</v>
      </c>
      <c r="BO92" s="11">
        <v>609</v>
      </c>
      <c r="BP92" s="12">
        <f t="shared" si="737"/>
        <v>0.74078478002378123</v>
      </c>
      <c r="BQ92" s="11">
        <v>14</v>
      </c>
      <c r="BR92" s="12">
        <f t="shared" si="738"/>
        <v>2.247191011235955E-2</v>
      </c>
      <c r="BS92" s="13"/>
      <c r="BT92" s="11"/>
      <c r="BU92" s="39">
        <v>89.13</v>
      </c>
      <c r="BV92" s="43">
        <v>100</v>
      </c>
      <c r="BW92" s="10"/>
      <c r="BX92" s="11"/>
      <c r="BY92" s="69">
        <f t="shared" si="781"/>
        <v>760</v>
      </c>
      <c r="BZ92" s="69">
        <f t="shared" si="781"/>
        <v>68</v>
      </c>
      <c r="CA92" s="11">
        <v>530</v>
      </c>
      <c r="CB92" s="12">
        <f t="shared" si="739"/>
        <v>0.70789473684210524</v>
      </c>
      <c r="CC92" s="11">
        <v>8</v>
      </c>
      <c r="CD92" s="12">
        <f t="shared" si="740"/>
        <v>1.4869888475836431E-2</v>
      </c>
      <c r="CE92" s="13"/>
      <c r="CF92" s="11"/>
      <c r="CG92" s="39">
        <v>92.31</v>
      </c>
      <c r="CH92" s="43">
        <v>86.67</v>
      </c>
      <c r="CI92" s="10"/>
      <c r="CJ92" s="11"/>
      <c r="CK92" s="69">
        <f t="shared" si="782"/>
        <v>181</v>
      </c>
      <c r="CL92" s="69">
        <f t="shared" si="782"/>
        <v>17</v>
      </c>
      <c r="CM92" s="11">
        <v>123</v>
      </c>
      <c r="CN92" s="12">
        <f t="shared" si="741"/>
        <v>0.69060773480662985</v>
      </c>
      <c r="CO92" s="11">
        <v>2</v>
      </c>
      <c r="CP92" s="12">
        <f t="shared" si="742"/>
        <v>1.6E-2</v>
      </c>
      <c r="CQ92" s="13"/>
      <c r="CR92" s="11"/>
      <c r="CS92" s="39">
        <v>90</v>
      </c>
      <c r="CT92" s="43">
        <v>100</v>
      </c>
      <c r="CU92" s="10"/>
      <c r="CV92" s="11"/>
      <c r="CW92" s="69">
        <f t="shared" si="783"/>
        <v>757</v>
      </c>
      <c r="CX92" s="69">
        <f t="shared" si="783"/>
        <v>68</v>
      </c>
      <c r="CY92" s="11">
        <v>543</v>
      </c>
      <c r="CZ92" s="12">
        <f t="shared" si="743"/>
        <v>0.72258916776750326</v>
      </c>
      <c r="DA92" s="11">
        <v>4</v>
      </c>
      <c r="DB92" s="12">
        <f t="shared" si="744"/>
        <v>7.3126142595978062E-3</v>
      </c>
      <c r="DC92" s="13"/>
      <c r="DD92" s="11"/>
      <c r="DE92" s="39">
        <v>100</v>
      </c>
      <c r="DF92" s="43">
        <v>100</v>
      </c>
      <c r="DG92" s="10"/>
      <c r="DH92" s="11"/>
      <c r="DI92" s="69">
        <f t="shared" si="784"/>
        <v>763</v>
      </c>
      <c r="DJ92" s="69">
        <f t="shared" si="784"/>
        <v>70</v>
      </c>
      <c r="DK92" s="11">
        <v>552</v>
      </c>
      <c r="DL92" s="12">
        <f t="shared" si="745"/>
        <v>0.74705111402359103</v>
      </c>
      <c r="DM92" s="11">
        <v>18</v>
      </c>
      <c r="DN92" s="12">
        <f t="shared" si="746"/>
        <v>3.1578947368421054E-2</v>
      </c>
      <c r="DO92" s="13"/>
      <c r="DP92" s="11"/>
      <c r="DQ92" s="39">
        <v>85</v>
      </c>
      <c r="DR92" s="43">
        <v>84.62</v>
      </c>
      <c r="DS92" s="10"/>
      <c r="DT92" s="11"/>
      <c r="DU92" s="69">
        <f t="shared" si="785"/>
        <v>854</v>
      </c>
      <c r="DV92" s="69">
        <f t="shared" si="785"/>
        <v>78</v>
      </c>
      <c r="DW92" s="11">
        <v>585</v>
      </c>
      <c r="DX92" s="12">
        <f t="shared" si="747"/>
        <v>0.69437939110070257</v>
      </c>
      <c r="DY92" s="11">
        <v>8</v>
      </c>
      <c r="DZ92" s="12">
        <f t="shared" si="748"/>
        <v>1.3490725126475547E-2</v>
      </c>
      <c r="EA92" s="13"/>
      <c r="EB92" s="11"/>
      <c r="EC92" s="39">
        <v>82.61</v>
      </c>
      <c r="ED92" s="43">
        <v>100</v>
      </c>
      <c r="EE92" s="10"/>
      <c r="EF92" s="11"/>
      <c r="EG92" s="69">
        <f t="shared" si="786"/>
        <v>862</v>
      </c>
      <c r="EH92" s="69">
        <f t="shared" si="786"/>
        <v>79</v>
      </c>
      <c r="EI92" s="11">
        <v>606</v>
      </c>
      <c r="EJ92" s="12">
        <f t="shared" si="749"/>
        <v>0.71229698375870065</v>
      </c>
      <c r="EK92" s="11">
        <v>8</v>
      </c>
      <c r="EL92" s="12">
        <f t="shared" si="750"/>
        <v>1.3029315960912053E-2</v>
      </c>
      <c r="EM92" s="13"/>
      <c r="EN92" s="11"/>
      <c r="EO92" s="39">
        <v>90.48</v>
      </c>
      <c r="EP92" s="43">
        <v>93.75</v>
      </c>
      <c r="EQ92" s="10">
        <v>1</v>
      </c>
      <c r="ER92" s="11"/>
      <c r="ES92" s="69">
        <f t="shared" si="787"/>
        <v>201</v>
      </c>
      <c r="ET92" s="69">
        <f t="shared" si="787"/>
        <v>16</v>
      </c>
      <c r="EU92" s="11">
        <v>143</v>
      </c>
      <c r="EV92" s="12">
        <f t="shared" si="751"/>
        <v>0.74129353233830841</v>
      </c>
      <c r="EW92" s="11">
        <v>6</v>
      </c>
      <c r="EX92" s="12">
        <f t="shared" si="752"/>
        <v>4.0268456375838924E-2</v>
      </c>
      <c r="EY92" s="13"/>
      <c r="EZ92" s="11"/>
      <c r="FA92" s="39">
        <v>100</v>
      </c>
      <c r="FB92" s="43">
        <v>100</v>
      </c>
      <c r="FC92" s="10"/>
      <c r="FD92" s="11"/>
      <c r="FE92" s="69">
        <f t="shared" si="788"/>
        <v>866</v>
      </c>
      <c r="FF92" s="69">
        <f t="shared" si="788"/>
        <v>78</v>
      </c>
      <c r="FG92" s="11">
        <v>660</v>
      </c>
      <c r="FH92" s="12">
        <f t="shared" si="753"/>
        <v>0.76789838337182448</v>
      </c>
      <c r="FI92" s="11">
        <v>5</v>
      </c>
      <c r="FJ92" s="12">
        <f t="shared" si="754"/>
        <v>7.5187969924812026E-3</v>
      </c>
      <c r="FK92" s="13"/>
      <c r="FL92" s="11"/>
      <c r="FM92" s="39">
        <v>95.24</v>
      </c>
      <c r="FN92" s="43">
        <v>80</v>
      </c>
      <c r="FO92" s="10">
        <v>1</v>
      </c>
      <c r="FP92" s="11"/>
      <c r="FQ92" s="69">
        <f t="shared" si="789"/>
        <v>905</v>
      </c>
      <c r="FR92" s="69">
        <f t="shared" si="789"/>
        <v>81</v>
      </c>
      <c r="FS92" s="11">
        <v>671</v>
      </c>
      <c r="FT92" s="12">
        <f t="shared" si="755"/>
        <v>0.75138121546961323</v>
      </c>
      <c r="FU92" s="11">
        <v>9</v>
      </c>
      <c r="FV92" s="12">
        <f t="shared" si="756"/>
        <v>1.3235294117647059E-2</v>
      </c>
      <c r="FW92" s="13"/>
      <c r="FX92" s="11"/>
      <c r="FY92" s="39">
        <v>78.72</v>
      </c>
      <c r="FZ92" s="43">
        <v>93.75</v>
      </c>
      <c r="GA92" s="10"/>
      <c r="GB92" s="11"/>
      <c r="GC92" s="69">
        <f t="shared" si="790"/>
        <v>900</v>
      </c>
      <c r="GD92" s="69">
        <f t="shared" si="790"/>
        <v>81</v>
      </c>
      <c r="GE92" s="11">
        <v>660</v>
      </c>
      <c r="GF92" s="12">
        <f t="shared" si="757"/>
        <v>0.7466666666666667</v>
      </c>
      <c r="GG92" s="11">
        <v>12</v>
      </c>
      <c r="GH92" s="12">
        <f t="shared" si="758"/>
        <v>1.7857142857142856E-2</v>
      </c>
      <c r="GI92" s="13"/>
      <c r="GJ92" s="11"/>
      <c r="GK92" s="39">
        <v>80.430000000000007</v>
      </c>
      <c r="GL92" s="43">
        <v>82.35</v>
      </c>
      <c r="GM92" s="10"/>
      <c r="GN92" s="11"/>
      <c r="GO92" s="69">
        <f t="shared" si="791"/>
        <v>186</v>
      </c>
      <c r="GP92" s="69">
        <f t="shared" si="791"/>
        <v>17</v>
      </c>
      <c r="GQ92" s="11">
        <v>146</v>
      </c>
      <c r="GR92" s="12">
        <f t="shared" si="759"/>
        <v>0.80107526881720426</v>
      </c>
      <c r="GS92" s="11">
        <v>3</v>
      </c>
      <c r="GT92" s="12">
        <f t="shared" si="760"/>
        <v>2.0134228187919462E-2</v>
      </c>
      <c r="GU92" s="13"/>
      <c r="GV92" s="11"/>
      <c r="GW92" s="39">
        <v>92.86</v>
      </c>
      <c r="GX92" s="43">
        <v>100</v>
      </c>
      <c r="GY92" s="10"/>
      <c r="GZ92" s="11"/>
      <c r="HA92" s="69">
        <f t="shared" si="792"/>
        <v>910</v>
      </c>
      <c r="HB92" s="69">
        <f t="shared" si="792"/>
        <v>82</v>
      </c>
      <c r="HC92" s="11">
        <v>663</v>
      </c>
      <c r="HD92" s="12">
        <f t="shared" si="761"/>
        <v>0.7384615384615385</v>
      </c>
      <c r="HE92" s="11">
        <v>9</v>
      </c>
      <c r="HF92" s="12">
        <f t="shared" si="762"/>
        <v>1.3392857142857142E-2</v>
      </c>
      <c r="HG92" s="13"/>
      <c r="HH92" s="11"/>
      <c r="HI92" s="39">
        <v>79.55</v>
      </c>
      <c r="HJ92" s="43">
        <v>76.47</v>
      </c>
      <c r="HK92" s="10">
        <f t="shared" si="763"/>
        <v>2</v>
      </c>
      <c r="HL92" s="11">
        <f t="shared" si="763"/>
        <v>0</v>
      </c>
      <c r="HM92" s="11">
        <f t="shared" si="763"/>
        <v>12328</v>
      </c>
      <c r="HN92" s="11">
        <f t="shared" si="763"/>
        <v>1107</v>
      </c>
      <c r="HO92" s="11">
        <f t="shared" si="764"/>
        <v>9122</v>
      </c>
      <c r="HP92" s="95">
        <f t="shared" si="765"/>
        <v>0.7399415963659961</v>
      </c>
      <c r="HQ92" s="15">
        <f t="shared" si="766"/>
        <v>150</v>
      </c>
      <c r="HR92" s="12">
        <f t="shared" si="767"/>
        <v>1.644376233282175E-2</v>
      </c>
      <c r="HS92" s="16">
        <v>59.1</v>
      </c>
      <c r="HT92" s="17">
        <v>8818</v>
      </c>
      <c r="HU92" s="16">
        <f t="shared" si="768"/>
        <v>96.66739750054812</v>
      </c>
      <c r="HV92" s="23">
        <v>83.99</v>
      </c>
      <c r="HW92" s="22">
        <v>88.99</v>
      </c>
      <c r="HX92" s="73">
        <f t="shared" si="769"/>
        <v>0.75553560742070613</v>
      </c>
      <c r="HY92" s="73">
        <f t="shared" si="770"/>
        <v>0.72774076317383407</v>
      </c>
      <c r="HZ92" s="73">
        <f t="shared" si="771"/>
        <v>0.72619475386273802</v>
      </c>
      <c r="IA92" s="73">
        <f t="shared" si="772"/>
        <v>0.74905205101689076</v>
      </c>
      <c r="IF92" s="85">
        <f>IF93/IF94</f>
        <v>1.195457262402869E-3</v>
      </c>
      <c r="IG92" s="85">
        <f>IG93/IG94</f>
        <v>1.8137847642079807E-3</v>
      </c>
      <c r="IH92" s="85">
        <f>IH93/IH94</f>
        <v>2.1513087128002869E-3</v>
      </c>
      <c r="II92" s="85">
        <f>II93/II94</f>
        <v>2.0639834881320948E-3</v>
      </c>
      <c r="IJ92" s="88" t="s">
        <v>90</v>
      </c>
    </row>
    <row r="93" spans="1:244" ht="19.5" thickBot="1" x14ac:dyDescent="0.3">
      <c r="A93" s="374"/>
      <c r="B93" s="42"/>
      <c r="C93" s="26">
        <f>SUM(C86:C92)</f>
        <v>0</v>
      </c>
      <c r="D93" s="27">
        <f>SUM(D86:D92)</f>
        <v>0</v>
      </c>
      <c r="E93" s="27"/>
      <c r="F93" s="27"/>
      <c r="G93" s="27">
        <f>SUM(G86:G92)</f>
        <v>4414</v>
      </c>
      <c r="H93" s="28">
        <f>((G93+I93)/7)/E92</f>
        <v>0.75582573454913882</v>
      </c>
      <c r="I93" s="27">
        <f>SUM(I86:I92)</f>
        <v>62</v>
      </c>
      <c r="J93" s="28">
        <f>(I93/(I93+G93))</f>
        <v>1.3851653261840929E-2</v>
      </c>
      <c r="K93" s="27"/>
      <c r="L93" s="27"/>
      <c r="M93" s="29">
        <f>M91/M90*100-100</f>
        <v>14.340978593272169</v>
      </c>
      <c r="N93" s="67">
        <f>N91/N90*100-100</f>
        <v>5.4817535545023759</v>
      </c>
      <c r="O93" s="26">
        <f>SUM(O86:O92)</f>
        <v>2</v>
      </c>
      <c r="P93" s="27">
        <f>SUM(P86:P92)</f>
        <v>0</v>
      </c>
      <c r="Q93" s="27"/>
      <c r="R93" s="27"/>
      <c r="S93" s="27">
        <f>SUM(S86:S92)</f>
        <v>3897</v>
      </c>
      <c r="T93" s="28">
        <f>((S93+U93)/7)/Q92</f>
        <v>0.73778440880268548</v>
      </c>
      <c r="U93" s="27">
        <f>SUM(U86:U92)</f>
        <v>59</v>
      </c>
      <c r="V93" s="28">
        <f>(U93/(U93+S93))</f>
        <v>1.4914054600606673E-2</v>
      </c>
      <c r="W93" s="27"/>
      <c r="X93" s="27"/>
      <c r="Y93" s="29">
        <f>Y91/Y90*100-100</f>
        <v>16.596839959225292</v>
      </c>
      <c r="Z93" s="67">
        <f>Z91/Z90*100-100</f>
        <v>8.4201421800947855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963</v>
      </c>
      <c r="AF93" s="28">
        <f>((AE93+AG93)/7)/AC92</f>
        <v>0.76373626373626369</v>
      </c>
      <c r="AG93" s="27">
        <f>SUM(AG86:AG92)</f>
        <v>10</v>
      </c>
      <c r="AH93" s="28">
        <f>(AG93/(AG93+AE93))</f>
        <v>1.0277492291880781E-2</v>
      </c>
      <c r="AI93" s="27"/>
      <c r="AJ93" s="27"/>
      <c r="AK93" s="29">
        <f>AK91/AK90*100-100</f>
        <v>17.195463812436287</v>
      </c>
      <c r="AL93" s="67">
        <f>AL91/AL90*100-100</f>
        <v>11.184834123222757</v>
      </c>
      <c r="AM93" s="26">
        <f>SUM(AM86:AM92)</f>
        <v>0</v>
      </c>
      <c r="AN93" s="27">
        <f>SUM(AN86:AN92)</f>
        <v>0</v>
      </c>
      <c r="AO93" s="27"/>
      <c r="AP93" s="27"/>
      <c r="AQ93" s="27">
        <f>SUM(AQ86:AQ92)</f>
        <v>4054</v>
      </c>
      <c r="AR93" s="28">
        <f>((AQ93+AS93)/7)/AO92</f>
        <v>0.75612903225806449</v>
      </c>
      <c r="AS93" s="27">
        <f>SUM(AS86:AS92)</f>
        <v>48</v>
      </c>
      <c r="AT93" s="28">
        <f>(AS93/(AS93+AQ93))</f>
        <v>1.1701608971233545E-2</v>
      </c>
      <c r="AU93" s="27"/>
      <c r="AV93" s="27"/>
      <c r="AW93" s="29">
        <f>AW91/AW90*100-100</f>
        <v>12.685779816513758</v>
      </c>
      <c r="AX93" s="67">
        <f>AX91/AX90*100-100</f>
        <v>7.7104265402843595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4094</v>
      </c>
      <c r="BD93" s="28">
        <f>((BC93+BE93)/7)/BA92</f>
        <v>0.77028275734614671</v>
      </c>
      <c r="BE93" s="27">
        <f>SUM(BE86:BE92)</f>
        <v>74</v>
      </c>
      <c r="BF93" s="28">
        <f>(BE93/(BE93+BC93))</f>
        <v>1.7754318618042227E-2</v>
      </c>
      <c r="BG93" s="27"/>
      <c r="BH93" s="27"/>
      <c r="BI93" s="29">
        <f>BI91/BI90*100-100</f>
        <v>13.954638124362887</v>
      </c>
      <c r="BJ93" s="67">
        <f>BJ91/BJ90*100-100</f>
        <v>5.9748815165876863</v>
      </c>
      <c r="BK93" s="26">
        <f>SUM(BK86:BK92)</f>
        <v>1</v>
      </c>
      <c r="BL93" s="27">
        <f>SUM(BL86:BL92)</f>
        <v>0</v>
      </c>
      <c r="BM93" s="27"/>
      <c r="BN93" s="27"/>
      <c r="BO93" s="27">
        <f>SUM(BO86:BO92)</f>
        <v>4319</v>
      </c>
      <c r="BP93" s="28">
        <f>((BO93+BQ93)/7)/BM92</f>
        <v>0.74689994904025814</v>
      </c>
      <c r="BQ93" s="27">
        <f>SUM(BQ86:BQ92)</f>
        <v>78</v>
      </c>
      <c r="BR93" s="28">
        <f>(BQ93/(BQ93+BO93))</f>
        <v>1.773936775073914E-2</v>
      </c>
      <c r="BS93" s="27"/>
      <c r="BT93" s="27"/>
      <c r="BU93" s="29">
        <f>BU91/BU90*100-100</f>
        <v>11.028032619775743</v>
      </c>
      <c r="BV93" s="67">
        <f>BV91/BV90*100-100</f>
        <v>8.51113744075829</v>
      </c>
      <c r="BW93" s="26">
        <f>SUM(BW86:BW92)</f>
        <v>2</v>
      </c>
      <c r="BX93" s="27">
        <f>SUM(BX86:BX92)</f>
        <v>0</v>
      </c>
      <c r="BY93" s="27"/>
      <c r="BZ93" s="27"/>
      <c r="CA93" s="27">
        <f>SUM(CA86:CA92)</f>
        <v>3910</v>
      </c>
      <c r="CB93" s="28">
        <f>((CA93+CC93)/7)/BY92</f>
        <v>0.74473684210526314</v>
      </c>
      <c r="CC93" s="27">
        <f>SUM(CC86:CC92)</f>
        <v>52</v>
      </c>
      <c r="CD93" s="28">
        <f>(CC93/(CC93+CA93))</f>
        <v>1.3124684502776375E-2</v>
      </c>
      <c r="CE93" s="27"/>
      <c r="CF93" s="27"/>
      <c r="CG93" s="29">
        <f>CG91/CG90*100-100</f>
        <v>13.959989806320067</v>
      </c>
      <c r="CH93" s="67">
        <f>CH91/CH90*100-100</f>
        <v>7.1248815165876778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855</v>
      </c>
      <c r="CN93" s="28">
        <f>((CM93+CO93)/7)/CK92</f>
        <v>0.68981846882399367</v>
      </c>
      <c r="CO93" s="27">
        <f>SUM(CO86:CO92)</f>
        <v>19</v>
      </c>
      <c r="CP93" s="28">
        <f>(CO93/(CO93+CM93))</f>
        <v>2.1739130434782608E-2</v>
      </c>
      <c r="CQ93" s="27"/>
      <c r="CR93" s="27"/>
      <c r="CS93" s="29">
        <f>CS91/CS90*100-100</f>
        <v>20.718654434250766</v>
      </c>
      <c r="CT93" s="67">
        <f>CT91/CT90*100-100</f>
        <v>5.3080568720379233</v>
      </c>
      <c r="CU93" s="26">
        <f>SUM(CU86:CU92)</f>
        <v>2</v>
      </c>
      <c r="CV93" s="27">
        <f>SUM(CV86:CV92)</f>
        <v>1</v>
      </c>
      <c r="CW93" s="27"/>
      <c r="CX93" s="27"/>
      <c r="CY93" s="27">
        <f>SUM(CY86:CY92)</f>
        <v>3965</v>
      </c>
      <c r="CZ93" s="28">
        <f>((CY93+DA93)/7)/CW92</f>
        <v>0.75750141536138893</v>
      </c>
      <c r="DA93" s="27">
        <f>SUM(DA86:DA92)</f>
        <v>49</v>
      </c>
      <c r="DB93" s="28">
        <f>(DA93/(DA93+CY93))</f>
        <v>1.2207274539113104E-2</v>
      </c>
      <c r="DC93" s="27"/>
      <c r="DD93" s="27"/>
      <c r="DE93" s="29">
        <f>DE91/DE90*100-100</f>
        <v>12.378695208970441</v>
      </c>
      <c r="DF93" s="67">
        <f>DF91/DF90*100-100</f>
        <v>9.0995260663507196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4003</v>
      </c>
      <c r="DL93" s="28">
        <f>((DK93+DM93)/7)/DI92</f>
        <v>0.76858266242276729</v>
      </c>
      <c r="DM93" s="27">
        <f>SUM(DM86:DM92)</f>
        <v>102</v>
      </c>
      <c r="DN93" s="28">
        <f>(DM93/(DM93+DK93))</f>
        <v>2.484774665042631E-2</v>
      </c>
      <c r="DO93" s="27"/>
      <c r="DP93" s="27"/>
      <c r="DQ93" s="29">
        <f>DQ91/DQ90*100-100</f>
        <v>15.194954128440358</v>
      </c>
      <c r="DR93" s="67">
        <f>DR91/DR90*100-100</f>
        <v>7.56469194312794</v>
      </c>
      <c r="DS93" s="26">
        <f>SUM(DS86:DS92)</f>
        <v>2</v>
      </c>
      <c r="DT93" s="27">
        <f>SUM(DT86:DT92)</f>
        <v>0</v>
      </c>
      <c r="DU93" s="27"/>
      <c r="DV93" s="27"/>
      <c r="DW93" s="27">
        <f>SUM(DW86:DW92)</f>
        <v>4257</v>
      </c>
      <c r="DX93" s="28">
        <f>((DW93+DY93)/7)/DU92</f>
        <v>0.73017731682837073</v>
      </c>
      <c r="DY93" s="27">
        <f>SUM(DY86:DY92)</f>
        <v>108</v>
      </c>
      <c r="DZ93" s="28">
        <f>(DY93/(DY93+DW93))</f>
        <v>2.4742268041237112E-2</v>
      </c>
      <c r="EA93" s="27"/>
      <c r="EB93" s="27"/>
      <c r="EC93" s="29">
        <f>EC91/EC90*100-100</f>
        <v>12.291029561671763</v>
      </c>
      <c r="ED93" s="67">
        <f>ED91/ED90*100-100</f>
        <v>6.5018957345971558</v>
      </c>
      <c r="EE93" s="26">
        <f>SUM(EE86:EE92)</f>
        <v>2</v>
      </c>
      <c r="EF93" s="27">
        <f>SUM(EF86:EF92)</f>
        <v>0</v>
      </c>
      <c r="EG93" s="27"/>
      <c r="EH93" s="27"/>
      <c r="EI93" s="27">
        <f>SUM(EI86:EI92)</f>
        <v>4255</v>
      </c>
      <c r="EJ93" s="28">
        <f>((EI93+EK93)/7)/EG92</f>
        <v>0.7253894597282069</v>
      </c>
      <c r="EK93" s="27">
        <f>SUM(EK86:EK92)</f>
        <v>122</v>
      </c>
      <c r="EL93" s="28">
        <f>(EK93/(EK93+EI93))</f>
        <v>2.787297235549463E-2</v>
      </c>
      <c r="EM93" s="27"/>
      <c r="EN93" s="27"/>
      <c r="EO93" s="29">
        <f>EO91/EO90*100-100</f>
        <v>12.45820591233435</v>
      </c>
      <c r="EP93" s="67">
        <f>EP91/EP90*100-100</f>
        <v>3.302843601895745</v>
      </c>
      <c r="EQ93" s="26">
        <f>SUM(EQ86:EQ92)</f>
        <v>2</v>
      </c>
      <c r="ER93" s="27">
        <f>SUM(ER86:ER92)</f>
        <v>0</v>
      </c>
      <c r="ES93" s="27"/>
      <c r="ET93" s="27"/>
      <c r="EU93" s="27">
        <f>SUM(EU86:EU92)</f>
        <v>1003</v>
      </c>
      <c r="EV93" s="28">
        <f>((EU93+EW93)/7)/ES92</f>
        <v>0.73489694385216775</v>
      </c>
      <c r="EW93" s="27">
        <f>SUM(EW86:EW92)</f>
        <v>31</v>
      </c>
      <c r="EX93" s="28">
        <f>(EW93/(EW93+EU93))</f>
        <v>2.9980657640232108E-2</v>
      </c>
      <c r="EY93" s="27"/>
      <c r="EZ93" s="27"/>
      <c r="FA93" s="29">
        <f>FA91/FA90*100-100</f>
        <v>15.698267074413863</v>
      </c>
      <c r="FB93" s="67">
        <f>FB91/FB90*100-100</f>
        <v>6.6350710900473899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4656</v>
      </c>
      <c r="FH93" s="28">
        <f>((FG93+FI93)/7)/FE92</f>
        <v>0.77466182777961068</v>
      </c>
      <c r="FI93" s="27">
        <f>SUM(FI86:FI92)</f>
        <v>40</v>
      </c>
      <c r="FJ93" s="28">
        <f>(FI93/(FI93+FG93))</f>
        <v>8.5178875638841564E-3</v>
      </c>
      <c r="FK93" s="27"/>
      <c r="FL93" s="27"/>
      <c r="FM93" s="29">
        <f>FM91/FM90*100-100</f>
        <v>13.927115188583073</v>
      </c>
      <c r="FN93" s="67">
        <f>FN91/FN90*100-100</f>
        <v>6.5236966824644611</v>
      </c>
      <c r="FO93" s="26">
        <f>SUM(FO86:FO92)</f>
        <v>2</v>
      </c>
      <c r="FP93" s="27">
        <f>SUM(FP86:FP92)</f>
        <v>0</v>
      </c>
      <c r="FQ93" s="27"/>
      <c r="FR93" s="27"/>
      <c r="FS93" s="27">
        <f>SUM(FS86:FS92)</f>
        <v>4565</v>
      </c>
      <c r="FT93" s="28">
        <f>((FS93+FU93)/7)/FQ92</f>
        <v>0.73733228097868986</v>
      </c>
      <c r="FU93" s="27">
        <f>SUM(FU86:FU92)</f>
        <v>106</v>
      </c>
      <c r="FV93" s="28">
        <f>(FU93/(FU93+FS93))</f>
        <v>2.2693213444658532E-2</v>
      </c>
      <c r="FW93" s="27"/>
      <c r="FX93" s="27"/>
      <c r="FY93" s="29">
        <f>FY91/FY90*100-100</f>
        <v>12.021916411824662</v>
      </c>
      <c r="FZ93" s="67">
        <f>FZ91/FZ90*100-100</f>
        <v>3.9988151658767634</v>
      </c>
      <c r="GA93" s="26">
        <f>SUM(GA86:GA92)</f>
        <v>2</v>
      </c>
      <c r="GB93" s="27">
        <f>SUM(GB86:GB92)</f>
        <v>1</v>
      </c>
      <c r="GC93" s="27"/>
      <c r="GD93" s="27"/>
      <c r="GE93" s="27">
        <f>SUM(GE86:GE92)</f>
        <v>4544</v>
      </c>
      <c r="GF93" s="28">
        <f>((GE93+GG93)/7)/GC92</f>
        <v>0.73730158730158724</v>
      </c>
      <c r="GG93" s="27">
        <f>SUM(GG86:GG92)</f>
        <v>101</v>
      </c>
      <c r="GH93" s="28">
        <f>(GG93/(GG93+GE93))</f>
        <v>2.1743810548977394E-2</v>
      </c>
      <c r="GI93" s="27"/>
      <c r="GJ93" s="27"/>
      <c r="GK93" s="29">
        <f>GK91/GK90*100-100</f>
        <v>9.5769622833843187</v>
      </c>
      <c r="GL93" s="67">
        <f>GL91/GL90*100-100</f>
        <v>3.5118483412322092</v>
      </c>
      <c r="GM93" s="26">
        <f>SUM(GM86:GM92)</f>
        <v>2</v>
      </c>
      <c r="GN93" s="27">
        <f>SUM(GN86:GN92)</f>
        <v>0</v>
      </c>
      <c r="GO93" s="27"/>
      <c r="GP93" s="27"/>
      <c r="GQ93" s="27">
        <f>SUM(GQ86:GQ92)</f>
        <v>1005</v>
      </c>
      <c r="GR93" s="28">
        <f>((GQ93+GS93)/7)/GO92</f>
        <v>0.79416282642089098</v>
      </c>
      <c r="GS93" s="27">
        <f>SUM(GS86:GS92)</f>
        <v>29</v>
      </c>
      <c r="GT93" s="28">
        <f>(GS93/(GS93+GQ93))</f>
        <v>2.8046421663442941E-2</v>
      </c>
      <c r="GU93" s="27"/>
      <c r="GV93" s="27"/>
      <c r="GW93" s="29">
        <f>GW91/GW90*100-100</f>
        <v>5.0129969418960343</v>
      </c>
      <c r="GX93" s="67">
        <f>GX91/GX90*100-100</f>
        <v>3.7914691943127963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4745</v>
      </c>
      <c r="HD93" s="28">
        <f>((HC93+HE93)/7)/HA92</f>
        <v>0.75667189952904235</v>
      </c>
      <c r="HE93" s="27">
        <f>SUM(HE86:HE92)</f>
        <v>75</v>
      </c>
      <c r="HF93" s="28">
        <f>(HE93/(HE93+HC93))</f>
        <v>1.5560165975103735E-2</v>
      </c>
      <c r="HG93" s="27"/>
      <c r="HH93" s="27"/>
      <c r="HI93" s="29">
        <f>HI91/HI90*100-100</f>
        <v>11.232670744138645</v>
      </c>
      <c r="HJ93" s="67">
        <f>HJ91/HJ90*100-100</f>
        <v>5.6035545023696613</v>
      </c>
      <c r="HK93" s="26">
        <f t="shared" ref="HK93" si="793">+C93+O93+AA93+AM93+AY93+BK93+BW93+CI93+CU93+DG93+DS93+EE93+EQ93+FC93+FO93+GA93+GM93+GY93</f>
        <v>22</v>
      </c>
      <c r="HL93" s="27">
        <f t="shared" ref="HL93" si="794">+D93+P93+AB93+AN93+AZ93+BL93+BX93+CJ93+CV93+DH93+DT93+EF93+ER93+FD93+FP93+GB93+GN93+GZ93</f>
        <v>2</v>
      </c>
      <c r="HM93" s="27">
        <f t="shared" ref="HM93" si="795">+E93+Q93+AC93+AO93+BA93+BM93+BY93+CK93+CW93+DI93+DU93+EG93+ES93+FE93+FQ93+GC93+GO93+HA93</f>
        <v>0</v>
      </c>
      <c r="HN93" s="27">
        <f t="shared" ref="HN93" si="796">+F93+R93+AD93+AP93+BB93+BN93+BZ93+CL93+CX93+DJ93+DV93+EH93+ET93+FF93+FR93+GD93+GP93+HB93</f>
        <v>0</v>
      </c>
      <c r="HO93" s="27">
        <f t="shared" ref="HO93" si="797">+G93+S93+AE93+AQ93+BC93+BO93+CA93+CM93+CY93+DK93+DW93+EI93+EU93+FG93+FS93+GE93+GQ93+HC93+I93+U93+AG93+AS93+BE93+BQ93+CC93+CO93+DA93+DM93+DY93+EK93+EW93+FI93+FU93+GG93+GS93+HE93</f>
        <v>64669</v>
      </c>
      <c r="HP93" s="96">
        <f>+((HO93)/HM92)/7</f>
        <v>0.74938583480114951</v>
      </c>
      <c r="HQ93" s="62">
        <f t="shared" ref="HQ93" si="798">+I93+U93+AG93+AS93+BE93+BQ93+CC93+CO93+DA93+DM93+DY93+EK93+EW93+FI93+FU93+GG93+GS93+HE93</f>
        <v>1165</v>
      </c>
      <c r="HR93" s="52">
        <f t="shared" ref="HR93" si="799">+(HQ93/(HO93))</f>
        <v>1.8014813898467583E-2</v>
      </c>
      <c r="HS93" s="53">
        <f>SUM(HS86:HS92)/7</f>
        <v>58.9</v>
      </c>
      <c r="HT93" s="54">
        <f>SUM(HT86:HT92)</f>
        <v>62165</v>
      </c>
      <c r="HU93" s="53">
        <f>AVERAGE(HU86:HU92)</f>
        <v>96.128362054978325</v>
      </c>
      <c r="HV93" s="63">
        <f>HV91/HV90*100-100</f>
        <v>12.93705402650356</v>
      </c>
      <c r="HW93" s="67">
        <f>HW91/HW90*100-100</f>
        <v>6.3177725118483323</v>
      </c>
      <c r="HX93" s="73">
        <f>SUM(G93,I93,S93,U93,AE93,AG93,AQ93,AS93,BC93,BE93)/7/SUM(E92,Q92,AC92,AO92,BA92)</f>
        <v>0.75553560742070613</v>
      </c>
      <c r="HY93" s="73">
        <f>SUM(BO93,BQ93,CA93,CC93,CM93,CO93,CY93,DA93,DK93,DM93)/7/SUM(BM92,BY92,CK92,CW92,DI92)</f>
        <v>0.75071385307605776</v>
      </c>
      <c r="HZ93" s="73">
        <f>SUM(DW93,DY93,EI93,EK93,EU93,EW93,FG93,FI93)/7/SUM(DU92,EG92,ES92,FE92)</f>
        <v>0.74287767568399987</v>
      </c>
      <c r="IA93" s="73">
        <f>SUM(FS93,FU93,GE93,GG93,GQ93,GS93,HC93,HE93)/7/SUM(FQ92,GC92,GO92,HA92)</f>
        <v>0.74703304279312555</v>
      </c>
      <c r="IB93" s="84">
        <f>SUM(I93,U93,AG93,AS93,BE93)/SUM(G93,I93,S93,U93,AE93,AG93,AQ93,AS93,BC93,BE93)</f>
        <v>1.4314002828854314E-2</v>
      </c>
      <c r="IC93" s="84">
        <f>SUM(BQ93,CC93,CO93,DA93,DM93)/SUM(BO93,BQ93,CA93,CC93,CM93,CO93,CY93,DA93,DK93,DM93)</f>
        <v>1.7289073305670817E-2</v>
      </c>
      <c r="ID93" s="84">
        <f>SUM(DY93,EK93,EW93,FI93)/SUM(DW93,DY93,EI93,EK93,EU93,EW93,FG93,FI93)</f>
        <v>2.079878385848535E-2</v>
      </c>
      <c r="IE93" s="84">
        <f>SUM(FU93,GG93,GS93,HE93)/SUM(FS93,FU93,GE93,GG93,GQ93,GS93,HC93,HE93)</f>
        <v>2.050098879367172E-2</v>
      </c>
      <c r="IF93" s="86">
        <f>SUM(C93,O93,AA93,AM93,AY93)</f>
        <v>4</v>
      </c>
      <c r="IG93" s="86">
        <f>SUM(BK93,BW93,CI93,CU93,DG93)</f>
        <v>6</v>
      </c>
      <c r="IH93" s="86">
        <f>SUM(DS93,EE93,EQ93,FC93)</f>
        <v>6</v>
      </c>
      <c r="II93" s="86">
        <f>SUM(FO93,GA93,GM93,GY93)</f>
        <v>6</v>
      </c>
      <c r="IJ93" s="88" t="s">
        <v>89</v>
      </c>
    </row>
    <row r="94" spans="1:244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HK93/HM86</f>
        <v>1.7815207709126245E-3</v>
      </c>
      <c r="HL94" s="66">
        <f>HL93/HN86</f>
        <v>1.8034265103697023E-3</v>
      </c>
      <c r="HM94" s="45"/>
      <c r="HN94" s="45"/>
      <c r="HO94" s="45"/>
      <c r="HP94" s="98"/>
      <c r="HQ94" s="45"/>
      <c r="HR94" s="45"/>
      <c r="HS94" s="45"/>
      <c r="HT94" s="55"/>
      <c r="HU94" s="45"/>
      <c r="HV94" s="45"/>
      <c r="HW94" s="46"/>
      <c r="HY94" s="72"/>
      <c r="HZ94" s="72"/>
      <c r="IA94" s="72"/>
      <c r="IF94" s="86">
        <f>SUM(E83,Q83,AC83,AO83,BA83)</f>
        <v>3346</v>
      </c>
      <c r="IG94" s="86">
        <f>SUM(BM83,BY83,CK83,CW83,DI83)</f>
        <v>3308</v>
      </c>
      <c r="IH94" s="86">
        <f>SUM(DU83,EG83,ES83,FE83)</f>
        <v>2789</v>
      </c>
      <c r="II94" s="86">
        <f>SUM(FQ83,GC83,GO83,HA83)</f>
        <v>2907</v>
      </c>
      <c r="IJ94" s="88" t="s">
        <v>84</v>
      </c>
    </row>
    <row r="95" spans="1:244" x14ac:dyDescent="0.25">
      <c r="A95" s="373">
        <v>35</v>
      </c>
      <c r="B95" s="68">
        <f>B92+1</f>
        <v>45011</v>
      </c>
      <c r="C95" s="33"/>
      <c r="D95" s="34"/>
      <c r="E95" s="34">
        <f>E92-C95</f>
        <v>846</v>
      </c>
      <c r="F95" s="34">
        <f>F92-D95</f>
        <v>75</v>
      </c>
      <c r="G95" s="34">
        <v>626</v>
      </c>
      <c r="H95" s="35">
        <f t="shared" ref="H95:H101" si="800">((G95+I95)/E95)</f>
        <v>0.74940898345153661</v>
      </c>
      <c r="I95" s="34">
        <v>8</v>
      </c>
      <c r="J95" s="35">
        <f>I95/(G95+I95)</f>
        <v>1.2618296529968454E-2</v>
      </c>
      <c r="K95" s="36"/>
      <c r="L95" s="34"/>
      <c r="M95" s="34"/>
      <c r="N95" s="37"/>
      <c r="O95" s="33"/>
      <c r="P95" s="34"/>
      <c r="Q95" s="34">
        <f>Q92-O95</f>
        <v>766</v>
      </c>
      <c r="R95" s="34">
        <f>R92-P95</f>
        <v>68</v>
      </c>
      <c r="S95" s="34">
        <v>538</v>
      </c>
      <c r="T95" s="35">
        <f t="shared" ref="T95:T101" si="801">((S95+U95)/Q95)</f>
        <v>0.71409921671018273</v>
      </c>
      <c r="U95" s="34">
        <v>9</v>
      </c>
      <c r="V95" s="35">
        <f t="shared" ref="V95:V101" si="802">U95/(S95+U95)</f>
        <v>1.6453382084095063E-2</v>
      </c>
      <c r="W95" s="36"/>
      <c r="X95" s="34"/>
      <c r="Y95" s="34"/>
      <c r="Z95" s="37"/>
      <c r="AA95" s="33"/>
      <c r="AB95" s="34"/>
      <c r="AC95" s="34">
        <f>AC92-AA95</f>
        <v>182</v>
      </c>
      <c r="AD95" s="34">
        <f>AD92-AB95</f>
        <v>14</v>
      </c>
      <c r="AE95" s="34">
        <v>123</v>
      </c>
      <c r="AF95" s="35">
        <f t="shared" ref="AF95:AF101" si="803">((AE95+AG95)/AC95)</f>
        <v>0.69230769230769229</v>
      </c>
      <c r="AG95" s="34">
        <v>3</v>
      </c>
      <c r="AH95" s="35">
        <f t="shared" ref="AH95:AH101" si="804">AG95/(AE95+AG95)</f>
        <v>2.3809523809523808E-2</v>
      </c>
      <c r="AI95" s="36"/>
      <c r="AJ95" s="34"/>
      <c r="AK95" s="34"/>
      <c r="AL95" s="37"/>
      <c r="AM95" s="33"/>
      <c r="AN95" s="34"/>
      <c r="AO95" s="34">
        <f>AO92-AM95</f>
        <v>775</v>
      </c>
      <c r="AP95" s="34">
        <f>AP92-AN95</f>
        <v>69</v>
      </c>
      <c r="AQ95" s="34">
        <v>574</v>
      </c>
      <c r="AR95" s="35">
        <f t="shared" ref="AR95:AR101" si="805">((AQ95+AS95)/AO95)</f>
        <v>0.74580645161290327</v>
      </c>
      <c r="AS95" s="34">
        <v>4</v>
      </c>
      <c r="AT95" s="35">
        <f t="shared" ref="AT95:AT101" si="806">AS95/(AQ95+AS95)</f>
        <v>6.920415224913495E-3</v>
      </c>
      <c r="AU95" s="36"/>
      <c r="AV95" s="34"/>
      <c r="AW95" s="34"/>
      <c r="AX95" s="37"/>
      <c r="AY95" s="33">
        <v>1</v>
      </c>
      <c r="AZ95" s="34"/>
      <c r="BA95" s="34">
        <f>BA92-AY95</f>
        <v>772</v>
      </c>
      <c r="BB95" s="34">
        <f>BB92-AZ95</f>
        <v>69</v>
      </c>
      <c r="BC95" s="34">
        <v>582</v>
      </c>
      <c r="BD95" s="35">
        <f t="shared" ref="BD95:BD101" si="807">((BC95+BE95)/BA95)</f>
        <v>0.76165803108808294</v>
      </c>
      <c r="BE95" s="34">
        <v>6</v>
      </c>
      <c r="BF95" s="35">
        <f t="shared" ref="BF95:BF101" si="808">BE95/(BC95+BE95)</f>
        <v>1.020408163265306E-2</v>
      </c>
      <c r="BG95" s="36"/>
      <c r="BH95" s="34"/>
      <c r="BI95" s="34"/>
      <c r="BJ95" s="37"/>
      <c r="BK95" s="33">
        <v>1</v>
      </c>
      <c r="BL95" s="34"/>
      <c r="BM95" s="34">
        <f>BM92-BK95</f>
        <v>840</v>
      </c>
      <c r="BN95" s="34">
        <f>BN92-BL95</f>
        <v>77</v>
      </c>
      <c r="BO95" s="34">
        <v>591</v>
      </c>
      <c r="BP95" s="35">
        <f t="shared" ref="BP95:BP101" si="809">((BO95+BQ95)/BM95)</f>
        <v>0.72380952380952379</v>
      </c>
      <c r="BQ95" s="34">
        <v>17</v>
      </c>
      <c r="BR95" s="35">
        <f t="shared" ref="BR95:BR101" si="810">BQ95/(BO95+BQ95)</f>
        <v>2.7960526315789474E-2</v>
      </c>
      <c r="BS95" s="36"/>
      <c r="BT95" s="34"/>
      <c r="BU95" s="34"/>
      <c r="BV95" s="37"/>
      <c r="BW95" s="33"/>
      <c r="BX95" s="34"/>
      <c r="BY95" s="34">
        <f>BY92-BW95</f>
        <v>760</v>
      </c>
      <c r="BZ95" s="34">
        <f>BZ92-BX95</f>
        <v>68</v>
      </c>
      <c r="CA95" s="34">
        <v>529</v>
      </c>
      <c r="CB95" s="35">
        <f t="shared" ref="CB95:CB101" si="811">((CA95+CC95)/BY95)</f>
        <v>0.71973684210526312</v>
      </c>
      <c r="CC95" s="34">
        <v>18</v>
      </c>
      <c r="CD95" s="35">
        <f t="shared" ref="CD95:CD101" si="812">CC95/(CA95+CC95)</f>
        <v>3.2906764168190127E-2</v>
      </c>
      <c r="CE95" s="36"/>
      <c r="CF95" s="34"/>
      <c r="CG95" s="34"/>
      <c r="CH95" s="37"/>
      <c r="CI95" s="33"/>
      <c r="CJ95" s="34"/>
      <c r="CK95" s="34">
        <f>CK92-CI95</f>
        <v>181</v>
      </c>
      <c r="CL95" s="34">
        <f>CL92-CJ95</f>
        <v>17</v>
      </c>
      <c r="CM95" s="34">
        <v>113</v>
      </c>
      <c r="CN95" s="35">
        <f t="shared" ref="CN95:CN101" si="813">((CM95+CO95)/CK95)</f>
        <v>0.64640883977900554</v>
      </c>
      <c r="CO95" s="34">
        <v>4</v>
      </c>
      <c r="CP95" s="35">
        <f t="shared" ref="CP95:CP101" si="814">CO95/(CM95+CO95)</f>
        <v>3.4188034188034191E-2</v>
      </c>
      <c r="CQ95" s="36"/>
      <c r="CR95" s="34"/>
      <c r="CS95" s="34"/>
      <c r="CT95" s="37"/>
      <c r="CU95" s="33"/>
      <c r="CV95" s="34"/>
      <c r="CW95" s="34">
        <f>CW92-CU95</f>
        <v>757</v>
      </c>
      <c r="CX95" s="34">
        <f>CX92-CV95</f>
        <v>68</v>
      </c>
      <c r="CY95" s="34">
        <v>518</v>
      </c>
      <c r="CZ95" s="35">
        <f t="shared" ref="CZ95:CZ101" si="815">((CY95+DA95)/CW95)</f>
        <v>0.70145310435931307</v>
      </c>
      <c r="DA95" s="34">
        <v>13</v>
      </c>
      <c r="DB95" s="35">
        <f t="shared" ref="DB95:DB101" si="816">DA95/(CY95+DA95)</f>
        <v>2.4482109227871938E-2</v>
      </c>
      <c r="DC95" s="36"/>
      <c r="DD95" s="34"/>
      <c r="DE95" s="34"/>
      <c r="DF95" s="37"/>
      <c r="DG95" s="33"/>
      <c r="DH95" s="34"/>
      <c r="DI95" s="34">
        <f>DI92-DG95</f>
        <v>763</v>
      </c>
      <c r="DJ95" s="34">
        <f>DJ92-DH95</f>
        <v>70</v>
      </c>
      <c r="DK95" s="34">
        <v>574</v>
      </c>
      <c r="DL95" s="35">
        <f t="shared" ref="DL95:DL101" si="817">((DK95+DM95)/DI95)</f>
        <v>0.78636959370904325</v>
      </c>
      <c r="DM95" s="34">
        <v>26</v>
      </c>
      <c r="DN95" s="35">
        <f t="shared" ref="DN95:DN101" si="818">DM95/(DK95+DM95)</f>
        <v>4.3333333333333335E-2</v>
      </c>
      <c r="DO95" s="36"/>
      <c r="DP95" s="34"/>
      <c r="DQ95" s="34"/>
      <c r="DR95" s="37"/>
      <c r="DS95" s="33"/>
      <c r="DT95" s="34"/>
      <c r="DU95" s="34">
        <f>DU92-DS95</f>
        <v>854</v>
      </c>
      <c r="DV95" s="34">
        <f>DV92-DT95</f>
        <v>78</v>
      </c>
      <c r="DW95" s="34">
        <v>592</v>
      </c>
      <c r="DX95" s="35">
        <f t="shared" ref="DX95:DX101" si="819">((DW95+DY95)/DU95)</f>
        <v>0.71662763466042156</v>
      </c>
      <c r="DY95" s="34">
        <v>20</v>
      </c>
      <c r="DZ95" s="35">
        <f t="shared" ref="DZ95:DZ101" si="820">DY95/(DW95+DY95)</f>
        <v>3.2679738562091505E-2</v>
      </c>
      <c r="EA95" s="36"/>
      <c r="EB95" s="34"/>
      <c r="EC95" s="34"/>
      <c r="ED95" s="37"/>
      <c r="EE95" s="33"/>
      <c r="EF95" s="34"/>
      <c r="EG95" s="34">
        <f>EG92-EE95</f>
        <v>862</v>
      </c>
      <c r="EH95" s="34">
        <f>EH92-EF95</f>
        <v>79</v>
      </c>
      <c r="EI95" s="34">
        <v>614</v>
      </c>
      <c r="EJ95" s="35">
        <f t="shared" ref="EJ95:EJ101" si="821">((EI95+EK95)/EG95)</f>
        <v>0.72853828306264501</v>
      </c>
      <c r="EK95" s="34">
        <v>14</v>
      </c>
      <c r="EL95" s="35">
        <f t="shared" ref="EL95:EL101" si="822">EK95/(EI95+EK95)</f>
        <v>2.2292993630573247E-2</v>
      </c>
      <c r="EM95" s="36"/>
      <c r="EN95" s="34"/>
      <c r="EO95" s="34"/>
      <c r="EP95" s="37"/>
      <c r="EQ95" s="33"/>
      <c r="ER95" s="34"/>
      <c r="ES95" s="34">
        <f>ES92-EQ95</f>
        <v>201</v>
      </c>
      <c r="ET95" s="34">
        <f>ET92-ER95</f>
        <v>16</v>
      </c>
      <c r="EU95" s="34">
        <v>143</v>
      </c>
      <c r="EV95" s="35">
        <f t="shared" ref="EV95:EV101" si="823">((EU95+EW95)/ES95)</f>
        <v>0.73134328358208955</v>
      </c>
      <c r="EW95" s="34">
        <v>4</v>
      </c>
      <c r="EX95" s="35">
        <f t="shared" ref="EX95:EX101" si="824">EW95/(EU95+EW95)</f>
        <v>2.7210884353741496E-2</v>
      </c>
      <c r="EY95" s="36"/>
      <c r="EZ95" s="34"/>
      <c r="FA95" s="34"/>
      <c r="FB95" s="37"/>
      <c r="FC95" s="33"/>
      <c r="FD95" s="34"/>
      <c r="FE95" s="34">
        <f>FE92-FC95</f>
        <v>866</v>
      </c>
      <c r="FF95" s="34">
        <f>FF92-FD95</f>
        <v>78</v>
      </c>
      <c r="FG95" s="34">
        <v>670</v>
      </c>
      <c r="FH95" s="35">
        <f t="shared" ref="FH95:FH101" si="825">((FG95+FI95)/FE95)</f>
        <v>0.78752886836027713</v>
      </c>
      <c r="FI95" s="34">
        <v>12</v>
      </c>
      <c r="FJ95" s="35">
        <f t="shared" ref="FJ95:FJ101" si="826">FI95/(FG95+FI95)</f>
        <v>1.7595307917888565E-2</v>
      </c>
      <c r="FK95" s="36"/>
      <c r="FL95" s="34"/>
      <c r="FM95" s="34"/>
      <c r="FN95" s="37"/>
      <c r="FO95" s="33"/>
      <c r="FP95" s="34"/>
      <c r="FQ95" s="34">
        <f>FQ92-FO95</f>
        <v>905</v>
      </c>
      <c r="FR95" s="34">
        <f>FR92-FP95</f>
        <v>81</v>
      </c>
      <c r="FS95" s="34">
        <v>655</v>
      </c>
      <c r="FT95" s="35">
        <f t="shared" ref="FT95:FT101" si="827">((FS95+FU95)/FQ95)</f>
        <v>0.73701657458563541</v>
      </c>
      <c r="FU95" s="34">
        <v>12</v>
      </c>
      <c r="FV95" s="35">
        <f t="shared" ref="FV95:FV101" si="828">FU95/(FS95+FU95)</f>
        <v>1.7991004497751123E-2</v>
      </c>
      <c r="FW95" s="36"/>
      <c r="FX95" s="34"/>
      <c r="FY95" s="34"/>
      <c r="FZ95" s="37"/>
      <c r="GA95" s="33">
        <v>1</v>
      </c>
      <c r="GB95" s="34"/>
      <c r="GC95" s="34">
        <f>GC92-GA95</f>
        <v>899</v>
      </c>
      <c r="GD95" s="34">
        <f>GD92-GB95</f>
        <v>81</v>
      </c>
      <c r="GE95" s="34">
        <v>622</v>
      </c>
      <c r="GF95" s="35">
        <f t="shared" ref="GF95:GF101" si="829">((GE95+GG95)/GC95)</f>
        <v>0.7007786429365962</v>
      </c>
      <c r="GG95" s="34">
        <v>8</v>
      </c>
      <c r="GH95" s="35">
        <f t="shared" ref="GH95:GH101" si="830">GG95/(GE95+GG95)</f>
        <v>1.2698412698412698E-2</v>
      </c>
      <c r="GI95" s="36"/>
      <c r="GJ95" s="34"/>
      <c r="GK95" s="34"/>
      <c r="GL95" s="37"/>
      <c r="GM95" s="33">
        <v>1</v>
      </c>
      <c r="GN95" s="34"/>
      <c r="GO95" s="34">
        <f>GO92-GM95</f>
        <v>185</v>
      </c>
      <c r="GP95" s="34">
        <f>GP92-GN95</f>
        <v>17</v>
      </c>
      <c r="GQ95" s="34">
        <v>126</v>
      </c>
      <c r="GR95" s="35">
        <f t="shared" ref="GR95:GR101" si="831">((GQ95+GS95)/GO95)</f>
        <v>0.68108108108108112</v>
      </c>
      <c r="GS95" s="34">
        <v>0</v>
      </c>
      <c r="GT95" s="35">
        <f t="shared" ref="GT95:GT101" si="832">GS95/(GQ95+GS95)</f>
        <v>0</v>
      </c>
      <c r="GU95" s="36"/>
      <c r="GV95" s="34"/>
      <c r="GW95" s="34"/>
      <c r="GX95" s="37"/>
      <c r="GY95" s="33"/>
      <c r="GZ95" s="34"/>
      <c r="HA95" s="34">
        <f>HA92-GY95</f>
        <v>910</v>
      </c>
      <c r="HB95" s="34">
        <f>HB92-GZ95</f>
        <v>82</v>
      </c>
      <c r="HC95" s="34">
        <v>657</v>
      </c>
      <c r="HD95" s="35">
        <f t="shared" ref="HD95:HD101" si="833">((HC95+HE95)/HA95)</f>
        <v>0.72527472527472525</v>
      </c>
      <c r="HE95" s="34">
        <v>3</v>
      </c>
      <c r="HF95" s="35">
        <f t="shared" ref="HF95:HF101" si="834">HE95/(HC95+HE95)</f>
        <v>4.5454545454545452E-3</v>
      </c>
      <c r="HG95" s="36"/>
      <c r="HH95" s="34"/>
      <c r="HI95" s="34"/>
      <c r="HJ95" s="37"/>
      <c r="HK95" s="33">
        <f t="shared" ref="HK95:HN101" si="835">+C95+O95+AA95+AM95+AY95+BK95+BW95+CI95+CU95+DG95+DS95+EE95+EQ95+FC95+FO95+GA95+GM95+GY95</f>
        <v>4</v>
      </c>
      <c r="HL95" s="34">
        <f t="shared" si="835"/>
        <v>0</v>
      </c>
      <c r="HM95" s="34">
        <f t="shared" si="835"/>
        <v>12324</v>
      </c>
      <c r="HN95" s="34">
        <f t="shared" si="835"/>
        <v>1107</v>
      </c>
      <c r="HO95" s="34">
        <f t="shared" ref="HO95:HO101" si="836">+G95+S95+AE95+AQ95+BC95+BO95+CA95+CM95+CY95+DK95+DW95+EI95+EU95+FG95+FS95+GE95+GQ95+HC95+I95+U95+AG95+AS95+BE95+BQ95+CC95+CO95+DA95+DM95+DY95+EK95+EW95+FI95+FU95+GG95+GS95+HE95</f>
        <v>9028</v>
      </c>
      <c r="HP95" s="94">
        <f t="shared" ref="HP95:HP101" si="837">+(HO95)/HM95</f>
        <v>0.73255436546575792</v>
      </c>
      <c r="HQ95" s="48">
        <f t="shared" ref="HQ95:HQ101" si="838">+I95+U95+AG95+AS95+BE95+BQ95+CC95+CO95+DA95+DM95+DY95+EK95+EW95+FI95+FU95+GG95+GS95+HE95</f>
        <v>181</v>
      </c>
      <c r="HR95" s="35">
        <f t="shared" ref="HR95:HR101" si="839">+(HQ95/(HO95))</f>
        <v>2.0048737261852016E-2</v>
      </c>
      <c r="HS95" s="49">
        <v>59.2</v>
      </c>
      <c r="HT95" s="50">
        <v>8678</v>
      </c>
      <c r="HU95" s="49">
        <f t="shared" ref="HU95:HU101" si="840">+HT95/HO95*100</f>
        <v>96.123172352680555</v>
      </c>
      <c r="HV95" s="48"/>
      <c r="HW95" s="37"/>
      <c r="HX95" s="73">
        <f t="shared" ref="HX95:HX101" si="841">SUM(G95,I95,S95,U95,AE95,AG95,AQ95,AS95,BC95,BE95)/SUM(E95,Q95,AC95,AO95,BA95)</f>
        <v>0.7401975456450165</v>
      </c>
      <c r="HY95" s="73">
        <f t="shared" ref="HY95:HY101" si="842">SUM(BO95,BQ95,CA95,CC95,CM95,CO95,CY95,DA95,DK95,DM95)/SUM(BM95,BY95,CK95,CW95,DI95)</f>
        <v>0.72796122387155404</v>
      </c>
      <c r="HZ95" s="73">
        <f t="shared" ref="HZ95:HZ101" si="843">SUM(DW95,DY95,EI95,EK95,EU95,EW95,FG95,FI95)/SUM(DU95,EG95,ES95,FE95)</f>
        <v>0.74344232842256552</v>
      </c>
      <c r="IA95" s="73">
        <f t="shared" ref="IA95:IA101" si="844">SUM(FS95,FU95,GE95,GG95,GQ95,GS95,HC95,HE95)/SUM(FQ95,GC95,GO95,HA95)</f>
        <v>0.71852362883753018</v>
      </c>
    </row>
    <row r="96" spans="1:244" x14ac:dyDescent="0.25">
      <c r="A96" s="374"/>
      <c r="B96" s="339">
        <f t="shared" ref="B96:B101" si="845">+B95+1</f>
        <v>45012</v>
      </c>
      <c r="C96" s="10">
        <v>1</v>
      </c>
      <c r="D96" s="11"/>
      <c r="E96" s="69">
        <f t="shared" ref="E96:F101" si="846">E95-C96</f>
        <v>845</v>
      </c>
      <c r="F96" s="69">
        <f t="shared" si="846"/>
        <v>75</v>
      </c>
      <c r="G96" s="11">
        <v>642</v>
      </c>
      <c r="H96" s="12">
        <f t="shared" si="800"/>
        <v>0.76923076923076927</v>
      </c>
      <c r="I96" s="11">
        <v>8</v>
      </c>
      <c r="J96" s="12">
        <f t="shared" ref="J96:J101" si="847">I96/(G96+I96)</f>
        <v>1.2307692307692308E-2</v>
      </c>
      <c r="K96" s="13"/>
      <c r="L96" s="11"/>
      <c r="M96" s="11"/>
      <c r="N96" s="14"/>
      <c r="O96" s="10"/>
      <c r="P96" s="11"/>
      <c r="Q96" s="69">
        <f t="shared" ref="Q96:R101" si="848">Q95-O96</f>
        <v>766</v>
      </c>
      <c r="R96" s="69">
        <f t="shared" si="848"/>
        <v>68</v>
      </c>
      <c r="S96" s="11">
        <v>551</v>
      </c>
      <c r="T96" s="12">
        <f t="shared" si="801"/>
        <v>0.73629242819843344</v>
      </c>
      <c r="U96" s="11">
        <v>13</v>
      </c>
      <c r="V96" s="12">
        <f t="shared" si="802"/>
        <v>2.3049645390070921E-2</v>
      </c>
      <c r="W96" s="13"/>
      <c r="X96" s="11"/>
      <c r="Y96" s="11"/>
      <c r="Z96" s="14"/>
      <c r="AA96" s="10"/>
      <c r="AB96" s="11"/>
      <c r="AC96" s="69">
        <f t="shared" ref="AC96:AD101" si="849">AC95-AA96</f>
        <v>182</v>
      </c>
      <c r="AD96" s="69">
        <f t="shared" si="849"/>
        <v>14</v>
      </c>
      <c r="AE96" s="11">
        <v>127</v>
      </c>
      <c r="AF96" s="12">
        <f t="shared" si="803"/>
        <v>0.71978021978021978</v>
      </c>
      <c r="AG96" s="11">
        <v>4</v>
      </c>
      <c r="AH96" s="12">
        <f t="shared" si="804"/>
        <v>3.0534351145038167E-2</v>
      </c>
      <c r="AI96" s="13"/>
      <c r="AJ96" s="11"/>
      <c r="AK96" s="11"/>
      <c r="AL96" s="14"/>
      <c r="AM96" s="10"/>
      <c r="AN96" s="11"/>
      <c r="AO96" s="69">
        <f t="shared" ref="AO96:AP101" si="850">AO95-AM96</f>
        <v>775</v>
      </c>
      <c r="AP96" s="69">
        <f t="shared" si="850"/>
        <v>69</v>
      </c>
      <c r="AQ96" s="11">
        <v>581</v>
      </c>
      <c r="AR96" s="12">
        <f t="shared" si="805"/>
        <v>0.76258064516129032</v>
      </c>
      <c r="AS96" s="11">
        <v>10</v>
      </c>
      <c r="AT96" s="12">
        <f t="shared" si="806"/>
        <v>1.6920473773265651E-2</v>
      </c>
      <c r="AU96" s="13"/>
      <c r="AV96" s="11"/>
      <c r="AW96" s="11"/>
      <c r="AX96" s="14"/>
      <c r="AY96" s="10">
        <v>1</v>
      </c>
      <c r="AZ96" s="11"/>
      <c r="BA96" s="69">
        <f t="shared" ref="BA96:BB101" si="851">BA95-AY96</f>
        <v>771</v>
      </c>
      <c r="BB96" s="69">
        <f t="shared" si="851"/>
        <v>69</v>
      </c>
      <c r="BC96" s="11">
        <v>573</v>
      </c>
      <c r="BD96" s="12">
        <f t="shared" si="807"/>
        <v>0.75356679636835278</v>
      </c>
      <c r="BE96" s="11">
        <v>8</v>
      </c>
      <c r="BF96" s="12">
        <f t="shared" si="808"/>
        <v>1.3769363166953529E-2</v>
      </c>
      <c r="BG96" s="13"/>
      <c r="BH96" s="11"/>
      <c r="BI96" s="11"/>
      <c r="BJ96" s="14"/>
      <c r="BK96" s="10"/>
      <c r="BL96" s="11"/>
      <c r="BM96" s="69">
        <f t="shared" ref="BM96:BN101" si="852">BM95-BK96</f>
        <v>840</v>
      </c>
      <c r="BN96" s="69">
        <v>76</v>
      </c>
      <c r="BO96" s="11">
        <v>595</v>
      </c>
      <c r="BP96" s="12">
        <f t="shared" si="809"/>
        <v>0.72976190476190472</v>
      </c>
      <c r="BQ96" s="11">
        <v>18</v>
      </c>
      <c r="BR96" s="12">
        <f t="shared" si="810"/>
        <v>2.936378466557912E-2</v>
      </c>
      <c r="BS96" s="13"/>
      <c r="BT96" s="11"/>
      <c r="BU96" s="11"/>
      <c r="BV96" s="14"/>
      <c r="BW96" s="10"/>
      <c r="BX96" s="11"/>
      <c r="BY96" s="69">
        <f t="shared" ref="BY96:BZ101" si="853">BY95-BW96</f>
        <v>760</v>
      </c>
      <c r="BZ96" s="69">
        <v>69</v>
      </c>
      <c r="CA96" s="11">
        <v>545</v>
      </c>
      <c r="CB96" s="12">
        <f t="shared" si="811"/>
        <v>0.72894736842105268</v>
      </c>
      <c r="CC96" s="11">
        <v>9</v>
      </c>
      <c r="CD96" s="12">
        <f t="shared" si="812"/>
        <v>1.6245487364620937E-2</v>
      </c>
      <c r="CE96" s="13"/>
      <c r="CF96" s="11"/>
      <c r="CG96" s="11"/>
      <c r="CH96" s="14"/>
      <c r="CI96" s="10">
        <v>1</v>
      </c>
      <c r="CJ96" s="11"/>
      <c r="CK96" s="69">
        <f t="shared" ref="CK96:CL101" si="854">CK95-CI96</f>
        <v>180</v>
      </c>
      <c r="CL96" s="69">
        <v>15</v>
      </c>
      <c r="CM96" s="11">
        <v>116</v>
      </c>
      <c r="CN96" s="12">
        <f t="shared" si="813"/>
        <v>0.65</v>
      </c>
      <c r="CO96" s="11">
        <v>1</v>
      </c>
      <c r="CP96" s="12">
        <f t="shared" si="814"/>
        <v>8.5470085470085479E-3</v>
      </c>
      <c r="CQ96" s="13"/>
      <c r="CR96" s="11"/>
      <c r="CS96" s="11"/>
      <c r="CT96" s="14"/>
      <c r="CU96" s="10"/>
      <c r="CV96" s="11"/>
      <c r="CW96" s="69">
        <f t="shared" ref="CW96:CX101" si="855">CW95-CU96</f>
        <v>757</v>
      </c>
      <c r="CX96" s="69">
        <v>69</v>
      </c>
      <c r="CY96" s="11">
        <v>551</v>
      </c>
      <c r="CZ96" s="12">
        <f t="shared" si="815"/>
        <v>0.74372523117569356</v>
      </c>
      <c r="DA96" s="11">
        <v>12</v>
      </c>
      <c r="DB96" s="12">
        <f t="shared" si="816"/>
        <v>2.1314387211367674E-2</v>
      </c>
      <c r="DC96" s="13"/>
      <c r="DD96" s="11"/>
      <c r="DE96" s="11"/>
      <c r="DF96" s="14"/>
      <c r="DG96" s="10"/>
      <c r="DH96" s="11"/>
      <c r="DI96" s="69">
        <f t="shared" ref="DI96:DJ101" si="856">DI95-DG96</f>
        <v>763</v>
      </c>
      <c r="DJ96" s="69">
        <f t="shared" si="856"/>
        <v>70</v>
      </c>
      <c r="DK96" s="11">
        <v>579</v>
      </c>
      <c r="DL96" s="12">
        <f t="shared" si="817"/>
        <v>0.78112712975098297</v>
      </c>
      <c r="DM96" s="11">
        <v>17</v>
      </c>
      <c r="DN96" s="12">
        <f t="shared" si="818"/>
        <v>2.8523489932885907E-2</v>
      </c>
      <c r="DO96" s="13"/>
      <c r="DP96" s="11"/>
      <c r="DQ96" s="11"/>
      <c r="DR96" s="14"/>
      <c r="DS96" s="10"/>
      <c r="DT96" s="11"/>
      <c r="DU96" s="69">
        <f t="shared" ref="DU96:DV101" si="857">DU95-DS96</f>
        <v>854</v>
      </c>
      <c r="DV96" s="69">
        <f t="shared" si="857"/>
        <v>78</v>
      </c>
      <c r="DW96" s="11">
        <v>604</v>
      </c>
      <c r="DX96" s="12">
        <f t="shared" si="819"/>
        <v>0.72248243559718972</v>
      </c>
      <c r="DY96" s="11">
        <v>13</v>
      </c>
      <c r="DZ96" s="12">
        <f t="shared" si="820"/>
        <v>2.1069692058346839E-2</v>
      </c>
      <c r="EA96" s="13"/>
      <c r="EB96" s="11"/>
      <c r="EC96" s="11"/>
      <c r="ED96" s="14"/>
      <c r="EE96" s="10"/>
      <c r="EF96" s="11"/>
      <c r="EG96" s="69">
        <f t="shared" ref="EG96:EH101" si="858">EG95-EE96</f>
        <v>862</v>
      </c>
      <c r="EH96" s="69">
        <f t="shared" si="858"/>
        <v>79</v>
      </c>
      <c r="EI96" s="11">
        <v>611</v>
      </c>
      <c r="EJ96" s="12">
        <f t="shared" si="821"/>
        <v>0.72621809744779586</v>
      </c>
      <c r="EK96" s="11">
        <v>15</v>
      </c>
      <c r="EL96" s="12">
        <f t="shared" si="822"/>
        <v>2.3961661341853034E-2</v>
      </c>
      <c r="EM96" s="13"/>
      <c r="EN96" s="11"/>
      <c r="EO96" s="11"/>
      <c r="EP96" s="14"/>
      <c r="EQ96" s="10"/>
      <c r="ER96" s="11"/>
      <c r="ES96" s="69">
        <f t="shared" ref="ES96:ET101" si="859">ES95-EQ96</f>
        <v>201</v>
      </c>
      <c r="ET96" s="69">
        <f t="shared" si="859"/>
        <v>16</v>
      </c>
      <c r="EU96" s="11">
        <v>149</v>
      </c>
      <c r="EV96" s="12">
        <f t="shared" si="823"/>
        <v>0.76119402985074625</v>
      </c>
      <c r="EW96" s="11">
        <v>4</v>
      </c>
      <c r="EX96" s="12">
        <f t="shared" si="824"/>
        <v>2.6143790849673203E-2</v>
      </c>
      <c r="EY96" s="13"/>
      <c r="EZ96" s="11"/>
      <c r="FA96" s="11"/>
      <c r="FB96" s="14"/>
      <c r="FC96" s="10"/>
      <c r="FD96" s="11"/>
      <c r="FE96" s="69">
        <f t="shared" ref="FE96:FF101" si="860">FE95-FC96</f>
        <v>866</v>
      </c>
      <c r="FF96" s="69">
        <f t="shared" si="860"/>
        <v>78</v>
      </c>
      <c r="FG96" s="11">
        <v>634</v>
      </c>
      <c r="FH96" s="12">
        <f t="shared" si="825"/>
        <v>0.74711316397228633</v>
      </c>
      <c r="FI96" s="11">
        <v>13</v>
      </c>
      <c r="FJ96" s="12">
        <f t="shared" si="826"/>
        <v>2.009273570324575E-2</v>
      </c>
      <c r="FK96" s="13"/>
      <c r="FL96" s="11"/>
      <c r="FM96" s="11"/>
      <c r="FN96" s="14"/>
      <c r="FO96" s="10"/>
      <c r="FP96" s="11"/>
      <c r="FQ96" s="69">
        <f t="shared" ref="FQ96:FR101" si="861">FQ95-FO96</f>
        <v>905</v>
      </c>
      <c r="FR96" s="69">
        <f t="shared" si="861"/>
        <v>81</v>
      </c>
      <c r="FS96" s="11">
        <v>607</v>
      </c>
      <c r="FT96" s="12">
        <f t="shared" si="827"/>
        <v>0.68950276243093922</v>
      </c>
      <c r="FU96" s="11">
        <v>17</v>
      </c>
      <c r="FV96" s="12">
        <f t="shared" si="828"/>
        <v>2.7243589743589744E-2</v>
      </c>
      <c r="FW96" s="13"/>
      <c r="FX96" s="11"/>
      <c r="FY96" s="11"/>
      <c r="FZ96" s="14"/>
      <c r="GA96" s="10"/>
      <c r="GB96" s="11"/>
      <c r="GC96" s="69">
        <f t="shared" ref="GC96:GD101" si="862">GC95-GA96</f>
        <v>899</v>
      </c>
      <c r="GD96" s="69">
        <f t="shared" si="862"/>
        <v>81</v>
      </c>
      <c r="GE96" s="11">
        <v>641</v>
      </c>
      <c r="GF96" s="12">
        <f t="shared" si="829"/>
        <v>0.7230255839822024</v>
      </c>
      <c r="GG96" s="11">
        <v>9</v>
      </c>
      <c r="GH96" s="12">
        <f t="shared" si="830"/>
        <v>1.3846153846153847E-2</v>
      </c>
      <c r="GI96" s="13"/>
      <c r="GJ96" s="11"/>
      <c r="GK96" s="11"/>
      <c r="GL96" s="14"/>
      <c r="GM96" s="10"/>
      <c r="GN96" s="11"/>
      <c r="GO96" s="69">
        <f t="shared" ref="GO96:GP101" si="863">GO95-GM96</f>
        <v>185</v>
      </c>
      <c r="GP96" s="69">
        <f t="shared" si="863"/>
        <v>17</v>
      </c>
      <c r="GQ96" s="11">
        <v>135</v>
      </c>
      <c r="GR96" s="12">
        <f t="shared" si="831"/>
        <v>0.76216216216216215</v>
      </c>
      <c r="GS96" s="11">
        <v>6</v>
      </c>
      <c r="GT96" s="12">
        <f t="shared" si="832"/>
        <v>4.2553191489361701E-2</v>
      </c>
      <c r="GU96" s="13"/>
      <c r="GV96" s="11"/>
      <c r="GW96" s="11"/>
      <c r="GX96" s="14"/>
      <c r="GY96" s="10"/>
      <c r="GZ96" s="11"/>
      <c r="HA96" s="69">
        <f t="shared" ref="HA96:HB101" si="864">HA95-GY96</f>
        <v>910</v>
      </c>
      <c r="HB96" s="69">
        <f t="shared" si="864"/>
        <v>82</v>
      </c>
      <c r="HC96" s="11">
        <v>628</v>
      </c>
      <c r="HD96" s="12">
        <f t="shared" si="833"/>
        <v>0.70549450549450554</v>
      </c>
      <c r="HE96" s="11">
        <v>14</v>
      </c>
      <c r="HF96" s="12">
        <f t="shared" si="834"/>
        <v>2.1806853582554516E-2</v>
      </c>
      <c r="HG96" s="13"/>
      <c r="HH96" s="11"/>
      <c r="HI96" s="11"/>
      <c r="HJ96" s="14"/>
      <c r="HK96" s="10">
        <f t="shared" si="835"/>
        <v>3</v>
      </c>
      <c r="HL96" s="341">
        <v>1</v>
      </c>
      <c r="HM96" s="11">
        <f t="shared" si="835"/>
        <v>12321</v>
      </c>
      <c r="HN96" s="11">
        <f t="shared" si="835"/>
        <v>1106</v>
      </c>
      <c r="HO96" s="11">
        <f t="shared" si="836"/>
        <v>9060</v>
      </c>
      <c r="HP96" s="95">
        <f t="shared" si="837"/>
        <v>0.73532992451911372</v>
      </c>
      <c r="HQ96" s="15">
        <f t="shared" si="838"/>
        <v>191</v>
      </c>
      <c r="HR96" s="12">
        <f t="shared" si="839"/>
        <v>2.1081677704194262E-2</v>
      </c>
      <c r="HS96" s="16">
        <v>59.4</v>
      </c>
      <c r="HT96" s="17">
        <v>8691</v>
      </c>
      <c r="HU96" s="16">
        <f t="shared" si="840"/>
        <v>95.927152317880797</v>
      </c>
      <c r="HV96" s="15"/>
      <c r="HW96" s="14"/>
      <c r="HX96" s="73">
        <f t="shared" si="841"/>
        <v>0.75381850853548971</v>
      </c>
      <c r="HY96" s="73">
        <f t="shared" si="842"/>
        <v>0.74030303030303035</v>
      </c>
      <c r="HZ96" s="73">
        <f t="shared" si="843"/>
        <v>0.73409989220265903</v>
      </c>
      <c r="IA96" s="73">
        <f t="shared" si="844"/>
        <v>0.7095550189720593</v>
      </c>
    </row>
    <row r="97" spans="1:244" x14ac:dyDescent="0.25">
      <c r="A97" s="374"/>
      <c r="B97" s="339">
        <f t="shared" si="845"/>
        <v>45013</v>
      </c>
      <c r="C97" s="10"/>
      <c r="D97" s="11"/>
      <c r="E97" s="69">
        <f t="shared" si="846"/>
        <v>845</v>
      </c>
      <c r="F97" s="69">
        <f t="shared" si="846"/>
        <v>75</v>
      </c>
      <c r="G97" s="11">
        <v>635</v>
      </c>
      <c r="H97" s="12">
        <f t="shared" si="800"/>
        <v>0.76213017751479295</v>
      </c>
      <c r="I97" s="11">
        <v>9</v>
      </c>
      <c r="J97" s="12">
        <f t="shared" si="847"/>
        <v>1.3975155279503106E-2</v>
      </c>
      <c r="K97" s="13"/>
      <c r="L97" s="11"/>
      <c r="M97" s="11"/>
      <c r="N97" s="14"/>
      <c r="O97" s="10"/>
      <c r="P97" s="11"/>
      <c r="Q97" s="69">
        <f t="shared" si="848"/>
        <v>766</v>
      </c>
      <c r="R97" s="69">
        <f t="shared" si="848"/>
        <v>68</v>
      </c>
      <c r="S97" s="11">
        <v>586</v>
      </c>
      <c r="T97" s="12">
        <f t="shared" si="801"/>
        <v>0.77415143603133163</v>
      </c>
      <c r="U97" s="11">
        <v>7</v>
      </c>
      <c r="V97" s="12">
        <f t="shared" si="802"/>
        <v>1.1804384485666104E-2</v>
      </c>
      <c r="W97" s="13"/>
      <c r="X97" s="11"/>
      <c r="Y97" s="11"/>
      <c r="Z97" s="14"/>
      <c r="AA97" s="10">
        <v>1</v>
      </c>
      <c r="AB97" s="11"/>
      <c r="AC97" s="69">
        <f t="shared" si="849"/>
        <v>181</v>
      </c>
      <c r="AD97" s="69">
        <f t="shared" si="849"/>
        <v>14</v>
      </c>
      <c r="AE97" s="11">
        <v>146</v>
      </c>
      <c r="AF97" s="12">
        <f t="shared" si="803"/>
        <v>0.81215469613259672</v>
      </c>
      <c r="AG97" s="11">
        <v>1</v>
      </c>
      <c r="AH97" s="12">
        <f t="shared" si="804"/>
        <v>6.8027210884353739E-3</v>
      </c>
      <c r="AI97" s="13"/>
      <c r="AJ97" s="11"/>
      <c r="AK97" s="11"/>
      <c r="AL97" s="14"/>
      <c r="AM97" s="10"/>
      <c r="AN97" s="11"/>
      <c r="AO97" s="69">
        <f t="shared" si="850"/>
        <v>775</v>
      </c>
      <c r="AP97" s="69">
        <f t="shared" si="850"/>
        <v>69</v>
      </c>
      <c r="AQ97" s="11">
        <v>575</v>
      </c>
      <c r="AR97" s="12">
        <f t="shared" si="805"/>
        <v>0.75354838709677419</v>
      </c>
      <c r="AS97" s="11">
        <v>9</v>
      </c>
      <c r="AT97" s="12">
        <f t="shared" si="806"/>
        <v>1.5410958904109588E-2</v>
      </c>
      <c r="AU97" s="13"/>
      <c r="AV97" s="11"/>
      <c r="AW97" s="11"/>
      <c r="AX97" s="14"/>
      <c r="AY97" s="10">
        <v>1</v>
      </c>
      <c r="AZ97" s="11"/>
      <c r="BA97" s="69">
        <f t="shared" si="851"/>
        <v>770</v>
      </c>
      <c r="BB97" s="69">
        <f t="shared" si="851"/>
        <v>69</v>
      </c>
      <c r="BC97" s="11">
        <v>564</v>
      </c>
      <c r="BD97" s="12">
        <f t="shared" si="807"/>
        <v>0.74285714285714288</v>
      </c>
      <c r="BE97" s="11">
        <v>8</v>
      </c>
      <c r="BF97" s="12">
        <f t="shared" si="808"/>
        <v>1.3986013986013986E-2</v>
      </c>
      <c r="BG97" s="13"/>
      <c r="BH97" s="11"/>
      <c r="BI97" s="11"/>
      <c r="BJ97" s="14"/>
      <c r="BK97" s="10"/>
      <c r="BL97" s="11"/>
      <c r="BM97" s="69">
        <f t="shared" si="852"/>
        <v>840</v>
      </c>
      <c r="BN97" s="69">
        <f t="shared" si="852"/>
        <v>76</v>
      </c>
      <c r="BO97" s="11">
        <v>634</v>
      </c>
      <c r="BP97" s="12">
        <f t="shared" si="809"/>
        <v>0.77142857142857146</v>
      </c>
      <c r="BQ97" s="11">
        <v>14</v>
      </c>
      <c r="BR97" s="12">
        <f t="shared" si="810"/>
        <v>2.1604938271604937E-2</v>
      </c>
      <c r="BS97" s="13"/>
      <c r="BT97" s="11"/>
      <c r="BU97" s="11"/>
      <c r="BV97" s="14"/>
      <c r="BW97" s="10"/>
      <c r="BX97" s="11"/>
      <c r="BY97" s="69">
        <f t="shared" si="853"/>
        <v>760</v>
      </c>
      <c r="BZ97" s="69">
        <f t="shared" si="853"/>
        <v>69</v>
      </c>
      <c r="CA97" s="11">
        <v>564</v>
      </c>
      <c r="CB97" s="12">
        <f t="shared" si="811"/>
        <v>0.75921052631578945</v>
      </c>
      <c r="CC97" s="11">
        <v>13</v>
      </c>
      <c r="CD97" s="12">
        <f t="shared" si="812"/>
        <v>2.2530329289428077E-2</v>
      </c>
      <c r="CE97" s="13"/>
      <c r="CF97" s="11"/>
      <c r="CG97" s="11"/>
      <c r="CH97" s="14"/>
      <c r="CI97" s="10"/>
      <c r="CJ97" s="11"/>
      <c r="CK97" s="69">
        <f t="shared" si="854"/>
        <v>180</v>
      </c>
      <c r="CL97" s="69">
        <f t="shared" si="854"/>
        <v>15</v>
      </c>
      <c r="CM97" s="11">
        <v>132</v>
      </c>
      <c r="CN97" s="12">
        <f t="shared" si="813"/>
        <v>0.74444444444444446</v>
      </c>
      <c r="CO97" s="11">
        <v>2</v>
      </c>
      <c r="CP97" s="12">
        <f t="shared" si="814"/>
        <v>1.4925373134328358E-2</v>
      </c>
      <c r="CQ97" s="13"/>
      <c r="CR97" s="11"/>
      <c r="CS97" s="11"/>
      <c r="CT97" s="14"/>
      <c r="CU97" s="10"/>
      <c r="CV97" s="11"/>
      <c r="CW97" s="69">
        <f t="shared" si="855"/>
        <v>757</v>
      </c>
      <c r="CX97" s="69">
        <f t="shared" si="855"/>
        <v>69</v>
      </c>
      <c r="CY97" s="11">
        <v>574</v>
      </c>
      <c r="CZ97" s="12">
        <f t="shared" si="815"/>
        <v>0.7714663143989432</v>
      </c>
      <c r="DA97" s="11">
        <v>10</v>
      </c>
      <c r="DB97" s="12">
        <f t="shared" si="816"/>
        <v>1.7123287671232876E-2</v>
      </c>
      <c r="DC97" s="13"/>
      <c r="DD97" s="11"/>
      <c r="DE97" s="11"/>
      <c r="DF97" s="14"/>
      <c r="DG97" s="10"/>
      <c r="DH97" s="11"/>
      <c r="DI97" s="69">
        <f t="shared" si="856"/>
        <v>763</v>
      </c>
      <c r="DJ97" s="69">
        <f t="shared" si="856"/>
        <v>70</v>
      </c>
      <c r="DK97" s="11">
        <v>574</v>
      </c>
      <c r="DL97" s="12">
        <f t="shared" si="817"/>
        <v>0.79161205766710352</v>
      </c>
      <c r="DM97" s="11">
        <v>30</v>
      </c>
      <c r="DN97" s="12">
        <f t="shared" si="818"/>
        <v>4.9668874172185427E-2</v>
      </c>
      <c r="DO97" s="13"/>
      <c r="DP97" s="11"/>
      <c r="DQ97" s="11"/>
      <c r="DR97" s="14"/>
      <c r="DS97" s="10"/>
      <c r="DT97" s="11"/>
      <c r="DU97" s="69">
        <f t="shared" si="857"/>
        <v>854</v>
      </c>
      <c r="DV97" s="69">
        <v>77</v>
      </c>
      <c r="DW97" s="11">
        <v>633</v>
      </c>
      <c r="DX97" s="12">
        <f t="shared" si="819"/>
        <v>0.75761124121779855</v>
      </c>
      <c r="DY97" s="11">
        <v>14</v>
      </c>
      <c r="DZ97" s="12">
        <f t="shared" si="820"/>
        <v>2.1638330757341576E-2</v>
      </c>
      <c r="EA97" s="13"/>
      <c r="EB97" s="11"/>
      <c r="EC97" s="11"/>
      <c r="ED97" s="14"/>
      <c r="EE97" s="10"/>
      <c r="EF97" s="11"/>
      <c r="EG97" s="69">
        <f t="shared" si="858"/>
        <v>862</v>
      </c>
      <c r="EH97" s="69">
        <v>78</v>
      </c>
      <c r="EI97" s="11">
        <v>620</v>
      </c>
      <c r="EJ97" s="12">
        <f t="shared" si="821"/>
        <v>0.74245939675174011</v>
      </c>
      <c r="EK97" s="11">
        <v>20</v>
      </c>
      <c r="EL97" s="12">
        <f t="shared" si="822"/>
        <v>3.125E-2</v>
      </c>
      <c r="EM97" s="13"/>
      <c r="EN97" s="11"/>
      <c r="EO97" s="11"/>
      <c r="EP97" s="14"/>
      <c r="EQ97" s="10"/>
      <c r="ER97" s="11"/>
      <c r="ES97" s="69">
        <f t="shared" si="859"/>
        <v>201</v>
      </c>
      <c r="ET97" s="69">
        <v>17</v>
      </c>
      <c r="EU97" s="11">
        <v>146</v>
      </c>
      <c r="EV97" s="12">
        <f t="shared" si="823"/>
        <v>0.73631840796019898</v>
      </c>
      <c r="EW97" s="11">
        <v>2</v>
      </c>
      <c r="EX97" s="12">
        <f t="shared" si="824"/>
        <v>1.3513513513513514E-2</v>
      </c>
      <c r="EY97" s="13"/>
      <c r="EZ97" s="11"/>
      <c r="FA97" s="11"/>
      <c r="FB97" s="14"/>
      <c r="FC97" s="10"/>
      <c r="FD97" s="11"/>
      <c r="FE97" s="69">
        <f t="shared" si="860"/>
        <v>866</v>
      </c>
      <c r="FF97" s="69">
        <v>79</v>
      </c>
      <c r="FG97" s="11">
        <v>669</v>
      </c>
      <c r="FH97" s="12">
        <f t="shared" si="825"/>
        <v>0.78175519630484991</v>
      </c>
      <c r="FI97" s="11">
        <v>8</v>
      </c>
      <c r="FJ97" s="12">
        <f t="shared" si="826"/>
        <v>1.1816838995568686E-2</v>
      </c>
      <c r="FK97" s="13"/>
      <c r="FL97" s="11"/>
      <c r="FM97" s="11"/>
      <c r="FN97" s="14"/>
      <c r="FO97" s="10"/>
      <c r="FP97" s="11"/>
      <c r="FQ97" s="69">
        <f t="shared" si="861"/>
        <v>905</v>
      </c>
      <c r="FR97" s="69">
        <f t="shared" si="861"/>
        <v>81</v>
      </c>
      <c r="FS97" s="11">
        <v>630</v>
      </c>
      <c r="FT97" s="12">
        <f t="shared" si="827"/>
        <v>0.7149171270718232</v>
      </c>
      <c r="FU97" s="11">
        <v>17</v>
      </c>
      <c r="FV97" s="12">
        <f t="shared" si="828"/>
        <v>2.6275115919629059E-2</v>
      </c>
      <c r="FW97" s="13"/>
      <c r="FX97" s="11"/>
      <c r="FY97" s="11"/>
      <c r="FZ97" s="14"/>
      <c r="GA97" s="10"/>
      <c r="GB97" s="11"/>
      <c r="GC97" s="69">
        <f t="shared" si="862"/>
        <v>899</v>
      </c>
      <c r="GD97" s="69">
        <f t="shared" si="862"/>
        <v>81</v>
      </c>
      <c r="GE97" s="11">
        <v>670</v>
      </c>
      <c r="GF97" s="12">
        <f t="shared" si="829"/>
        <v>0.75528364849833152</v>
      </c>
      <c r="GG97" s="11">
        <v>9</v>
      </c>
      <c r="GH97" s="12">
        <f t="shared" si="830"/>
        <v>1.3254786450662739E-2</v>
      </c>
      <c r="GI97" s="13"/>
      <c r="GJ97" s="11"/>
      <c r="GK97" s="11"/>
      <c r="GL97" s="14"/>
      <c r="GM97" s="10"/>
      <c r="GN97" s="11"/>
      <c r="GO97" s="69">
        <f t="shared" si="863"/>
        <v>185</v>
      </c>
      <c r="GP97" s="69">
        <f t="shared" si="863"/>
        <v>17</v>
      </c>
      <c r="GQ97" s="11">
        <v>148</v>
      </c>
      <c r="GR97" s="12">
        <f t="shared" si="831"/>
        <v>0.85945945945945945</v>
      </c>
      <c r="GS97" s="11">
        <v>11</v>
      </c>
      <c r="GT97" s="12">
        <f t="shared" si="832"/>
        <v>6.9182389937106917E-2</v>
      </c>
      <c r="GU97" s="13"/>
      <c r="GV97" s="11"/>
      <c r="GW97" s="11"/>
      <c r="GX97" s="14"/>
      <c r="GY97" s="10"/>
      <c r="GZ97" s="11"/>
      <c r="HA97" s="69">
        <f t="shared" si="864"/>
        <v>910</v>
      </c>
      <c r="HB97" s="69">
        <f t="shared" si="864"/>
        <v>82</v>
      </c>
      <c r="HC97" s="11">
        <v>671</v>
      </c>
      <c r="HD97" s="12">
        <f t="shared" si="833"/>
        <v>0.74065934065934069</v>
      </c>
      <c r="HE97" s="11">
        <v>3</v>
      </c>
      <c r="HF97" s="12">
        <f t="shared" si="834"/>
        <v>4.4510385756676559E-3</v>
      </c>
      <c r="HG97" s="13"/>
      <c r="HH97" s="11"/>
      <c r="HI97" s="11"/>
      <c r="HJ97" s="14"/>
      <c r="HK97" s="10">
        <f t="shared" si="835"/>
        <v>2</v>
      </c>
      <c r="HL97" s="11">
        <f t="shared" si="835"/>
        <v>0</v>
      </c>
      <c r="HM97" s="11">
        <f t="shared" si="835"/>
        <v>12319</v>
      </c>
      <c r="HN97" s="11">
        <f t="shared" si="835"/>
        <v>1106</v>
      </c>
      <c r="HO97" s="11">
        <f t="shared" si="836"/>
        <v>9358</v>
      </c>
      <c r="HP97" s="95">
        <f t="shared" si="837"/>
        <v>0.75963958113483232</v>
      </c>
      <c r="HQ97" s="15">
        <f t="shared" si="838"/>
        <v>187</v>
      </c>
      <c r="HR97" s="12">
        <f t="shared" si="839"/>
        <v>1.9982902329557597E-2</v>
      </c>
      <c r="HS97" s="16">
        <v>59.5</v>
      </c>
      <c r="HT97" s="17">
        <v>8977</v>
      </c>
      <c r="HU97" s="16">
        <f t="shared" si="840"/>
        <v>95.928617225902968</v>
      </c>
      <c r="HV97" s="15"/>
      <c r="HW97" s="14"/>
      <c r="HX97" s="73">
        <f t="shared" si="841"/>
        <v>0.76116272100689242</v>
      </c>
      <c r="HY97" s="73">
        <f t="shared" si="842"/>
        <v>0.77181818181818185</v>
      </c>
      <c r="HZ97" s="73">
        <f t="shared" si="843"/>
        <v>0.75889328063241102</v>
      </c>
      <c r="IA97" s="73">
        <f t="shared" si="844"/>
        <v>0.74473956536736807</v>
      </c>
    </row>
    <row r="98" spans="1:244" x14ac:dyDescent="0.25">
      <c r="A98" s="374"/>
      <c r="B98" s="41">
        <f t="shared" si="845"/>
        <v>45014</v>
      </c>
      <c r="C98" s="10"/>
      <c r="D98" s="11"/>
      <c r="E98" s="69">
        <f t="shared" si="846"/>
        <v>845</v>
      </c>
      <c r="F98" s="69">
        <f t="shared" si="846"/>
        <v>75</v>
      </c>
      <c r="G98" s="11">
        <v>617</v>
      </c>
      <c r="H98" s="12">
        <f t="shared" si="800"/>
        <v>0.74911242603550299</v>
      </c>
      <c r="I98" s="11">
        <v>16</v>
      </c>
      <c r="J98" s="12">
        <f t="shared" si="847"/>
        <v>2.5276461295418641E-2</v>
      </c>
      <c r="K98" s="11"/>
      <c r="L98" s="11"/>
      <c r="M98" s="18"/>
      <c r="N98" s="20"/>
      <c r="O98" s="10"/>
      <c r="P98" s="11"/>
      <c r="Q98" s="69">
        <f t="shared" si="848"/>
        <v>766</v>
      </c>
      <c r="R98" s="69">
        <f t="shared" si="848"/>
        <v>68</v>
      </c>
      <c r="S98" s="11">
        <v>546</v>
      </c>
      <c r="T98" s="12">
        <f t="shared" si="801"/>
        <v>0.73498694516971275</v>
      </c>
      <c r="U98" s="11">
        <v>17</v>
      </c>
      <c r="V98" s="12">
        <f t="shared" si="802"/>
        <v>3.0195381882770871E-2</v>
      </c>
      <c r="W98" s="11"/>
      <c r="X98" s="11"/>
      <c r="Y98" s="18"/>
      <c r="Z98" s="20"/>
      <c r="AA98" s="10"/>
      <c r="AB98" s="11"/>
      <c r="AC98" s="69">
        <f t="shared" si="849"/>
        <v>181</v>
      </c>
      <c r="AD98" s="69">
        <f t="shared" si="849"/>
        <v>14</v>
      </c>
      <c r="AE98" s="11">
        <v>131</v>
      </c>
      <c r="AF98" s="12">
        <f t="shared" si="803"/>
        <v>0.7458563535911602</v>
      </c>
      <c r="AG98" s="11">
        <v>4</v>
      </c>
      <c r="AH98" s="12">
        <f t="shared" si="804"/>
        <v>2.9629629629629631E-2</v>
      </c>
      <c r="AI98" s="11"/>
      <c r="AJ98" s="11"/>
      <c r="AK98" s="18"/>
      <c r="AL98" s="20"/>
      <c r="AM98" s="10"/>
      <c r="AN98" s="11"/>
      <c r="AO98" s="69">
        <f t="shared" si="850"/>
        <v>775</v>
      </c>
      <c r="AP98" s="69">
        <f t="shared" si="850"/>
        <v>69</v>
      </c>
      <c r="AQ98" s="11">
        <v>582</v>
      </c>
      <c r="AR98" s="12">
        <f t="shared" si="805"/>
        <v>0.7587096774193548</v>
      </c>
      <c r="AS98" s="11">
        <v>6</v>
      </c>
      <c r="AT98" s="12">
        <f t="shared" si="806"/>
        <v>1.020408163265306E-2</v>
      </c>
      <c r="AU98" s="11"/>
      <c r="AV98" s="11"/>
      <c r="AW98" s="18"/>
      <c r="AX98" s="20"/>
      <c r="AY98" s="10"/>
      <c r="AZ98" s="11"/>
      <c r="BA98" s="69">
        <f t="shared" si="851"/>
        <v>770</v>
      </c>
      <c r="BB98" s="69">
        <f t="shared" si="851"/>
        <v>69</v>
      </c>
      <c r="BC98" s="11">
        <v>538</v>
      </c>
      <c r="BD98" s="12">
        <f t="shared" si="807"/>
        <v>0.71558441558441555</v>
      </c>
      <c r="BE98" s="11">
        <v>13</v>
      </c>
      <c r="BF98" s="12">
        <f t="shared" si="808"/>
        <v>2.3593466424682397E-2</v>
      </c>
      <c r="BG98" s="11"/>
      <c r="BH98" s="11"/>
      <c r="BI98" s="18"/>
      <c r="BJ98" s="20"/>
      <c r="BK98" s="10"/>
      <c r="BL98" s="11"/>
      <c r="BM98" s="69">
        <f t="shared" si="852"/>
        <v>840</v>
      </c>
      <c r="BN98" s="69">
        <f t="shared" si="852"/>
        <v>76</v>
      </c>
      <c r="BO98" s="11">
        <v>584</v>
      </c>
      <c r="BP98" s="12">
        <f t="shared" si="809"/>
        <v>0.71785714285714286</v>
      </c>
      <c r="BQ98" s="11">
        <v>19</v>
      </c>
      <c r="BR98" s="12">
        <f t="shared" si="810"/>
        <v>3.150912106135987E-2</v>
      </c>
      <c r="BS98" s="11"/>
      <c r="BT98" s="11"/>
      <c r="BU98" s="18"/>
      <c r="BV98" s="20"/>
      <c r="BW98" s="10"/>
      <c r="BX98" s="11"/>
      <c r="BY98" s="69">
        <f t="shared" si="853"/>
        <v>760</v>
      </c>
      <c r="BZ98" s="69">
        <f t="shared" si="853"/>
        <v>69</v>
      </c>
      <c r="CA98" s="11">
        <v>615</v>
      </c>
      <c r="CB98" s="12">
        <f t="shared" si="811"/>
        <v>0.82236842105263153</v>
      </c>
      <c r="CC98" s="11">
        <v>10</v>
      </c>
      <c r="CD98" s="12">
        <f t="shared" si="812"/>
        <v>1.6E-2</v>
      </c>
      <c r="CE98" s="11"/>
      <c r="CF98" s="11"/>
      <c r="CG98" s="18"/>
      <c r="CH98" s="20"/>
      <c r="CI98" s="10"/>
      <c r="CJ98" s="11"/>
      <c r="CK98" s="69">
        <f t="shared" si="854"/>
        <v>180</v>
      </c>
      <c r="CL98" s="69">
        <f t="shared" si="854"/>
        <v>15</v>
      </c>
      <c r="CM98" s="11">
        <v>114</v>
      </c>
      <c r="CN98" s="12">
        <f t="shared" si="813"/>
        <v>0.66666666666666663</v>
      </c>
      <c r="CO98" s="11">
        <v>6</v>
      </c>
      <c r="CP98" s="12">
        <f t="shared" si="814"/>
        <v>0.05</v>
      </c>
      <c r="CQ98" s="11"/>
      <c r="CR98" s="11"/>
      <c r="CS98" s="18"/>
      <c r="CT98" s="20"/>
      <c r="CU98" s="10">
        <v>1</v>
      </c>
      <c r="CV98" s="11"/>
      <c r="CW98" s="69">
        <f t="shared" si="855"/>
        <v>756</v>
      </c>
      <c r="CX98" s="69">
        <f t="shared" si="855"/>
        <v>69</v>
      </c>
      <c r="CY98" s="11">
        <v>571</v>
      </c>
      <c r="CZ98" s="12">
        <f t="shared" si="815"/>
        <v>0.76719576719576721</v>
      </c>
      <c r="DA98" s="11">
        <v>9</v>
      </c>
      <c r="DB98" s="12">
        <f t="shared" si="816"/>
        <v>1.5517241379310345E-2</v>
      </c>
      <c r="DC98" s="11"/>
      <c r="DD98" s="11"/>
      <c r="DE98" s="18"/>
      <c r="DF98" s="20"/>
      <c r="DG98" s="10"/>
      <c r="DH98" s="11"/>
      <c r="DI98" s="69">
        <f t="shared" si="856"/>
        <v>763</v>
      </c>
      <c r="DJ98" s="69">
        <f t="shared" si="856"/>
        <v>70</v>
      </c>
      <c r="DK98" s="11">
        <v>545</v>
      </c>
      <c r="DL98" s="12">
        <f t="shared" si="817"/>
        <v>0.73656618610747049</v>
      </c>
      <c r="DM98" s="11">
        <v>17</v>
      </c>
      <c r="DN98" s="12">
        <f t="shared" si="818"/>
        <v>3.0249110320284697E-2</v>
      </c>
      <c r="DO98" s="11"/>
      <c r="DP98" s="11"/>
      <c r="DQ98" s="18"/>
      <c r="DR98" s="20"/>
      <c r="DS98" s="10"/>
      <c r="DT98" s="11"/>
      <c r="DU98" s="69">
        <f t="shared" si="857"/>
        <v>854</v>
      </c>
      <c r="DV98" s="69">
        <f t="shared" si="857"/>
        <v>77</v>
      </c>
      <c r="DW98" s="11">
        <v>606</v>
      </c>
      <c r="DX98" s="12">
        <f t="shared" si="819"/>
        <v>0.72248243559718972</v>
      </c>
      <c r="DY98" s="11">
        <v>11</v>
      </c>
      <c r="DZ98" s="12">
        <f t="shared" si="820"/>
        <v>1.7828200972447326E-2</v>
      </c>
      <c r="EA98" s="11"/>
      <c r="EB98" s="11"/>
      <c r="EC98" s="18"/>
      <c r="ED98" s="20"/>
      <c r="EE98" s="10"/>
      <c r="EF98" s="11"/>
      <c r="EG98" s="69">
        <f t="shared" si="858"/>
        <v>862</v>
      </c>
      <c r="EH98" s="69">
        <f t="shared" si="858"/>
        <v>78</v>
      </c>
      <c r="EI98" s="11">
        <v>640</v>
      </c>
      <c r="EJ98" s="12">
        <f t="shared" si="821"/>
        <v>0.75638051044083532</v>
      </c>
      <c r="EK98" s="11">
        <v>12</v>
      </c>
      <c r="EL98" s="12">
        <f t="shared" si="822"/>
        <v>1.8404907975460124E-2</v>
      </c>
      <c r="EM98" s="11"/>
      <c r="EN98" s="11"/>
      <c r="EO98" s="18"/>
      <c r="EP98" s="20"/>
      <c r="EQ98" s="10">
        <v>1</v>
      </c>
      <c r="ER98" s="11"/>
      <c r="ES98" s="69">
        <f t="shared" si="859"/>
        <v>200</v>
      </c>
      <c r="ET98" s="69">
        <f t="shared" si="859"/>
        <v>17</v>
      </c>
      <c r="EU98" s="11">
        <v>149</v>
      </c>
      <c r="EV98" s="12">
        <f t="shared" si="823"/>
        <v>0.76</v>
      </c>
      <c r="EW98" s="11">
        <v>3</v>
      </c>
      <c r="EX98" s="12">
        <f t="shared" si="824"/>
        <v>1.9736842105263157E-2</v>
      </c>
      <c r="EY98" s="11"/>
      <c r="EZ98" s="11"/>
      <c r="FA98" s="18"/>
      <c r="FB98" s="20"/>
      <c r="FC98" s="10"/>
      <c r="FD98" s="11"/>
      <c r="FE98" s="69">
        <f t="shared" si="860"/>
        <v>866</v>
      </c>
      <c r="FF98" s="69">
        <f t="shared" si="860"/>
        <v>79</v>
      </c>
      <c r="FG98" s="11">
        <v>702</v>
      </c>
      <c r="FH98" s="12">
        <f t="shared" si="825"/>
        <v>0.81639722863741337</v>
      </c>
      <c r="FI98" s="11">
        <v>5</v>
      </c>
      <c r="FJ98" s="12">
        <f t="shared" si="826"/>
        <v>7.0721357850070717E-3</v>
      </c>
      <c r="FK98" s="11"/>
      <c r="FL98" s="11"/>
      <c r="FM98" s="18"/>
      <c r="FN98" s="20"/>
      <c r="FO98" s="10"/>
      <c r="FP98" s="11"/>
      <c r="FQ98" s="69">
        <f t="shared" si="861"/>
        <v>905</v>
      </c>
      <c r="FR98" s="69">
        <f t="shared" si="861"/>
        <v>81</v>
      </c>
      <c r="FS98" s="11">
        <v>636</v>
      </c>
      <c r="FT98" s="12">
        <f t="shared" si="827"/>
        <v>0.7193370165745856</v>
      </c>
      <c r="FU98" s="11">
        <v>15</v>
      </c>
      <c r="FV98" s="12">
        <f t="shared" si="828"/>
        <v>2.3041474654377881E-2</v>
      </c>
      <c r="FW98" s="11"/>
      <c r="FX98" s="11"/>
      <c r="FY98" s="18"/>
      <c r="FZ98" s="20"/>
      <c r="GA98" s="10"/>
      <c r="GB98" s="11"/>
      <c r="GC98" s="69">
        <f t="shared" si="862"/>
        <v>899</v>
      </c>
      <c r="GD98" s="69">
        <f t="shared" si="862"/>
        <v>81</v>
      </c>
      <c r="GE98" s="11">
        <v>633</v>
      </c>
      <c r="GF98" s="12">
        <f t="shared" si="829"/>
        <v>0.71746384872080093</v>
      </c>
      <c r="GG98" s="11">
        <v>12</v>
      </c>
      <c r="GH98" s="12">
        <f t="shared" si="830"/>
        <v>1.8604651162790697E-2</v>
      </c>
      <c r="GI98" s="11"/>
      <c r="GJ98" s="11"/>
      <c r="GK98" s="18"/>
      <c r="GL98" s="20"/>
      <c r="GM98" s="10"/>
      <c r="GN98" s="11"/>
      <c r="GO98" s="69">
        <f t="shared" si="863"/>
        <v>185</v>
      </c>
      <c r="GP98" s="69">
        <f t="shared" si="863"/>
        <v>17</v>
      </c>
      <c r="GQ98" s="11">
        <v>131</v>
      </c>
      <c r="GR98" s="12">
        <f t="shared" si="831"/>
        <v>0.72972972972972971</v>
      </c>
      <c r="GS98" s="11">
        <v>4</v>
      </c>
      <c r="GT98" s="12">
        <f t="shared" si="832"/>
        <v>2.9629629629629631E-2</v>
      </c>
      <c r="GU98" s="11"/>
      <c r="GV98" s="11"/>
      <c r="GW98" s="18"/>
      <c r="GX98" s="20"/>
      <c r="GY98" s="10"/>
      <c r="GZ98" s="11"/>
      <c r="HA98" s="69">
        <f t="shared" si="864"/>
        <v>910</v>
      </c>
      <c r="HB98" s="69">
        <f t="shared" si="864"/>
        <v>82</v>
      </c>
      <c r="HC98" s="11">
        <v>671</v>
      </c>
      <c r="HD98" s="12">
        <f t="shared" si="833"/>
        <v>0.74835164835164836</v>
      </c>
      <c r="HE98" s="11">
        <v>10</v>
      </c>
      <c r="HF98" s="12">
        <f t="shared" si="834"/>
        <v>1.4684287812041116E-2</v>
      </c>
      <c r="HG98" s="11"/>
      <c r="HH98" s="11"/>
      <c r="HI98" s="18"/>
      <c r="HJ98" s="20"/>
      <c r="HK98" s="10">
        <f t="shared" si="835"/>
        <v>2</v>
      </c>
      <c r="HL98" s="11">
        <f t="shared" si="835"/>
        <v>0</v>
      </c>
      <c r="HM98" s="11">
        <f t="shared" si="835"/>
        <v>12317</v>
      </c>
      <c r="HN98" s="11">
        <f t="shared" si="835"/>
        <v>1106</v>
      </c>
      <c r="HO98" s="11">
        <f t="shared" si="836"/>
        <v>9200</v>
      </c>
      <c r="HP98" s="95">
        <f t="shared" si="837"/>
        <v>0.74693513030770475</v>
      </c>
      <c r="HQ98" s="15">
        <f t="shared" si="838"/>
        <v>189</v>
      </c>
      <c r="HR98" s="12">
        <f t="shared" si="839"/>
        <v>2.0543478260869566E-2</v>
      </c>
      <c r="HS98" s="16">
        <v>59.6</v>
      </c>
      <c r="HT98" s="17">
        <v>8811</v>
      </c>
      <c r="HU98" s="16">
        <f t="shared" si="840"/>
        <v>95.771739130434781</v>
      </c>
      <c r="HV98" s="18"/>
      <c r="HW98" s="20"/>
      <c r="HX98" s="73">
        <f t="shared" si="841"/>
        <v>0.74018579562481268</v>
      </c>
      <c r="HY98" s="73">
        <f t="shared" si="842"/>
        <v>0.75477417399211877</v>
      </c>
      <c r="HZ98" s="73">
        <f t="shared" si="843"/>
        <v>0.76491732566498927</v>
      </c>
      <c r="IA98" s="73">
        <f t="shared" si="844"/>
        <v>0.72852707830286301</v>
      </c>
    </row>
    <row r="99" spans="1:244" x14ac:dyDescent="0.25">
      <c r="A99" s="374"/>
      <c r="B99" s="41">
        <f>+B98+1</f>
        <v>45015</v>
      </c>
      <c r="C99" s="10"/>
      <c r="D99" s="11"/>
      <c r="E99" s="69">
        <f t="shared" si="846"/>
        <v>845</v>
      </c>
      <c r="F99" s="69">
        <f t="shared" si="846"/>
        <v>75</v>
      </c>
      <c r="G99" s="11">
        <v>670</v>
      </c>
      <c r="H99" s="12">
        <f t="shared" si="800"/>
        <v>0.80355029585798821</v>
      </c>
      <c r="I99" s="11">
        <v>9</v>
      </c>
      <c r="J99" s="12">
        <f t="shared" si="847"/>
        <v>1.3254786450662739E-2</v>
      </c>
      <c r="K99" s="13"/>
      <c r="L99" s="13"/>
      <c r="M99" s="25">
        <v>3942</v>
      </c>
      <c r="N99" s="38">
        <v>4235</v>
      </c>
      <c r="O99" s="10"/>
      <c r="P99" s="11"/>
      <c r="Q99" s="69">
        <f t="shared" si="848"/>
        <v>766</v>
      </c>
      <c r="R99" s="69">
        <f t="shared" si="848"/>
        <v>68</v>
      </c>
      <c r="S99" s="11">
        <v>587</v>
      </c>
      <c r="T99" s="12">
        <f t="shared" si="801"/>
        <v>0.78067885117493474</v>
      </c>
      <c r="U99" s="11">
        <v>11</v>
      </c>
      <c r="V99" s="12">
        <f t="shared" si="802"/>
        <v>1.839464882943144E-2</v>
      </c>
      <c r="W99" s="13"/>
      <c r="X99" s="13"/>
      <c r="Y99" s="25">
        <v>3942</v>
      </c>
      <c r="Z99" s="38">
        <v>4235</v>
      </c>
      <c r="AA99" s="10"/>
      <c r="AB99" s="11"/>
      <c r="AC99" s="69">
        <f t="shared" si="849"/>
        <v>181</v>
      </c>
      <c r="AD99" s="69">
        <f t="shared" si="849"/>
        <v>14</v>
      </c>
      <c r="AE99" s="11">
        <v>139</v>
      </c>
      <c r="AF99" s="12">
        <f t="shared" si="803"/>
        <v>0.80110497237569056</v>
      </c>
      <c r="AG99" s="11">
        <v>6</v>
      </c>
      <c r="AH99" s="12">
        <f t="shared" si="804"/>
        <v>4.1379310344827586E-2</v>
      </c>
      <c r="AI99" s="13"/>
      <c r="AJ99" s="13"/>
      <c r="AK99" s="25">
        <v>3942</v>
      </c>
      <c r="AL99" s="38">
        <v>4235</v>
      </c>
      <c r="AM99" s="10"/>
      <c r="AN99" s="11"/>
      <c r="AO99" s="69">
        <f t="shared" si="850"/>
        <v>775</v>
      </c>
      <c r="AP99" s="69">
        <f t="shared" si="850"/>
        <v>69</v>
      </c>
      <c r="AQ99" s="11">
        <v>591</v>
      </c>
      <c r="AR99" s="12">
        <f t="shared" si="805"/>
        <v>0.77290322580645165</v>
      </c>
      <c r="AS99" s="11">
        <v>8</v>
      </c>
      <c r="AT99" s="12">
        <f t="shared" si="806"/>
        <v>1.335559265442404E-2</v>
      </c>
      <c r="AU99" s="13"/>
      <c r="AV99" s="13"/>
      <c r="AW99" s="25">
        <v>3942</v>
      </c>
      <c r="AX99" s="38">
        <v>4235</v>
      </c>
      <c r="AY99" s="10"/>
      <c r="AZ99" s="11"/>
      <c r="BA99" s="69">
        <f t="shared" si="851"/>
        <v>770</v>
      </c>
      <c r="BB99" s="69">
        <f t="shared" si="851"/>
        <v>69</v>
      </c>
      <c r="BC99" s="11">
        <v>541</v>
      </c>
      <c r="BD99" s="12">
        <f t="shared" si="807"/>
        <v>0.7116883116883117</v>
      </c>
      <c r="BE99" s="11">
        <v>7</v>
      </c>
      <c r="BF99" s="12">
        <f t="shared" si="808"/>
        <v>1.2773722627737226E-2</v>
      </c>
      <c r="BG99" s="13"/>
      <c r="BH99" s="13"/>
      <c r="BI99" s="25">
        <v>3942</v>
      </c>
      <c r="BJ99" s="38">
        <v>4235</v>
      </c>
      <c r="BK99" s="10">
        <v>1</v>
      </c>
      <c r="BL99" s="11"/>
      <c r="BM99" s="69">
        <f t="shared" si="852"/>
        <v>839</v>
      </c>
      <c r="BN99" s="69">
        <f t="shared" si="852"/>
        <v>76</v>
      </c>
      <c r="BO99" s="11">
        <v>606</v>
      </c>
      <c r="BP99" s="12">
        <f t="shared" si="809"/>
        <v>0.73778307508939212</v>
      </c>
      <c r="BQ99" s="11">
        <v>13</v>
      </c>
      <c r="BR99" s="12">
        <f t="shared" si="810"/>
        <v>2.10016155088853E-2</v>
      </c>
      <c r="BS99" s="13"/>
      <c r="BT99" s="13"/>
      <c r="BU99" s="25">
        <v>3942</v>
      </c>
      <c r="BV99" s="38">
        <v>4235</v>
      </c>
      <c r="BW99" s="10"/>
      <c r="BX99" s="11"/>
      <c r="BY99" s="69">
        <f t="shared" si="853"/>
        <v>760</v>
      </c>
      <c r="BZ99" s="69">
        <f t="shared" si="853"/>
        <v>69</v>
      </c>
      <c r="CA99" s="11">
        <v>611</v>
      </c>
      <c r="CB99" s="12">
        <f t="shared" si="811"/>
        <v>0.81315789473684208</v>
      </c>
      <c r="CC99" s="11">
        <v>7</v>
      </c>
      <c r="CD99" s="12">
        <f t="shared" si="812"/>
        <v>1.1326860841423949E-2</v>
      </c>
      <c r="CE99" s="13"/>
      <c r="CF99" s="13"/>
      <c r="CG99" s="25">
        <v>3942</v>
      </c>
      <c r="CH99" s="38">
        <v>4235</v>
      </c>
      <c r="CI99" s="10"/>
      <c r="CJ99" s="11"/>
      <c r="CK99" s="69">
        <f t="shared" si="854"/>
        <v>180</v>
      </c>
      <c r="CL99" s="69">
        <f t="shared" si="854"/>
        <v>15</v>
      </c>
      <c r="CM99" s="11">
        <v>131</v>
      </c>
      <c r="CN99" s="12">
        <f t="shared" si="813"/>
        <v>0.75</v>
      </c>
      <c r="CO99" s="11">
        <v>4</v>
      </c>
      <c r="CP99" s="12">
        <f t="shared" si="814"/>
        <v>2.9629629629629631E-2</v>
      </c>
      <c r="CQ99" s="13"/>
      <c r="CR99" s="13"/>
      <c r="CS99" s="25">
        <v>3942</v>
      </c>
      <c r="CT99" s="38">
        <v>4235</v>
      </c>
      <c r="CU99" s="10"/>
      <c r="CV99" s="11"/>
      <c r="CW99" s="69">
        <f t="shared" si="855"/>
        <v>756</v>
      </c>
      <c r="CX99" s="69">
        <f t="shared" si="855"/>
        <v>69</v>
      </c>
      <c r="CY99" s="11">
        <v>583</v>
      </c>
      <c r="CZ99" s="12">
        <f t="shared" si="815"/>
        <v>0.77513227513227512</v>
      </c>
      <c r="DA99" s="11">
        <v>3</v>
      </c>
      <c r="DB99" s="12">
        <f t="shared" si="816"/>
        <v>5.1194539249146756E-3</v>
      </c>
      <c r="DC99" s="13"/>
      <c r="DD99" s="13"/>
      <c r="DE99" s="25">
        <v>3942</v>
      </c>
      <c r="DF99" s="38">
        <v>4235</v>
      </c>
      <c r="DG99" s="10"/>
      <c r="DH99" s="11"/>
      <c r="DI99" s="69">
        <f t="shared" si="856"/>
        <v>763</v>
      </c>
      <c r="DJ99" s="69">
        <f t="shared" si="856"/>
        <v>70</v>
      </c>
      <c r="DK99" s="11">
        <v>577</v>
      </c>
      <c r="DL99" s="12">
        <f t="shared" si="817"/>
        <v>0.77195281782437741</v>
      </c>
      <c r="DM99" s="11">
        <v>12</v>
      </c>
      <c r="DN99" s="12">
        <f t="shared" si="818"/>
        <v>2.037351443123939E-2</v>
      </c>
      <c r="DO99" s="13"/>
      <c r="DP99" s="13"/>
      <c r="DQ99" s="25">
        <v>3942</v>
      </c>
      <c r="DR99" s="38">
        <v>4235</v>
      </c>
      <c r="DS99" s="10"/>
      <c r="DT99" s="11"/>
      <c r="DU99" s="69">
        <f t="shared" si="857"/>
        <v>854</v>
      </c>
      <c r="DV99" s="69">
        <f t="shared" si="857"/>
        <v>77</v>
      </c>
      <c r="DW99" s="11">
        <v>614</v>
      </c>
      <c r="DX99" s="12">
        <f t="shared" si="819"/>
        <v>0.73067915690866514</v>
      </c>
      <c r="DY99" s="11">
        <v>10</v>
      </c>
      <c r="DZ99" s="12">
        <f t="shared" si="820"/>
        <v>1.6025641025641024E-2</v>
      </c>
      <c r="EA99" s="13"/>
      <c r="EB99" s="13"/>
      <c r="EC99" s="25">
        <v>3942</v>
      </c>
      <c r="ED99" s="38">
        <v>4235</v>
      </c>
      <c r="EE99" s="10"/>
      <c r="EF99" s="11"/>
      <c r="EG99" s="69">
        <f t="shared" si="858"/>
        <v>862</v>
      </c>
      <c r="EH99" s="69">
        <f t="shared" si="858"/>
        <v>78</v>
      </c>
      <c r="EI99" s="11">
        <v>642</v>
      </c>
      <c r="EJ99" s="12">
        <f t="shared" si="821"/>
        <v>0.75638051044083532</v>
      </c>
      <c r="EK99" s="11">
        <v>10</v>
      </c>
      <c r="EL99" s="12">
        <f t="shared" si="822"/>
        <v>1.5337423312883436E-2</v>
      </c>
      <c r="EM99" s="13"/>
      <c r="EN99" s="13"/>
      <c r="EO99" s="25">
        <v>3942</v>
      </c>
      <c r="EP99" s="38">
        <v>4235</v>
      </c>
      <c r="EQ99" s="10"/>
      <c r="ER99" s="11"/>
      <c r="ES99" s="69">
        <f t="shared" si="859"/>
        <v>200</v>
      </c>
      <c r="ET99" s="69">
        <f t="shared" si="859"/>
        <v>17</v>
      </c>
      <c r="EU99" s="11">
        <v>145</v>
      </c>
      <c r="EV99" s="12">
        <f t="shared" si="823"/>
        <v>0.73499999999999999</v>
      </c>
      <c r="EW99" s="11">
        <v>2</v>
      </c>
      <c r="EX99" s="12">
        <f t="shared" si="824"/>
        <v>1.3605442176870748E-2</v>
      </c>
      <c r="EY99" s="13"/>
      <c r="EZ99" s="13"/>
      <c r="FA99" s="25">
        <v>3942</v>
      </c>
      <c r="FB99" s="38">
        <v>4235</v>
      </c>
      <c r="FC99" s="10"/>
      <c r="FD99" s="11"/>
      <c r="FE99" s="69">
        <f t="shared" si="860"/>
        <v>866</v>
      </c>
      <c r="FF99" s="69">
        <f t="shared" si="860"/>
        <v>79</v>
      </c>
      <c r="FG99" s="11">
        <v>664</v>
      </c>
      <c r="FH99" s="12">
        <f t="shared" si="825"/>
        <v>0.77944572748267893</v>
      </c>
      <c r="FI99" s="11">
        <v>11</v>
      </c>
      <c r="FJ99" s="12">
        <f t="shared" si="826"/>
        <v>1.6296296296296295E-2</v>
      </c>
      <c r="FK99" s="13"/>
      <c r="FL99" s="13"/>
      <c r="FM99" s="25">
        <v>3942</v>
      </c>
      <c r="FN99" s="38">
        <v>4235</v>
      </c>
      <c r="FO99" s="10">
        <v>1</v>
      </c>
      <c r="FP99" s="11"/>
      <c r="FQ99" s="69">
        <f t="shared" si="861"/>
        <v>904</v>
      </c>
      <c r="FR99" s="69">
        <f t="shared" si="861"/>
        <v>81</v>
      </c>
      <c r="FS99" s="11">
        <v>663</v>
      </c>
      <c r="FT99" s="12">
        <f t="shared" si="827"/>
        <v>0.75442477876106195</v>
      </c>
      <c r="FU99" s="11">
        <v>19</v>
      </c>
      <c r="FV99" s="12">
        <f t="shared" si="828"/>
        <v>2.7859237536656891E-2</v>
      </c>
      <c r="FW99" s="13"/>
      <c r="FX99" s="13"/>
      <c r="FY99" s="25">
        <v>3942</v>
      </c>
      <c r="FZ99" s="38">
        <v>4235</v>
      </c>
      <c r="GA99" s="10"/>
      <c r="GB99" s="11"/>
      <c r="GC99" s="69">
        <f t="shared" si="862"/>
        <v>899</v>
      </c>
      <c r="GD99" s="69">
        <f t="shared" si="862"/>
        <v>81</v>
      </c>
      <c r="GE99" s="11">
        <v>652</v>
      </c>
      <c r="GF99" s="12">
        <f t="shared" si="829"/>
        <v>0.73637374860956617</v>
      </c>
      <c r="GG99" s="11">
        <v>10</v>
      </c>
      <c r="GH99" s="12">
        <f t="shared" si="830"/>
        <v>1.5105740181268883E-2</v>
      </c>
      <c r="GI99" s="13"/>
      <c r="GJ99" s="13"/>
      <c r="GK99" s="25">
        <v>3942</v>
      </c>
      <c r="GL99" s="38">
        <v>4235</v>
      </c>
      <c r="GM99" s="10"/>
      <c r="GN99" s="11"/>
      <c r="GO99" s="69">
        <f t="shared" si="863"/>
        <v>185</v>
      </c>
      <c r="GP99" s="69">
        <f t="shared" si="863"/>
        <v>17</v>
      </c>
      <c r="GQ99" s="11">
        <v>152</v>
      </c>
      <c r="GR99" s="12">
        <f t="shared" si="831"/>
        <v>0.84324324324324329</v>
      </c>
      <c r="GS99" s="11">
        <v>4</v>
      </c>
      <c r="GT99" s="12">
        <f t="shared" si="832"/>
        <v>2.564102564102564E-2</v>
      </c>
      <c r="GU99" s="13"/>
      <c r="GV99" s="13"/>
      <c r="GW99" s="25">
        <v>3942</v>
      </c>
      <c r="GX99" s="38">
        <v>4235</v>
      </c>
      <c r="GY99" s="10"/>
      <c r="GZ99" s="11"/>
      <c r="HA99" s="69">
        <f t="shared" si="864"/>
        <v>910</v>
      </c>
      <c r="HB99" s="69">
        <f t="shared" si="864"/>
        <v>82</v>
      </c>
      <c r="HC99" s="11">
        <v>697</v>
      </c>
      <c r="HD99" s="12">
        <f t="shared" si="833"/>
        <v>0.77362637362637365</v>
      </c>
      <c r="HE99" s="11">
        <v>7</v>
      </c>
      <c r="HF99" s="12">
        <f t="shared" si="834"/>
        <v>9.943181818181818E-3</v>
      </c>
      <c r="HG99" s="13"/>
      <c r="HH99" s="13"/>
      <c r="HI99" s="25">
        <v>3942</v>
      </c>
      <c r="HJ99" s="38">
        <v>4235</v>
      </c>
      <c r="HK99" s="10">
        <f t="shared" si="835"/>
        <v>2</v>
      </c>
      <c r="HL99" s="11">
        <f t="shared" si="835"/>
        <v>0</v>
      </c>
      <c r="HM99" s="11">
        <f t="shared" si="835"/>
        <v>12315</v>
      </c>
      <c r="HN99" s="11">
        <f t="shared" si="835"/>
        <v>1106</v>
      </c>
      <c r="HO99" s="11">
        <f t="shared" si="836"/>
        <v>9418</v>
      </c>
      <c r="HP99" s="95">
        <f t="shared" si="837"/>
        <v>0.76475842468534305</v>
      </c>
      <c r="HQ99" s="15">
        <f t="shared" si="838"/>
        <v>153</v>
      </c>
      <c r="HR99" s="12">
        <f t="shared" si="839"/>
        <v>1.6245487364620937E-2</v>
      </c>
      <c r="HS99" s="16">
        <v>59.5</v>
      </c>
      <c r="HT99" s="17">
        <v>9087</v>
      </c>
      <c r="HU99" s="16">
        <f t="shared" si="840"/>
        <v>96.485453387131031</v>
      </c>
      <c r="HV99" s="23">
        <v>3942</v>
      </c>
      <c r="HW99" s="22">
        <v>4235</v>
      </c>
      <c r="HX99" s="73">
        <f t="shared" si="841"/>
        <v>0.76985316152232541</v>
      </c>
      <c r="HY99" s="73">
        <f t="shared" si="842"/>
        <v>0.7722862340812614</v>
      </c>
      <c r="HZ99" s="73">
        <f t="shared" si="843"/>
        <v>0.7541337167505392</v>
      </c>
      <c r="IA99" s="73">
        <f t="shared" si="844"/>
        <v>0.7605244996549344</v>
      </c>
    </row>
    <row r="100" spans="1:244" ht="22.5" customHeight="1" x14ac:dyDescent="0.25">
      <c r="A100" s="374"/>
      <c r="B100" s="41">
        <f t="shared" si="845"/>
        <v>45016</v>
      </c>
      <c r="C100" s="10"/>
      <c r="D100" s="11"/>
      <c r="E100" s="69">
        <f t="shared" si="846"/>
        <v>845</v>
      </c>
      <c r="F100" s="69">
        <f t="shared" si="846"/>
        <v>75</v>
      </c>
      <c r="G100" s="11">
        <v>669</v>
      </c>
      <c r="H100" s="12">
        <f t="shared" si="800"/>
        <v>0.79881656804733725</v>
      </c>
      <c r="I100" s="11">
        <v>6</v>
      </c>
      <c r="J100" s="12">
        <f t="shared" si="847"/>
        <v>8.8888888888888889E-3</v>
      </c>
      <c r="K100" s="13"/>
      <c r="L100" s="11"/>
      <c r="M100" s="25">
        <v>4497.5</v>
      </c>
      <c r="N100" s="38">
        <v>4349.333333333333</v>
      </c>
      <c r="O100" s="10"/>
      <c r="P100" s="11"/>
      <c r="Q100" s="69">
        <f t="shared" si="848"/>
        <v>766</v>
      </c>
      <c r="R100" s="69">
        <f t="shared" si="848"/>
        <v>68</v>
      </c>
      <c r="S100" s="11">
        <v>548</v>
      </c>
      <c r="T100" s="12">
        <f t="shared" si="801"/>
        <v>0.72584856396866837</v>
      </c>
      <c r="U100" s="11">
        <v>8</v>
      </c>
      <c r="V100" s="12">
        <f t="shared" si="802"/>
        <v>1.4388489208633094E-2</v>
      </c>
      <c r="W100" s="13"/>
      <c r="X100" s="11"/>
      <c r="Y100" s="25">
        <v>4595.454545454545</v>
      </c>
      <c r="Z100" s="38">
        <v>4558.666666666667</v>
      </c>
      <c r="AA100" s="10"/>
      <c r="AB100" s="11"/>
      <c r="AC100" s="69">
        <f t="shared" si="849"/>
        <v>181</v>
      </c>
      <c r="AD100" s="69">
        <f t="shared" si="849"/>
        <v>14</v>
      </c>
      <c r="AE100" s="11">
        <v>149</v>
      </c>
      <c r="AF100" s="12">
        <f t="shared" si="803"/>
        <v>0.82872928176795579</v>
      </c>
      <c r="AG100" s="11">
        <v>1</v>
      </c>
      <c r="AH100" s="12">
        <f t="shared" si="804"/>
        <v>6.6666666666666671E-3</v>
      </c>
      <c r="AI100" s="13"/>
      <c r="AJ100" s="11"/>
      <c r="AK100" s="25">
        <v>4661</v>
      </c>
      <c r="AL100" s="38">
        <v>4324</v>
      </c>
      <c r="AM100" s="10"/>
      <c r="AN100" s="11"/>
      <c r="AO100" s="69">
        <f t="shared" si="850"/>
        <v>775</v>
      </c>
      <c r="AP100" s="69">
        <f t="shared" si="850"/>
        <v>69</v>
      </c>
      <c r="AQ100" s="11">
        <v>583</v>
      </c>
      <c r="AR100" s="12">
        <f t="shared" si="805"/>
        <v>0.7587096774193548</v>
      </c>
      <c r="AS100" s="11">
        <v>5</v>
      </c>
      <c r="AT100" s="12">
        <f t="shared" si="806"/>
        <v>8.5034013605442185E-3</v>
      </c>
      <c r="AU100" s="13"/>
      <c r="AV100" s="11"/>
      <c r="AW100" s="25">
        <v>4590.5263157894733</v>
      </c>
      <c r="AX100" s="38">
        <v>4588.666666666667</v>
      </c>
      <c r="AY100" s="10"/>
      <c r="AZ100" s="11"/>
      <c r="BA100" s="69">
        <f t="shared" si="851"/>
        <v>770</v>
      </c>
      <c r="BB100" s="69">
        <f t="shared" si="851"/>
        <v>69</v>
      </c>
      <c r="BC100" s="11">
        <v>603</v>
      </c>
      <c r="BD100" s="12">
        <f t="shared" si="807"/>
        <v>0.79220779220779225</v>
      </c>
      <c r="BE100" s="11">
        <v>7</v>
      </c>
      <c r="BF100" s="12">
        <f t="shared" si="808"/>
        <v>1.1475409836065573E-2</v>
      </c>
      <c r="BG100" s="13"/>
      <c r="BH100" s="11"/>
      <c r="BI100" s="25">
        <v>4644.25</v>
      </c>
      <c r="BJ100" s="38">
        <v>4938.666666666667</v>
      </c>
      <c r="BK100" s="10"/>
      <c r="BL100" s="11"/>
      <c r="BM100" s="69">
        <f t="shared" si="852"/>
        <v>839</v>
      </c>
      <c r="BN100" s="69">
        <f t="shared" si="852"/>
        <v>76</v>
      </c>
      <c r="BO100" s="11">
        <v>591</v>
      </c>
      <c r="BP100" s="12">
        <f t="shared" si="809"/>
        <v>0.72824791418355184</v>
      </c>
      <c r="BQ100" s="11">
        <v>20</v>
      </c>
      <c r="BR100" s="12">
        <f t="shared" si="810"/>
        <v>3.2733224222585927E-2</v>
      </c>
      <c r="BS100" s="13"/>
      <c r="BT100" s="11"/>
      <c r="BU100" s="25">
        <v>4512.9729729729734</v>
      </c>
      <c r="BV100" s="38">
        <v>4421.4285714285716</v>
      </c>
      <c r="BW100" s="10"/>
      <c r="BX100" s="11"/>
      <c r="BY100" s="69">
        <f t="shared" si="853"/>
        <v>760</v>
      </c>
      <c r="BZ100" s="69">
        <f t="shared" si="853"/>
        <v>69</v>
      </c>
      <c r="CA100" s="11">
        <v>550</v>
      </c>
      <c r="CB100" s="12">
        <f t="shared" si="811"/>
        <v>0.74605263157894741</v>
      </c>
      <c r="CC100" s="11">
        <v>17</v>
      </c>
      <c r="CD100" s="12">
        <f t="shared" si="812"/>
        <v>2.9982363315696647E-2</v>
      </c>
      <c r="CE100" s="13"/>
      <c r="CF100" s="11"/>
      <c r="CG100" s="25">
        <v>4538.5</v>
      </c>
      <c r="CH100" s="38">
        <v>4630</v>
      </c>
      <c r="CI100" s="10"/>
      <c r="CJ100" s="11"/>
      <c r="CK100" s="69">
        <f t="shared" si="854"/>
        <v>180</v>
      </c>
      <c r="CL100" s="69">
        <f t="shared" si="854"/>
        <v>15</v>
      </c>
      <c r="CM100" s="11">
        <v>115</v>
      </c>
      <c r="CN100" s="12">
        <f t="shared" si="813"/>
        <v>0.65</v>
      </c>
      <c r="CO100" s="11">
        <v>2</v>
      </c>
      <c r="CP100" s="12">
        <f t="shared" si="814"/>
        <v>1.7094017094017096E-2</v>
      </c>
      <c r="CQ100" s="13"/>
      <c r="CR100" s="11"/>
      <c r="CS100" s="25">
        <v>4802</v>
      </c>
      <c r="CT100" s="38">
        <v>4346</v>
      </c>
      <c r="CU100" s="10"/>
      <c r="CV100" s="11"/>
      <c r="CW100" s="69">
        <f t="shared" si="855"/>
        <v>756</v>
      </c>
      <c r="CX100" s="69">
        <f t="shared" si="855"/>
        <v>69</v>
      </c>
      <c r="CY100" s="11">
        <v>529</v>
      </c>
      <c r="CZ100" s="12">
        <f t="shared" si="815"/>
        <v>0.70370370370370372</v>
      </c>
      <c r="DA100" s="11">
        <v>3</v>
      </c>
      <c r="DB100" s="12">
        <f t="shared" si="816"/>
        <v>5.6390977443609019E-3</v>
      </c>
      <c r="DC100" s="13"/>
      <c r="DD100" s="11"/>
      <c r="DE100" s="25">
        <v>4477.0270270270266</v>
      </c>
      <c r="DF100" s="38">
        <v>4659.333333333333</v>
      </c>
      <c r="DG100" s="10"/>
      <c r="DH100" s="11"/>
      <c r="DI100" s="69">
        <f t="shared" si="856"/>
        <v>763</v>
      </c>
      <c r="DJ100" s="69">
        <f t="shared" si="856"/>
        <v>70</v>
      </c>
      <c r="DK100" s="11">
        <v>546</v>
      </c>
      <c r="DL100" s="12">
        <f t="shared" si="817"/>
        <v>0.72739187418086504</v>
      </c>
      <c r="DM100" s="11">
        <v>9</v>
      </c>
      <c r="DN100" s="12">
        <f t="shared" si="818"/>
        <v>1.6216216216216217E-2</v>
      </c>
      <c r="DO100" s="13"/>
      <c r="DP100" s="11"/>
      <c r="DQ100" s="25">
        <v>4584.2857142857147</v>
      </c>
      <c r="DR100" s="38">
        <v>4903.0769230769229</v>
      </c>
      <c r="DS100" s="10">
        <v>1</v>
      </c>
      <c r="DT100" s="11"/>
      <c r="DU100" s="69">
        <f t="shared" si="857"/>
        <v>853</v>
      </c>
      <c r="DV100" s="69">
        <f t="shared" si="857"/>
        <v>77</v>
      </c>
      <c r="DW100" s="11">
        <v>623</v>
      </c>
      <c r="DX100" s="12">
        <f t="shared" si="819"/>
        <v>0.74443141852286054</v>
      </c>
      <c r="DY100" s="11">
        <v>12</v>
      </c>
      <c r="DZ100" s="12">
        <f t="shared" si="820"/>
        <v>1.889763779527559E-2</v>
      </c>
      <c r="EA100" s="13"/>
      <c r="EB100" s="11"/>
      <c r="EC100" s="25">
        <v>4509.7142857142853</v>
      </c>
      <c r="ED100" s="38">
        <v>4281.875</v>
      </c>
      <c r="EE100" s="10"/>
      <c r="EF100" s="11"/>
      <c r="EG100" s="69">
        <f t="shared" si="858"/>
        <v>862</v>
      </c>
      <c r="EH100" s="69">
        <f t="shared" si="858"/>
        <v>78</v>
      </c>
      <c r="EI100" s="11">
        <v>618</v>
      </c>
      <c r="EJ100" s="12">
        <f t="shared" si="821"/>
        <v>0.73433874709976799</v>
      </c>
      <c r="EK100" s="11">
        <v>15</v>
      </c>
      <c r="EL100" s="12">
        <f t="shared" si="822"/>
        <v>2.3696682464454975E-2</v>
      </c>
      <c r="EM100" s="13"/>
      <c r="EN100" s="11"/>
      <c r="EO100" s="25">
        <v>4495.2941176470586</v>
      </c>
      <c r="EP100" s="38">
        <v>4476.666666666667</v>
      </c>
      <c r="EQ100" s="10"/>
      <c r="ER100" s="11"/>
      <c r="ES100" s="69">
        <f t="shared" si="859"/>
        <v>200</v>
      </c>
      <c r="ET100" s="69">
        <f t="shared" si="859"/>
        <v>17</v>
      </c>
      <c r="EU100" s="11">
        <v>138</v>
      </c>
      <c r="EV100" s="12">
        <f t="shared" si="823"/>
        <v>0.71</v>
      </c>
      <c r="EW100" s="11">
        <v>4</v>
      </c>
      <c r="EX100" s="12">
        <f t="shared" si="824"/>
        <v>2.8169014084507043E-2</v>
      </c>
      <c r="EY100" s="13"/>
      <c r="EZ100" s="11"/>
      <c r="FA100" s="25">
        <v>4496.9230769230771</v>
      </c>
      <c r="FB100" s="38">
        <v>4170</v>
      </c>
      <c r="FC100" s="10"/>
      <c r="FD100" s="11"/>
      <c r="FE100" s="69">
        <f t="shared" si="860"/>
        <v>866</v>
      </c>
      <c r="FF100" s="69">
        <f t="shared" si="860"/>
        <v>79</v>
      </c>
      <c r="FG100" s="11">
        <v>673</v>
      </c>
      <c r="FH100" s="12">
        <f t="shared" si="825"/>
        <v>0.78521939953810627</v>
      </c>
      <c r="FI100" s="11">
        <v>7</v>
      </c>
      <c r="FJ100" s="12">
        <f t="shared" si="826"/>
        <v>1.0294117647058823E-2</v>
      </c>
      <c r="FK100" s="13"/>
      <c r="FL100" s="11"/>
      <c r="FM100" s="25">
        <v>4321.7142857142853</v>
      </c>
      <c r="FN100" s="38">
        <v>4783.333333333333</v>
      </c>
      <c r="FO100" s="10"/>
      <c r="FP100" s="11"/>
      <c r="FQ100" s="69">
        <f t="shared" si="861"/>
        <v>904</v>
      </c>
      <c r="FR100" s="69">
        <f t="shared" si="861"/>
        <v>81</v>
      </c>
      <c r="FS100" s="11">
        <v>623</v>
      </c>
      <c r="FT100" s="12">
        <f t="shared" si="827"/>
        <v>0.70353982300884954</v>
      </c>
      <c r="FU100" s="11">
        <v>13</v>
      </c>
      <c r="FV100" s="12">
        <f t="shared" si="828"/>
        <v>2.0440251572327043E-2</v>
      </c>
      <c r="FW100" s="13"/>
      <c r="FX100" s="11"/>
      <c r="FY100" s="25">
        <v>4593.939393939394</v>
      </c>
      <c r="FZ100" s="38">
        <v>4288.666666666667</v>
      </c>
      <c r="GA100" s="10"/>
      <c r="GB100" s="11"/>
      <c r="GC100" s="69">
        <f t="shared" si="862"/>
        <v>899</v>
      </c>
      <c r="GD100" s="69">
        <f t="shared" si="862"/>
        <v>81</v>
      </c>
      <c r="GE100" s="11">
        <v>645</v>
      </c>
      <c r="GF100" s="12">
        <f t="shared" si="829"/>
        <v>0.72969966629588434</v>
      </c>
      <c r="GG100" s="11">
        <v>11</v>
      </c>
      <c r="GH100" s="12">
        <f t="shared" si="830"/>
        <v>1.676829268292683E-2</v>
      </c>
      <c r="GI100" s="13"/>
      <c r="GJ100" s="11"/>
      <c r="GK100" s="25">
        <v>4447.3170731707314</v>
      </c>
      <c r="GL100" s="38">
        <v>4518.4615384615381</v>
      </c>
      <c r="GM100" s="10"/>
      <c r="GN100" s="11"/>
      <c r="GO100" s="69">
        <f t="shared" si="863"/>
        <v>185</v>
      </c>
      <c r="GP100" s="69">
        <f t="shared" si="863"/>
        <v>17</v>
      </c>
      <c r="GQ100" s="11">
        <v>127</v>
      </c>
      <c r="GR100" s="12">
        <f t="shared" si="831"/>
        <v>0.69729729729729728</v>
      </c>
      <c r="GS100" s="11">
        <v>2</v>
      </c>
      <c r="GT100" s="12">
        <f t="shared" si="832"/>
        <v>1.5503875968992248E-2</v>
      </c>
      <c r="GU100" s="13"/>
      <c r="GV100" s="11"/>
      <c r="GW100" s="25">
        <v>4358.333333333333</v>
      </c>
      <c r="GX100" s="38">
        <v>3957.5</v>
      </c>
      <c r="GY100" s="10"/>
      <c r="GZ100" s="11"/>
      <c r="HA100" s="69">
        <f t="shared" si="864"/>
        <v>910</v>
      </c>
      <c r="HB100" s="69">
        <f t="shared" si="864"/>
        <v>82</v>
      </c>
      <c r="HC100" s="11">
        <v>664</v>
      </c>
      <c r="HD100" s="12">
        <f t="shared" si="833"/>
        <v>0.7384615384615385</v>
      </c>
      <c r="HE100" s="11">
        <v>8</v>
      </c>
      <c r="HF100" s="12">
        <f t="shared" si="834"/>
        <v>1.1904761904761904E-2</v>
      </c>
      <c r="HG100" s="13"/>
      <c r="HH100" s="11"/>
      <c r="HI100" s="25">
        <v>4436.1904761904761</v>
      </c>
      <c r="HJ100" s="38">
        <v>4764.1176470588234</v>
      </c>
      <c r="HK100" s="10">
        <f t="shared" si="835"/>
        <v>1</v>
      </c>
      <c r="HL100" s="11">
        <f t="shared" si="835"/>
        <v>0</v>
      </c>
      <c r="HM100" s="11">
        <f t="shared" si="835"/>
        <v>12314</v>
      </c>
      <c r="HN100" s="11">
        <f t="shared" si="835"/>
        <v>1106</v>
      </c>
      <c r="HO100" s="11">
        <f t="shared" si="836"/>
        <v>9144</v>
      </c>
      <c r="HP100" s="95">
        <f t="shared" si="837"/>
        <v>0.74256943316550272</v>
      </c>
      <c r="HQ100" s="15">
        <f t="shared" si="838"/>
        <v>150</v>
      </c>
      <c r="HR100" s="12">
        <f t="shared" si="839"/>
        <v>1.6404199475065617E-2</v>
      </c>
      <c r="HS100" s="16">
        <v>59.6</v>
      </c>
      <c r="HT100" s="17">
        <v>8818</v>
      </c>
      <c r="HU100" s="16">
        <f t="shared" si="840"/>
        <v>96.434820647419073</v>
      </c>
      <c r="HV100" s="23">
        <v>4517.6418439716308</v>
      </c>
      <c r="HW100" s="22">
        <v>4553.75</v>
      </c>
      <c r="HX100" s="73">
        <f t="shared" si="841"/>
        <v>0.77284986514833687</v>
      </c>
      <c r="HY100" s="73">
        <f t="shared" si="842"/>
        <v>0.72225591267434808</v>
      </c>
      <c r="HZ100" s="73">
        <f t="shared" si="843"/>
        <v>0.75152822725638257</v>
      </c>
      <c r="IA100" s="73">
        <f t="shared" si="844"/>
        <v>0.72222222222222221</v>
      </c>
    </row>
    <row r="101" spans="1:244" x14ac:dyDescent="0.25">
      <c r="A101" s="374"/>
      <c r="B101" s="41">
        <f t="shared" si="845"/>
        <v>45017</v>
      </c>
      <c r="C101" s="10"/>
      <c r="D101" s="11"/>
      <c r="E101" s="69">
        <f t="shared" si="846"/>
        <v>845</v>
      </c>
      <c r="F101" s="69">
        <f t="shared" si="846"/>
        <v>75</v>
      </c>
      <c r="G101" s="11">
        <v>631</v>
      </c>
      <c r="H101" s="12">
        <f t="shared" si="800"/>
        <v>0.75502958579881652</v>
      </c>
      <c r="I101" s="11">
        <v>7</v>
      </c>
      <c r="J101" s="12">
        <f t="shared" si="847"/>
        <v>1.0971786833855799E-2</v>
      </c>
      <c r="K101" s="13"/>
      <c r="L101" s="11"/>
      <c r="M101" s="39">
        <v>77.272727272727266</v>
      </c>
      <c r="N101" s="43">
        <v>100</v>
      </c>
      <c r="O101" s="10"/>
      <c r="P101" s="11"/>
      <c r="Q101" s="69">
        <f t="shared" si="848"/>
        <v>766</v>
      </c>
      <c r="R101" s="69">
        <f t="shared" si="848"/>
        <v>68</v>
      </c>
      <c r="S101" s="11">
        <v>575</v>
      </c>
      <c r="T101" s="12">
        <f t="shared" si="801"/>
        <v>0.75718015665796345</v>
      </c>
      <c r="U101" s="11">
        <v>5</v>
      </c>
      <c r="V101" s="12">
        <f t="shared" si="802"/>
        <v>8.6206896551724137E-3</v>
      </c>
      <c r="W101" s="13"/>
      <c r="X101" s="11"/>
      <c r="Y101" s="39">
        <v>90.909090909090907</v>
      </c>
      <c r="Z101" s="43">
        <v>100</v>
      </c>
      <c r="AA101" s="10">
        <v>2</v>
      </c>
      <c r="AB101" s="11"/>
      <c r="AC101" s="69">
        <f t="shared" si="849"/>
        <v>179</v>
      </c>
      <c r="AD101" s="69">
        <f t="shared" si="849"/>
        <v>14</v>
      </c>
      <c r="AE101" s="11">
        <v>160</v>
      </c>
      <c r="AF101" s="12">
        <f t="shared" si="803"/>
        <v>0.8938547486033519</v>
      </c>
      <c r="AG101" s="11">
        <v>0</v>
      </c>
      <c r="AH101" s="12">
        <f t="shared" si="804"/>
        <v>0</v>
      </c>
      <c r="AI101" s="13"/>
      <c r="AJ101" s="11"/>
      <c r="AK101" s="39">
        <v>100</v>
      </c>
      <c r="AL101" s="43">
        <v>100</v>
      </c>
      <c r="AM101" s="10"/>
      <c r="AN101" s="11"/>
      <c r="AO101" s="69">
        <f t="shared" si="850"/>
        <v>775</v>
      </c>
      <c r="AP101" s="69">
        <f t="shared" si="850"/>
        <v>69</v>
      </c>
      <c r="AQ101" s="11">
        <v>569</v>
      </c>
      <c r="AR101" s="12">
        <f t="shared" si="805"/>
        <v>0.74451612903225806</v>
      </c>
      <c r="AS101" s="11">
        <v>8</v>
      </c>
      <c r="AT101" s="12">
        <f t="shared" si="806"/>
        <v>1.3864818024263431E-2</v>
      </c>
      <c r="AU101" s="13"/>
      <c r="AV101" s="11"/>
      <c r="AW101" s="39">
        <v>89.473684210526315</v>
      </c>
      <c r="AX101" s="43">
        <v>100</v>
      </c>
      <c r="AY101" s="10"/>
      <c r="AZ101" s="11"/>
      <c r="BA101" s="69">
        <f t="shared" si="851"/>
        <v>770</v>
      </c>
      <c r="BB101" s="69">
        <f t="shared" si="851"/>
        <v>69</v>
      </c>
      <c r="BC101" s="11">
        <v>585</v>
      </c>
      <c r="BD101" s="12">
        <f t="shared" si="807"/>
        <v>0.76883116883116887</v>
      </c>
      <c r="BE101" s="11">
        <v>7</v>
      </c>
      <c r="BF101" s="12">
        <f t="shared" si="808"/>
        <v>1.1824324324324325E-2</v>
      </c>
      <c r="BG101" s="13"/>
      <c r="BH101" s="11"/>
      <c r="BI101" s="39">
        <v>87.5</v>
      </c>
      <c r="BJ101" s="43">
        <v>100</v>
      </c>
      <c r="BK101" s="10"/>
      <c r="BL101" s="11"/>
      <c r="BM101" s="69">
        <f t="shared" si="852"/>
        <v>839</v>
      </c>
      <c r="BN101" s="69">
        <f t="shared" si="852"/>
        <v>76</v>
      </c>
      <c r="BO101" s="11">
        <v>626</v>
      </c>
      <c r="BP101" s="12">
        <f t="shared" si="809"/>
        <v>0.76519666269368292</v>
      </c>
      <c r="BQ101" s="11">
        <v>16</v>
      </c>
      <c r="BR101" s="12">
        <f t="shared" si="810"/>
        <v>2.4922118380062305E-2</v>
      </c>
      <c r="BS101" s="13"/>
      <c r="BT101" s="11"/>
      <c r="BU101" s="39">
        <v>100</v>
      </c>
      <c r="BV101" s="43">
        <v>100</v>
      </c>
      <c r="BW101" s="10"/>
      <c r="BX101" s="11"/>
      <c r="BY101" s="69">
        <f t="shared" si="853"/>
        <v>760</v>
      </c>
      <c r="BZ101" s="69">
        <f t="shared" si="853"/>
        <v>69</v>
      </c>
      <c r="CA101" s="11">
        <v>564</v>
      </c>
      <c r="CB101" s="12">
        <f t="shared" si="811"/>
        <v>0.76315789473684215</v>
      </c>
      <c r="CC101" s="11">
        <v>16</v>
      </c>
      <c r="CD101" s="12">
        <f t="shared" si="812"/>
        <v>2.7586206896551724E-2</v>
      </c>
      <c r="CE101" s="13"/>
      <c r="CF101" s="11"/>
      <c r="CG101" s="39">
        <v>92.5</v>
      </c>
      <c r="CH101" s="43">
        <v>100</v>
      </c>
      <c r="CI101" s="10">
        <v>1</v>
      </c>
      <c r="CJ101" s="11"/>
      <c r="CK101" s="69">
        <f t="shared" si="854"/>
        <v>179</v>
      </c>
      <c r="CL101" s="69">
        <f t="shared" si="854"/>
        <v>15</v>
      </c>
      <c r="CM101" s="11">
        <v>115</v>
      </c>
      <c r="CN101" s="12">
        <f t="shared" si="813"/>
        <v>0.65921787709497204</v>
      </c>
      <c r="CO101" s="11">
        <v>3</v>
      </c>
      <c r="CP101" s="12">
        <f t="shared" si="814"/>
        <v>2.5423728813559324E-2</v>
      </c>
      <c r="CQ101" s="13"/>
      <c r="CR101" s="11"/>
      <c r="CS101" s="39">
        <v>80</v>
      </c>
      <c r="CT101" s="43">
        <v>100</v>
      </c>
      <c r="CU101" s="10">
        <v>1</v>
      </c>
      <c r="CV101" s="11"/>
      <c r="CW101" s="69">
        <f t="shared" si="855"/>
        <v>755</v>
      </c>
      <c r="CX101" s="69">
        <f t="shared" si="855"/>
        <v>69</v>
      </c>
      <c r="CY101" s="11">
        <v>585</v>
      </c>
      <c r="CZ101" s="12">
        <f t="shared" si="815"/>
        <v>0.78940397350993374</v>
      </c>
      <c r="DA101" s="11">
        <v>11</v>
      </c>
      <c r="DB101" s="12">
        <f t="shared" si="816"/>
        <v>1.8456375838926176E-2</v>
      </c>
      <c r="DC101" s="13"/>
      <c r="DD101" s="11"/>
      <c r="DE101" s="39">
        <v>91.891891891891888</v>
      </c>
      <c r="DF101" s="43">
        <v>100</v>
      </c>
      <c r="DG101" s="10"/>
      <c r="DH101" s="11"/>
      <c r="DI101" s="69">
        <f t="shared" si="856"/>
        <v>763</v>
      </c>
      <c r="DJ101" s="69">
        <f t="shared" si="856"/>
        <v>70</v>
      </c>
      <c r="DK101" s="11">
        <v>572</v>
      </c>
      <c r="DL101" s="12">
        <f t="shared" si="817"/>
        <v>0.76015727391874177</v>
      </c>
      <c r="DM101" s="11">
        <v>8</v>
      </c>
      <c r="DN101" s="12">
        <f t="shared" si="818"/>
        <v>1.3793103448275862E-2</v>
      </c>
      <c r="DO101" s="13"/>
      <c r="DP101" s="11"/>
      <c r="DQ101" s="39">
        <v>97.142857142857139</v>
      </c>
      <c r="DR101" s="43">
        <v>100</v>
      </c>
      <c r="DS101" s="10">
        <v>1</v>
      </c>
      <c r="DT101" s="11"/>
      <c r="DU101" s="69">
        <f t="shared" si="857"/>
        <v>852</v>
      </c>
      <c r="DV101" s="69">
        <f t="shared" si="857"/>
        <v>77</v>
      </c>
      <c r="DW101" s="11">
        <v>587</v>
      </c>
      <c r="DX101" s="12">
        <f t="shared" si="819"/>
        <v>0.70774647887323938</v>
      </c>
      <c r="DY101" s="11">
        <v>16</v>
      </c>
      <c r="DZ101" s="12">
        <f t="shared" si="820"/>
        <v>2.6533996683250415E-2</v>
      </c>
      <c r="EA101" s="13"/>
      <c r="EB101" s="11"/>
      <c r="EC101" s="39">
        <v>94.285714285714292</v>
      </c>
      <c r="ED101" s="43">
        <v>100</v>
      </c>
      <c r="EE101" s="10"/>
      <c r="EF101" s="11"/>
      <c r="EG101" s="69">
        <f t="shared" si="858"/>
        <v>862</v>
      </c>
      <c r="EH101" s="69">
        <f t="shared" si="858"/>
        <v>78</v>
      </c>
      <c r="EI101" s="11">
        <v>593</v>
      </c>
      <c r="EJ101" s="12">
        <f t="shared" si="821"/>
        <v>0.70997679814385151</v>
      </c>
      <c r="EK101" s="11">
        <v>19</v>
      </c>
      <c r="EL101" s="12">
        <f t="shared" si="822"/>
        <v>3.1045751633986929E-2</v>
      </c>
      <c r="EM101" s="13"/>
      <c r="EN101" s="11"/>
      <c r="EO101" s="39">
        <v>94.117647058823536</v>
      </c>
      <c r="EP101" s="43">
        <v>100</v>
      </c>
      <c r="EQ101" s="10">
        <v>1</v>
      </c>
      <c r="ER101" s="11"/>
      <c r="ES101" s="69">
        <f t="shared" si="859"/>
        <v>199</v>
      </c>
      <c r="ET101" s="69">
        <f t="shared" si="859"/>
        <v>17</v>
      </c>
      <c r="EU101" s="11">
        <v>145</v>
      </c>
      <c r="EV101" s="12">
        <f t="shared" si="823"/>
        <v>0.75376884422110557</v>
      </c>
      <c r="EW101" s="11">
        <v>5</v>
      </c>
      <c r="EX101" s="12">
        <f t="shared" si="824"/>
        <v>3.3333333333333333E-2</v>
      </c>
      <c r="EY101" s="13"/>
      <c r="EZ101" s="11"/>
      <c r="FA101" s="39">
        <v>92.307692307692307</v>
      </c>
      <c r="FB101" s="43">
        <v>100</v>
      </c>
      <c r="FC101" s="10"/>
      <c r="FD101" s="11"/>
      <c r="FE101" s="69">
        <f t="shared" si="860"/>
        <v>866</v>
      </c>
      <c r="FF101" s="69">
        <f t="shared" si="860"/>
        <v>79</v>
      </c>
      <c r="FG101" s="11">
        <v>660</v>
      </c>
      <c r="FH101" s="12">
        <f t="shared" si="825"/>
        <v>0.77251732101616633</v>
      </c>
      <c r="FI101" s="11">
        <v>9</v>
      </c>
      <c r="FJ101" s="12">
        <f t="shared" si="826"/>
        <v>1.3452914798206279E-2</v>
      </c>
      <c r="FK101" s="13"/>
      <c r="FL101" s="11"/>
      <c r="FM101" s="39">
        <v>91.428571428571431</v>
      </c>
      <c r="FN101" s="43">
        <v>100</v>
      </c>
      <c r="FO101" s="10"/>
      <c r="FP101" s="11">
        <v>1</v>
      </c>
      <c r="FQ101" s="69">
        <f t="shared" si="861"/>
        <v>904</v>
      </c>
      <c r="FR101" s="69">
        <f t="shared" si="861"/>
        <v>80</v>
      </c>
      <c r="FS101" s="11">
        <v>656</v>
      </c>
      <c r="FT101" s="12">
        <f t="shared" si="827"/>
        <v>0.74225663716814161</v>
      </c>
      <c r="FU101" s="11">
        <v>15</v>
      </c>
      <c r="FV101" s="12">
        <f t="shared" si="828"/>
        <v>2.2354694485842028E-2</v>
      </c>
      <c r="FW101" s="13"/>
      <c r="FX101" s="11"/>
      <c r="FY101" s="39">
        <v>84.848484848484844</v>
      </c>
      <c r="FZ101" s="43">
        <v>100</v>
      </c>
      <c r="GA101" s="10">
        <v>1</v>
      </c>
      <c r="GB101" s="11"/>
      <c r="GC101" s="69">
        <f t="shared" si="862"/>
        <v>898</v>
      </c>
      <c r="GD101" s="69">
        <f t="shared" si="862"/>
        <v>81</v>
      </c>
      <c r="GE101" s="11">
        <v>653</v>
      </c>
      <c r="GF101" s="12">
        <f t="shared" si="829"/>
        <v>0.74387527839643652</v>
      </c>
      <c r="GG101" s="11">
        <v>15</v>
      </c>
      <c r="GH101" s="12">
        <f t="shared" si="830"/>
        <v>2.2455089820359281E-2</v>
      </c>
      <c r="GI101" s="13"/>
      <c r="GJ101" s="11"/>
      <c r="GK101" s="39">
        <v>95.121951219512198</v>
      </c>
      <c r="GL101" s="43">
        <v>100</v>
      </c>
      <c r="GM101" s="10"/>
      <c r="GN101" s="11"/>
      <c r="GO101" s="69">
        <f t="shared" si="863"/>
        <v>185</v>
      </c>
      <c r="GP101" s="69">
        <f t="shared" si="863"/>
        <v>17</v>
      </c>
      <c r="GQ101" s="11">
        <v>117</v>
      </c>
      <c r="GR101" s="12">
        <f t="shared" si="831"/>
        <v>0.6594594594594595</v>
      </c>
      <c r="GS101" s="11">
        <v>5</v>
      </c>
      <c r="GT101" s="12">
        <f t="shared" si="832"/>
        <v>4.0983606557377046E-2</v>
      </c>
      <c r="GU101" s="13"/>
      <c r="GV101" s="11"/>
      <c r="GW101" s="39">
        <v>100</v>
      </c>
      <c r="GX101" s="43">
        <v>100</v>
      </c>
      <c r="GY101" s="10"/>
      <c r="GZ101" s="11"/>
      <c r="HA101" s="69">
        <f t="shared" si="864"/>
        <v>910</v>
      </c>
      <c r="HB101" s="69">
        <f t="shared" si="864"/>
        <v>82</v>
      </c>
      <c r="HC101" s="11">
        <v>648</v>
      </c>
      <c r="HD101" s="12">
        <f t="shared" si="833"/>
        <v>0.72197802197802197</v>
      </c>
      <c r="HE101" s="11">
        <v>9</v>
      </c>
      <c r="HF101" s="12">
        <f t="shared" si="834"/>
        <v>1.3698630136986301E-2</v>
      </c>
      <c r="HG101" s="13"/>
      <c r="HH101" s="11"/>
      <c r="HI101" s="39">
        <v>76.19047619047619</v>
      </c>
      <c r="HJ101" s="43">
        <v>100</v>
      </c>
      <c r="HK101" s="10">
        <f t="shared" si="835"/>
        <v>7</v>
      </c>
      <c r="HL101" s="11">
        <f t="shared" si="835"/>
        <v>1</v>
      </c>
      <c r="HM101" s="11">
        <f t="shared" si="835"/>
        <v>12307</v>
      </c>
      <c r="HN101" s="11">
        <f t="shared" si="835"/>
        <v>1105</v>
      </c>
      <c r="HO101" s="11">
        <f t="shared" si="836"/>
        <v>9215</v>
      </c>
      <c r="HP101" s="95">
        <f t="shared" si="837"/>
        <v>0.74876086779881368</v>
      </c>
      <c r="HQ101" s="15">
        <f t="shared" si="838"/>
        <v>174</v>
      </c>
      <c r="HR101" s="12">
        <f t="shared" si="839"/>
        <v>1.8882257189365165E-2</v>
      </c>
      <c r="HS101" s="16">
        <v>59.8</v>
      </c>
      <c r="HT101" s="17">
        <v>8879</v>
      </c>
      <c r="HU101" s="16">
        <f t="shared" si="840"/>
        <v>96.353771025501899</v>
      </c>
      <c r="HV101" s="23">
        <v>86.347517730496449</v>
      </c>
      <c r="HW101" s="22">
        <v>91.071428571428569</v>
      </c>
      <c r="HX101" s="73">
        <f t="shared" si="841"/>
        <v>0.76371814092953527</v>
      </c>
      <c r="HY101" s="73">
        <f t="shared" si="842"/>
        <v>0.76334951456310685</v>
      </c>
      <c r="HZ101" s="73">
        <f t="shared" si="843"/>
        <v>0.73191795609931631</v>
      </c>
      <c r="IA101" s="73">
        <f t="shared" si="844"/>
        <v>0.73110113910942354</v>
      </c>
      <c r="IF101" s="85">
        <f>IF102/IF103</f>
        <v>2.0945541591861159E-3</v>
      </c>
      <c r="IG101" s="85">
        <f>IG102/IG103</f>
        <v>1.8170805572380376E-3</v>
      </c>
      <c r="IH101" s="85">
        <f>IH102/IH103</f>
        <v>1.437297879985627E-3</v>
      </c>
      <c r="II101" s="85">
        <f>II102/II103</f>
        <v>1.3788348845225785E-3</v>
      </c>
      <c r="IJ101" s="88" t="s">
        <v>90</v>
      </c>
    </row>
    <row r="102" spans="1:244" ht="19.5" thickBot="1" x14ac:dyDescent="0.3">
      <c r="A102" s="374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4490</v>
      </c>
      <c r="H102" s="28">
        <f>((G102+I102)/7)/E101</f>
        <v>0.76973795435333903</v>
      </c>
      <c r="I102" s="27">
        <f>SUM(I95:I101)</f>
        <v>63</v>
      </c>
      <c r="J102" s="28">
        <f>(I102/(I102+G102))</f>
        <v>1.3837030529321327E-2</v>
      </c>
      <c r="K102" s="27"/>
      <c r="L102" s="27"/>
      <c r="M102" s="29">
        <f>M100/M99*100-100</f>
        <v>14.091831557584982</v>
      </c>
      <c r="N102" s="67">
        <f>N100/N99*100-100</f>
        <v>2.6997245179063185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3931</v>
      </c>
      <c r="T102" s="28">
        <f>((S102+U102)/7)/Q101</f>
        <v>0.74617679970160389</v>
      </c>
      <c r="U102" s="27">
        <f>SUM(U95:U101)</f>
        <v>70</v>
      </c>
      <c r="V102" s="28">
        <f>(U102/(U102+S102))</f>
        <v>1.7495626093476629E-2</v>
      </c>
      <c r="W102" s="27"/>
      <c r="X102" s="27"/>
      <c r="Y102" s="29">
        <f>Y100/Y99*100-100</f>
        <v>16.576726165767241</v>
      </c>
      <c r="Z102" s="67">
        <f>Z100/Z99*100-100</f>
        <v>7.642660369933111</v>
      </c>
      <c r="AA102" s="26">
        <f>SUM(AA95:AA101)</f>
        <v>3</v>
      </c>
      <c r="AB102" s="27">
        <f>SUM(AB95:AB101)</f>
        <v>0</v>
      </c>
      <c r="AC102" s="27"/>
      <c r="AD102" s="27"/>
      <c r="AE102" s="27">
        <f>SUM(AE95:AE101)</f>
        <v>975</v>
      </c>
      <c r="AF102" s="28">
        <f>((AE102+AG102)/7)/AC101</f>
        <v>0.79329608938547491</v>
      </c>
      <c r="AG102" s="27">
        <f>SUM(AG95:AG101)</f>
        <v>19</v>
      </c>
      <c r="AH102" s="28">
        <f>(AG102/(AG102+AE102))</f>
        <v>1.9114688128772636E-2</v>
      </c>
      <c r="AI102" s="27"/>
      <c r="AJ102" s="27"/>
      <c r="AK102" s="29">
        <f>AK100/AK99*100-100</f>
        <v>18.239472349061387</v>
      </c>
      <c r="AL102" s="67">
        <f>AL100/AL99*100-100</f>
        <v>2.1015348288075444</v>
      </c>
      <c r="AM102" s="26">
        <f>SUM(AM95:AM101)</f>
        <v>0</v>
      </c>
      <c r="AN102" s="27">
        <f>SUM(AN95:AN101)</f>
        <v>0</v>
      </c>
      <c r="AO102" s="27"/>
      <c r="AP102" s="27"/>
      <c r="AQ102" s="27">
        <f>SUM(AQ95:AQ101)</f>
        <v>4055</v>
      </c>
      <c r="AR102" s="28">
        <f>((AQ102+AS102)/7)/AO101</f>
        <v>0.75668202764976955</v>
      </c>
      <c r="AS102" s="27">
        <f>SUM(AS95:AS101)</f>
        <v>50</v>
      </c>
      <c r="AT102" s="28">
        <f>(AS102/(AS102+AQ102))</f>
        <v>1.2180267965895249E-2</v>
      </c>
      <c r="AU102" s="27"/>
      <c r="AV102" s="27"/>
      <c r="AW102" s="29">
        <f>AW100/AW99*100-100</f>
        <v>16.451707655745125</v>
      </c>
      <c r="AX102" s="67">
        <f>AX100/AX99*100-100</f>
        <v>8.3510428964974466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3986</v>
      </c>
      <c r="BD102" s="28">
        <f>((BC102+BE102)/7)/BA101</f>
        <v>0.7499072356215214</v>
      </c>
      <c r="BE102" s="27">
        <f>SUM(BE95:BE101)</f>
        <v>56</v>
      </c>
      <c r="BF102" s="28">
        <f>(BE102/(BE102+BC102))</f>
        <v>1.3854527461652647E-2</v>
      </c>
      <c r="BG102" s="27"/>
      <c r="BH102" s="27"/>
      <c r="BI102" s="29">
        <f>BI100/BI99*100-100</f>
        <v>17.814561136478943</v>
      </c>
      <c r="BJ102" s="67">
        <f>BJ100/BJ99*100-100</f>
        <v>16.615505706414808</v>
      </c>
      <c r="BK102" s="26">
        <f>SUM(BK95:BK101)</f>
        <v>2</v>
      </c>
      <c r="BL102" s="27">
        <f>SUM(BL95:BL101)</f>
        <v>0</v>
      </c>
      <c r="BM102" s="27"/>
      <c r="BN102" s="27"/>
      <c r="BO102" s="27">
        <f>SUM(BO95:BO101)</f>
        <v>4227</v>
      </c>
      <c r="BP102" s="28">
        <f>((BO102+BQ102)/7)/BM101</f>
        <v>0.73965605312446792</v>
      </c>
      <c r="BQ102" s="27">
        <f>SUM(BQ95:BQ101)</f>
        <v>117</v>
      </c>
      <c r="BR102" s="28">
        <f>(BQ102/(BQ102+BO102))</f>
        <v>2.6933701657458564E-2</v>
      </c>
      <c r="BS102" s="27"/>
      <c r="BT102" s="27"/>
      <c r="BU102" s="29">
        <f>BU100/BU99*100-100</f>
        <v>14.484347361059704</v>
      </c>
      <c r="BV102" s="67">
        <f>BV100/BV99*100-100</f>
        <v>4.4020914150784307</v>
      </c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3978</v>
      </c>
      <c r="CB102" s="28">
        <f>((CA102+CC102)/7)/BY101</f>
        <v>0.76466165413533826</v>
      </c>
      <c r="CC102" s="27">
        <f>SUM(CC95:CC101)</f>
        <v>90</v>
      </c>
      <c r="CD102" s="28">
        <f>(CC102/(CC102+CA102))</f>
        <v>2.2123893805309734E-2</v>
      </c>
      <c r="CE102" s="27"/>
      <c r="CF102" s="27"/>
      <c r="CG102" s="29">
        <f>CG100/CG99*100-100</f>
        <v>15.13191273465246</v>
      </c>
      <c r="CH102" s="67">
        <f>CH100/CH99*100-100</f>
        <v>9.3270365997638862</v>
      </c>
      <c r="CI102" s="26">
        <f>SUM(CI95:CI101)</f>
        <v>2</v>
      </c>
      <c r="CJ102" s="27">
        <f>SUM(CJ95:CJ101)</f>
        <v>0</v>
      </c>
      <c r="CK102" s="27"/>
      <c r="CL102" s="27"/>
      <c r="CM102" s="27">
        <f>SUM(CM95:CM101)</f>
        <v>836</v>
      </c>
      <c r="CN102" s="28">
        <f>((CM102+CO102)/7)/CK101</f>
        <v>0.68475658419792496</v>
      </c>
      <c r="CO102" s="27">
        <f>SUM(CO95:CO101)</f>
        <v>22</v>
      </c>
      <c r="CP102" s="28">
        <f>(CO102/(CO102+CM102))</f>
        <v>2.564102564102564E-2</v>
      </c>
      <c r="CQ102" s="27"/>
      <c r="CR102" s="27"/>
      <c r="CS102" s="29">
        <f>CS100/CS99*100-100</f>
        <v>21.816336884830051</v>
      </c>
      <c r="CT102" s="67">
        <f>CT100/CT99*100-100</f>
        <v>2.6210153482880685</v>
      </c>
      <c r="CU102" s="26">
        <f>SUM(CU95:CU101)</f>
        <v>2</v>
      </c>
      <c r="CV102" s="27">
        <f>SUM(CV95:CV101)</f>
        <v>0</v>
      </c>
      <c r="CW102" s="27"/>
      <c r="CX102" s="27"/>
      <c r="CY102" s="27">
        <f>SUM(CY95:CY101)</f>
        <v>3911</v>
      </c>
      <c r="CZ102" s="28">
        <f>((CY102+DA102)/7)/CW101</f>
        <v>0.7515610217596973</v>
      </c>
      <c r="DA102" s="27">
        <f>SUM(DA95:DA101)</f>
        <v>61</v>
      </c>
      <c r="DB102" s="28">
        <f>(DA102/(DA102+CY102))</f>
        <v>1.5357502517623363E-2</v>
      </c>
      <c r="DC102" s="27"/>
      <c r="DD102" s="27"/>
      <c r="DE102" s="29">
        <f>DE100/DE99*100-100</f>
        <v>13.572476586175199</v>
      </c>
      <c r="DF102" s="67">
        <f>DF100/DF99*100-100</f>
        <v>10.019677292404566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3967</v>
      </c>
      <c r="DL102" s="28">
        <f>((DK102+DM102)/7)/DI101</f>
        <v>0.76502527616551197</v>
      </c>
      <c r="DM102" s="27">
        <f>SUM(DM95:DM101)</f>
        <v>119</v>
      </c>
      <c r="DN102" s="28">
        <f>(DM102/(DM102+DK102))</f>
        <v>2.9123837493881546E-2</v>
      </c>
      <c r="DO102" s="27"/>
      <c r="DP102" s="27"/>
      <c r="DQ102" s="29">
        <f>DQ100/DQ99*100-100</f>
        <v>16.293397115314917</v>
      </c>
      <c r="DR102" s="67">
        <f>DR100/DR99*100-100</f>
        <v>15.775133956952132</v>
      </c>
      <c r="DS102" s="26">
        <f>SUM(DS95:DS101)</f>
        <v>2</v>
      </c>
      <c r="DT102" s="27">
        <f>SUM(DT95:DT101)</f>
        <v>0</v>
      </c>
      <c r="DU102" s="27"/>
      <c r="DV102" s="27"/>
      <c r="DW102" s="27">
        <f>SUM(DW95:DW101)</f>
        <v>4259</v>
      </c>
      <c r="DX102" s="28">
        <f>((DW102+DY102)/7)/DU101</f>
        <v>0.73021462105969148</v>
      </c>
      <c r="DY102" s="27">
        <f>SUM(DY95:DY101)</f>
        <v>96</v>
      </c>
      <c r="DZ102" s="28">
        <f>(DY102/(DY102+DW102))</f>
        <v>2.2043628013777267E-2</v>
      </c>
      <c r="EA102" s="27"/>
      <c r="EB102" s="27"/>
      <c r="EC102" s="29">
        <f>EC100/EC99*100-100</f>
        <v>14.401681524969192</v>
      </c>
      <c r="ED102" s="67">
        <f>ED100/ED99*100-100</f>
        <v>1.1068476977567911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4338</v>
      </c>
      <c r="EJ102" s="28">
        <f>((EI102+EK102)/7)/EG101</f>
        <v>0.73632747762678152</v>
      </c>
      <c r="EK102" s="27">
        <f>SUM(EK95:EK101)</f>
        <v>105</v>
      </c>
      <c r="EL102" s="28">
        <f>(EK102/(EK102+EI102))</f>
        <v>2.3632680621201892E-2</v>
      </c>
      <c r="EM102" s="27"/>
      <c r="EN102" s="27"/>
      <c r="EO102" s="29">
        <f>EO100/EO99*100-100</f>
        <v>14.035873101143054</v>
      </c>
      <c r="EP102" s="67">
        <f>EP100/EP99*100-100</f>
        <v>5.7064147973239017</v>
      </c>
      <c r="EQ102" s="26">
        <f>SUM(EQ95:EQ101)</f>
        <v>2</v>
      </c>
      <c r="ER102" s="27">
        <f>SUM(ER95:ER101)</f>
        <v>0</v>
      </c>
      <c r="ES102" s="27"/>
      <c r="ET102" s="27"/>
      <c r="EU102" s="27">
        <f>SUM(EU95:EU101)</f>
        <v>1015</v>
      </c>
      <c r="EV102" s="28">
        <f>((EU102+EW102)/7)/ES101</f>
        <v>0.74587221823402727</v>
      </c>
      <c r="EW102" s="27">
        <f>SUM(EW95:EW101)</f>
        <v>24</v>
      </c>
      <c r="EX102" s="28">
        <f>(EW102/(EW102+EU102))</f>
        <v>2.3099133782483156E-2</v>
      </c>
      <c r="EY102" s="27"/>
      <c r="EZ102" s="27"/>
      <c r="FA102" s="29">
        <f>FA100/FA99*100-100</f>
        <v>14.077196268977104</v>
      </c>
      <c r="FB102" s="67">
        <f>FB100/FB99*100-100</f>
        <v>-1.5348288075560816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4672</v>
      </c>
      <c r="FH102" s="28">
        <f>((FG102+FI102)/7)/FE101</f>
        <v>0.78142527218739688</v>
      </c>
      <c r="FI102" s="27">
        <f>SUM(FI95:FI101)</f>
        <v>65</v>
      </c>
      <c r="FJ102" s="28">
        <f>(FI102/(FI102+FG102))</f>
        <v>1.372176483006122E-2</v>
      </c>
      <c r="FK102" s="27"/>
      <c r="FL102" s="27"/>
      <c r="FM102" s="29">
        <f>FM100/FM99*100-100</f>
        <v>9.6325288106109781</v>
      </c>
      <c r="FN102" s="67">
        <f>FN100/FN99*100-100</f>
        <v>12.947658402203842</v>
      </c>
      <c r="FO102" s="26">
        <f>SUM(FO95:FO101)</f>
        <v>1</v>
      </c>
      <c r="FP102" s="27">
        <f>SUM(FP95:FP101)</f>
        <v>1</v>
      </c>
      <c r="FQ102" s="27"/>
      <c r="FR102" s="27"/>
      <c r="FS102" s="27">
        <f>SUM(FS95:FS101)</f>
        <v>4470</v>
      </c>
      <c r="FT102" s="28">
        <f>((FS102+FU102)/7)/FQ101</f>
        <v>0.72345132743362828</v>
      </c>
      <c r="FU102" s="27">
        <f>SUM(FU95:FU101)</f>
        <v>108</v>
      </c>
      <c r="FV102" s="28">
        <f>(FU102/(FU102+FS102))</f>
        <v>2.3591087811271297E-2</v>
      </c>
      <c r="FW102" s="27"/>
      <c r="FX102" s="27"/>
      <c r="FY102" s="29">
        <f>FY100/FY99*100-100</f>
        <v>16.538290054271783</v>
      </c>
      <c r="FZ102" s="67">
        <f>FZ100/FZ99*100-100</f>
        <v>1.267217630854006</v>
      </c>
      <c r="GA102" s="26">
        <f>SUM(GA95:GA101)</f>
        <v>2</v>
      </c>
      <c r="GB102" s="27">
        <f>SUM(GB95:GB101)</f>
        <v>0</v>
      </c>
      <c r="GC102" s="27"/>
      <c r="GD102" s="27"/>
      <c r="GE102" s="27">
        <f>SUM(GE95:GE101)</f>
        <v>4516</v>
      </c>
      <c r="GF102" s="28">
        <f>((GE102+GG102)/7)/GC101</f>
        <v>0.73019408208717784</v>
      </c>
      <c r="GG102" s="27">
        <f>SUM(GG95:GG101)</f>
        <v>74</v>
      </c>
      <c r="GH102" s="28">
        <f>(GG102/(GG102+GE102))</f>
        <v>1.6122004357298474E-2</v>
      </c>
      <c r="GI102" s="27"/>
      <c r="GJ102" s="27"/>
      <c r="GK102" s="29">
        <f>GK100/GK99*100-100</f>
        <v>12.818799420870917</v>
      </c>
      <c r="GL102" s="67">
        <f>GL100/GL99*100-100</f>
        <v>6.6933066933066812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936</v>
      </c>
      <c r="GR102" s="28">
        <f>((GQ102+GS102)/7)/GO101</f>
        <v>0.74749034749034748</v>
      </c>
      <c r="GS102" s="27">
        <f>SUM(GS95:GS101)</f>
        <v>32</v>
      </c>
      <c r="GT102" s="28">
        <f>(GS102/(GS102+GQ102))</f>
        <v>3.3057851239669422E-2</v>
      </c>
      <c r="GU102" s="27"/>
      <c r="GV102" s="27"/>
      <c r="GW102" s="29">
        <f>GW100/GW99*100-100</f>
        <v>10.561474716725854</v>
      </c>
      <c r="GX102" s="67">
        <f>GX100/GX99*100-100</f>
        <v>-6.5525383707201854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4636</v>
      </c>
      <c r="HD102" s="28">
        <f>((HC102+HE102)/7)/HA101</f>
        <v>0.73626373626373631</v>
      </c>
      <c r="HE102" s="27">
        <f>SUM(HE95:HE101)</f>
        <v>54</v>
      </c>
      <c r="HF102" s="28">
        <f>(HE102/(HE102+HC102))</f>
        <v>1.1513859275053304E-2</v>
      </c>
      <c r="HG102" s="27"/>
      <c r="HH102" s="27"/>
      <c r="HI102" s="29">
        <f>HI100/HI99*100-100</f>
        <v>12.536541760286042</v>
      </c>
      <c r="HJ102" s="67">
        <f>HJ100/HJ99*100-100</f>
        <v>12.493923189110362</v>
      </c>
      <c r="HK102" s="26">
        <f t="shared" ref="HK102" si="865">+C102+O102+AA102+AM102+AY102+BK102+BW102+CI102+CU102+DG102+DS102+EE102+EQ102+FC102+FO102+GA102+GM102+GY102</f>
        <v>21</v>
      </c>
      <c r="HL102" s="27">
        <f t="shared" ref="HL102" si="866">+D102+P102+AB102+AN102+AZ102+BL102+BX102+CJ102+CV102+DH102+DT102+EF102+ER102+FD102+FP102+GB102+GN102+GZ102</f>
        <v>1</v>
      </c>
      <c r="HM102" s="27">
        <f t="shared" ref="HM102" si="867">+E102+Q102+AC102+AO102+BA102+BM102+BY102+CK102+CW102+DI102+DU102+EG102+ES102+FE102+FQ102+GC102+GO102+HA102</f>
        <v>0</v>
      </c>
      <c r="HN102" s="27">
        <f t="shared" ref="HN102" si="868">+F102+R102+AD102+AP102+BB102+BN102+BZ102+CL102+CX102+DJ102+DV102+EH102+ET102+FF102+FR102+GD102+GP102+HB102</f>
        <v>0</v>
      </c>
      <c r="HO102" s="27">
        <f t="shared" ref="HO102" si="869">+G102+S102+AE102+AQ102+BC102+BO102+CA102+CM102+CY102+DK102+DW102+EI102+EU102+FG102+FS102+GE102+GQ102+HC102+I102+U102+AG102+AS102+BE102+BQ102+CC102+CO102+DA102+DM102+DY102+EK102+EW102+FI102+FU102+GG102+GS102+HE102</f>
        <v>64423</v>
      </c>
      <c r="HP102" s="96">
        <f>+((HO102)/HM101)/7</f>
        <v>0.74780902854356979</v>
      </c>
      <c r="HQ102" s="62">
        <f t="shared" ref="HQ102" si="870">+I102+U102+AG102+AS102+BE102+BQ102+CC102+CO102+DA102+DM102+DY102+EK102+EW102+FI102+FU102+GG102+GS102+HE102</f>
        <v>1225</v>
      </c>
      <c r="HR102" s="52">
        <f t="shared" ref="HR102" si="871">+(HQ102/(HO102))</f>
        <v>1.9014948077549942E-2</v>
      </c>
      <c r="HS102" s="53">
        <f>SUM(HS95:HS101)/7</f>
        <v>59.51428571428572</v>
      </c>
      <c r="HT102" s="54">
        <f>SUM(HT95:HT101)</f>
        <v>61941</v>
      </c>
      <c r="HU102" s="53">
        <f>AVERAGE(HU95:HU101)</f>
        <v>96.146389440993019</v>
      </c>
      <c r="HV102" s="63">
        <f>HV100/HV99*100-100</f>
        <v>14.602786503592853</v>
      </c>
      <c r="HW102" s="67">
        <f>HW100/HW99*100-100</f>
        <v>7.5265643447461628</v>
      </c>
      <c r="HX102" s="73">
        <f>SUM(G102,I102,S102,U102,AE102,AG102,AQ102,AS102,BC102,BE102)/7/SUM(E101,Q101,AC101,AO101,BA101)</f>
        <v>0.75797815378025268</v>
      </c>
      <c r="HY102" s="73">
        <f>SUM(BO102,BQ102,CA102,CC102,CM102,CO102,CY102,DA102,DK102,DM102)/7/SUM(BM101,BY101,CK101,CW101,DI101)</f>
        <v>0.75104022191400832</v>
      </c>
      <c r="HZ102" s="73">
        <f>SUM(DW102,DY102,EI102,EK102,EU102,EW102,FG102,FI102)/7/SUM(DU101,EG101,ES101,FE101)</f>
        <v>0.74919035624325292</v>
      </c>
      <c r="IA102" s="73">
        <f>SUM(FS102,FU102,GE102,GG102,GQ102,GS102,HC102,HE102)/7/SUM(FQ101,GC101,GO101,HA101)</f>
        <v>0.73110113910942354</v>
      </c>
      <c r="IB102" s="84">
        <f>SUM(I102,U102,AG102,AS102,BE102)/SUM(G102,I102,S102,U102,AE102,AG102,AQ102,AS102,BC102,BE102)</f>
        <v>1.4580389940661204E-2</v>
      </c>
      <c r="IC102" s="84">
        <f>SUM(BQ102,CC102,CO102,DA102,DM102)/SUM(BO102,BQ102,CA102,CC102,CM102,CO102,CY102,DA102,DK102,DM102)</f>
        <v>2.3603416435826408E-2</v>
      </c>
      <c r="ID102" s="84">
        <f>SUM(DY102,EK102,EW102,FI102)/SUM(DW102,DY102,EI102,EK102,EU102,EW102,FG102,FI102)</f>
        <v>1.9898449293261972E-2</v>
      </c>
      <c r="IE102" s="84">
        <f>SUM(FU102,GG102,GS102,HE102)/SUM(FS102,FU102,GE102,GG102,GQ102,GS102,HC102,HE102)</f>
        <v>1.8076352353972751E-2</v>
      </c>
      <c r="IF102" s="86">
        <f>SUM(C102,O102,AA102,AM102,AY102)</f>
        <v>7</v>
      </c>
      <c r="IG102" s="86">
        <f>SUM(BK102,BW102,CI102,CU102,DG102)</f>
        <v>6</v>
      </c>
      <c r="IH102" s="86">
        <f>SUM(DS102,EE102,EQ102,FC102)</f>
        <v>4</v>
      </c>
      <c r="II102" s="86">
        <f>SUM(FO102,GA102,GM102,GY102)</f>
        <v>4</v>
      </c>
      <c r="IJ102" s="88" t="s">
        <v>89</v>
      </c>
    </row>
    <row r="103" spans="1:244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HK102/HM95</f>
        <v>1.7039922103213243E-3</v>
      </c>
      <c r="HL103" s="66">
        <f>HL102/HN95</f>
        <v>9.0334236675700087E-4</v>
      </c>
      <c r="HM103" s="45"/>
      <c r="HN103" s="45"/>
      <c r="HO103" s="45"/>
      <c r="HP103" s="98"/>
      <c r="HQ103" s="45"/>
      <c r="HR103" s="45"/>
      <c r="HS103" s="45"/>
      <c r="HT103" s="55"/>
      <c r="HU103" s="45"/>
      <c r="HV103" s="45"/>
      <c r="HW103" s="46"/>
      <c r="HY103" s="72"/>
      <c r="HZ103" s="72"/>
      <c r="IA103" s="72"/>
      <c r="IF103" s="86">
        <f>SUM(E92,Q92,AC92,AO92,BA92)</f>
        <v>3342</v>
      </c>
      <c r="IG103" s="86">
        <f>SUM(BM92,BY92,CK92,CW92,DI92)</f>
        <v>3302</v>
      </c>
      <c r="IH103" s="86">
        <f>SUM(DU92,EG92,ES92,FE92)</f>
        <v>2783</v>
      </c>
      <c r="II103" s="86">
        <f>SUM(FQ92,GC92,GO92,HA92)</f>
        <v>2901</v>
      </c>
      <c r="IJ103" s="88" t="s">
        <v>84</v>
      </c>
    </row>
    <row r="104" spans="1:244" x14ac:dyDescent="0.25">
      <c r="A104" s="373">
        <v>36</v>
      </c>
      <c r="B104" s="68">
        <f>B101+1</f>
        <v>45018</v>
      </c>
      <c r="C104" s="33"/>
      <c r="D104" s="34"/>
      <c r="E104" s="34">
        <f>E101-C104</f>
        <v>845</v>
      </c>
      <c r="F104" s="34">
        <f>F101-D104</f>
        <v>75</v>
      </c>
      <c r="G104" s="34">
        <v>648</v>
      </c>
      <c r="H104" s="35">
        <f t="shared" ref="H104:H110" si="872">((G104+I104)/E104)</f>
        <v>0.78224852071005913</v>
      </c>
      <c r="I104" s="34">
        <v>13</v>
      </c>
      <c r="J104" s="35">
        <f t="shared" ref="J104:J110" si="873">I104/(G104+I104)</f>
        <v>1.9667170953101363E-2</v>
      </c>
      <c r="K104" s="36"/>
      <c r="L104" s="34"/>
      <c r="M104" s="34"/>
      <c r="N104" s="37"/>
      <c r="O104" s="33"/>
      <c r="P104" s="34"/>
      <c r="Q104" s="34">
        <f>Q101-O104</f>
        <v>766</v>
      </c>
      <c r="R104" s="34">
        <f>R101-P104</f>
        <v>68</v>
      </c>
      <c r="S104" s="34">
        <v>578</v>
      </c>
      <c r="T104" s="35">
        <f t="shared" ref="T104:T110" si="874">((S104+U104)/Q104)</f>
        <v>0.77023498694516968</v>
      </c>
      <c r="U104" s="34">
        <v>12</v>
      </c>
      <c r="V104" s="35">
        <f t="shared" ref="V104:V110" si="875">U104/(S104+U104)</f>
        <v>2.0338983050847456E-2</v>
      </c>
      <c r="W104" s="36"/>
      <c r="X104" s="34"/>
      <c r="Y104" s="34"/>
      <c r="Z104" s="37"/>
      <c r="AA104" s="33"/>
      <c r="AB104" s="34"/>
      <c r="AC104" s="34">
        <f>AC101-AA104</f>
        <v>179</v>
      </c>
      <c r="AD104" s="34">
        <f>AD101-AB104</f>
        <v>14</v>
      </c>
      <c r="AE104" s="34">
        <v>148</v>
      </c>
      <c r="AF104" s="35">
        <f t="shared" ref="AF104:AF110" si="876">((AE104+AG104)/AC104)</f>
        <v>0.83798882681564246</v>
      </c>
      <c r="AG104" s="34">
        <v>2</v>
      </c>
      <c r="AH104" s="35">
        <f t="shared" ref="AH104:AH110" si="877">AG104/(AE104+AG104)</f>
        <v>1.3333333333333334E-2</v>
      </c>
      <c r="AI104" s="36"/>
      <c r="AJ104" s="34"/>
      <c r="AK104" s="34"/>
      <c r="AL104" s="37"/>
      <c r="AM104" s="33"/>
      <c r="AN104" s="34"/>
      <c r="AO104" s="34">
        <f>AO101-AM104</f>
        <v>775</v>
      </c>
      <c r="AP104" s="34">
        <f>AP101-AN104</f>
        <v>69</v>
      </c>
      <c r="AQ104" s="34">
        <v>589</v>
      </c>
      <c r="AR104" s="35">
        <f t="shared" ref="AR104:AR110" si="878">((AQ104+AS104)/AO104)</f>
        <v>0.77548387096774196</v>
      </c>
      <c r="AS104" s="34">
        <v>12</v>
      </c>
      <c r="AT104" s="35">
        <f t="shared" ref="AT104:AT110" si="879">AS104/(AQ104+AS104)</f>
        <v>1.9966722129783693E-2</v>
      </c>
      <c r="AU104" s="36"/>
      <c r="AV104" s="34"/>
      <c r="AW104" s="34"/>
      <c r="AX104" s="37"/>
      <c r="AY104" s="33">
        <v>1</v>
      </c>
      <c r="AZ104" s="34"/>
      <c r="BA104" s="34">
        <f>BA101-AY104</f>
        <v>769</v>
      </c>
      <c r="BB104" s="34">
        <f>BB101-AZ104</f>
        <v>69</v>
      </c>
      <c r="BC104" s="34">
        <v>610</v>
      </c>
      <c r="BD104" s="35">
        <f t="shared" ref="BD104:BD110" si="880">((BC104+BE104)/BA104)</f>
        <v>0.81144343302990896</v>
      </c>
      <c r="BE104" s="34">
        <v>14</v>
      </c>
      <c r="BF104" s="35">
        <f t="shared" ref="BF104:BF110" si="881">BE104/(BC104+BE104)</f>
        <v>2.2435897435897436E-2</v>
      </c>
      <c r="BG104" s="36"/>
      <c r="BH104" s="34"/>
      <c r="BI104" s="34"/>
      <c r="BJ104" s="37"/>
      <c r="BK104" s="33"/>
      <c r="BL104" s="34"/>
      <c r="BM104" s="34">
        <f>BM101-BK104</f>
        <v>839</v>
      </c>
      <c r="BN104" s="34">
        <f>BN101-BL104</f>
        <v>76</v>
      </c>
      <c r="BO104" s="34">
        <v>638</v>
      </c>
      <c r="BP104" s="35">
        <f t="shared" ref="BP104:BP110" si="882">((BO104+BQ104)/BM104)</f>
        <v>0.77234803337306313</v>
      </c>
      <c r="BQ104" s="34">
        <v>10</v>
      </c>
      <c r="BR104" s="35">
        <f t="shared" ref="BR104:BR110" si="883">BQ104/(BO104+BQ104)</f>
        <v>1.5432098765432098E-2</v>
      </c>
      <c r="BS104" s="36"/>
      <c r="BT104" s="34"/>
      <c r="BU104" s="34"/>
      <c r="BV104" s="37"/>
      <c r="BW104" s="33"/>
      <c r="BX104" s="34"/>
      <c r="BY104" s="34">
        <f>BY101-BW104</f>
        <v>760</v>
      </c>
      <c r="BZ104" s="34">
        <f>BZ101-BX104</f>
        <v>69</v>
      </c>
      <c r="CA104" s="34">
        <v>552</v>
      </c>
      <c r="CB104" s="35">
        <f t="shared" ref="CB104:CB110" si="884">((CA104+CC104)/BY104)</f>
        <v>0.74078947368421055</v>
      </c>
      <c r="CC104" s="34">
        <v>11</v>
      </c>
      <c r="CD104" s="35">
        <f t="shared" ref="CD104:CD110" si="885">CC104/(CA104+CC104)</f>
        <v>1.9538188277087035E-2</v>
      </c>
      <c r="CE104" s="36"/>
      <c r="CF104" s="34"/>
      <c r="CG104" s="34"/>
      <c r="CH104" s="37"/>
      <c r="CI104" s="33"/>
      <c r="CJ104" s="34"/>
      <c r="CK104" s="34">
        <f>CK101-CI104</f>
        <v>179</v>
      </c>
      <c r="CL104" s="34">
        <f>CL101-CJ104</f>
        <v>15</v>
      </c>
      <c r="CM104" s="34">
        <v>127</v>
      </c>
      <c r="CN104" s="35">
        <f t="shared" ref="CN104:CN110" si="886">((CM104+CO104)/CK104)</f>
        <v>0.73743016759776536</v>
      </c>
      <c r="CO104" s="34">
        <v>5</v>
      </c>
      <c r="CP104" s="35">
        <f t="shared" ref="CP104:CP110" si="887">CO104/(CM104+CO104)</f>
        <v>3.787878787878788E-2</v>
      </c>
      <c r="CQ104" s="36"/>
      <c r="CR104" s="34"/>
      <c r="CS104" s="34"/>
      <c r="CT104" s="37"/>
      <c r="CU104" s="33"/>
      <c r="CV104" s="34"/>
      <c r="CW104" s="34">
        <f>CW101-CU104</f>
        <v>755</v>
      </c>
      <c r="CX104" s="34">
        <f>CX101-CV104</f>
        <v>69</v>
      </c>
      <c r="CY104" s="34">
        <v>565</v>
      </c>
      <c r="CZ104" s="35">
        <f t="shared" ref="CZ104:CZ110" si="888">((CY104+DA104)/CW104)</f>
        <v>0.76158940397350994</v>
      </c>
      <c r="DA104" s="34">
        <v>10</v>
      </c>
      <c r="DB104" s="35">
        <f t="shared" ref="DB104:DB110" si="889">DA104/(CY104+DA104)</f>
        <v>1.7391304347826087E-2</v>
      </c>
      <c r="DC104" s="36"/>
      <c r="DD104" s="34"/>
      <c r="DE104" s="34"/>
      <c r="DF104" s="37"/>
      <c r="DG104" s="33"/>
      <c r="DH104" s="34"/>
      <c r="DI104" s="34">
        <f>DI101-DG104</f>
        <v>763</v>
      </c>
      <c r="DJ104" s="34">
        <f>DJ101-DH104</f>
        <v>70</v>
      </c>
      <c r="DK104" s="34">
        <v>558</v>
      </c>
      <c r="DL104" s="35">
        <f t="shared" ref="DL104:DL110" si="890">((DK104+DM104)/DI104)</f>
        <v>0.75098296199213632</v>
      </c>
      <c r="DM104" s="34">
        <v>15</v>
      </c>
      <c r="DN104" s="35">
        <f t="shared" ref="DN104:DN110" si="891">DM104/(DK104+DM104)</f>
        <v>2.6178010471204188E-2</v>
      </c>
      <c r="DO104" s="36"/>
      <c r="DP104" s="34"/>
      <c r="DQ104" s="34"/>
      <c r="DR104" s="37"/>
      <c r="DS104" s="33"/>
      <c r="DT104" s="34"/>
      <c r="DU104" s="34">
        <f>DU101-DS104</f>
        <v>852</v>
      </c>
      <c r="DV104" s="34">
        <f>DV101-DT104</f>
        <v>77</v>
      </c>
      <c r="DW104" s="34">
        <v>627</v>
      </c>
      <c r="DX104" s="35">
        <f t="shared" ref="DX104:DX110" si="892">((DW104+DY104)/DU104)</f>
        <v>0.75</v>
      </c>
      <c r="DY104" s="34">
        <v>12</v>
      </c>
      <c r="DZ104" s="35">
        <f t="shared" ref="DZ104:DZ110" si="893">DY104/(DW104+DY104)</f>
        <v>1.8779342723004695E-2</v>
      </c>
      <c r="EA104" s="36"/>
      <c r="EB104" s="34"/>
      <c r="EC104" s="34"/>
      <c r="ED104" s="37"/>
      <c r="EE104" s="33"/>
      <c r="EF104" s="34"/>
      <c r="EG104" s="34">
        <f>EG101-EE104</f>
        <v>862</v>
      </c>
      <c r="EH104" s="34">
        <f>EH101-EF104</f>
        <v>78</v>
      </c>
      <c r="EI104" s="34">
        <v>621</v>
      </c>
      <c r="EJ104" s="35">
        <f t="shared" ref="EJ104:EJ110" si="894">((EI104+EK104)/EG104)</f>
        <v>0.73781902552204182</v>
      </c>
      <c r="EK104" s="34">
        <v>15</v>
      </c>
      <c r="EL104" s="35">
        <f t="shared" ref="EL104:EL110" si="895">EK104/(EI104+EK104)</f>
        <v>2.358490566037736E-2</v>
      </c>
      <c r="EM104" s="36"/>
      <c r="EN104" s="34"/>
      <c r="EO104" s="34"/>
      <c r="EP104" s="37"/>
      <c r="EQ104" s="33"/>
      <c r="ER104" s="34"/>
      <c r="ES104" s="34">
        <f>ES101-EQ104</f>
        <v>199</v>
      </c>
      <c r="ET104" s="34">
        <f>ET101-ER104</f>
        <v>17</v>
      </c>
      <c r="EU104" s="34">
        <v>135</v>
      </c>
      <c r="EV104" s="35">
        <f t="shared" ref="EV104:EV110" si="896">((EU104+EW104)/ES104)</f>
        <v>0.70351758793969854</v>
      </c>
      <c r="EW104" s="34">
        <v>5</v>
      </c>
      <c r="EX104" s="35">
        <f t="shared" ref="EX104:EX110" si="897">EW104/(EU104+EW104)</f>
        <v>3.5714285714285712E-2</v>
      </c>
      <c r="EY104" s="36"/>
      <c r="EZ104" s="34"/>
      <c r="FA104" s="34"/>
      <c r="FB104" s="37"/>
      <c r="FC104" s="33"/>
      <c r="FD104" s="34"/>
      <c r="FE104" s="34">
        <f>FE101-FC104</f>
        <v>866</v>
      </c>
      <c r="FF104" s="34">
        <f>FF101-FD104</f>
        <v>79</v>
      </c>
      <c r="FG104" s="34">
        <v>666</v>
      </c>
      <c r="FH104" s="35">
        <f t="shared" ref="FH104:FH110" si="898">((FG104+FI104)/FE104)</f>
        <v>0.78406466512702078</v>
      </c>
      <c r="FI104" s="34">
        <v>13</v>
      </c>
      <c r="FJ104" s="35">
        <f t="shared" ref="FJ104:FJ110" si="899">FI104/(FG104+FI104)</f>
        <v>1.9145802650957292E-2</v>
      </c>
      <c r="FK104" s="36"/>
      <c r="FL104" s="34"/>
      <c r="FM104" s="34"/>
      <c r="FN104" s="37"/>
      <c r="FO104" s="33"/>
      <c r="FP104" s="34"/>
      <c r="FQ104" s="34">
        <f>FQ101-FO104</f>
        <v>904</v>
      </c>
      <c r="FR104" s="34">
        <f>FR101-FP104</f>
        <v>80</v>
      </c>
      <c r="FS104" s="34">
        <v>644</v>
      </c>
      <c r="FT104" s="35">
        <f t="shared" ref="FT104:FT110" si="900">((FS104+FU104)/FQ104)</f>
        <v>0.72676991150442483</v>
      </c>
      <c r="FU104" s="34">
        <v>13</v>
      </c>
      <c r="FV104" s="35">
        <f t="shared" ref="FV104:FV110" si="901">FU104/(FS104+FU104)</f>
        <v>1.9786910197869101E-2</v>
      </c>
      <c r="FW104" s="36"/>
      <c r="FX104" s="34"/>
      <c r="FY104" s="34"/>
      <c r="FZ104" s="37"/>
      <c r="GA104" s="33">
        <v>2</v>
      </c>
      <c r="GB104" s="34"/>
      <c r="GC104" s="34">
        <f>GC101-GA104</f>
        <v>896</v>
      </c>
      <c r="GD104" s="34">
        <f>GD101-GB104</f>
        <v>81</v>
      </c>
      <c r="GE104" s="34">
        <v>632</v>
      </c>
      <c r="GF104" s="35">
        <f t="shared" ref="GF104:GF110" si="902">((GE104+GG104)/GC104)</f>
        <v>0.7176339285714286</v>
      </c>
      <c r="GG104" s="34">
        <v>11</v>
      </c>
      <c r="GH104" s="35">
        <f t="shared" ref="GH104:GH110" si="903">GG104/(GE104+GG104)</f>
        <v>1.7107309486780714E-2</v>
      </c>
      <c r="GI104" s="36"/>
      <c r="GJ104" s="34"/>
      <c r="GK104" s="34"/>
      <c r="GL104" s="37"/>
      <c r="GM104" s="33"/>
      <c r="GN104" s="34"/>
      <c r="GO104" s="34">
        <f>GO101-GM104</f>
        <v>185</v>
      </c>
      <c r="GP104" s="34">
        <f>GP101-GN104</f>
        <v>17</v>
      </c>
      <c r="GQ104" s="34">
        <v>136</v>
      </c>
      <c r="GR104" s="35">
        <f t="shared" ref="GR104:GR110" si="904">((GQ104+GS104)/GO104)</f>
        <v>0.78378378378378377</v>
      </c>
      <c r="GS104" s="34">
        <v>9</v>
      </c>
      <c r="GT104" s="35">
        <f t="shared" ref="GT104:GT110" si="905">GS104/(GQ104+GS104)</f>
        <v>6.2068965517241378E-2</v>
      </c>
      <c r="GU104" s="36"/>
      <c r="GV104" s="34"/>
      <c r="GW104" s="34"/>
      <c r="GX104" s="37"/>
      <c r="GY104" s="33"/>
      <c r="GZ104" s="34"/>
      <c r="HA104" s="34">
        <f>HA101-GY104</f>
        <v>910</v>
      </c>
      <c r="HB104" s="34">
        <f>HB101-GZ104</f>
        <v>82</v>
      </c>
      <c r="HC104" s="34">
        <v>670</v>
      </c>
      <c r="HD104" s="35">
        <f t="shared" ref="HD104:HD110" si="906">((HC104+HE104)/HA104)</f>
        <v>0.74725274725274726</v>
      </c>
      <c r="HE104" s="34">
        <v>10</v>
      </c>
      <c r="HF104" s="35">
        <f t="shared" ref="HF104:HF110" si="907">HE104/(HC104+HE104)</f>
        <v>1.4705882352941176E-2</v>
      </c>
      <c r="HG104" s="36"/>
      <c r="HH104" s="34"/>
      <c r="HI104" s="34"/>
      <c r="HJ104" s="37"/>
      <c r="HK104" s="33">
        <f t="shared" ref="HK104:HK111" si="908">+C104+O104+AA104+AM104+AY104+BK104+BW104+CI104+CU104+DG104+DS104+EE104+EQ104+FC104+FO104+GA104+GM104+GY104</f>
        <v>3</v>
      </c>
      <c r="HL104" s="34">
        <f t="shared" ref="HL104:HL111" si="909">+D104+P104+AB104+AN104+AZ104+BL104+BX104+CJ104+CV104+DH104+DT104+EF104+ER104+FD104+FP104+GB104+GN104+GZ104</f>
        <v>0</v>
      </c>
      <c r="HM104" s="34">
        <f t="shared" ref="HM104:HM111" si="910">+E104+Q104+AC104+AO104+BA104+BM104+BY104+CK104+CW104+DI104+DU104+EG104+ES104+FE104+FQ104+GC104+GO104+HA104</f>
        <v>12304</v>
      </c>
      <c r="HN104" s="34">
        <f t="shared" ref="HN104:HN111" si="911">+F104+R104+AD104+AP104+BB104+BN104+BZ104+CL104+CX104+DJ104+DV104+EH104+ET104+FF104+FR104+GD104+GP104+HB104</f>
        <v>1105</v>
      </c>
      <c r="HO104" s="34">
        <f t="shared" ref="HO104:HO111" si="912">+G104+S104+AE104+AQ104+BC104+BO104+CA104+CM104+CY104+DK104+DW104+EI104+EU104+FG104+FS104+GE104+GQ104+HC104+I104+U104+AG104+AS104+BE104+BQ104+CC104+CO104+DA104+DM104+DY104+EK104+EW104+FI104+FU104+GG104+GS104+HE104</f>
        <v>9336</v>
      </c>
      <c r="HP104" s="94">
        <f t="shared" ref="HP104:HP110" si="913">+(HO104)/HM104</f>
        <v>0.75877763328998704</v>
      </c>
      <c r="HQ104" s="48">
        <f t="shared" ref="HQ104:HQ111" si="914">+I104+U104+AG104+AS104+BE104+BQ104+CC104+CO104+DA104+DM104+DY104+EK104+EW104+FI104+FU104+GG104+GS104+HE104</f>
        <v>192</v>
      </c>
      <c r="HR104" s="35">
        <f t="shared" ref="HR104:HR111" si="915">+(HQ104/(HO104))</f>
        <v>2.056555269922879E-2</v>
      </c>
      <c r="HS104" s="49">
        <v>59.5</v>
      </c>
      <c r="HT104" s="50">
        <v>8971</v>
      </c>
      <c r="HU104" s="49">
        <f t="shared" ref="HU104:HU110" si="916">+HT104/HO104*100</f>
        <v>96.090402742073692</v>
      </c>
      <c r="HV104" s="48"/>
      <c r="HW104" s="37"/>
      <c r="HX104" s="73">
        <f t="shared" ref="HX104:HX110" si="917">SUM(G104,I104,S104,U104,AE104,AG104,AQ104,AS104,BC104,BE104)/SUM(E104,Q104,AC104,AO104,BA104)</f>
        <v>0.78764247150569888</v>
      </c>
      <c r="HY104" s="73">
        <f t="shared" ref="HY104:HY110" si="918">SUM(BO104,BQ104,CA104,CC104,CM104,CO104,CY104,DA104,DK104,DM104)/SUM(BM104,BY104,CK104,CW104,DI104)</f>
        <v>0.75576456310679607</v>
      </c>
      <c r="HZ104" s="73">
        <f t="shared" ref="HZ104:HZ110" si="919">SUM(DW104,DY104,EI104,EK104,EU104,EW104,FG104,FI104)/SUM(DU104,EG104,ES104,FE104)</f>
        <v>0.75350845627923713</v>
      </c>
      <c r="IA104" s="73">
        <f t="shared" ref="IA104:IA110" si="920">SUM(FS104,FU104,GE104,GG104,GQ104,GS104,HC104,HE104)/SUM(FQ104,GC104,GO104,HA104)</f>
        <v>0.73402417962003452</v>
      </c>
    </row>
    <row r="105" spans="1:244" x14ac:dyDescent="0.25">
      <c r="A105" s="374"/>
      <c r="B105" s="41">
        <f t="shared" ref="B105:B110" si="921">+B104+1</f>
        <v>45019</v>
      </c>
      <c r="C105" s="10"/>
      <c r="D105" s="11"/>
      <c r="E105" s="69">
        <f t="shared" ref="E105:E110" si="922">E104-C105</f>
        <v>845</v>
      </c>
      <c r="F105" s="69">
        <f t="shared" ref="F105:F110" si="923">F104-D105</f>
        <v>75</v>
      </c>
      <c r="G105" s="11">
        <v>615</v>
      </c>
      <c r="H105" s="12">
        <f t="shared" si="872"/>
        <v>0.7384615384615385</v>
      </c>
      <c r="I105" s="11">
        <v>9</v>
      </c>
      <c r="J105" s="12">
        <f t="shared" si="873"/>
        <v>1.4423076923076924E-2</v>
      </c>
      <c r="K105" s="13"/>
      <c r="L105" s="11"/>
      <c r="M105" s="11"/>
      <c r="N105" s="14"/>
      <c r="O105" s="10"/>
      <c r="P105" s="11"/>
      <c r="Q105" s="69">
        <f t="shared" ref="Q105:Q110" si="924">Q104-O105</f>
        <v>766</v>
      </c>
      <c r="R105" s="69">
        <f t="shared" ref="R105:R110" si="925">R104-P105</f>
        <v>68</v>
      </c>
      <c r="S105" s="11">
        <v>564</v>
      </c>
      <c r="T105" s="12">
        <f t="shared" si="874"/>
        <v>0.74412532637075723</v>
      </c>
      <c r="U105" s="11">
        <v>6</v>
      </c>
      <c r="V105" s="12">
        <f t="shared" si="875"/>
        <v>1.0526315789473684E-2</v>
      </c>
      <c r="W105" s="13"/>
      <c r="X105" s="11"/>
      <c r="Y105" s="11"/>
      <c r="Z105" s="14"/>
      <c r="AA105" s="10"/>
      <c r="AB105" s="11"/>
      <c r="AC105" s="69">
        <f t="shared" ref="AC105:AC110" si="926">AC104-AA105</f>
        <v>179</v>
      </c>
      <c r="AD105" s="69">
        <f t="shared" ref="AD105:AD110" si="927">AD104-AB105</f>
        <v>14</v>
      </c>
      <c r="AE105" s="11">
        <v>140</v>
      </c>
      <c r="AF105" s="12">
        <f t="shared" si="876"/>
        <v>0.78770949720670391</v>
      </c>
      <c r="AG105" s="11">
        <v>1</v>
      </c>
      <c r="AH105" s="12">
        <f t="shared" si="877"/>
        <v>7.0921985815602835E-3</v>
      </c>
      <c r="AI105" s="13"/>
      <c r="AJ105" s="11"/>
      <c r="AK105" s="11"/>
      <c r="AL105" s="14"/>
      <c r="AM105" s="10"/>
      <c r="AN105" s="11"/>
      <c r="AO105" s="69">
        <f t="shared" ref="AO105:AO110" si="928">AO104-AM105</f>
        <v>775</v>
      </c>
      <c r="AP105" s="69">
        <f t="shared" ref="AP105:AP110" si="929">AP104-AN105</f>
        <v>69</v>
      </c>
      <c r="AQ105" s="11">
        <v>580</v>
      </c>
      <c r="AR105" s="12">
        <f t="shared" si="878"/>
        <v>0.75483870967741939</v>
      </c>
      <c r="AS105" s="11">
        <v>5</v>
      </c>
      <c r="AT105" s="12">
        <f t="shared" si="879"/>
        <v>8.5470085470085479E-3</v>
      </c>
      <c r="AU105" s="13"/>
      <c r="AV105" s="11"/>
      <c r="AW105" s="11"/>
      <c r="AX105" s="14"/>
      <c r="AY105" s="10"/>
      <c r="AZ105" s="11"/>
      <c r="BA105" s="69">
        <f t="shared" ref="BA105:BA110" si="930">BA104-AY105</f>
        <v>769</v>
      </c>
      <c r="BB105" s="69">
        <f t="shared" ref="BB105:BB110" si="931">BB104-AZ105</f>
        <v>69</v>
      </c>
      <c r="BC105" s="11">
        <v>546</v>
      </c>
      <c r="BD105" s="12">
        <f t="shared" si="880"/>
        <v>0.7217165149544863</v>
      </c>
      <c r="BE105" s="11">
        <v>9</v>
      </c>
      <c r="BF105" s="12">
        <f t="shared" si="881"/>
        <v>1.6216216216216217E-2</v>
      </c>
      <c r="BG105" s="13"/>
      <c r="BH105" s="11"/>
      <c r="BI105" s="11"/>
      <c r="BJ105" s="14"/>
      <c r="BK105" s="10"/>
      <c r="BL105" s="11"/>
      <c r="BM105" s="69">
        <f t="shared" ref="BM105:BM110" si="932">BM104-BK105</f>
        <v>839</v>
      </c>
      <c r="BN105" s="69">
        <f t="shared" ref="BN105:BN110" si="933">BN104-BL105</f>
        <v>76</v>
      </c>
      <c r="BO105" s="11">
        <v>622</v>
      </c>
      <c r="BP105" s="12">
        <f t="shared" si="882"/>
        <v>0.76638855780691295</v>
      </c>
      <c r="BQ105" s="11">
        <v>21</v>
      </c>
      <c r="BR105" s="12">
        <f t="shared" si="883"/>
        <v>3.2659409020217731E-2</v>
      </c>
      <c r="BS105" s="13"/>
      <c r="BT105" s="11"/>
      <c r="BU105" s="11"/>
      <c r="BV105" s="14"/>
      <c r="BW105" s="10"/>
      <c r="BX105" s="11">
        <v>1</v>
      </c>
      <c r="BY105" s="69">
        <f t="shared" ref="BY105:BY110" si="934">BY104-BW105</f>
        <v>760</v>
      </c>
      <c r="BZ105" s="69">
        <f t="shared" ref="BZ105:BZ110" si="935">BZ104-BX105</f>
        <v>68</v>
      </c>
      <c r="CA105" s="11">
        <v>555</v>
      </c>
      <c r="CB105" s="12">
        <f t="shared" si="884"/>
        <v>0.73684210526315785</v>
      </c>
      <c r="CC105" s="11">
        <v>5</v>
      </c>
      <c r="CD105" s="12">
        <f t="shared" si="885"/>
        <v>8.9285714285714281E-3</v>
      </c>
      <c r="CE105" s="13"/>
      <c r="CF105" s="11"/>
      <c r="CG105" s="11"/>
      <c r="CH105" s="14"/>
      <c r="CI105" s="10">
        <v>1</v>
      </c>
      <c r="CJ105" s="11"/>
      <c r="CK105" s="69">
        <f t="shared" ref="CK105:CK110" si="936">CK104-CI105</f>
        <v>178</v>
      </c>
      <c r="CL105" s="69">
        <f t="shared" ref="CL105:CL110" si="937">CL104-CJ105</f>
        <v>15</v>
      </c>
      <c r="CM105" s="11">
        <v>120</v>
      </c>
      <c r="CN105" s="12">
        <f t="shared" si="886"/>
        <v>0.6910112359550562</v>
      </c>
      <c r="CO105" s="11">
        <v>3</v>
      </c>
      <c r="CP105" s="12">
        <f t="shared" si="887"/>
        <v>2.4390243902439025E-2</v>
      </c>
      <c r="CQ105" s="13"/>
      <c r="CR105" s="11"/>
      <c r="CS105" s="11"/>
      <c r="CT105" s="14"/>
      <c r="CU105" s="10"/>
      <c r="CV105" s="11"/>
      <c r="CW105" s="69">
        <f t="shared" ref="CW105:CW110" si="938">CW104-CU105</f>
        <v>755</v>
      </c>
      <c r="CX105" s="69">
        <f t="shared" ref="CX105:CX110" si="939">CX104-CV105</f>
        <v>69</v>
      </c>
      <c r="CY105" s="11">
        <v>563</v>
      </c>
      <c r="CZ105" s="12">
        <f t="shared" si="888"/>
        <v>0.75099337748344375</v>
      </c>
      <c r="DA105" s="11">
        <v>4</v>
      </c>
      <c r="DB105" s="12">
        <f t="shared" si="889"/>
        <v>7.0546737213403876E-3</v>
      </c>
      <c r="DC105" s="13"/>
      <c r="DD105" s="11"/>
      <c r="DE105" s="11"/>
      <c r="DF105" s="14"/>
      <c r="DG105" s="10"/>
      <c r="DH105" s="11"/>
      <c r="DI105" s="69">
        <f t="shared" ref="DI105:DI110" si="940">DI104-DG105</f>
        <v>763</v>
      </c>
      <c r="DJ105" s="69">
        <f t="shared" ref="DJ105:DJ110" si="941">DJ104-DH105</f>
        <v>70</v>
      </c>
      <c r="DK105" s="11">
        <v>556</v>
      </c>
      <c r="DL105" s="12">
        <f t="shared" si="890"/>
        <v>0.7549148099606815</v>
      </c>
      <c r="DM105" s="11">
        <v>20</v>
      </c>
      <c r="DN105" s="12">
        <f t="shared" si="891"/>
        <v>3.4722222222222224E-2</v>
      </c>
      <c r="DO105" s="13"/>
      <c r="DP105" s="11"/>
      <c r="DQ105" s="11"/>
      <c r="DR105" s="14"/>
      <c r="DS105" s="10"/>
      <c r="DT105" s="11"/>
      <c r="DU105" s="69">
        <f t="shared" ref="DU105:DU110" si="942">DU104-DS105</f>
        <v>852</v>
      </c>
      <c r="DV105" s="69">
        <f t="shared" ref="DV105:DV110" si="943">DV104-DT105</f>
        <v>77</v>
      </c>
      <c r="DW105" s="11">
        <v>601</v>
      </c>
      <c r="DX105" s="12">
        <f t="shared" si="892"/>
        <v>0.71948356807511737</v>
      </c>
      <c r="DY105" s="11">
        <v>12</v>
      </c>
      <c r="DZ105" s="12">
        <f t="shared" si="893"/>
        <v>1.9575856443719411E-2</v>
      </c>
      <c r="EA105" s="13"/>
      <c r="EB105" s="11"/>
      <c r="EC105" s="11"/>
      <c r="ED105" s="14"/>
      <c r="EE105" s="10"/>
      <c r="EF105" s="11"/>
      <c r="EG105" s="69">
        <f t="shared" ref="EG105:EG110" si="944">EG104-EE105</f>
        <v>862</v>
      </c>
      <c r="EH105" s="69">
        <f t="shared" ref="EH105:EH110" si="945">EH104-EF105</f>
        <v>78</v>
      </c>
      <c r="EI105" s="11">
        <v>616</v>
      </c>
      <c r="EJ105" s="12">
        <f t="shared" si="894"/>
        <v>0.73085846867749416</v>
      </c>
      <c r="EK105" s="11">
        <v>14</v>
      </c>
      <c r="EL105" s="12">
        <f t="shared" si="895"/>
        <v>2.2222222222222223E-2</v>
      </c>
      <c r="EM105" s="13"/>
      <c r="EN105" s="11"/>
      <c r="EO105" s="11"/>
      <c r="EP105" s="14"/>
      <c r="EQ105" s="10"/>
      <c r="ER105" s="11"/>
      <c r="ES105" s="69">
        <f t="shared" ref="ES105:ES110" si="946">ES104-EQ105</f>
        <v>199</v>
      </c>
      <c r="ET105" s="69">
        <f t="shared" ref="ET105:ET110" si="947">ET104-ER105</f>
        <v>17</v>
      </c>
      <c r="EU105" s="11">
        <v>137</v>
      </c>
      <c r="EV105" s="12">
        <f t="shared" si="896"/>
        <v>0.71859296482412061</v>
      </c>
      <c r="EW105" s="11">
        <v>6</v>
      </c>
      <c r="EX105" s="12">
        <f t="shared" si="897"/>
        <v>4.195804195804196E-2</v>
      </c>
      <c r="EY105" s="13"/>
      <c r="EZ105" s="11"/>
      <c r="FA105" s="11"/>
      <c r="FB105" s="14"/>
      <c r="FC105" s="10"/>
      <c r="FD105" s="11"/>
      <c r="FE105" s="69">
        <f t="shared" ref="FE105:FE110" si="948">FE104-FC105</f>
        <v>866</v>
      </c>
      <c r="FF105" s="69">
        <f t="shared" ref="FF105:FF110" si="949">FF104-FD105</f>
        <v>79</v>
      </c>
      <c r="FG105" s="11">
        <v>657</v>
      </c>
      <c r="FH105" s="12">
        <f t="shared" si="898"/>
        <v>0.7736720554272517</v>
      </c>
      <c r="FI105" s="11">
        <v>13</v>
      </c>
      <c r="FJ105" s="12">
        <f t="shared" si="899"/>
        <v>1.9402985074626865E-2</v>
      </c>
      <c r="FK105" s="13"/>
      <c r="FL105" s="11"/>
      <c r="FM105" s="11"/>
      <c r="FN105" s="14"/>
      <c r="FO105" s="10"/>
      <c r="FP105" s="11"/>
      <c r="FQ105" s="69">
        <f t="shared" ref="FQ105:FQ110" si="950">FQ104-FO105</f>
        <v>904</v>
      </c>
      <c r="FR105" s="69">
        <f t="shared" ref="FR105:FR110" si="951">FR104-FP105</f>
        <v>80</v>
      </c>
      <c r="FS105" s="11">
        <v>601</v>
      </c>
      <c r="FT105" s="12">
        <f t="shared" si="900"/>
        <v>0.68030973451327437</v>
      </c>
      <c r="FU105" s="11">
        <v>14</v>
      </c>
      <c r="FV105" s="12">
        <f t="shared" si="901"/>
        <v>2.2764227642276424E-2</v>
      </c>
      <c r="FW105" s="13"/>
      <c r="FX105" s="11"/>
      <c r="FY105" s="11"/>
      <c r="FZ105" s="14"/>
      <c r="GA105" s="10">
        <v>1</v>
      </c>
      <c r="GB105" s="11"/>
      <c r="GC105" s="69">
        <f t="shared" ref="GC105:GC110" si="952">GC104-GA105</f>
        <v>895</v>
      </c>
      <c r="GD105" s="69">
        <f t="shared" ref="GD105:GD110" si="953">GD104-GB105</f>
        <v>81</v>
      </c>
      <c r="GE105" s="11">
        <v>623</v>
      </c>
      <c r="GF105" s="12">
        <f t="shared" si="902"/>
        <v>0.70726256983240221</v>
      </c>
      <c r="GG105" s="11">
        <v>10</v>
      </c>
      <c r="GH105" s="12">
        <f t="shared" si="903"/>
        <v>1.579778830963665E-2</v>
      </c>
      <c r="GI105" s="13"/>
      <c r="GJ105" s="11"/>
      <c r="GK105" s="11"/>
      <c r="GL105" s="14"/>
      <c r="GM105" s="10">
        <v>1</v>
      </c>
      <c r="GN105" s="11"/>
      <c r="GO105" s="69">
        <f t="shared" ref="GO105:GO110" si="954">GO104-GM105</f>
        <v>184</v>
      </c>
      <c r="GP105" s="69">
        <f t="shared" ref="GP105:GP110" si="955">GP104-GN105</f>
        <v>17</v>
      </c>
      <c r="GQ105" s="11">
        <v>131</v>
      </c>
      <c r="GR105" s="12">
        <f t="shared" si="904"/>
        <v>0.74456521739130432</v>
      </c>
      <c r="GS105" s="11">
        <v>6</v>
      </c>
      <c r="GT105" s="12">
        <f t="shared" si="905"/>
        <v>4.3795620437956206E-2</v>
      </c>
      <c r="GU105" s="13"/>
      <c r="GV105" s="11"/>
      <c r="GW105" s="11"/>
      <c r="GX105" s="14"/>
      <c r="GY105" s="10"/>
      <c r="GZ105" s="11"/>
      <c r="HA105" s="69">
        <f t="shared" ref="HA105:HA110" si="956">HA104-GY105</f>
        <v>910</v>
      </c>
      <c r="HB105" s="69">
        <f t="shared" ref="HB105:HB110" si="957">HB104-GZ105</f>
        <v>82</v>
      </c>
      <c r="HC105" s="11">
        <v>649</v>
      </c>
      <c r="HD105" s="12">
        <f t="shared" si="906"/>
        <v>0.72417582417582416</v>
      </c>
      <c r="HE105" s="11">
        <v>10</v>
      </c>
      <c r="HF105" s="12">
        <f t="shared" si="907"/>
        <v>1.5174506828528073E-2</v>
      </c>
      <c r="HG105" s="13"/>
      <c r="HH105" s="11"/>
      <c r="HI105" s="11"/>
      <c r="HJ105" s="14"/>
      <c r="HK105" s="10">
        <f t="shared" si="908"/>
        <v>3</v>
      </c>
      <c r="HL105" s="11">
        <f t="shared" si="909"/>
        <v>1</v>
      </c>
      <c r="HM105" s="11">
        <f t="shared" si="910"/>
        <v>12301</v>
      </c>
      <c r="HN105" s="11">
        <f t="shared" si="911"/>
        <v>1104</v>
      </c>
      <c r="HO105" s="11">
        <f t="shared" si="912"/>
        <v>9044</v>
      </c>
      <c r="HP105" s="95">
        <f t="shared" si="913"/>
        <v>0.73522477847329482</v>
      </c>
      <c r="HQ105" s="15">
        <f t="shared" si="914"/>
        <v>168</v>
      </c>
      <c r="HR105" s="12">
        <f t="shared" si="915"/>
        <v>1.8575851393188854E-2</v>
      </c>
      <c r="HS105" s="16">
        <v>59.9</v>
      </c>
      <c r="HT105" s="17">
        <v>8714</v>
      </c>
      <c r="HU105" s="16">
        <f t="shared" si="916"/>
        <v>96.351172047766482</v>
      </c>
      <c r="HV105" s="15"/>
      <c r="HW105" s="14"/>
      <c r="HX105" s="73">
        <f t="shared" si="917"/>
        <v>0.74235152969406115</v>
      </c>
      <c r="HY105" s="73">
        <f t="shared" si="918"/>
        <v>0.74931714719271625</v>
      </c>
      <c r="HZ105" s="73">
        <f t="shared" si="919"/>
        <v>0.73983447283195392</v>
      </c>
      <c r="IA105" s="73">
        <f t="shared" si="920"/>
        <v>0.70653301071552022</v>
      </c>
    </row>
    <row r="106" spans="1:244" x14ac:dyDescent="0.25">
      <c r="A106" s="374"/>
      <c r="B106" s="41">
        <f t="shared" si="921"/>
        <v>45020</v>
      </c>
      <c r="C106" s="10"/>
      <c r="D106" s="11"/>
      <c r="E106" s="69">
        <f t="shared" si="922"/>
        <v>845</v>
      </c>
      <c r="F106" s="69">
        <f t="shared" si="923"/>
        <v>75</v>
      </c>
      <c r="G106" s="11">
        <v>633</v>
      </c>
      <c r="H106" s="12">
        <f t="shared" si="872"/>
        <v>0.75976331360946747</v>
      </c>
      <c r="I106" s="11">
        <v>9</v>
      </c>
      <c r="J106" s="12">
        <f t="shared" si="873"/>
        <v>1.4018691588785047E-2</v>
      </c>
      <c r="K106" s="13"/>
      <c r="L106" s="11"/>
      <c r="M106" s="11"/>
      <c r="N106" s="14"/>
      <c r="O106" s="10">
        <v>1</v>
      </c>
      <c r="P106" s="11"/>
      <c r="Q106" s="69">
        <f t="shared" si="924"/>
        <v>765</v>
      </c>
      <c r="R106" s="69">
        <f t="shared" si="925"/>
        <v>68</v>
      </c>
      <c r="S106" s="11">
        <v>556</v>
      </c>
      <c r="T106" s="12">
        <f t="shared" si="874"/>
        <v>0.73333333333333328</v>
      </c>
      <c r="U106" s="11">
        <v>5</v>
      </c>
      <c r="V106" s="12">
        <f t="shared" si="875"/>
        <v>8.9126559714795012E-3</v>
      </c>
      <c r="W106" s="13"/>
      <c r="X106" s="11"/>
      <c r="Y106" s="11"/>
      <c r="Z106" s="14"/>
      <c r="AA106" s="10"/>
      <c r="AB106" s="11"/>
      <c r="AC106" s="69">
        <f t="shared" si="926"/>
        <v>179</v>
      </c>
      <c r="AD106" s="69">
        <f t="shared" si="927"/>
        <v>14</v>
      </c>
      <c r="AE106" s="11">
        <v>135</v>
      </c>
      <c r="AF106" s="12">
        <f t="shared" si="876"/>
        <v>0.75977653631284914</v>
      </c>
      <c r="AG106" s="11">
        <v>1</v>
      </c>
      <c r="AH106" s="12">
        <f t="shared" si="877"/>
        <v>7.3529411764705881E-3</v>
      </c>
      <c r="AI106" s="13"/>
      <c r="AJ106" s="11"/>
      <c r="AK106" s="11"/>
      <c r="AL106" s="14"/>
      <c r="AM106" s="10"/>
      <c r="AN106" s="11">
        <v>1</v>
      </c>
      <c r="AO106" s="69">
        <f t="shared" si="928"/>
        <v>775</v>
      </c>
      <c r="AP106" s="69">
        <f t="shared" si="929"/>
        <v>68</v>
      </c>
      <c r="AQ106" s="11">
        <v>561</v>
      </c>
      <c r="AR106" s="12">
        <f t="shared" si="878"/>
        <v>0.7290322580645161</v>
      </c>
      <c r="AS106" s="11">
        <v>4</v>
      </c>
      <c r="AT106" s="12">
        <f t="shared" si="879"/>
        <v>7.0796460176991149E-3</v>
      </c>
      <c r="AU106" s="13"/>
      <c r="AV106" s="11"/>
      <c r="AW106" s="11"/>
      <c r="AX106" s="14"/>
      <c r="AY106" s="10">
        <v>1</v>
      </c>
      <c r="AZ106" s="11"/>
      <c r="BA106" s="69">
        <f t="shared" si="930"/>
        <v>768</v>
      </c>
      <c r="BB106" s="69">
        <f t="shared" si="931"/>
        <v>69</v>
      </c>
      <c r="BC106" s="11">
        <v>571</v>
      </c>
      <c r="BD106" s="12">
        <f t="shared" si="880"/>
        <v>0.75520833333333337</v>
      </c>
      <c r="BE106" s="11">
        <v>9</v>
      </c>
      <c r="BF106" s="12">
        <f t="shared" si="881"/>
        <v>1.5517241379310345E-2</v>
      </c>
      <c r="BG106" s="13"/>
      <c r="BH106" s="11"/>
      <c r="BI106" s="11"/>
      <c r="BJ106" s="14"/>
      <c r="BK106" s="10"/>
      <c r="BL106" s="11"/>
      <c r="BM106" s="69">
        <f t="shared" si="932"/>
        <v>839</v>
      </c>
      <c r="BN106" s="69">
        <f t="shared" si="933"/>
        <v>76</v>
      </c>
      <c r="BO106" s="11">
        <v>632</v>
      </c>
      <c r="BP106" s="12">
        <f t="shared" si="882"/>
        <v>0.77353992848629316</v>
      </c>
      <c r="BQ106" s="11">
        <v>17</v>
      </c>
      <c r="BR106" s="12">
        <f t="shared" si="883"/>
        <v>2.6194144838212634E-2</v>
      </c>
      <c r="BS106" s="13"/>
      <c r="BT106" s="11"/>
      <c r="BU106" s="11"/>
      <c r="BV106" s="14"/>
      <c r="BW106" s="10">
        <v>1</v>
      </c>
      <c r="BX106" s="11"/>
      <c r="BY106" s="69">
        <f t="shared" si="934"/>
        <v>759</v>
      </c>
      <c r="BZ106" s="69">
        <f t="shared" si="935"/>
        <v>68</v>
      </c>
      <c r="CA106" s="11">
        <v>595</v>
      </c>
      <c r="CB106" s="12">
        <f t="shared" si="884"/>
        <v>0.80764163372859021</v>
      </c>
      <c r="CC106" s="11">
        <v>18</v>
      </c>
      <c r="CD106" s="12">
        <f t="shared" si="885"/>
        <v>2.936378466557912E-2</v>
      </c>
      <c r="CE106" s="13"/>
      <c r="CF106" s="11"/>
      <c r="CG106" s="11"/>
      <c r="CH106" s="14"/>
      <c r="CI106" s="10"/>
      <c r="CJ106" s="11"/>
      <c r="CK106" s="69">
        <f t="shared" si="936"/>
        <v>178</v>
      </c>
      <c r="CL106" s="69">
        <f t="shared" si="937"/>
        <v>15</v>
      </c>
      <c r="CM106" s="11">
        <v>118</v>
      </c>
      <c r="CN106" s="12">
        <f t="shared" si="886"/>
        <v>0.6853932584269663</v>
      </c>
      <c r="CO106" s="11">
        <v>4</v>
      </c>
      <c r="CP106" s="12">
        <f t="shared" si="887"/>
        <v>3.2786885245901641E-2</v>
      </c>
      <c r="CQ106" s="13"/>
      <c r="CR106" s="11"/>
      <c r="CS106" s="11"/>
      <c r="CT106" s="14"/>
      <c r="CU106" s="10">
        <v>1</v>
      </c>
      <c r="CV106" s="11"/>
      <c r="CW106" s="69">
        <f t="shared" si="938"/>
        <v>754</v>
      </c>
      <c r="CX106" s="69">
        <f t="shared" si="939"/>
        <v>69</v>
      </c>
      <c r="CY106" s="11">
        <v>582</v>
      </c>
      <c r="CZ106" s="12">
        <f t="shared" si="888"/>
        <v>0.78381962864721488</v>
      </c>
      <c r="DA106" s="11">
        <v>9</v>
      </c>
      <c r="DB106" s="12">
        <f t="shared" si="889"/>
        <v>1.5228426395939087E-2</v>
      </c>
      <c r="DC106" s="13"/>
      <c r="DD106" s="11"/>
      <c r="DE106" s="11"/>
      <c r="DF106" s="14"/>
      <c r="DG106" s="10"/>
      <c r="DH106" s="11"/>
      <c r="DI106" s="69">
        <f t="shared" si="940"/>
        <v>763</v>
      </c>
      <c r="DJ106" s="69">
        <f t="shared" si="941"/>
        <v>70</v>
      </c>
      <c r="DK106" s="11">
        <v>568</v>
      </c>
      <c r="DL106" s="12">
        <f t="shared" si="890"/>
        <v>0.76671035386631714</v>
      </c>
      <c r="DM106" s="11">
        <v>17</v>
      </c>
      <c r="DN106" s="12">
        <f t="shared" si="891"/>
        <v>2.9059829059829061E-2</v>
      </c>
      <c r="DO106" s="13"/>
      <c r="DP106" s="11"/>
      <c r="DQ106" s="11"/>
      <c r="DR106" s="14"/>
      <c r="DS106" s="10"/>
      <c r="DT106" s="11"/>
      <c r="DU106" s="69">
        <f t="shared" si="942"/>
        <v>852</v>
      </c>
      <c r="DV106" s="69">
        <f t="shared" si="943"/>
        <v>77</v>
      </c>
      <c r="DW106" s="11">
        <v>636</v>
      </c>
      <c r="DX106" s="12">
        <f t="shared" si="892"/>
        <v>0.74765258215962438</v>
      </c>
      <c r="DY106" s="11">
        <v>1</v>
      </c>
      <c r="DZ106" s="12">
        <f t="shared" si="893"/>
        <v>1.5698587127158557E-3</v>
      </c>
      <c r="EA106" s="13"/>
      <c r="EB106" s="11"/>
      <c r="EC106" s="11"/>
      <c r="ED106" s="14"/>
      <c r="EE106" s="10"/>
      <c r="EF106" s="11"/>
      <c r="EG106" s="69">
        <f t="shared" si="944"/>
        <v>862</v>
      </c>
      <c r="EH106" s="69">
        <f t="shared" si="945"/>
        <v>78</v>
      </c>
      <c r="EI106" s="11">
        <v>627</v>
      </c>
      <c r="EJ106" s="12">
        <f t="shared" si="894"/>
        <v>0.74941995359628766</v>
      </c>
      <c r="EK106" s="11">
        <v>19</v>
      </c>
      <c r="EL106" s="12">
        <f t="shared" si="895"/>
        <v>2.9411764705882353E-2</v>
      </c>
      <c r="EM106" s="13"/>
      <c r="EN106" s="11"/>
      <c r="EO106" s="11"/>
      <c r="EP106" s="14"/>
      <c r="EQ106" s="10"/>
      <c r="ER106" s="11"/>
      <c r="ES106" s="69">
        <f t="shared" si="946"/>
        <v>199</v>
      </c>
      <c r="ET106" s="69">
        <f t="shared" si="947"/>
        <v>17</v>
      </c>
      <c r="EU106" s="11">
        <v>149</v>
      </c>
      <c r="EV106" s="12">
        <f t="shared" si="896"/>
        <v>0.76381909547738691</v>
      </c>
      <c r="EW106" s="11">
        <v>3</v>
      </c>
      <c r="EX106" s="12">
        <f t="shared" si="897"/>
        <v>1.9736842105263157E-2</v>
      </c>
      <c r="EY106" s="13"/>
      <c r="EZ106" s="11"/>
      <c r="FA106" s="11"/>
      <c r="FB106" s="14"/>
      <c r="FC106" s="10"/>
      <c r="FD106" s="11"/>
      <c r="FE106" s="69">
        <f t="shared" si="948"/>
        <v>866</v>
      </c>
      <c r="FF106" s="69">
        <f t="shared" si="949"/>
        <v>79</v>
      </c>
      <c r="FG106" s="11">
        <v>673</v>
      </c>
      <c r="FH106" s="12">
        <f t="shared" si="898"/>
        <v>0.78290993071593529</v>
      </c>
      <c r="FI106" s="11">
        <v>5</v>
      </c>
      <c r="FJ106" s="12">
        <f t="shared" si="899"/>
        <v>7.3746312684365781E-3</v>
      </c>
      <c r="FK106" s="13"/>
      <c r="FL106" s="11"/>
      <c r="FM106" s="11"/>
      <c r="FN106" s="14"/>
      <c r="FO106" s="10"/>
      <c r="FP106" s="11"/>
      <c r="FQ106" s="69">
        <f t="shared" si="950"/>
        <v>904</v>
      </c>
      <c r="FR106" s="69">
        <f t="shared" si="951"/>
        <v>80</v>
      </c>
      <c r="FS106" s="11">
        <v>646</v>
      </c>
      <c r="FT106" s="12">
        <f t="shared" si="900"/>
        <v>0.73783185840707965</v>
      </c>
      <c r="FU106" s="11">
        <v>21</v>
      </c>
      <c r="FV106" s="12">
        <f t="shared" si="901"/>
        <v>3.1484257871064465E-2</v>
      </c>
      <c r="FW106" s="13"/>
      <c r="FX106" s="11"/>
      <c r="FY106" s="11"/>
      <c r="FZ106" s="14"/>
      <c r="GA106" s="10"/>
      <c r="GB106" s="11"/>
      <c r="GC106" s="69">
        <f t="shared" si="952"/>
        <v>895</v>
      </c>
      <c r="GD106" s="69">
        <f t="shared" si="953"/>
        <v>81</v>
      </c>
      <c r="GE106" s="11">
        <v>658</v>
      </c>
      <c r="GF106" s="12">
        <f t="shared" si="902"/>
        <v>0.74860335195530725</v>
      </c>
      <c r="GG106" s="11">
        <v>12</v>
      </c>
      <c r="GH106" s="12">
        <f t="shared" si="903"/>
        <v>1.7910447761194031E-2</v>
      </c>
      <c r="GI106" s="13"/>
      <c r="GJ106" s="11"/>
      <c r="GK106" s="11"/>
      <c r="GL106" s="14"/>
      <c r="GM106" s="10"/>
      <c r="GN106" s="11"/>
      <c r="GO106" s="69">
        <f t="shared" si="954"/>
        <v>184</v>
      </c>
      <c r="GP106" s="69">
        <f t="shared" si="955"/>
        <v>17</v>
      </c>
      <c r="GQ106" s="11">
        <v>153</v>
      </c>
      <c r="GR106" s="12">
        <f t="shared" si="904"/>
        <v>0.85869565217391308</v>
      </c>
      <c r="GS106" s="11">
        <v>5</v>
      </c>
      <c r="GT106" s="12">
        <f t="shared" si="905"/>
        <v>3.1645569620253167E-2</v>
      </c>
      <c r="GU106" s="13"/>
      <c r="GV106" s="11"/>
      <c r="GW106" s="11"/>
      <c r="GX106" s="14"/>
      <c r="GY106" s="10"/>
      <c r="GZ106" s="11"/>
      <c r="HA106" s="69">
        <f t="shared" si="956"/>
        <v>910</v>
      </c>
      <c r="HB106" s="69">
        <f t="shared" si="957"/>
        <v>82</v>
      </c>
      <c r="HC106" s="11">
        <v>691</v>
      </c>
      <c r="HD106" s="12">
        <f t="shared" si="906"/>
        <v>0.78131868131868132</v>
      </c>
      <c r="HE106" s="11">
        <v>20</v>
      </c>
      <c r="HF106" s="12">
        <f t="shared" si="907"/>
        <v>2.8129395218002812E-2</v>
      </c>
      <c r="HG106" s="13"/>
      <c r="HH106" s="11"/>
      <c r="HI106" s="11"/>
      <c r="HJ106" s="14"/>
      <c r="HK106" s="10">
        <f t="shared" si="908"/>
        <v>4</v>
      </c>
      <c r="HL106" s="11">
        <f t="shared" si="909"/>
        <v>1</v>
      </c>
      <c r="HM106" s="11">
        <f t="shared" si="910"/>
        <v>12297</v>
      </c>
      <c r="HN106" s="11">
        <f t="shared" si="911"/>
        <v>1103</v>
      </c>
      <c r="HO106" s="11">
        <f t="shared" si="912"/>
        <v>9363</v>
      </c>
      <c r="HP106" s="95">
        <f t="shared" si="913"/>
        <v>0.7614052207855575</v>
      </c>
      <c r="HQ106" s="15">
        <f t="shared" si="914"/>
        <v>179</v>
      </c>
      <c r="HR106" s="12">
        <f t="shared" si="915"/>
        <v>1.9117804122610275E-2</v>
      </c>
      <c r="HS106" s="16">
        <v>60.2</v>
      </c>
      <c r="HT106" s="17">
        <v>9030</v>
      </c>
      <c r="HU106" s="16">
        <f t="shared" si="916"/>
        <v>96.443447612944567</v>
      </c>
      <c r="HV106" s="15"/>
      <c r="HW106" s="14"/>
      <c r="HX106" s="73">
        <f t="shared" si="917"/>
        <v>0.74549819927971184</v>
      </c>
      <c r="HY106" s="73">
        <f t="shared" si="918"/>
        <v>0.77740662010324935</v>
      </c>
      <c r="HZ106" s="73">
        <f t="shared" si="919"/>
        <v>0.76034544800287873</v>
      </c>
      <c r="IA106" s="73">
        <f t="shared" si="920"/>
        <v>0.76253024541997927</v>
      </c>
    </row>
    <row r="107" spans="1:244" x14ac:dyDescent="0.25">
      <c r="A107" s="374"/>
      <c r="B107" s="41">
        <f t="shared" si="921"/>
        <v>45021</v>
      </c>
      <c r="C107" s="10"/>
      <c r="D107" s="11"/>
      <c r="E107" s="69">
        <f t="shared" si="922"/>
        <v>845</v>
      </c>
      <c r="F107" s="69">
        <f t="shared" si="923"/>
        <v>75</v>
      </c>
      <c r="G107" s="11">
        <v>606</v>
      </c>
      <c r="H107" s="12">
        <f t="shared" si="872"/>
        <v>0.72544378698224854</v>
      </c>
      <c r="I107" s="11">
        <v>7</v>
      </c>
      <c r="J107" s="12">
        <f t="shared" si="873"/>
        <v>1.1419249592169658E-2</v>
      </c>
      <c r="K107" s="11"/>
      <c r="L107" s="11"/>
      <c r="M107" s="18"/>
      <c r="N107" s="20"/>
      <c r="O107" s="10"/>
      <c r="P107" s="11"/>
      <c r="Q107" s="69">
        <f t="shared" si="924"/>
        <v>765</v>
      </c>
      <c r="R107" s="69">
        <f t="shared" si="925"/>
        <v>68</v>
      </c>
      <c r="S107" s="11">
        <v>559</v>
      </c>
      <c r="T107" s="12">
        <f t="shared" si="874"/>
        <v>0.74379084967320264</v>
      </c>
      <c r="U107" s="11">
        <v>10</v>
      </c>
      <c r="V107" s="12">
        <f t="shared" si="875"/>
        <v>1.7574692442882251E-2</v>
      </c>
      <c r="W107" s="11"/>
      <c r="X107" s="11"/>
      <c r="Y107" s="18"/>
      <c r="Z107" s="20"/>
      <c r="AA107" s="10"/>
      <c r="AB107" s="11"/>
      <c r="AC107" s="69">
        <f t="shared" si="926"/>
        <v>179</v>
      </c>
      <c r="AD107" s="69">
        <f t="shared" si="927"/>
        <v>14</v>
      </c>
      <c r="AE107" s="11">
        <v>139</v>
      </c>
      <c r="AF107" s="12">
        <f t="shared" si="876"/>
        <v>0.78212290502793291</v>
      </c>
      <c r="AG107" s="11">
        <v>1</v>
      </c>
      <c r="AH107" s="12">
        <f t="shared" si="877"/>
        <v>7.1428571428571426E-3</v>
      </c>
      <c r="AI107" s="11"/>
      <c r="AJ107" s="11"/>
      <c r="AK107" s="18"/>
      <c r="AL107" s="20"/>
      <c r="AM107" s="10"/>
      <c r="AN107" s="11"/>
      <c r="AO107" s="69">
        <f t="shared" si="928"/>
        <v>775</v>
      </c>
      <c r="AP107" s="69">
        <f t="shared" si="929"/>
        <v>68</v>
      </c>
      <c r="AQ107" s="11">
        <v>564</v>
      </c>
      <c r="AR107" s="12">
        <f t="shared" si="878"/>
        <v>0.73677419354838714</v>
      </c>
      <c r="AS107" s="11">
        <v>7</v>
      </c>
      <c r="AT107" s="12">
        <f t="shared" si="879"/>
        <v>1.2259194395796848E-2</v>
      </c>
      <c r="AU107" s="11"/>
      <c r="AV107" s="11"/>
      <c r="AW107" s="18"/>
      <c r="AX107" s="20"/>
      <c r="AY107" s="10"/>
      <c r="AZ107" s="11"/>
      <c r="BA107" s="69">
        <f t="shared" si="930"/>
        <v>768</v>
      </c>
      <c r="BB107" s="69">
        <f t="shared" si="931"/>
        <v>69</v>
      </c>
      <c r="BC107" s="11">
        <v>574</v>
      </c>
      <c r="BD107" s="12">
        <f t="shared" si="880"/>
        <v>0.76302083333333337</v>
      </c>
      <c r="BE107" s="11">
        <v>12</v>
      </c>
      <c r="BF107" s="12">
        <f t="shared" si="881"/>
        <v>2.0477815699658702E-2</v>
      </c>
      <c r="BG107" s="11"/>
      <c r="BH107" s="11"/>
      <c r="BI107" s="18"/>
      <c r="BJ107" s="20"/>
      <c r="BK107" s="10">
        <v>1</v>
      </c>
      <c r="BL107" s="11"/>
      <c r="BM107" s="69">
        <f t="shared" si="932"/>
        <v>838</v>
      </c>
      <c r="BN107" s="69">
        <f t="shared" si="933"/>
        <v>76</v>
      </c>
      <c r="BO107" s="11">
        <v>614</v>
      </c>
      <c r="BP107" s="12">
        <f t="shared" si="882"/>
        <v>0.73985680190930792</v>
      </c>
      <c r="BQ107" s="11">
        <v>6</v>
      </c>
      <c r="BR107" s="12">
        <f t="shared" si="883"/>
        <v>9.6774193548387101E-3</v>
      </c>
      <c r="BS107" s="11"/>
      <c r="BT107" s="11"/>
      <c r="BU107" s="18"/>
      <c r="BV107" s="20"/>
      <c r="BW107" s="10"/>
      <c r="BX107" s="11"/>
      <c r="BY107" s="69">
        <f t="shared" si="934"/>
        <v>759</v>
      </c>
      <c r="BZ107" s="69">
        <f t="shared" si="935"/>
        <v>68</v>
      </c>
      <c r="CA107" s="11">
        <v>555</v>
      </c>
      <c r="CB107" s="12">
        <f t="shared" si="884"/>
        <v>0.74044795783926221</v>
      </c>
      <c r="CC107" s="11">
        <v>7</v>
      </c>
      <c r="CD107" s="12">
        <f t="shared" si="885"/>
        <v>1.2455516014234875E-2</v>
      </c>
      <c r="CE107" s="11"/>
      <c r="CF107" s="11"/>
      <c r="CG107" s="18"/>
      <c r="CH107" s="20"/>
      <c r="CI107" s="10"/>
      <c r="CJ107" s="11"/>
      <c r="CK107" s="69">
        <f t="shared" si="936"/>
        <v>178</v>
      </c>
      <c r="CL107" s="69">
        <f t="shared" si="937"/>
        <v>15</v>
      </c>
      <c r="CM107" s="11">
        <v>110</v>
      </c>
      <c r="CN107" s="12">
        <f t="shared" si="886"/>
        <v>0.651685393258427</v>
      </c>
      <c r="CO107" s="11">
        <v>6</v>
      </c>
      <c r="CP107" s="12">
        <f t="shared" si="887"/>
        <v>5.1724137931034482E-2</v>
      </c>
      <c r="CQ107" s="11"/>
      <c r="CR107" s="11"/>
      <c r="CS107" s="18"/>
      <c r="CT107" s="20"/>
      <c r="CU107" s="10"/>
      <c r="CV107" s="11"/>
      <c r="CW107" s="69">
        <f t="shared" si="938"/>
        <v>754</v>
      </c>
      <c r="CX107" s="69">
        <f t="shared" si="939"/>
        <v>69</v>
      </c>
      <c r="CY107" s="11">
        <v>556</v>
      </c>
      <c r="CZ107" s="12">
        <f t="shared" si="888"/>
        <v>0.74535809018567645</v>
      </c>
      <c r="DA107" s="11">
        <v>6</v>
      </c>
      <c r="DB107" s="12">
        <f t="shared" si="889"/>
        <v>1.0676156583629894E-2</v>
      </c>
      <c r="DC107" s="11"/>
      <c r="DD107" s="11"/>
      <c r="DE107" s="18"/>
      <c r="DF107" s="20"/>
      <c r="DG107" s="10"/>
      <c r="DH107" s="11"/>
      <c r="DI107" s="69">
        <f t="shared" si="940"/>
        <v>763</v>
      </c>
      <c r="DJ107" s="69">
        <f t="shared" si="941"/>
        <v>70</v>
      </c>
      <c r="DK107" s="11">
        <v>573</v>
      </c>
      <c r="DL107" s="12">
        <f t="shared" si="890"/>
        <v>0.76408912188728706</v>
      </c>
      <c r="DM107" s="11">
        <v>10</v>
      </c>
      <c r="DN107" s="12">
        <f t="shared" si="891"/>
        <v>1.7152658662092625E-2</v>
      </c>
      <c r="DO107" s="11"/>
      <c r="DP107" s="11"/>
      <c r="DQ107" s="18"/>
      <c r="DR107" s="20"/>
      <c r="DS107" s="10"/>
      <c r="DT107" s="11"/>
      <c r="DU107" s="69">
        <f t="shared" si="942"/>
        <v>852</v>
      </c>
      <c r="DV107" s="69">
        <f t="shared" si="943"/>
        <v>77</v>
      </c>
      <c r="DW107" s="11">
        <v>610</v>
      </c>
      <c r="DX107" s="12">
        <f t="shared" si="892"/>
        <v>0.7359154929577465</v>
      </c>
      <c r="DY107" s="11">
        <v>17</v>
      </c>
      <c r="DZ107" s="12">
        <f t="shared" si="893"/>
        <v>2.7113237639553429E-2</v>
      </c>
      <c r="EA107" s="11"/>
      <c r="EB107" s="11"/>
      <c r="EC107" s="18"/>
      <c r="ED107" s="20"/>
      <c r="EE107" s="10">
        <v>1</v>
      </c>
      <c r="EF107" s="11"/>
      <c r="EG107" s="69">
        <f t="shared" si="944"/>
        <v>861</v>
      </c>
      <c r="EH107" s="69">
        <f t="shared" si="945"/>
        <v>78</v>
      </c>
      <c r="EI107" s="11">
        <v>615</v>
      </c>
      <c r="EJ107" s="12">
        <f t="shared" si="894"/>
        <v>0.72822299651567945</v>
      </c>
      <c r="EK107" s="11">
        <v>12</v>
      </c>
      <c r="EL107" s="12">
        <f t="shared" si="895"/>
        <v>1.9138755980861243E-2</v>
      </c>
      <c r="EM107" s="11"/>
      <c r="EN107" s="11"/>
      <c r="EO107" s="18"/>
      <c r="EP107" s="20"/>
      <c r="EQ107" s="10"/>
      <c r="ER107" s="11"/>
      <c r="ES107" s="69">
        <f t="shared" si="946"/>
        <v>199</v>
      </c>
      <c r="ET107" s="69">
        <f t="shared" si="947"/>
        <v>17</v>
      </c>
      <c r="EU107" s="11">
        <v>139</v>
      </c>
      <c r="EV107" s="12">
        <f t="shared" si="896"/>
        <v>0.71356783919597988</v>
      </c>
      <c r="EW107" s="11">
        <v>3</v>
      </c>
      <c r="EX107" s="12">
        <f t="shared" si="897"/>
        <v>2.1126760563380281E-2</v>
      </c>
      <c r="EY107" s="11"/>
      <c r="EZ107" s="11"/>
      <c r="FA107" s="18"/>
      <c r="FB107" s="20"/>
      <c r="FC107" s="10"/>
      <c r="FD107" s="11"/>
      <c r="FE107" s="69">
        <f t="shared" si="948"/>
        <v>866</v>
      </c>
      <c r="FF107" s="69">
        <f t="shared" si="949"/>
        <v>79</v>
      </c>
      <c r="FG107" s="11">
        <v>648</v>
      </c>
      <c r="FH107" s="12">
        <f t="shared" si="898"/>
        <v>0.7575057736720554</v>
      </c>
      <c r="FI107" s="11">
        <v>8</v>
      </c>
      <c r="FJ107" s="12">
        <f t="shared" si="899"/>
        <v>1.2195121951219513E-2</v>
      </c>
      <c r="FK107" s="11"/>
      <c r="FL107" s="11"/>
      <c r="FM107" s="18"/>
      <c r="FN107" s="20"/>
      <c r="FO107" s="10"/>
      <c r="FP107" s="11"/>
      <c r="FQ107" s="69">
        <f t="shared" si="950"/>
        <v>904</v>
      </c>
      <c r="FR107" s="69">
        <f t="shared" si="951"/>
        <v>80</v>
      </c>
      <c r="FS107" s="11">
        <v>606</v>
      </c>
      <c r="FT107" s="12">
        <f t="shared" si="900"/>
        <v>0.68915929203539827</v>
      </c>
      <c r="FU107" s="11">
        <v>17</v>
      </c>
      <c r="FV107" s="12">
        <f t="shared" si="901"/>
        <v>2.7287319422150885E-2</v>
      </c>
      <c r="FW107" s="11"/>
      <c r="FX107" s="11"/>
      <c r="FY107" s="18"/>
      <c r="FZ107" s="20"/>
      <c r="GA107" s="10"/>
      <c r="GB107" s="11"/>
      <c r="GC107" s="69">
        <f t="shared" si="952"/>
        <v>895</v>
      </c>
      <c r="GD107" s="69">
        <f t="shared" si="953"/>
        <v>81</v>
      </c>
      <c r="GE107" s="11">
        <v>601</v>
      </c>
      <c r="GF107" s="12">
        <f t="shared" si="902"/>
        <v>0.68938547486033519</v>
      </c>
      <c r="GG107" s="11">
        <v>16</v>
      </c>
      <c r="GH107" s="12">
        <f t="shared" si="903"/>
        <v>2.5931928687196109E-2</v>
      </c>
      <c r="GI107" s="11"/>
      <c r="GJ107" s="11"/>
      <c r="GK107" s="18"/>
      <c r="GL107" s="20"/>
      <c r="GM107" s="10"/>
      <c r="GN107" s="11"/>
      <c r="GO107" s="69">
        <f t="shared" si="954"/>
        <v>184</v>
      </c>
      <c r="GP107" s="69">
        <f t="shared" si="955"/>
        <v>17</v>
      </c>
      <c r="GQ107" s="11">
        <v>128</v>
      </c>
      <c r="GR107" s="12">
        <f t="shared" si="904"/>
        <v>0.70652173913043481</v>
      </c>
      <c r="GS107" s="11">
        <v>2</v>
      </c>
      <c r="GT107" s="12">
        <f t="shared" si="905"/>
        <v>1.5384615384615385E-2</v>
      </c>
      <c r="GU107" s="11"/>
      <c r="GV107" s="11"/>
      <c r="GW107" s="18"/>
      <c r="GX107" s="20"/>
      <c r="GY107" s="10"/>
      <c r="GZ107" s="11"/>
      <c r="HA107" s="69">
        <f t="shared" si="956"/>
        <v>910</v>
      </c>
      <c r="HB107" s="69">
        <f t="shared" si="957"/>
        <v>82</v>
      </c>
      <c r="HC107" s="11">
        <v>680</v>
      </c>
      <c r="HD107" s="12">
        <f t="shared" si="906"/>
        <v>0.75384615384615383</v>
      </c>
      <c r="HE107" s="11">
        <v>6</v>
      </c>
      <c r="HF107" s="12">
        <f t="shared" si="907"/>
        <v>8.7463556851311956E-3</v>
      </c>
      <c r="HG107" s="11"/>
      <c r="HH107" s="11"/>
      <c r="HI107" s="18"/>
      <c r="HJ107" s="20"/>
      <c r="HK107" s="10">
        <f t="shared" si="908"/>
        <v>2</v>
      </c>
      <c r="HL107" s="11">
        <f t="shared" si="909"/>
        <v>0</v>
      </c>
      <c r="HM107" s="11">
        <f t="shared" si="910"/>
        <v>12295</v>
      </c>
      <c r="HN107" s="11">
        <f t="shared" si="911"/>
        <v>1103</v>
      </c>
      <c r="HO107" s="11">
        <f t="shared" si="912"/>
        <v>9030</v>
      </c>
      <c r="HP107" s="95">
        <f t="shared" si="913"/>
        <v>0.73444489629930865</v>
      </c>
      <c r="HQ107" s="15">
        <f t="shared" si="914"/>
        <v>153</v>
      </c>
      <c r="HR107" s="12">
        <f t="shared" si="915"/>
        <v>1.6943521594684385E-2</v>
      </c>
      <c r="HS107" s="16">
        <v>60.7</v>
      </c>
      <c r="HT107" s="17">
        <v>8705</v>
      </c>
      <c r="HU107" s="16">
        <f t="shared" si="916"/>
        <v>96.400885935769651</v>
      </c>
      <c r="HV107" s="18"/>
      <c r="HW107" s="20"/>
      <c r="HX107" s="73">
        <f t="shared" si="917"/>
        <v>0.74399759903961582</v>
      </c>
      <c r="HY107" s="73">
        <f t="shared" si="918"/>
        <v>0.7421020656136087</v>
      </c>
      <c r="HZ107" s="73">
        <f t="shared" si="919"/>
        <v>0.73866090712742982</v>
      </c>
      <c r="IA107" s="73">
        <f t="shared" si="920"/>
        <v>0.71068095402696163</v>
      </c>
    </row>
    <row r="108" spans="1:244" x14ac:dyDescent="0.25">
      <c r="A108" s="374"/>
      <c r="B108" s="41">
        <f t="shared" si="921"/>
        <v>45022</v>
      </c>
      <c r="C108" s="10">
        <v>1</v>
      </c>
      <c r="D108" s="11"/>
      <c r="E108" s="69">
        <f t="shared" si="922"/>
        <v>844</v>
      </c>
      <c r="F108" s="69">
        <f t="shared" si="923"/>
        <v>75</v>
      </c>
      <c r="G108" s="11">
        <v>629</v>
      </c>
      <c r="H108" s="12">
        <f t="shared" si="872"/>
        <v>0.75236966824644547</v>
      </c>
      <c r="I108" s="11">
        <v>6</v>
      </c>
      <c r="J108" s="12">
        <f t="shared" si="873"/>
        <v>9.4488188976377951E-3</v>
      </c>
      <c r="K108" s="13"/>
      <c r="L108" s="13"/>
      <c r="M108" s="25">
        <v>3960</v>
      </c>
      <c r="N108" s="38">
        <v>4250</v>
      </c>
      <c r="O108" s="10"/>
      <c r="P108" s="11"/>
      <c r="Q108" s="69">
        <f t="shared" si="924"/>
        <v>765</v>
      </c>
      <c r="R108" s="69">
        <f t="shared" si="925"/>
        <v>68</v>
      </c>
      <c r="S108" s="11">
        <v>550</v>
      </c>
      <c r="T108" s="12">
        <f t="shared" si="874"/>
        <v>0.72287581699346404</v>
      </c>
      <c r="U108" s="11">
        <v>3</v>
      </c>
      <c r="V108" s="12">
        <f t="shared" si="875"/>
        <v>5.4249547920433997E-3</v>
      </c>
      <c r="W108" s="13"/>
      <c r="X108" s="13"/>
      <c r="Y108" s="25">
        <v>3960</v>
      </c>
      <c r="Z108" s="38">
        <v>4250</v>
      </c>
      <c r="AA108" s="10">
        <v>1</v>
      </c>
      <c r="AB108" s="11"/>
      <c r="AC108" s="69">
        <f t="shared" si="926"/>
        <v>178</v>
      </c>
      <c r="AD108" s="69">
        <f t="shared" si="927"/>
        <v>14</v>
      </c>
      <c r="AE108" s="11">
        <v>134</v>
      </c>
      <c r="AF108" s="12">
        <f t="shared" si="876"/>
        <v>0.7584269662921348</v>
      </c>
      <c r="AG108" s="11">
        <v>1</v>
      </c>
      <c r="AH108" s="12">
        <f t="shared" si="877"/>
        <v>7.4074074074074077E-3</v>
      </c>
      <c r="AI108" s="13"/>
      <c r="AJ108" s="13"/>
      <c r="AK108" s="25">
        <v>3960</v>
      </c>
      <c r="AL108" s="38">
        <v>4250</v>
      </c>
      <c r="AM108" s="10"/>
      <c r="AN108" s="11"/>
      <c r="AO108" s="69">
        <f t="shared" si="928"/>
        <v>775</v>
      </c>
      <c r="AP108" s="69">
        <f t="shared" si="929"/>
        <v>68</v>
      </c>
      <c r="AQ108" s="11">
        <v>529</v>
      </c>
      <c r="AR108" s="12">
        <f t="shared" si="878"/>
        <v>0.69935483870967741</v>
      </c>
      <c r="AS108" s="11">
        <v>13</v>
      </c>
      <c r="AT108" s="12">
        <f t="shared" si="879"/>
        <v>2.3985239852398525E-2</v>
      </c>
      <c r="AU108" s="13"/>
      <c r="AV108" s="13"/>
      <c r="AW108" s="25">
        <v>3960</v>
      </c>
      <c r="AX108" s="38">
        <v>4250</v>
      </c>
      <c r="AY108" s="10"/>
      <c r="AZ108" s="11"/>
      <c r="BA108" s="69">
        <f t="shared" si="930"/>
        <v>768</v>
      </c>
      <c r="BB108" s="69">
        <f t="shared" si="931"/>
        <v>69</v>
      </c>
      <c r="BC108" s="11">
        <v>577</v>
      </c>
      <c r="BD108" s="12">
        <f t="shared" si="880"/>
        <v>0.77473958333333337</v>
      </c>
      <c r="BE108" s="11">
        <v>18</v>
      </c>
      <c r="BF108" s="12">
        <f t="shared" si="881"/>
        <v>3.0252100840336135E-2</v>
      </c>
      <c r="BG108" s="13"/>
      <c r="BH108" s="13"/>
      <c r="BI108" s="25">
        <v>3960</v>
      </c>
      <c r="BJ108" s="38">
        <v>4250</v>
      </c>
      <c r="BK108" s="10"/>
      <c r="BL108" s="11"/>
      <c r="BM108" s="69">
        <f t="shared" si="932"/>
        <v>838</v>
      </c>
      <c r="BN108" s="69">
        <f t="shared" si="933"/>
        <v>76</v>
      </c>
      <c r="BO108" s="11">
        <v>617</v>
      </c>
      <c r="BP108" s="12">
        <f t="shared" si="882"/>
        <v>0.74940334128878283</v>
      </c>
      <c r="BQ108" s="11">
        <v>11</v>
      </c>
      <c r="BR108" s="12">
        <f t="shared" si="883"/>
        <v>1.751592356687898E-2</v>
      </c>
      <c r="BS108" s="13"/>
      <c r="BT108" s="13"/>
      <c r="BU108" s="25">
        <v>3960</v>
      </c>
      <c r="BV108" s="38">
        <v>4250</v>
      </c>
      <c r="BW108" s="10"/>
      <c r="BX108" s="11"/>
      <c r="BY108" s="69">
        <f t="shared" si="934"/>
        <v>759</v>
      </c>
      <c r="BZ108" s="69">
        <f t="shared" si="935"/>
        <v>68</v>
      </c>
      <c r="CA108" s="11">
        <v>547</v>
      </c>
      <c r="CB108" s="12">
        <f t="shared" si="884"/>
        <v>0.72463768115942029</v>
      </c>
      <c r="CC108" s="11">
        <v>3</v>
      </c>
      <c r="CD108" s="12">
        <f t="shared" si="885"/>
        <v>5.454545454545455E-3</v>
      </c>
      <c r="CE108" s="13"/>
      <c r="CF108" s="13"/>
      <c r="CG108" s="25">
        <v>3960</v>
      </c>
      <c r="CH108" s="38">
        <v>4250</v>
      </c>
      <c r="CI108" s="10"/>
      <c r="CJ108" s="11"/>
      <c r="CK108" s="69">
        <f t="shared" si="936"/>
        <v>178</v>
      </c>
      <c r="CL108" s="69">
        <f t="shared" si="937"/>
        <v>15</v>
      </c>
      <c r="CM108" s="11">
        <v>117</v>
      </c>
      <c r="CN108" s="12">
        <f t="shared" si="886"/>
        <v>0.6629213483146067</v>
      </c>
      <c r="CO108" s="11">
        <v>1</v>
      </c>
      <c r="CP108" s="12">
        <f t="shared" si="887"/>
        <v>8.4745762711864406E-3</v>
      </c>
      <c r="CQ108" s="13"/>
      <c r="CR108" s="13"/>
      <c r="CS108" s="25">
        <v>3960</v>
      </c>
      <c r="CT108" s="38">
        <v>4250</v>
      </c>
      <c r="CU108" s="10"/>
      <c r="CV108" s="11"/>
      <c r="CW108" s="69">
        <f t="shared" si="938"/>
        <v>754</v>
      </c>
      <c r="CX108" s="69">
        <f t="shared" si="939"/>
        <v>69</v>
      </c>
      <c r="CY108" s="11">
        <v>528</v>
      </c>
      <c r="CZ108" s="12">
        <f t="shared" si="888"/>
        <v>0.71352785145888598</v>
      </c>
      <c r="DA108" s="11">
        <v>10</v>
      </c>
      <c r="DB108" s="12">
        <f t="shared" si="889"/>
        <v>1.858736059479554E-2</v>
      </c>
      <c r="DC108" s="13"/>
      <c r="DD108" s="13"/>
      <c r="DE108" s="25">
        <v>3960</v>
      </c>
      <c r="DF108" s="38">
        <v>4250</v>
      </c>
      <c r="DG108" s="10">
        <v>1</v>
      </c>
      <c r="DH108" s="11"/>
      <c r="DI108" s="69">
        <f t="shared" si="940"/>
        <v>762</v>
      </c>
      <c r="DJ108" s="69">
        <f t="shared" si="941"/>
        <v>70</v>
      </c>
      <c r="DK108" s="11">
        <v>570</v>
      </c>
      <c r="DL108" s="12">
        <f t="shared" si="890"/>
        <v>0.77165354330708658</v>
      </c>
      <c r="DM108" s="11">
        <v>18</v>
      </c>
      <c r="DN108" s="12">
        <f t="shared" si="891"/>
        <v>3.0612244897959183E-2</v>
      </c>
      <c r="DO108" s="13"/>
      <c r="DP108" s="13"/>
      <c r="DQ108" s="25">
        <v>3960</v>
      </c>
      <c r="DR108" s="38">
        <v>4250</v>
      </c>
      <c r="DS108" s="10"/>
      <c r="DT108" s="11"/>
      <c r="DU108" s="69">
        <f t="shared" si="942"/>
        <v>852</v>
      </c>
      <c r="DV108" s="69">
        <f t="shared" si="943"/>
        <v>77</v>
      </c>
      <c r="DW108" s="11">
        <v>592</v>
      </c>
      <c r="DX108" s="12">
        <f t="shared" si="892"/>
        <v>0.71478873239436624</v>
      </c>
      <c r="DY108" s="11">
        <v>17</v>
      </c>
      <c r="DZ108" s="12">
        <f t="shared" si="893"/>
        <v>2.7914614121510674E-2</v>
      </c>
      <c r="EA108" s="13"/>
      <c r="EB108" s="13"/>
      <c r="EC108" s="25">
        <v>3960</v>
      </c>
      <c r="ED108" s="38">
        <v>4250</v>
      </c>
      <c r="EE108" s="10"/>
      <c r="EF108" s="11"/>
      <c r="EG108" s="69">
        <f t="shared" si="944"/>
        <v>861</v>
      </c>
      <c r="EH108" s="69">
        <f t="shared" si="945"/>
        <v>78</v>
      </c>
      <c r="EI108" s="11">
        <v>588</v>
      </c>
      <c r="EJ108" s="12">
        <f t="shared" si="894"/>
        <v>0.70267131242740999</v>
      </c>
      <c r="EK108" s="11">
        <v>17</v>
      </c>
      <c r="EL108" s="12">
        <f t="shared" si="895"/>
        <v>2.809917355371901E-2</v>
      </c>
      <c r="EM108" s="13"/>
      <c r="EN108" s="13"/>
      <c r="EO108" s="25">
        <v>3960</v>
      </c>
      <c r="EP108" s="38">
        <v>4250</v>
      </c>
      <c r="EQ108" s="10"/>
      <c r="ER108" s="11"/>
      <c r="ES108" s="69">
        <f t="shared" si="946"/>
        <v>199</v>
      </c>
      <c r="ET108" s="69">
        <f t="shared" si="947"/>
        <v>17</v>
      </c>
      <c r="EU108" s="11">
        <v>144</v>
      </c>
      <c r="EV108" s="12">
        <f t="shared" si="896"/>
        <v>0.75376884422110557</v>
      </c>
      <c r="EW108" s="11">
        <v>6</v>
      </c>
      <c r="EX108" s="12">
        <f t="shared" si="897"/>
        <v>0.04</v>
      </c>
      <c r="EY108" s="13"/>
      <c r="EZ108" s="13"/>
      <c r="FA108" s="25">
        <v>3960</v>
      </c>
      <c r="FB108" s="38">
        <v>4250</v>
      </c>
      <c r="FC108" s="10">
        <v>1</v>
      </c>
      <c r="FD108" s="11"/>
      <c r="FE108" s="69">
        <f t="shared" si="948"/>
        <v>865</v>
      </c>
      <c r="FF108" s="69">
        <f t="shared" si="949"/>
        <v>79</v>
      </c>
      <c r="FG108" s="11">
        <v>607</v>
      </c>
      <c r="FH108" s="12">
        <f t="shared" si="898"/>
        <v>0.707514450867052</v>
      </c>
      <c r="FI108" s="11">
        <v>5</v>
      </c>
      <c r="FJ108" s="12">
        <f t="shared" si="899"/>
        <v>8.1699346405228763E-3</v>
      </c>
      <c r="FK108" s="13"/>
      <c r="FL108" s="13"/>
      <c r="FM108" s="25">
        <v>3960</v>
      </c>
      <c r="FN108" s="38">
        <v>4250</v>
      </c>
      <c r="FO108" s="10"/>
      <c r="FP108" s="11"/>
      <c r="FQ108" s="69">
        <f t="shared" si="950"/>
        <v>904</v>
      </c>
      <c r="FR108" s="69">
        <f t="shared" si="951"/>
        <v>80</v>
      </c>
      <c r="FS108" s="11">
        <v>642</v>
      </c>
      <c r="FT108" s="12">
        <f t="shared" si="900"/>
        <v>0.73451327433628322</v>
      </c>
      <c r="FU108" s="11">
        <v>22</v>
      </c>
      <c r="FV108" s="12">
        <f t="shared" si="901"/>
        <v>3.313253012048193E-2</v>
      </c>
      <c r="FW108" s="13"/>
      <c r="FX108" s="13"/>
      <c r="FY108" s="25">
        <v>3960</v>
      </c>
      <c r="FZ108" s="38">
        <v>4250</v>
      </c>
      <c r="GA108" s="10"/>
      <c r="GB108" s="11"/>
      <c r="GC108" s="69">
        <f t="shared" si="952"/>
        <v>895</v>
      </c>
      <c r="GD108" s="69">
        <f t="shared" si="953"/>
        <v>81</v>
      </c>
      <c r="GE108" s="11">
        <v>636</v>
      </c>
      <c r="GF108" s="12">
        <f t="shared" si="902"/>
        <v>0.7240223463687151</v>
      </c>
      <c r="GG108" s="11">
        <v>12</v>
      </c>
      <c r="GH108" s="12">
        <f t="shared" si="903"/>
        <v>1.8518518518518517E-2</v>
      </c>
      <c r="GI108" s="13"/>
      <c r="GJ108" s="13"/>
      <c r="GK108" s="25">
        <v>3960</v>
      </c>
      <c r="GL108" s="38">
        <v>4250</v>
      </c>
      <c r="GM108" s="10">
        <v>1</v>
      </c>
      <c r="GN108" s="11"/>
      <c r="GO108" s="69">
        <f t="shared" si="954"/>
        <v>183</v>
      </c>
      <c r="GP108" s="69">
        <f t="shared" si="955"/>
        <v>17</v>
      </c>
      <c r="GQ108" s="11">
        <v>137</v>
      </c>
      <c r="GR108" s="12">
        <f t="shared" si="904"/>
        <v>0.76502732240437155</v>
      </c>
      <c r="GS108" s="11">
        <v>3</v>
      </c>
      <c r="GT108" s="12">
        <f t="shared" si="905"/>
        <v>2.1428571428571429E-2</v>
      </c>
      <c r="GU108" s="13"/>
      <c r="GV108" s="13"/>
      <c r="GW108" s="25">
        <v>3960</v>
      </c>
      <c r="GX108" s="38">
        <v>4250</v>
      </c>
      <c r="GY108" s="10">
        <v>1</v>
      </c>
      <c r="GZ108" s="11"/>
      <c r="HA108" s="69">
        <f t="shared" si="956"/>
        <v>909</v>
      </c>
      <c r="HB108" s="69">
        <f t="shared" si="957"/>
        <v>82</v>
      </c>
      <c r="HC108" s="11">
        <v>653</v>
      </c>
      <c r="HD108" s="12">
        <f t="shared" si="906"/>
        <v>0.73377337733773373</v>
      </c>
      <c r="HE108" s="11">
        <v>14</v>
      </c>
      <c r="HF108" s="12">
        <f t="shared" si="907"/>
        <v>2.0989505247376312E-2</v>
      </c>
      <c r="HG108" s="13"/>
      <c r="HH108" s="13"/>
      <c r="HI108" s="25">
        <v>3960</v>
      </c>
      <c r="HJ108" s="38">
        <v>4250</v>
      </c>
      <c r="HK108" s="10">
        <f t="shared" si="908"/>
        <v>6</v>
      </c>
      <c r="HL108" s="11">
        <f t="shared" si="909"/>
        <v>0</v>
      </c>
      <c r="HM108" s="11">
        <f t="shared" si="910"/>
        <v>12289</v>
      </c>
      <c r="HN108" s="11">
        <f t="shared" si="911"/>
        <v>1103</v>
      </c>
      <c r="HO108" s="11">
        <f t="shared" si="912"/>
        <v>8977</v>
      </c>
      <c r="HP108" s="95">
        <f t="shared" si="913"/>
        <v>0.73049068272438766</v>
      </c>
      <c r="HQ108" s="15">
        <f t="shared" si="914"/>
        <v>180</v>
      </c>
      <c r="HR108" s="12">
        <f t="shared" si="915"/>
        <v>2.0051242063050017E-2</v>
      </c>
      <c r="HS108" s="16">
        <v>60.8</v>
      </c>
      <c r="HT108" s="17">
        <v>8617</v>
      </c>
      <c r="HU108" s="16">
        <f t="shared" si="916"/>
        <v>95.989751587389989</v>
      </c>
      <c r="HV108" s="23">
        <v>3960</v>
      </c>
      <c r="HW108" s="22">
        <v>4250</v>
      </c>
      <c r="HX108" s="73">
        <f t="shared" si="917"/>
        <v>0.73873873873873874</v>
      </c>
      <c r="HY108" s="73">
        <f t="shared" si="918"/>
        <v>0.7359465208143422</v>
      </c>
      <c r="HZ108" s="73">
        <f t="shared" si="919"/>
        <v>0.7115592365862442</v>
      </c>
      <c r="IA108" s="73">
        <f t="shared" si="920"/>
        <v>0.73296437218955379</v>
      </c>
    </row>
    <row r="109" spans="1:244" x14ac:dyDescent="0.25">
      <c r="A109" s="374"/>
      <c r="B109" s="41">
        <f t="shared" si="921"/>
        <v>45023</v>
      </c>
      <c r="C109" s="10"/>
      <c r="D109" s="11"/>
      <c r="E109" s="69">
        <f t="shared" si="922"/>
        <v>844</v>
      </c>
      <c r="F109" s="69">
        <f t="shared" si="923"/>
        <v>75</v>
      </c>
      <c r="G109" s="11">
        <v>627</v>
      </c>
      <c r="H109" s="12">
        <f t="shared" si="872"/>
        <v>0.75947867298578198</v>
      </c>
      <c r="I109" s="11">
        <v>14</v>
      </c>
      <c r="J109" s="12">
        <f t="shared" si="873"/>
        <v>2.1840873634945399E-2</v>
      </c>
      <c r="K109" s="13"/>
      <c r="L109" s="11"/>
      <c r="M109" s="25">
        <v>4543.0952380952385</v>
      </c>
      <c r="N109" s="38">
        <v>4361.875</v>
      </c>
      <c r="O109" s="10"/>
      <c r="P109" s="11"/>
      <c r="Q109" s="69">
        <f t="shared" si="924"/>
        <v>765</v>
      </c>
      <c r="R109" s="69">
        <f t="shared" si="925"/>
        <v>68</v>
      </c>
      <c r="S109" s="11">
        <v>568</v>
      </c>
      <c r="T109" s="12">
        <f t="shared" si="874"/>
        <v>0.74901960784313726</v>
      </c>
      <c r="U109" s="11">
        <v>5</v>
      </c>
      <c r="V109" s="12">
        <f t="shared" si="875"/>
        <v>8.7260034904013961E-3</v>
      </c>
      <c r="W109" s="13"/>
      <c r="X109" s="11"/>
      <c r="Y109" s="25">
        <v>4628.2051282051279</v>
      </c>
      <c r="Z109" s="38">
        <v>4586.666666666667</v>
      </c>
      <c r="AA109" s="10"/>
      <c r="AB109" s="11"/>
      <c r="AC109" s="69">
        <f t="shared" si="926"/>
        <v>178</v>
      </c>
      <c r="AD109" s="69">
        <f t="shared" si="927"/>
        <v>14</v>
      </c>
      <c r="AE109" s="11">
        <v>119</v>
      </c>
      <c r="AF109" s="12">
        <f t="shared" si="876"/>
        <v>0.6741573033707865</v>
      </c>
      <c r="AG109" s="11">
        <v>1</v>
      </c>
      <c r="AH109" s="12">
        <f t="shared" si="877"/>
        <v>8.3333333333333332E-3</v>
      </c>
      <c r="AI109" s="13"/>
      <c r="AJ109" s="11"/>
      <c r="AK109" s="25">
        <v>4835</v>
      </c>
      <c r="AL109" s="38">
        <v>4478</v>
      </c>
      <c r="AM109" s="10"/>
      <c r="AN109" s="11"/>
      <c r="AO109" s="69">
        <f t="shared" si="928"/>
        <v>775</v>
      </c>
      <c r="AP109" s="69">
        <f t="shared" si="929"/>
        <v>68</v>
      </c>
      <c r="AQ109" s="11">
        <v>556</v>
      </c>
      <c r="AR109" s="12">
        <f t="shared" si="878"/>
        <v>0.7264516129032258</v>
      </c>
      <c r="AS109" s="11">
        <v>7</v>
      </c>
      <c r="AT109" s="12">
        <f t="shared" si="879"/>
        <v>1.2433392539964476E-2</v>
      </c>
      <c r="AU109" s="13"/>
      <c r="AV109" s="11"/>
      <c r="AW109" s="25">
        <v>4543.1428571428569</v>
      </c>
      <c r="AX109" s="38">
        <v>4673.333333333333</v>
      </c>
      <c r="AY109" s="10"/>
      <c r="AZ109" s="11"/>
      <c r="BA109" s="69">
        <f t="shared" si="930"/>
        <v>768</v>
      </c>
      <c r="BB109" s="69">
        <f t="shared" si="931"/>
        <v>69</v>
      </c>
      <c r="BC109" s="11">
        <v>576</v>
      </c>
      <c r="BD109" s="12">
        <f t="shared" si="880"/>
        <v>0.76692708333333337</v>
      </c>
      <c r="BE109" s="11">
        <v>13</v>
      </c>
      <c r="BF109" s="12">
        <f t="shared" si="881"/>
        <v>2.2071307300509338E-2</v>
      </c>
      <c r="BG109" s="13"/>
      <c r="BH109" s="11"/>
      <c r="BI109" s="25">
        <v>4705.9375</v>
      </c>
      <c r="BJ109" s="38">
        <v>4833.0769230769229</v>
      </c>
      <c r="BK109" s="10">
        <v>1</v>
      </c>
      <c r="BL109" s="11"/>
      <c r="BM109" s="69">
        <f t="shared" si="932"/>
        <v>837</v>
      </c>
      <c r="BN109" s="69">
        <f t="shared" si="933"/>
        <v>76</v>
      </c>
      <c r="BO109" s="11">
        <v>627</v>
      </c>
      <c r="BP109" s="12">
        <f t="shared" si="882"/>
        <v>0.76941457586618878</v>
      </c>
      <c r="BQ109" s="11">
        <v>17</v>
      </c>
      <c r="BR109" s="12">
        <f t="shared" si="883"/>
        <v>2.6397515527950312E-2</v>
      </c>
      <c r="BS109" s="13"/>
      <c r="BT109" s="11"/>
      <c r="BU109" s="25">
        <v>4284.166666666667</v>
      </c>
      <c r="BV109" s="38">
        <v>4330</v>
      </c>
      <c r="BW109" s="10"/>
      <c r="BX109" s="11"/>
      <c r="BY109" s="69">
        <f t="shared" si="934"/>
        <v>759</v>
      </c>
      <c r="BZ109" s="69">
        <f t="shared" si="935"/>
        <v>68</v>
      </c>
      <c r="CA109" s="11">
        <v>550</v>
      </c>
      <c r="CB109" s="12">
        <f t="shared" si="884"/>
        <v>0.73386034255599475</v>
      </c>
      <c r="CC109" s="11">
        <v>7</v>
      </c>
      <c r="CD109" s="12">
        <f t="shared" si="885"/>
        <v>1.2567324955116697E-2</v>
      </c>
      <c r="CE109" s="13"/>
      <c r="CF109" s="11"/>
      <c r="CG109" s="25">
        <v>4626.4285714285716</v>
      </c>
      <c r="CH109" s="38">
        <v>4462.424242424242</v>
      </c>
      <c r="CI109" s="10">
        <v>1</v>
      </c>
      <c r="CJ109" s="11"/>
      <c r="CK109" s="69">
        <f t="shared" si="936"/>
        <v>177</v>
      </c>
      <c r="CL109" s="69">
        <f t="shared" si="937"/>
        <v>15</v>
      </c>
      <c r="CM109" s="11">
        <v>135</v>
      </c>
      <c r="CN109" s="12">
        <f t="shared" si="886"/>
        <v>0.76836158192090398</v>
      </c>
      <c r="CO109" s="11">
        <v>1</v>
      </c>
      <c r="CP109" s="12">
        <f t="shared" si="887"/>
        <v>7.3529411764705881E-3</v>
      </c>
      <c r="CQ109" s="13"/>
      <c r="CR109" s="11"/>
      <c r="CS109" s="25">
        <v>4242</v>
      </c>
      <c r="CT109" s="38">
        <v>4634.4444444444443</v>
      </c>
      <c r="CU109" s="10"/>
      <c r="CV109" s="11"/>
      <c r="CW109" s="69">
        <f t="shared" si="938"/>
        <v>754</v>
      </c>
      <c r="CX109" s="69">
        <f t="shared" si="939"/>
        <v>69</v>
      </c>
      <c r="CY109" s="11">
        <v>568</v>
      </c>
      <c r="CZ109" s="12">
        <f t="shared" si="888"/>
        <v>0.76923076923076927</v>
      </c>
      <c r="DA109" s="11">
        <v>12</v>
      </c>
      <c r="DB109" s="12">
        <f t="shared" si="889"/>
        <v>2.0689655172413793E-2</v>
      </c>
      <c r="DC109" s="13"/>
      <c r="DD109" s="11"/>
      <c r="DE109" s="25">
        <v>4781.4285714285716</v>
      </c>
      <c r="DF109" s="38">
        <v>4540</v>
      </c>
      <c r="DG109" s="10"/>
      <c r="DH109" s="11"/>
      <c r="DI109" s="69">
        <f t="shared" si="940"/>
        <v>762</v>
      </c>
      <c r="DJ109" s="69">
        <f t="shared" si="941"/>
        <v>70</v>
      </c>
      <c r="DK109" s="11">
        <v>578</v>
      </c>
      <c r="DL109" s="12">
        <f t="shared" si="890"/>
        <v>0.7703412073490814</v>
      </c>
      <c r="DM109" s="11">
        <v>9</v>
      </c>
      <c r="DN109" s="12">
        <f t="shared" si="891"/>
        <v>1.5332197614991482E-2</v>
      </c>
      <c r="DO109" s="13"/>
      <c r="DP109" s="11"/>
      <c r="DQ109" s="25">
        <v>4899.090909090909</v>
      </c>
      <c r="DR109" s="38">
        <v>4636.75</v>
      </c>
      <c r="DS109" s="10">
        <v>2</v>
      </c>
      <c r="DT109" s="11"/>
      <c r="DU109" s="69">
        <f t="shared" si="942"/>
        <v>850</v>
      </c>
      <c r="DV109" s="69">
        <f t="shared" si="943"/>
        <v>77</v>
      </c>
      <c r="DW109" s="11">
        <v>624</v>
      </c>
      <c r="DX109" s="12">
        <f t="shared" si="892"/>
        <v>0.74823529411764711</v>
      </c>
      <c r="DY109" s="11">
        <v>12</v>
      </c>
      <c r="DZ109" s="12">
        <f t="shared" si="893"/>
        <v>1.8867924528301886E-2</v>
      </c>
      <c r="EA109" s="13"/>
      <c r="EB109" s="11"/>
      <c r="EC109" s="25">
        <v>4527.1111111111113</v>
      </c>
      <c r="ED109" s="38">
        <v>4341.666666666667</v>
      </c>
      <c r="EE109" s="10"/>
      <c r="EF109" s="11"/>
      <c r="EG109" s="69">
        <f t="shared" si="944"/>
        <v>861</v>
      </c>
      <c r="EH109" s="69">
        <f t="shared" si="945"/>
        <v>78</v>
      </c>
      <c r="EI109" s="11">
        <v>612</v>
      </c>
      <c r="EJ109" s="12">
        <f t="shared" si="894"/>
        <v>0.73170731707317072</v>
      </c>
      <c r="EK109" s="11">
        <v>18</v>
      </c>
      <c r="EL109" s="12">
        <f t="shared" si="895"/>
        <v>2.8571428571428571E-2</v>
      </c>
      <c r="EM109" s="13"/>
      <c r="EN109" s="11"/>
      <c r="EO109" s="25">
        <v>4587.9069767441861</v>
      </c>
      <c r="EP109" s="38">
        <v>4601.875</v>
      </c>
      <c r="EQ109" s="10">
        <v>1</v>
      </c>
      <c r="ER109" s="11"/>
      <c r="ES109" s="69">
        <f t="shared" si="946"/>
        <v>198</v>
      </c>
      <c r="ET109" s="69">
        <f t="shared" si="947"/>
        <v>17</v>
      </c>
      <c r="EU109" s="11">
        <v>140</v>
      </c>
      <c r="EV109" s="12">
        <f t="shared" si="896"/>
        <v>0.72727272727272729</v>
      </c>
      <c r="EW109" s="11">
        <v>4</v>
      </c>
      <c r="EX109" s="12">
        <f t="shared" si="897"/>
        <v>2.7777777777777776E-2</v>
      </c>
      <c r="EY109" s="13"/>
      <c r="EZ109" s="11"/>
      <c r="FA109" s="25">
        <v>4522.1428571428569</v>
      </c>
      <c r="FB109" s="38">
        <v>4357.5</v>
      </c>
      <c r="FC109" s="10"/>
      <c r="FD109" s="11"/>
      <c r="FE109" s="69">
        <f t="shared" si="948"/>
        <v>865</v>
      </c>
      <c r="FF109" s="69">
        <f t="shared" si="949"/>
        <v>79</v>
      </c>
      <c r="FG109" s="11">
        <v>652</v>
      </c>
      <c r="FH109" s="12">
        <f t="shared" si="898"/>
        <v>0.76531791907514446</v>
      </c>
      <c r="FI109" s="11">
        <v>10</v>
      </c>
      <c r="FJ109" s="12">
        <f t="shared" si="899"/>
        <v>1.5105740181268883E-2</v>
      </c>
      <c r="FK109" s="13"/>
      <c r="FL109" s="11"/>
      <c r="FM109" s="25">
        <v>4414.2222222222226</v>
      </c>
      <c r="FN109" s="38">
        <v>4737.5</v>
      </c>
      <c r="FO109" s="10"/>
      <c r="FP109" s="11"/>
      <c r="FQ109" s="69">
        <f t="shared" si="950"/>
        <v>904</v>
      </c>
      <c r="FR109" s="69">
        <f t="shared" si="951"/>
        <v>80</v>
      </c>
      <c r="FS109" s="11">
        <v>631</v>
      </c>
      <c r="FT109" s="12">
        <f t="shared" si="900"/>
        <v>0.71017699115044253</v>
      </c>
      <c r="FU109" s="11">
        <v>11</v>
      </c>
      <c r="FV109" s="12">
        <f t="shared" si="901"/>
        <v>1.7133956386292833E-2</v>
      </c>
      <c r="FW109" s="13"/>
      <c r="FX109" s="11"/>
      <c r="FY109" s="25">
        <v>4569.5555555555557</v>
      </c>
      <c r="FZ109" s="38">
        <v>4376.4285714285716</v>
      </c>
      <c r="GA109" s="10"/>
      <c r="GB109" s="11"/>
      <c r="GC109" s="69">
        <f t="shared" si="952"/>
        <v>895</v>
      </c>
      <c r="GD109" s="69">
        <f t="shared" si="953"/>
        <v>81</v>
      </c>
      <c r="GE109" s="11">
        <v>653</v>
      </c>
      <c r="GF109" s="12">
        <f t="shared" si="902"/>
        <v>0.7441340782122905</v>
      </c>
      <c r="GG109" s="11">
        <v>13</v>
      </c>
      <c r="GH109" s="12">
        <f t="shared" si="903"/>
        <v>1.951951951951952E-2</v>
      </c>
      <c r="GI109" s="13"/>
      <c r="GJ109" s="11"/>
      <c r="GK109" s="25">
        <v>4389.130434782609</v>
      </c>
      <c r="GL109" s="38">
        <v>4555</v>
      </c>
      <c r="GM109" s="10"/>
      <c r="GN109" s="11"/>
      <c r="GO109" s="69">
        <f t="shared" si="954"/>
        <v>183</v>
      </c>
      <c r="GP109" s="69">
        <f t="shared" si="955"/>
        <v>17</v>
      </c>
      <c r="GQ109" s="11">
        <v>142</v>
      </c>
      <c r="GR109" s="12">
        <f t="shared" si="904"/>
        <v>0.77595628415300544</v>
      </c>
      <c r="GS109" s="11">
        <v>0</v>
      </c>
      <c r="GT109" s="12">
        <f t="shared" si="905"/>
        <v>0</v>
      </c>
      <c r="GU109" s="13"/>
      <c r="GV109" s="11"/>
      <c r="GW109" s="25">
        <v>4343.5714285714284</v>
      </c>
      <c r="GX109" s="38">
        <v>4130</v>
      </c>
      <c r="GY109" s="10"/>
      <c r="GZ109" s="11"/>
      <c r="HA109" s="69">
        <f t="shared" si="956"/>
        <v>909</v>
      </c>
      <c r="HB109" s="69">
        <f t="shared" si="957"/>
        <v>82</v>
      </c>
      <c r="HC109" s="11">
        <v>658</v>
      </c>
      <c r="HD109" s="12">
        <f t="shared" si="906"/>
        <v>0.73377337733773373</v>
      </c>
      <c r="HE109" s="11">
        <v>9</v>
      </c>
      <c r="HF109" s="12">
        <f t="shared" si="907"/>
        <v>1.3493253373313344E-2</v>
      </c>
      <c r="HG109" s="13"/>
      <c r="HH109" s="11"/>
      <c r="HI109" s="25">
        <v>4603.695652173913</v>
      </c>
      <c r="HJ109" s="38">
        <v>4880.588235294118</v>
      </c>
      <c r="HK109" s="10">
        <f t="shared" si="908"/>
        <v>5</v>
      </c>
      <c r="HL109" s="11">
        <f t="shared" si="909"/>
        <v>0</v>
      </c>
      <c r="HM109" s="11">
        <f t="shared" si="910"/>
        <v>12284</v>
      </c>
      <c r="HN109" s="11">
        <f t="shared" si="911"/>
        <v>1103</v>
      </c>
      <c r="HO109" s="11">
        <f t="shared" si="912"/>
        <v>9179</v>
      </c>
      <c r="HP109" s="95">
        <f t="shared" si="913"/>
        <v>0.74723217193096714</v>
      </c>
      <c r="HQ109" s="15">
        <f t="shared" si="914"/>
        <v>163</v>
      </c>
      <c r="HR109" s="12">
        <f t="shared" si="915"/>
        <v>1.7757925699967318E-2</v>
      </c>
      <c r="HS109" s="16">
        <v>60.8</v>
      </c>
      <c r="HT109" s="17">
        <v>8819</v>
      </c>
      <c r="HU109" s="16">
        <f t="shared" si="916"/>
        <v>96.078004139884527</v>
      </c>
      <c r="HV109" s="23">
        <v>4551.8359375</v>
      </c>
      <c r="HW109" s="22">
        <v>4542.2468354430375</v>
      </c>
      <c r="HX109" s="73">
        <f t="shared" si="917"/>
        <v>0.74654654654654651</v>
      </c>
      <c r="HY109" s="73">
        <f t="shared" si="918"/>
        <v>0.76132563089084826</v>
      </c>
      <c r="HZ109" s="73">
        <f t="shared" si="919"/>
        <v>0.74693583273251618</v>
      </c>
      <c r="IA109" s="73">
        <f t="shared" si="920"/>
        <v>0.73227257004496715</v>
      </c>
    </row>
    <row r="110" spans="1:244" x14ac:dyDescent="0.25">
      <c r="A110" s="374"/>
      <c r="B110" s="41">
        <f t="shared" si="921"/>
        <v>45024</v>
      </c>
      <c r="C110" s="10"/>
      <c r="D110" s="11"/>
      <c r="E110" s="69">
        <f t="shared" si="922"/>
        <v>844</v>
      </c>
      <c r="F110" s="69">
        <f t="shared" si="923"/>
        <v>75</v>
      </c>
      <c r="G110" s="11">
        <v>644</v>
      </c>
      <c r="H110" s="12">
        <f t="shared" si="872"/>
        <v>0.773696682464455</v>
      </c>
      <c r="I110" s="11">
        <v>9</v>
      </c>
      <c r="J110" s="12">
        <f t="shared" si="873"/>
        <v>1.3782542113323124E-2</v>
      </c>
      <c r="K110" s="13"/>
      <c r="L110" s="11"/>
      <c r="M110" s="39">
        <v>97.61904761904762</v>
      </c>
      <c r="N110" s="43">
        <v>100</v>
      </c>
      <c r="O110" s="10"/>
      <c r="P110" s="11"/>
      <c r="Q110" s="69">
        <f t="shared" si="924"/>
        <v>765</v>
      </c>
      <c r="R110" s="69">
        <f t="shared" si="925"/>
        <v>68</v>
      </c>
      <c r="S110" s="11">
        <v>535</v>
      </c>
      <c r="T110" s="12">
        <f t="shared" si="874"/>
        <v>0.71633986928104576</v>
      </c>
      <c r="U110" s="11">
        <v>13</v>
      </c>
      <c r="V110" s="12">
        <f t="shared" si="875"/>
        <v>2.3722627737226276E-2</v>
      </c>
      <c r="W110" s="13"/>
      <c r="X110" s="11"/>
      <c r="Y110" s="39">
        <v>84.615384615384613</v>
      </c>
      <c r="Z110" s="43">
        <v>100</v>
      </c>
      <c r="AA110" s="10"/>
      <c r="AB110" s="11"/>
      <c r="AC110" s="69">
        <f t="shared" si="926"/>
        <v>178</v>
      </c>
      <c r="AD110" s="69">
        <f t="shared" si="927"/>
        <v>14</v>
      </c>
      <c r="AE110" s="11">
        <v>147</v>
      </c>
      <c r="AF110" s="12">
        <f t="shared" si="876"/>
        <v>0.8314606741573034</v>
      </c>
      <c r="AG110" s="11">
        <v>1</v>
      </c>
      <c r="AH110" s="12">
        <f t="shared" si="877"/>
        <v>6.7567567567567571E-3</v>
      </c>
      <c r="AI110" s="13"/>
      <c r="AJ110" s="11"/>
      <c r="AK110" s="39">
        <v>100</v>
      </c>
      <c r="AL110" s="43">
        <v>100</v>
      </c>
      <c r="AM110" s="10"/>
      <c r="AN110" s="11"/>
      <c r="AO110" s="69">
        <f t="shared" si="928"/>
        <v>775</v>
      </c>
      <c r="AP110" s="69">
        <f t="shared" si="929"/>
        <v>68</v>
      </c>
      <c r="AQ110" s="11">
        <v>591</v>
      </c>
      <c r="AR110" s="12">
        <f t="shared" si="878"/>
        <v>0.76903225806451614</v>
      </c>
      <c r="AS110" s="11">
        <v>5</v>
      </c>
      <c r="AT110" s="12">
        <f t="shared" si="879"/>
        <v>8.389261744966443E-3</v>
      </c>
      <c r="AU110" s="13"/>
      <c r="AV110" s="11"/>
      <c r="AW110" s="39">
        <v>91.428571428571431</v>
      </c>
      <c r="AX110" s="43">
        <v>100</v>
      </c>
      <c r="AY110" s="10">
        <v>1</v>
      </c>
      <c r="AZ110" s="11"/>
      <c r="BA110" s="69">
        <f t="shared" si="930"/>
        <v>767</v>
      </c>
      <c r="BB110" s="69">
        <f t="shared" si="931"/>
        <v>69</v>
      </c>
      <c r="BC110" s="11">
        <v>558</v>
      </c>
      <c r="BD110" s="12">
        <f t="shared" si="880"/>
        <v>0.74054758800521514</v>
      </c>
      <c r="BE110" s="11">
        <v>10</v>
      </c>
      <c r="BF110" s="12">
        <f t="shared" si="881"/>
        <v>1.7605633802816902E-2</v>
      </c>
      <c r="BG110" s="13"/>
      <c r="BH110" s="11"/>
      <c r="BI110" s="39">
        <v>93.75</v>
      </c>
      <c r="BJ110" s="43">
        <v>100</v>
      </c>
      <c r="BK110" s="10">
        <v>1</v>
      </c>
      <c r="BL110" s="11"/>
      <c r="BM110" s="69">
        <f t="shared" si="932"/>
        <v>836</v>
      </c>
      <c r="BN110" s="69">
        <f t="shared" si="933"/>
        <v>76</v>
      </c>
      <c r="BO110" s="11">
        <v>619</v>
      </c>
      <c r="BP110" s="12">
        <f t="shared" si="882"/>
        <v>0.75956937799043067</v>
      </c>
      <c r="BQ110" s="11">
        <v>16</v>
      </c>
      <c r="BR110" s="12">
        <f t="shared" si="883"/>
        <v>2.5196850393700787E-2</v>
      </c>
      <c r="BS110" s="13"/>
      <c r="BT110" s="11"/>
      <c r="BU110" s="39">
        <v>100</v>
      </c>
      <c r="BV110" s="43">
        <v>100</v>
      </c>
      <c r="BW110" s="10"/>
      <c r="BX110" s="11"/>
      <c r="BY110" s="69">
        <f t="shared" si="934"/>
        <v>759</v>
      </c>
      <c r="BZ110" s="69">
        <f t="shared" si="935"/>
        <v>68</v>
      </c>
      <c r="CA110" s="11">
        <v>563</v>
      </c>
      <c r="CB110" s="12">
        <f t="shared" si="884"/>
        <v>0.74967061923583667</v>
      </c>
      <c r="CC110" s="11">
        <v>6</v>
      </c>
      <c r="CD110" s="12">
        <f t="shared" si="885"/>
        <v>1.054481546572935E-2</v>
      </c>
      <c r="CE110" s="13"/>
      <c r="CF110" s="11"/>
      <c r="CG110" s="39">
        <v>100</v>
      </c>
      <c r="CH110" s="43">
        <v>93.939393939393938</v>
      </c>
      <c r="CI110" s="10"/>
      <c r="CJ110" s="11"/>
      <c r="CK110" s="69">
        <f t="shared" si="936"/>
        <v>177</v>
      </c>
      <c r="CL110" s="69">
        <f t="shared" si="937"/>
        <v>15</v>
      </c>
      <c r="CM110" s="11">
        <v>117</v>
      </c>
      <c r="CN110" s="12">
        <f t="shared" si="886"/>
        <v>0.66101694915254239</v>
      </c>
      <c r="CO110" s="11"/>
      <c r="CP110" s="12">
        <f t="shared" si="887"/>
        <v>0</v>
      </c>
      <c r="CQ110" s="13"/>
      <c r="CR110" s="11"/>
      <c r="CS110" s="39">
        <v>100</v>
      </c>
      <c r="CT110" s="43">
        <v>100</v>
      </c>
      <c r="CU110" s="10"/>
      <c r="CV110" s="11"/>
      <c r="CW110" s="69">
        <f t="shared" si="938"/>
        <v>754</v>
      </c>
      <c r="CX110" s="69">
        <f t="shared" si="939"/>
        <v>69</v>
      </c>
      <c r="CY110" s="11">
        <v>522</v>
      </c>
      <c r="CZ110" s="12">
        <f t="shared" si="888"/>
        <v>0.70026525198938994</v>
      </c>
      <c r="DA110" s="11">
        <v>6</v>
      </c>
      <c r="DB110" s="12">
        <f t="shared" si="889"/>
        <v>1.1363636363636364E-2</v>
      </c>
      <c r="DC110" s="13"/>
      <c r="DD110" s="11"/>
      <c r="DE110" s="39">
        <v>100</v>
      </c>
      <c r="DF110" s="43">
        <v>100</v>
      </c>
      <c r="DG110" s="10"/>
      <c r="DH110" s="11"/>
      <c r="DI110" s="69">
        <f t="shared" si="940"/>
        <v>762</v>
      </c>
      <c r="DJ110" s="69">
        <f t="shared" si="941"/>
        <v>70</v>
      </c>
      <c r="DK110" s="11">
        <v>540</v>
      </c>
      <c r="DL110" s="12">
        <f t="shared" si="890"/>
        <v>0.71784776902887137</v>
      </c>
      <c r="DM110" s="11">
        <v>7</v>
      </c>
      <c r="DN110" s="12">
        <f t="shared" si="891"/>
        <v>1.2797074954296161E-2</v>
      </c>
      <c r="DO110" s="13"/>
      <c r="DP110" s="11"/>
      <c r="DQ110" s="39">
        <v>100</v>
      </c>
      <c r="DR110" s="43">
        <v>82.5</v>
      </c>
      <c r="DS110" s="10"/>
      <c r="DT110" s="11"/>
      <c r="DU110" s="69">
        <f t="shared" si="942"/>
        <v>850</v>
      </c>
      <c r="DV110" s="69">
        <f t="shared" si="943"/>
        <v>77</v>
      </c>
      <c r="DW110" s="11">
        <v>628</v>
      </c>
      <c r="DX110" s="12">
        <f t="shared" si="892"/>
        <v>0.75294117647058822</v>
      </c>
      <c r="DY110" s="11">
        <v>12</v>
      </c>
      <c r="DZ110" s="12">
        <f t="shared" si="893"/>
        <v>1.8749999999999999E-2</v>
      </c>
      <c r="EA110" s="13"/>
      <c r="EB110" s="11"/>
      <c r="EC110" s="39">
        <v>84.444444444444443</v>
      </c>
      <c r="ED110" s="43">
        <v>100</v>
      </c>
      <c r="EE110" s="10"/>
      <c r="EF110" s="11"/>
      <c r="EG110" s="69">
        <f t="shared" si="944"/>
        <v>861</v>
      </c>
      <c r="EH110" s="69">
        <f t="shared" si="945"/>
        <v>78</v>
      </c>
      <c r="EI110" s="11">
        <v>639</v>
      </c>
      <c r="EJ110" s="12">
        <f t="shared" si="894"/>
        <v>0.75609756097560976</v>
      </c>
      <c r="EK110" s="11">
        <v>12</v>
      </c>
      <c r="EL110" s="12">
        <f t="shared" si="895"/>
        <v>1.8433179723502304E-2</v>
      </c>
      <c r="EM110" s="13"/>
      <c r="EN110" s="11"/>
      <c r="EO110" s="39">
        <v>88.372093023255815</v>
      </c>
      <c r="EP110" s="43">
        <v>100</v>
      </c>
      <c r="EQ110" s="10"/>
      <c r="ER110" s="11"/>
      <c r="ES110" s="69">
        <f t="shared" si="946"/>
        <v>198</v>
      </c>
      <c r="ET110" s="69">
        <f t="shared" si="947"/>
        <v>17</v>
      </c>
      <c r="EU110" s="11">
        <v>139</v>
      </c>
      <c r="EV110" s="12">
        <f t="shared" si="896"/>
        <v>0.71212121212121215</v>
      </c>
      <c r="EW110" s="11">
        <v>2</v>
      </c>
      <c r="EX110" s="12">
        <f t="shared" si="897"/>
        <v>1.4184397163120567E-2</v>
      </c>
      <c r="EY110" s="13"/>
      <c r="EZ110" s="11"/>
      <c r="FA110" s="39">
        <v>78.571428571428569</v>
      </c>
      <c r="FB110" s="43">
        <v>100</v>
      </c>
      <c r="FC110" s="10"/>
      <c r="FD110" s="11"/>
      <c r="FE110" s="69">
        <f t="shared" si="948"/>
        <v>865</v>
      </c>
      <c r="FF110" s="69">
        <f t="shared" si="949"/>
        <v>79</v>
      </c>
      <c r="FG110" s="11">
        <v>665</v>
      </c>
      <c r="FH110" s="12">
        <f t="shared" si="898"/>
        <v>0.78150289017341046</v>
      </c>
      <c r="FI110" s="11">
        <v>11</v>
      </c>
      <c r="FJ110" s="12">
        <f t="shared" si="899"/>
        <v>1.6272189349112426E-2</v>
      </c>
      <c r="FK110" s="13"/>
      <c r="FL110" s="11"/>
      <c r="FM110" s="39">
        <v>75.555555555555557</v>
      </c>
      <c r="FN110" s="43">
        <v>100</v>
      </c>
      <c r="FO110" s="10"/>
      <c r="FP110" s="11"/>
      <c r="FQ110" s="69">
        <f t="shared" si="950"/>
        <v>904</v>
      </c>
      <c r="FR110" s="69">
        <f t="shared" si="951"/>
        <v>80</v>
      </c>
      <c r="FS110" s="11">
        <v>642</v>
      </c>
      <c r="FT110" s="12">
        <f t="shared" si="900"/>
        <v>0.72345132743362828</v>
      </c>
      <c r="FU110" s="11">
        <v>12</v>
      </c>
      <c r="FV110" s="12">
        <f t="shared" si="901"/>
        <v>1.834862385321101E-2</v>
      </c>
      <c r="FW110" s="13"/>
      <c r="FX110" s="11"/>
      <c r="FY110" s="39">
        <v>88.888888888888886</v>
      </c>
      <c r="FZ110" s="43">
        <v>100</v>
      </c>
      <c r="GA110" s="10"/>
      <c r="GB110" s="11"/>
      <c r="GC110" s="69">
        <f t="shared" si="952"/>
        <v>895</v>
      </c>
      <c r="GD110" s="69">
        <f t="shared" si="953"/>
        <v>81</v>
      </c>
      <c r="GE110" s="11">
        <v>662</v>
      </c>
      <c r="GF110" s="12">
        <f t="shared" si="902"/>
        <v>0.75418994413407825</v>
      </c>
      <c r="GG110" s="11">
        <v>13</v>
      </c>
      <c r="GH110" s="12">
        <f t="shared" si="903"/>
        <v>1.9259259259259261E-2</v>
      </c>
      <c r="GI110" s="13"/>
      <c r="GJ110" s="11"/>
      <c r="GK110" s="39">
        <v>78.260869565217391</v>
      </c>
      <c r="GL110" s="43">
        <v>100</v>
      </c>
      <c r="GM110" s="10">
        <v>1</v>
      </c>
      <c r="GN110" s="11"/>
      <c r="GO110" s="69">
        <f t="shared" si="954"/>
        <v>182</v>
      </c>
      <c r="GP110" s="69">
        <f t="shared" si="955"/>
        <v>17</v>
      </c>
      <c r="GQ110" s="11">
        <v>138</v>
      </c>
      <c r="GR110" s="12">
        <f t="shared" si="904"/>
        <v>0.77472527472527475</v>
      </c>
      <c r="GS110" s="11">
        <v>3</v>
      </c>
      <c r="GT110" s="12">
        <f t="shared" si="905"/>
        <v>2.1276595744680851E-2</v>
      </c>
      <c r="GU110" s="13"/>
      <c r="GV110" s="11"/>
      <c r="GW110" s="39">
        <v>92.857142857142861</v>
      </c>
      <c r="GX110" s="43">
        <v>100</v>
      </c>
      <c r="GY110" s="10"/>
      <c r="GZ110" s="11"/>
      <c r="HA110" s="69">
        <f t="shared" si="956"/>
        <v>909</v>
      </c>
      <c r="HB110" s="69">
        <f t="shared" si="957"/>
        <v>82</v>
      </c>
      <c r="HC110" s="11">
        <v>655</v>
      </c>
      <c r="HD110" s="12">
        <f t="shared" si="906"/>
        <v>0.72607260726072609</v>
      </c>
      <c r="HE110" s="11">
        <v>5</v>
      </c>
      <c r="HF110" s="12">
        <f t="shared" si="907"/>
        <v>7.575757575757576E-3</v>
      </c>
      <c r="HG110" s="13"/>
      <c r="HH110" s="11"/>
      <c r="HI110" s="39">
        <v>86.956521739130437</v>
      </c>
      <c r="HJ110" s="43">
        <v>94.117647058823536</v>
      </c>
      <c r="HK110" s="10">
        <f t="shared" si="908"/>
        <v>3</v>
      </c>
      <c r="HL110" s="11">
        <f t="shared" si="909"/>
        <v>0</v>
      </c>
      <c r="HM110" s="11">
        <f t="shared" si="910"/>
        <v>12281</v>
      </c>
      <c r="HN110" s="11">
        <f t="shared" si="911"/>
        <v>1103</v>
      </c>
      <c r="HO110" s="11">
        <f t="shared" si="912"/>
        <v>9147</v>
      </c>
      <c r="HP110" s="95">
        <f t="shared" si="913"/>
        <v>0.74480905463724456</v>
      </c>
      <c r="HQ110" s="15">
        <f t="shared" si="914"/>
        <v>143</v>
      </c>
      <c r="HR110" s="12">
        <f t="shared" si="915"/>
        <v>1.5633541051710942E-2</v>
      </c>
      <c r="HS110" s="16">
        <v>60.9</v>
      </c>
      <c r="HT110" s="17">
        <v>8794</v>
      </c>
      <c r="HU110" s="16">
        <f t="shared" si="916"/>
        <v>96.140811194927295</v>
      </c>
      <c r="HV110" s="23">
        <v>86.5234375</v>
      </c>
      <c r="HW110" s="22">
        <v>91.77215189873418</v>
      </c>
      <c r="HX110" s="73">
        <f t="shared" si="917"/>
        <v>0.7548813457494743</v>
      </c>
      <c r="HY110" s="73">
        <f t="shared" si="918"/>
        <v>0.72871046228710468</v>
      </c>
      <c r="HZ110" s="73">
        <f t="shared" si="919"/>
        <v>0.75991348233597689</v>
      </c>
      <c r="IA110" s="73">
        <f t="shared" si="920"/>
        <v>0.73702422145328716</v>
      </c>
      <c r="IF110" s="85">
        <f>IF111/IF112</f>
        <v>1.7991004497751124E-3</v>
      </c>
      <c r="IG110" s="85">
        <f>IG111/IG112</f>
        <v>2.4271844660194173E-3</v>
      </c>
      <c r="IH110" s="85">
        <f>IH111/IH112</f>
        <v>1.7992083483267362E-3</v>
      </c>
      <c r="II110" s="85">
        <f>II111/II112</f>
        <v>2.416292716603383E-3</v>
      </c>
      <c r="IJ110" s="88" t="s">
        <v>90</v>
      </c>
    </row>
    <row r="111" spans="1:244" ht="19.5" thickBot="1" x14ac:dyDescent="0.3">
      <c r="A111" s="374"/>
      <c r="B111" s="42"/>
      <c r="C111" s="26">
        <f>SUM(C104:C110)</f>
        <v>1</v>
      </c>
      <c r="D111" s="27">
        <f>SUM(D104:D110)</f>
        <v>0</v>
      </c>
      <c r="E111" s="27"/>
      <c r="F111" s="27"/>
      <c r="G111" s="27">
        <f>SUM(G104:G110)</f>
        <v>4402</v>
      </c>
      <c r="H111" s="28">
        <f>((G111+I111)/7)/E110</f>
        <v>0.75643195666892349</v>
      </c>
      <c r="I111" s="27">
        <f>SUM(I104:I110)</f>
        <v>67</v>
      </c>
      <c r="J111" s="28">
        <f>(I111/(I111+G111))</f>
        <v>1.4992168270306557E-2</v>
      </c>
      <c r="K111" s="27"/>
      <c r="L111" s="27"/>
      <c r="M111" s="29">
        <f>M109/M108*100-100</f>
        <v>14.724627224627241</v>
      </c>
      <c r="N111" s="67">
        <f>N109/N108*100-100</f>
        <v>2.6323529411764781</v>
      </c>
      <c r="O111" s="26">
        <f>SUM(O104:O110)</f>
        <v>1</v>
      </c>
      <c r="P111" s="27">
        <f>SUM(P104:P110)</f>
        <v>0</v>
      </c>
      <c r="Q111" s="27"/>
      <c r="R111" s="27"/>
      <c r="S111" s="27">
        <f>SUM(S104:S110)</f>
        <v>3910</v>
      </c>
      <c r="T111" s="28">
        <f>((S111+U111)/7)/Q110</f>
        <v>0.74024276377217557</v>
      </c>
      <c r="U111" s="27">
        <f>SUM(U104:U110)</f>
        <v>54</v>
      </c>
      <c r="V111" s="28">
        <f>(U111/(U111+S111))</f>
        <v>1.3622603430877902E-2</v>
      </c>
      <c r="W111" s="27"/>
      <c r="X111" s="27"/>
      <c r="Y111" s="29">
        <f>Y109/Y108*100-100</f>
        <v>16.873866873866874</v>
      </c>
      <c r="Z111" s="67">
        <f>Z109/Z108*100-100</f>
        <v>7.9215686274509949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962</v>
      </c>
      <c r="AF111" s="28">
        <f>((AE111+AG111)/7)/AC110</f>
        <v>0.77849117174959881</v>
      </c>
      <c r="AG111" s="27">
        <f>SUM(AG104:AG110)</f>
        <v>8</v>
      </c>
      <c r="AH111" s="28">
        <f>(AG111/(AG111+AE111))</f>
        <v>8.2474226804123713E-3</v>
      </c>
      <c r="AI111" s="27"/>
      <c r="AJ111" s="27"/>
      <c r="AK111" s="29">
        <f>AK109/AK108*100-100</f>
        <v>22.095959595959599</v>
      </c>
      <c r="AL111" s="67">
        <f>AL109/AL108*100-100</f>
        <v>5.3647058823529363</v>
      </c>
      <c r="AM111" s="26">
        <f>SUM(AM104:AM110)</f>
        <v>0</v>
      </c>
      <c r="AN111" s="27">
        <f>SUM(AN104:AN110)</f>
        <v>1</v>
      </c>
      <c r="AO111" s="27"/>
      <c r="AP111" s="27"/>
      <c r="AQ111" s="27">
        <f>SUM(AQ104:AQ110)</f>
        <v>3970</v>
      </c>
      <c r="AR111" s="28">
        <f>((AQ111+AS111)/7)/AO110</f>
        <v>0.74156682027649767</v>
      </c>
      <c r="AS111" s="27">
        <f>SUM(AS104:AS110)</f>
        <v>53</v>
      </c>
      <c r="AT111" s="28">
        <f>(AS111/(AS111+AQ111))</f>
        <v>1.3174248073576932E-2</v>
      </c>
      <c r="AU111" s="27"/>
      <c r="AV111" s="27"/>
      <c r="AW111" s="29">
        <f>AW109/AW108*100-100</f>
        <v>14.725829725829726</v>
      </c>
      <c r="AX111" s="67">
        <f>AX109/AX108*100-100</f>
        <v>9.9607843137254974</v>
      </c>
      <c r="AY111" s="26">
        <f>SUM(AY104:AY110)</f>
        <v>3</v>
      </c>
      <c r="AZ111" s="27">
        <f>SUM(AZ104:AZ110)</f>
        <v>0</v>
      </c>
      <c r="BA111" s="27"/>
      <c r="BB111" s="27"/>
      <c r="BC111" s="27">
        <f>SUM(BC104:BC110)</f>
        <v>4012</v>
      </c>
      <c r="BD111" s="28">
        <f>((BC111+BE111)/7)/BA110</f>
        <v>0.7630843732538648</v>
      </c>
      <c r="BE111" s="27">
        <f>SUM(BE104:BE110)</f>
        <v>85</v>
      </c>
      <c r="BF111" s="28">
        <f>(BE111/(BE111+BC111))</f>
        <v>2.0746887966804978E-2</v>
      </c>
      <c r="BG111" s="27"/>
      <c r="BH111" s="27"/>
      <c r="BI111" s="29">
        <f>BI109/BI108*100-100</f>
        <v>18.836805555555557</v>
      </c>
      <c r="BJ111" s="67">
        <f>BJ109/BJ108*100-100</f>
        <v>13.719457013574669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4369</v>
      </c>
      <c r="BP111" s="28">
        <f>((BO111+BQ111)/7)/BM110</f>
        <v>0.76332877648667119</v>
      </c>
      <c r="BQ111" s="27">
        <f>SUM(BQ104:BQ110)</f>
        <v>98</v>
      </c>
      <c r="BR111" s="28">
        <f>(BQ111/(BQ111+BO111))</f>
        <v>2.1938661293933289E-2</v>
      </c>
      <c r="BS111" s="27"/>
      <c r="BT111" s="27"/>
      <c r="BU111" s="29">
        <f>BU109/BU108*100-100</f>
        <v>8.1860269360269484</v>
      </c>
      <c r="BV111" s="67">
        <f>BV109/BV108*100-100</f>
        <v>1.8823529411764639</v>
      </c>
      <c r="BW111" s="26">
        <f>SUM(BW104:BW110)</f>
        <v>1</v>
      </c>
      <c r="BX111" s="27">
        <f>SUM(BX104:BX110)</f>
        <v>1</v>
      </c>
      <c r="BY111" s="27"/>
      <c r="BZ111" s="27"/>
      <c r="CA111" s="27">
        <f>SUM(CA104:CA110)</f>
        <v>3917</v>
      </c>
      <c r="CB111" s="28">
        <f>((CA111+CC111)/7)/BY110</f>
        <v>0.74797666102013927</v>
      </c>
      <c r="CC111" s="27">
        <f>SUM(CC104:CC110)</f>
        <v>57</v>
      </c>
      <c r="CD111" s="28">
        <f>(CC111/(CC111+CA111))</f>
        <v>1.4343231001509815E-2</v>
      </c>
      <c r="CE111" s="27"/>
      <c r="CF111" s="27"/>
      <c r="CG111" s="29">
        <f>CG109/CG108*100-100</f>
        <v>16.829004329004334</v>
      </c>
      <c r="CH111" s="67">
        <f>CH109/CH108*100-100</f>
        <v>4.9982174688056915</v>
      </c>
      <c r="CI111" s="26">
        <f>SUM(CI104:CI110)</f>
        <v>2</v>
      </c>
      <c r="CJ111" s="27">
        <f>SUM(CJ104:CJ110)</f>
        <v>0</v>
      </c>
      <c r="CK111" s="27"/>
      <c r="CL111" s="27"/>
      <c r="CM111" s="27">
        <f>SUM(CM104:CM110)</f>
        <v>844</v>
      </c>
      <c r="CN111" s="28">
        <f>((CM111+CO111)/7)/CK110</f>
        <v>0.69733656174334147</v>
      </c>
      <c r="CO111" s="27">
        <f>SUM(CO104:CO110)</f>
        <v>20</v>
      </c>
      <c r="CP111" s="28">
        <f>(CO111/(CO111+CM111))</f>
        <v>2.3148148148148147E-2</v>
      </c>
      <c r="CQ111" s="27"/>
      <c r="CR111" s="27"/>
      <c r="CS111" s="29">
        <f>CS109/CS108*100-100</f>
        <v>7.1212121212121247</v>
      </c>
      <c r="CT111" s="67">
        <f>CT109/CT108*100-100</f>
        <v>9.0457516339869244</v>
      </c>
      <c r="CU111" s="26">
        <f>SUM(CU104:CU110)</f>
        <v>1</v>
      </c>
      <c r="CV111" s="27">
        <f>SUM(CV104:CV110)</f>
        <v>0</v>
      </c>
      <c r="CW111" s="27"/>
      <c r="CX111" s="27"/>
      <c r="CY111" s="27">
        <f>SUM(CY104:CY110)</f>
        <v>3884</v>
      </c>
      <c r="CZ111" s="28">
        <f>((CY111+DA111)/7)/CW110</f>
        <v>0.74668435013262602</v>
      </c>
      <c r="DA111" s="27">
        <f>SUM(DA104:DA110)</f>
        <v>57</v>
      </c>
      <c r="DB111" s="28">
        <f>(DA111/(DA111+CY111))</f>
        <v>1.446333417914235E-2</v>
      </c>
      <c r="DC111" s="27"/>
      <c r="DD111" s="27"/>
      <c r="DE111" s="29">
        <f>DE109/DE108*100-100</f>
        <v>20.743145743145746</v>
      </c>
      <c r="DF111" s="67">
        <f>DF109/DF108*100-100</f>
        <v>6.8235294117646959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3943</v>
      </c>
      <c r="DL111" s="28">
        <f>((DK111+DM111)/7)/DI110</f>
        <v>0.7572178477690289</v>
      </c>
      <c r="DM111" s="27">
        <f>SUM(DM104:DM110)</f>
        <v>96</v>
      </c>
      <c r="DN111" s="28">
        <f>(DM111/(DM111+DK111))</f>
        <v>2.3768259470165882E-2</v>
      </c>
      <c r="DO111" s="27"/>
      <c r="DP111" s="27"/>
      <c r="DQ111" s="29">
        <f>DQ109/DQ108*100-100</f>
        <v>23.714416896235079</v>
      </c>
      <c r="DR111" s="67">
        <f>DR109/DR108*100-100</f>
        <v>9.0999999999999943</v>
      </c>
      <c r="DS111" s="26">
        <f>SUM(DS104:DS110)</f>
        <v>2</v>
      </c>
      <c r="DT111" s="27">
        <f>SUM(DT104:DT110)</f>
        <v>0</v>
      </c>
      <c r="DU111" s="27"/>
      <c r="DV111" s="27"/>
      <c r="DW111" s="27">
        <f>SUM(DW104:DW110)</f>
        <v>4318</v>
      </c>
      <c r="DX111" s="28">
        <f>((DW111+DY111)/7)/DU110</f>
        <v>0.73966386554621844</v>
      </c>
      <c r="DY111" s="27">
        <f>SUM(DY104:DY110)</f>
        <v>83</v>
      </c>
      <c r="DZ111" s="28">
        <f>(DY111/(DY111+DW111))</f>
        <v>1.8859350147693705E-2</v>
      </c>
      <c r="EA111" s="27"/>
      <c r="EB111" s="27"/>
      <c r="EC111" s="29">
        <f>EC109/EC108*100-100</f>
        <v>14.320987654320987</v>
      </c>
      <c r="ED111" s="67">
        <f>ED109/ED108*100-100</f>
        <v>2.1568627450980529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4318</v>
      </c>
      <c r="EJ111" s="28">
        <f>((EI111+EK111)/7)/EG110</f>
        <v>0.73419611747137881</v>
      </c>
      <c r="EK111" s="27">
        <f>SUM(EK104:EK110)</f>
        <v>107</v>
      </c>
      <c r="EL111" s="28">
        <f>(EK111/(EK111+EI111))</f>
        <v>2.4180790960451979E-2</v>
      </c>
      <c r="EM111" s="27"/>
      <c r="EN111" s="27"/>
      <c r="EO111" s="29">
        <f>EO109/EO108*100-100</f>
        <v>15.856236786469353</v>
      </c>
      <c r="EP111" s="67">
        <f>EP109/EP108*100-100</f>
        <v>8.279411764705884</v>
      </c>
      <c r="EQ111" s="26">
        <f>SUM(EQ104:EQ110)</f>
        <v>1</v>
      </c>
      <c r="ER111" s="27">
        <f>SUM(ER104:ER110)</f>
        <v>0</v>
      </c>
      <c r="ES111" s="27"/>
      <c r="ET111" s="27"/>
      <c r="EU111" s="27">
        <f>SUM(EU104:EU110)</f>
        <v>983</v>
      </c>
      <c r="EV111" s="28">
        <f>((EU111+EW111)/7)/ES110</f>
        <v>0.73015873015873023</v>
      </c>
      <c r="EW111" s="27">
        <f>SUM(EW104:EW110)</f>
        <v>29</v>
      </c>
      <c r="EX111" s="28">
        <f>(EW111/(EW111+EU111))</f>
        <v>2.865612648221344E-2</v>
      </c>
      <c r="EY111" s="27"/>
      <c r="EZ111" s="27"/>
      <c r="FA111" s="29">
        <f>FA109/FA108*100-100</f>
        <v>14.195526695526681</v>
      </c>
      <c r="FB111" s="67">
        <f>FB109/FB108*100-100</f>
        <v>2.529411764705884</v>
      </c>
      <c r="FC111" s="26">
        <f>SUM(FC104:FC110)</f>
        <v>1</v>
      </c>
      <c r="FD111" s="27">
        <f>SUM(FD104:FD110)</f>
        <v>0</v>
      </c>
      <c r="FE111" s="27"/>
      <c r="FF111" s="27"/>
      <c r="FG111" s="27">
        <f>SUM(FG104:FG110)</f>
        <v>4568</v>
      </c>
      <c r="FH111" s="28">
        <f>((FG111+FI111)/7)/FE110</f>
        <v>0.76515276630883566</v>
      </c>
      <c r="FI111" s="27">
        <f>SUM(FI104:FI110)</f>
        <v>65</v>
      </c>
      <c r="FJ111" s="28">
        <f>(FI111/(FI111+FG111))</f>
        <v>1.4029786315562271E-2</v>
      </c>
      <c r="FK111" s="27"/>
      <c r="FL111" s="27"/>
      <c r="FM111" s="29">
        <f>FM109/FM108*100-100</f>
        <v>11.470258136924812</v>
      </c>
      <c r="FN111" s="67">
        <f>FN109/FN108*100-100</f>
        <v>11.470588235294116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4412</v>
      </c>
      <c r="FT111" s="28">
        <f>((FS111+FU111)/7)/FQ110</f>
        <v>0.71460176991150437</v>
      </c>
      <c r="FU111" s="27">
        <f>SUM(FU104:FU110)</f>
        <v>110</v>
      </c>
      <c r="FV111" s="28">
        <f>(FU111/(FU111+FS111))</f>
        <v>2.4325519681556832E-2</v>
      </c>
      <c r="FW111" s="27"/>
      <c r="FX111" s="27"/>
      <c r="FY111" s="29">
        <f>FY109/FY108*100-100</f>
        <v>15.392817059483718</v>
      </c>
      <c r="FZ111" s="67">
        <f>FZ109/FZ108*100-100</f>
        <v>2.9747899159663831</v>
      </c>
      <c r="GA111" s="26">
        <f>SUM(GA104:GA110)</f>
        <v>3</v>
      </c>
      <c r="GB111" s="27">
        <f>SUM(GB104:GB110)</f>
        <v>0</v>
      </c>
      <c r="GC111" s="27"/>
      <c r="GD111" s="27"/>
      <c r="GE111" s="27">
        <f>SUM(GE104:GE110)</f>
        <v>4465</v>
      </c>
      <c r="GF111" s="28">
        <f>((GE111+GG111)/7)/GC110</f>
        <v>0.72657621707901043</v>
      </c>
      <c r="GG111" s="27">
        <f>SUM(GG104:GG110)</f>
        <v>87</v>
      </c>
      <c r="GH111" s="28">
        <f>(GG111/(GG111+GE111))</f>
        <v>1.9112478031634447E-2</v>
      </c>
      <c r="GI111" s="27"/>
      <c r="GJ111" s="27"/>
      <c r="GK111" s="29">
        <f>GK109/GK108*100-100</f>
        <v>10.836627140974969</v>
      </c>
      <c r="GL111" s="67">
        <f>GL109/GL108*100-100</f>
        <v>7.1764705882352899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965</v>
      </c>
      <c r="GR111" s="28">
        <f>((GQ111+GS111)/7)/GO110</f>
        <v>0.77943485086342235</v>
      </c>
      <c r="GS111" s="27">
        <f>SUM(GS104:GS110)</f>
        <v>28</v>
      </c>
      <c r="GT111" s="28">
        <f>(GS111/(GS111+GQ111))</f>
        <v>2.8197381671701913E-2</v>
      </c>
      <c r="GU111" s="27"/>
      <c r="GV111" s="27"/>
      <c r="GW111" s="29">
        <f>GW109/GW108*100-100</f>
        <v>9.6861471861471813</v>
      </c>
      <c r="GX111" s="67">
        <f>GX109/GX108*100-100</f>
        <v>-2.8235294117646959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4656</v>
      </c>
      <c r="HD111" s="28">
        <f>((HC111+HE111)/7)/HA110</f>
        <v>0.74336005029074326</v>
      </c>
      <c r="HE111" s="27">
        <f>SUM(HE104:HE110)</f>
        <v>74</v>
      </c>
      <c r="HF111" s="28">
        <f>(HE111/(HE111+HC111))</f>
        <v>1.5644820295983086E-2</v>
      </c>
      <c r="HG111" s="27"/>
      <c r="HH111" s="27"/>
      <c r="HI111" s="29">
        <f>HI109/HI108*100-100</f>
        <v>16.254940711462453</v>
      </c>
      <c r="HJ111" s="67">
        <f>HJ109/HJ108*100-100</f>
        <v>14.837370242214547</v>
      </c>
      <c r="HK111" s="26">
        <f t="shared" si="908"/>
        <v>26</v>
      </c>
      <c r="HL111" s="27">
        <f t="shared" si="909"/>
        <v>2</v>
      </c>
      <c r="HM111" s="27">
        <f t="shared" si="910"/>
        <v>0</v>
      </c>
      <c r="HN111" s="27">
        <f t="shared" si="911"/>
        <v>0</v>
      </c>
      <c r="HO111" s="27">
        <f t="shared" si="912"/>
        <v>64076</v>
      </c>
      <c r="HP111" s="96">
        <f>+((HO111)/HM110)/7</f>
        <v>0.74535577605360193</v>
      </c>
      <c r="HQ111" s="62">
        <f t="shared" si="914"/>
        <v>1178</v>
      </c>
      <c r="HR111" s="52">
        <f t="shared" si="915"/>
        <v>1.8384418503027654E-2</v>
      </c>
      <c r="HS111" s="53">
        <f>SUM(HS104:HS110)/7</f>
        <v>60.4</v>
      </c>
      <c r="HT111" s="54">
        <f>SUM(HT104:HT110)</f>
        <v>61650</v>
      </c>
      <c r="HU111" s="53">
        <f>AVERAGE(HU104:HU110)</f>
        <v>96.213496465822317</v>
      </c>
      <c r="HV111" s="63">
        <f>HV109/HV108*100-100</f>
        <v>14.945351957070699</v>
      </c>
      <c r="HW111" s="67">
        <f>HW109/HW108*100-100</f>
        <v>6.8763961280714767</v>
      </c>
      <c r="HX111" s="73">
        <f>SUM(G111,I111,S111,U111,AE111,AG111,AQ111,AS111,BC111,BE111)/7/SUM(E110,Q110,AC110,AO110,BA110)</f>
        <v>0.75196326653220613</v>
      </c>
      <c r="HY111" s="73">
        <f>SUM(BO111,BQ111,CA111,CC111,CM111,CO111,CY111,DA111,DK111,DM111)/7/SUM(BM110,BY110,CK110,CW110,DI110)</f>
        <v>0.75099930483142163</v>
      </c>
      <c r="HZ111" s="73">
        <f>SUM(DW111,DY111,EI111,EK111,EU111,EW111,FG111,FI111)/7/SUM(DU110,EG110,ES110,FE110)</f>
        <v>0.74523637861777725</v>
      </c>
      <c r="IA111" s="73">
        <f>SUM(FS111,FU111,GE111,GG111,GQ111,GS111,HC111,HE111)/7/SUM(FQ110,GC110,GO110,HA110)</f>
        <v>0.73143845773603555</v>
      </c>
      <c r="IB111" s="84">
        <f>SUM(I111,U111,AG111,AS111,BE111)/SUM(G111,I111,S111,U111,AE111,AG111,AQ111,AS111,BC111,BE111)</f>
        <v>1.5237116932032186E-2</v>
      </c>
      <c r="IC111" s="84">
        <f>SUM(BQ111,CC111,CO111,DA111,DM111)/SUM(BO111,BQ111,CA111,CC111,CM111,CO111,CY111,DA111,DK111,DM111)</f>
        <v>1.8975990743419151E-2</v>
      </c>
      <c r="ID111" s="84">
        <f>SUM(DY111,EK111,EW111,FI111)/SUM(DW111,DY111,EI111,EK111,EU111,EW111,FG111,FI111)</f>
        <v>1.9625457812176075E-2</v>
      </c>
      <c r="IE111" s="84">
        <f>SUM(FU111,GG111,GS111,HE111)/SUM(FS111,FU111,GE111,GG111,GQ111,GS111,HC111,HE111)</f>
        <v>2.0206798675407176E-2</v>
      </c>
      <c r="IF111" s="86">
        <f>SUM(C111,O111,AA111,AM111,AY111)</f>
        <v>6</v>
      </c>
      <c r="IG111" s="86">
        <f>SUM(BK111,BW111,CI111,CU111,DG111)</f>
        <v>8</v>
      </c>
      <c r="IH111" s="86">
        <f>SUM(DS111,EE111,EQ111,FC111)</f>
        <v>5</v>
      </c>
      <c r="II111" s="86">
        <f>SUM(FO111,GA111,GM111,GY111)</f>
        <v>7</v>
      </c>
      <c r="IJ111" s="88" t="s">
        <v>89</v>
      </c>
    </row>
    <row r="112" spans="1:244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HK111/HM104</f>
        <v>2.1131339401820547E-3</v>
      </c>
      <c r="HL112" s="66">
        <f>HL111/HN104</f>
        <v>1.8099547511312218E-3</v>
      </c>
      <c r="HM112" s="45"/>
      <c r="HN112" s="45"/>
      <c r="HO112" s="45"/>
      <c r="HP112" s="98"/>
      <c r="HQ112" s="45"/>
      <c r="HR112" s="45"/>
      <c r="HS112" s="45"/>
      <c r="HT112" s="55"/>
      <c r="HU112" s="45"/>
      <c r="HV112" s="45"/>
      <c r="HW112" s="46"/>
      <c r="HY112" s="72"/>
      <c r="HZ112" s="72"/>
      <c r="IA112" s="72"/>
      <c r="IF112" s="86">
        <f>SUM(E101,Q101,AC101,AO101,BA101)</f>
        <v>3335</v>
      </c>
      <c r="IG112" s="86">
        <f>SUM(BM101,BY101,CK101,CW101,DI101)</f>
        <v>3296</v>
      </c>
      <c r="IH112" s="86">
        <f>SUM(DU101,EG101,ES101,FE101)</f>
        <v>2779</v>
      </c>
      <c r="II112" s="86">
        <f>SUM(FQ101,GC101,GO101,HA101)</f>
        <v>2897</v>
      </c>
      <c r="IJ112" s="88" t="s">
        <v>84</v>
      </c>
    </row>
    <row r="113" spans="1:244" x14ac:dyDescent="0.25">
      <c r="A113" s="373">
        <v>37</v>
      </c>
      <c r="B113" s="68">
        <f>B110+1</f>
        <v>45025</v>
      </c>
      <c r="C113" s="33"/>
      <c r="D113" s="34"/>
      <c r="E113" s="34">
        <f>E110-C113</f>
        <v>844</v>
      </c>
      <c r="F113" s="34">
        <f>F110-D113</f>
        <v>75</v>
      </c>
      <c r="G113" s="34">
        <v>610</v>
      </c>
      <c r="H113" s="35">
        <f t="shared" ref="H113:H119" si="958">((G113+I113)/E113)</f>
        <v>0.73696682464454977</v>
      </c>
      <c r="I113" s="34">
        <v>12</v>
      </c>
      <c r="J113" s="35">
        <f t="shared" ref="J113:J119" si="959">I113/(G113+I113)</f>
        <v>1.9292604501607719E-2</v>
      </c>
      <c r="K113" s="36"/>
      <c r="L113" s="34"/>
      <c r="M113" s="34"/>
      <c r="N113" s="37"/>
      <c r="O113" s="33"/>
      <c r="P113" s="34"/>
      <c r="Q113" s="34">
        <f>Q110-O113</f>
        <v>765</v>
      </c>
      <c r="R113" s="34">
        <f>R110-P113</f>
        <v>68</v>
      </c>
      <c r="S113" s="34">
        <v>566</v>
      </c>
      <c r="T113" s="35">
        <f t="shared" ref="T113:T119" si="960">((S113+U113)/Q113)</f>
        <v>0.7594771241830065</v>
      </c>
      <c r="U113" s="34">
        <v>15</v>
      </c>
      <c r="V113" s="35">
        <f t="shared" ref="V113:V119" si="961">U113/(S113+U113)</f>
        <v>2.5817555938037865E-2</v>
      </c>
      <c r="W113" s="36"/>
      <c r="X113" s="34"/>
      <c r="Y113" s="34"/>
      <c r="Z113" s="37"/>
      <c r="AA113" s="33">
        <v>1</v>
      </c>
      <c r="AB113" s="34"/>
      <c r="AC113" s="34">
        <f>AC110-AA113</f>
        <v>177</v>
      </c>
      <c r="AD113" s="34">
        <f>AD110-AB113</f>
        <v>14</v>
      </c>
      <c r="AE113" s="34">
        <v>139</v>
      </c>
      <c r="AF113" s="35">
        <f t="shared" ref="AF113:AF119" si="962">((AE113+AG113)/AC113)</f>
        <v>0.79661016949152541</v>
      </c>
      <c r="AG113" s="34">
        <v>2</v>
      </c>
      <c r="AH113" s="35">
        <f t="shared" ref="AH113:AH119" si="963">AG113/(AE113+AG113)</f>
        <v>1.4184397163120567E-2</v>
      </c>
      <c r="AI113" s="36"/>
      <c r="AJ113" s="34"/>
      <c r="AK113" s="34"/>
      <c r="AL113" s="37"/>
      <c r="AM113" s="33"/>
      <c r="AN113" s="34"/>
      <c r="AO113" s="34">
        <f>AO110-AM113</f>
        <v>775</v>
      </c>
      <c r="AP113" s="34">
        <f>AP110-AN113</f>
        <v>68</v>
      </c>
      <c r="AQ113" s="34">
        <v>548</v>
      </c>
      <c r="AR113" s="35">
        <f t="shared" ref="AR113:AR119" si="964">((AQ113+AS113)/AO113)</f>
        <v>0.71870967741935488</v>
      </c>
      <c r="AS113" s="34">
        <v>9</v>
      </c>
      <c r="AT113" s="35">
        <f t="shared" ref="AT113:AT119" si="965">AS113/(AQ113+AS113)</f>
        <v>1.615798922800718E-2</v>
      </c>
      <c r="AU113" s="36"/>
      <c r="AV113" s="34"/>
      <c r="AW113" s="34"/>
      <c r="AX113" s="37"/>
      <c r="AY113" s="33"/>
      <c r="AZ113" s="34"/>
      <c r="BA113" s="34">
        <f>BA110-AY113</f>
        <v>767</v>
      </c>
      <c r="BB113" s="34">
        <f>BB110-AZ113</f>
        <v>69</v>
      </c>
      <c r="BC113" s="34">
        <v>588</v>
      </c>
      <c r="BD113" s="35">
        <f t="shared" ref="BD113:BD119" si="966">((BC113+BE113)/BA113)</f>
        <v>0.78487614080834422</v>
      </c>
      <c r="BE113" s="34">
        <v>14</v>
      </c>
      <c r="BF113" s="35">
        <f t="shared" ref="BF113:BF119" si="967">BE113/(BC113+BE113)</f>
        <v>2.3255813953488372E-2</v>
      </c>
      <c r="BG113" s="36"/>
      <c r="BH113" s="34"/>
      <c r="BI113" s="34"/>
      <c r="BJ113" s="37"/>
      <c r="BK113" s="33">
        <v>1</v>
      </c>
      <c r="BL113" s="34"/>
      <c r="BM113" s="34">
        <f>BM110-BK113</f>
        <v>835</v>
      </c>
      <c r="BN113" s="34">
        <f>BN110-BL113</f>
        <v>76</v>
      </c>
      <c r="BO113" s="34">
        <v>612</v>
      </c>
      <c r="BP113" s="35">
        <f t="shared" ref="BP113:BP119" si="968">((BO113+BQ113)/BM113)</f>
        <v>0.74610778443113768</v>
      </c>
      <c r="BQ113" s="34">
        <v>11</v>
      </c>
      <c r="BR113" s="35">
        <f t="shared" ref="BR113:BR119" si="969">BQ113/(BO113+BQ113)</f>
        <v>1.7656500802568219E-2</v>
      </c>
      <c r="BS113" s="36"/>
      <c r="BT113" s="34"/>
      <c r="BU113" s="34"/>
      <c r="BV113" s="37"/>
      <c r="BW113" s="33">
        <v>1</v>
      </c>
      <c r="BX113" s="34"/>
      <c r="BY113" s="34">
        <f>BY110-BW113</f>
        <v>758</v>
      </c>
      <c r="BZ113" s="34">
        <f>BZ110-BX113</f>
        <v>68</v>
      </c>
      <c r="CA113" s="34">
        <v>533</v>
      </c>
      <c r="CB113" s="35">
        <f t="shared" ref="CB113:CB119" si="970">((CA113+CC113)/BY113)</f>
        <v>0.70976253298153036</v>
      </c>
      <c r="CC113" s="34">
        <v>5</v>
      </c>
      <c r="CD113" s="35">
        <f t="shared" ref="CD113:CD119" si="971">CC113/(CA113+CC113)</f>
        <v>9.2936802973977699E-3</v>
      </c>
      <c r="CE113" s="36"/>
      <c r="CF113" s="34"/>
      <c r="CG113" s="34"/>
      <c r="CH113" s="37"/>
      <c r="CI113" s="33">
        <v>1</v>
      </c>
      <c r="CJ113" s="34"/>
      <c r="CK113" s="34">
        <f>CK110-CI113</f>
        <v>176</v>
      </c>
      <c r="CL113" s="34">
        <f>CL110-CJ113</f>
        <v>15</v>
      </c>
      <c r="CM113" s="34">
        <v>119</v>
      </c>
      <c r="CN113" s="35">
        <f t="shared" ref="CN113:CN119" si="972">((CM113+CO113)/CK113)</f>
        <v>0.69318181818181823</v>
      </c>
      <c r="CO113" s="34">
        <v>3</v>
      </c>
      <c r="CP113" s="35">
        <f t="shared" ref="CP113:CP119" si="973">CO113/(CM113+CO113)</f>
        <v>2.4590163934426229E-2</v>
      </c>
      <c r="CQ113" s="36"/>
      <c r="CR113" s="34"/>
      <c r="CS113" s="34"/>
      <c r="CT113" s="37"/>
      <c r="CU113" s="33"/>
      <c r="CV113" s="34"/>
      <c r="CW113" s="34">
        <f>CW110-CU113</f>
        <v>754</v>
      </c>
      <c r="CX113" s="34">
        <f>CX110-CV113</f>
        <v>69</v>
      </c>
      <c r="CY113" s="34">
        <v>558</v>
      </c>
      <c r="CZ113" s="35">
        <f t="shared" ref="CZ113:CZ119" si="974">((CY113+DA113)/CW113)</f>
        <v>0.74403183023872677</v>
      </c>
      <c r="DA113" s="34">
        <v>3</v>
      </c>
      <c r="DB113" s="35">
        <f t="shared" ref="DB113:DB119" si="975">DA113/(CY113+DA113)</f>
        <v>5.3475935828877002E-3</v>
      </c>
      <c r="DC113" s="36"/>
      <c r="DD113" s="34"/>
      <c r="DE113" s="34"/>
      <c r="DF113" s="37"/>
      <c r="DG113" s="33">
        <v>1</v>
      </c>
      <c r="DH113" s="34"/>
      <c r="DI113" s="34">
        <f>DI110-DG113</f>
        <v>761</v>
      </c>
      <c r="DJ113" s="34">
        <f>DJ110-DH113</f>
        <v>70</v>
      </c>
      <c r="DK113" s="34">
        <v>531</v>
      </c>
      <c r="DL113" s="35">
        <f t="shared" ref="DL113:DL119" si="976">((DK113+DM113)/DI113)</f>
        <v>0.71616294349540077</v>
      </c>
      <c r="DM113" s="34">
        <v>14</v>
      </c>
      <c r="DN113" s="35">
        <f t="shared" ref="DN113:DN119" si="977">DM113/(DK113+DM113)</f>
        <v>2.5688073394495414E-2</v>
      </c>
      <c r="DO113" s="36"/>
      <c r="DP113" s="34"/>
      <c r="DQ113" s="34"/>
      <c r="DR113" s="37"/>
      <c r="DS113" s="33"/>
      <c r="DT113" s="34"/>
      <c r="DU113" s="34">
        <f>DU110-DS113</f>
        <v>850</v>
      </c>
      <c r="DV113" s="34">
        <f>DV110-DT113</f>
        <v>77</v>
      </c>
      <c r="DW113" s="34">
        <v>610</v>
      </c>
      <c r="DX113" s="35">
        <f t="shared" ref="DX113:DX119" si="978">((DW113+DY113)/DU113)</f>
        <v>0.73882352941176466</v>
      </c>
      <c r="DY113" s="34">
        <v>18</v>
      </c>
      <c r="DZ113" s="35">
        <f t="shared" ref="DZ113:DZ119" si="979">DY113/(DW113+DY113)</f>
        <v>2.8662420382165606E-2</v>
      </c>
      <c r="EA113" s="36"/>
      <c r="EB113" s="34"/>
      <c r="EC113" s="34"/>
      <c r="ED113" s="37"/>
      <c r="EE113" s="33">
        <v>1</v>
      </c>
      <c r="EF113" s="34"/>
      <c r="EG113" s="34">
        <f>EG110-EE113</f>
        <v>860</v>
      </c>
      <c r="EH113" s="34">
        <f>EH110-EF113</f>
        <v>78</v>
      </c>
      <c r="EI113" s="34">
        <v>609</v>
      </c>
      <c r="EJ113" s="35">
        <f t="shared" ref="EJ113:EJ119" si="980">((EI113+EK113)/EG113)</f>
        <v>0.72209302325581393</v>
      </c>
      <c r="EK113" s="34">
        <v>12</v>
      </c>
      <c r="EL113" s="35">
        <f t="shared" ref="EL113:EL119" si="981">EK113/(EI113+EK113)</f>
        <v>1.932367149758454E-2</v>
      </c>
      <c r="EM113" s="36"/>
      <c r="EN113" s="34"/>
      <c r="EO113" s="34"/>
      <c r="EP113" s="37"/>
      <c r="EQ113" s="33"/>
      <c r="ER113" s="34"/>
      <c r="ES113" s="34">
        <f>ES110-EQ113</f>
        <v>198</v>
      </c>
      <c r="ET113" s="34">
        <f>ET110-ER113</f>
        <v>17</v>
      </c>
      <c r="EU113" s="34">
        <v>137</v>
      </c>
      <c r="EV113" s="35">
        <f t="shared" ref="EV113:EV119" si="982">((EU113+EW113)/ES113)</f>
        <v>0.72222222222222221</v>
      </c>
      <c r="EW113" s="34">
        <v>6</v>
      </c>
      <c r="EX113" s="35">
        <f t="shared" ref="EX113:EX119" si="983">EW113/(EU113+EW113)</f>
        <v>4.195804195804196E-2</v>
      </c>
      <c r="EY113" s="36"/>
      <c r="EZ113" s="34"/>
      <c r="FA113" s="34"/>
      <c r="FB113" s="37"/>
      <c r="FC113" s="33"/>
      <c r="FD113" s="34"/>
      <c r="FE113" s="34">
        <f>FE110-FC113</f>
        <v>865</v>
      </c>
      <c r="FF113" s="34">
        <f>FF110-FD113</f>
        <v>79</v>
      </c>
      <c r="FG113" s="34">
        <v>629</v>
      </c>
      <c r="FH113" s="35">
        <f t="shared" ref="FH113:FH119" si="984">((FG113+FI113)/FE113)</f>
        <v>0.73757225433526008</v>
      </c>
      <c r="FI113" s="34">
        <v>9</v>
      </c>
      <c r="FJ113" s="35">
        <f t="shared" ref="FJ113:FJ119" si="985">FI113/(FG113+FI113)</f>
        <v>1.4106583072100314E-2</v>
      </c>
      <c r="FK113" s="36"/>
      <c r="FL113" s="34"/>
      <c r="FM113" s="34"/>
      <c r="FN113" s="37"/>
      <c r="FO113" s="33">
        <v>1</v>
      </c>
      <c r="FP113" s="34"/>
      <c r="FQ113" s="34">
        <f>FQ110-FO113</f>
        <v>903</v>
      </c>
      <c r="FR113" s="34">
        <f>FR110-FP113</f>
        <v>80</v>
      </c>
      <c r="FS113" s="34">
        <v>623</v>
      </c>
      <c r="FT113" s="35">
        <f t="shared" ref="FT113:FT119" si="986">((FS113+FU113)/FQ113)</f>
        <v>0.69656699889258034</v>
      </c>
      <c r="FU113" s="34">
        <v>6</v>
      </c>
      <c r="FV113" s="35">
        <f t="shared" ref="FV113:FV119" si="987">FU113/(FS113+FU113)</f>
        <v>9.538950715421303E-3</v>
      </c>
      <c r="FW113" s="36"/>
      <c r="FX113" s="34"/>
      <c r="FY113" s="34"/>
      <c r="FZ113" s="37"/>
      <c r="GA113" s="33"/>
      <c r="GB113" s="34"/>
      <c r="GC113" s="34">
        <f>GC110-GA113</f>
        <v>895</v>
      </c>
      <c r="GD113" s="34">
        <f>GD110-GB113</f>
        <v>81</v>
      </c>
      <c r="GE113" s="34">
        <v>628</v>
      </c>
      <c r="GF113" s="35">
        <f t="shared" ref="GF113:GF119" si="988">((GE113+GG113)/GC113)</f>
        <v>0.70837988826815645</v>
      </c>
      <c r="GG113" s="34">
        <v>6</v>
      </c>
      <c r="GH113" s="35">
        <f t="shared" ref="GH113:GH119" si="989">GG113/(GE113+GG113)</f>
        <v>9.4637223974763408E-3</v>
      </c>
      <c r="GI113" s="36"/>
      <c r="GJ113" s="34"/>
      <c r="GK113" s="34"/>
      <c r="GL113" s="37"/>
      <c r="GM113" s="33"/>
      <c r="GN113" s="34"/>
      <c r="GO113" s="34">
        <f>GO110-GM113</f>
        <v>182</v>
      </c>
      <c r="GP113" s="34">
        <f>GP110-GN113</f>
        <v>17</v>
      </c>
      <c r="GQ113" s="34">
        <v>133</v>
      </c>
      <c r="GR113" s="35">
        <f t="shared" ref="GR113:GR119" si="990">((GQ113+GS113)/GO113)</f>
        <v>0.74175824175824179</v>
      </c>
      <c r="GS113" s="34">
        <v>2</v>
      </c>
      <c r="GT113" s="35">
        <f t="shared" ref="GT113:GT119" si="991">GS113/(GQ113+GS113)</f>
        <v>1.4814814814814815E-2</v>
      </c>
      <c r="GU113" s="36"/>
      <c r="GV113" s="34"/>
      <c r="GW113" s="34"/>
      <c r="GX113" s="37"/>
      <c r="GY113" s="33"/>
      <c r="GZ113" s="34"/>
      <c r="HA113" s="34">
        <f>HA110-GY113</f>
        <v>909</v>
      </c>
      <c r="HB113" s="34">
        <f>HB110-GZ113</f>
        <v>82</v>
      </c>
      <c r="HC113" s="34">
        <v>683</v>
      </c>
      <c r="HD113" s="35">
        <f t="shared" ref="HD113:HD119" si="992">((HC113+HE113)/HA113)</f>
        <v>0.75907590759075905</v>
      </c>
      <c r="HE113" s="34">
        <v>7</v>
      </c>
      <c r="HF113" s="35">
        <f t="shared" ref="HF113:HF119" si="993">HE113/(HC113+HE113)</f>
        <v>1.0144927536231883E-2</v>
      </c>
      <c r="HG113" s="36"/>
      <c r="HH113" s="34"/>
      <c r="HI113" s="34"/>
      <c r="HJ113" s="37"/>
      <c r="HK113" s="33">
        <f t="shared" ref="HK113:HK120" si="994">+C113+O113+AA113+AM113+AY113+BK113+BW113+CI113+CU113+DG113+DS113+EE113+EQ113+FC113+FO113+GA113+GM113+GY113</f>
        <v>7</v>
      </c>
      <c r="HL113" s="34">
        <f t="shared" ref="HL113:HL120" si="995">+D113+P113+AB113+AN113+AZ113+BL113+BX113+CJ113+CV113+DH113+DT113+EF113+ER113+FD113+FP113+GB113+GN113+GZ113</f>
        <v>0</v>
      </c>
      <c r="HM113" s="34">
        <f t="shared" ref="HM113:HM120" si="996">+E113+Q113+AC113+AO113+BA113+BM113+BY113+CK113+CW113+DI113+DU113+EG113+ES113+FE113+FQ113+GC113+GO113+HA113</f>
        <v>12274</v>
      </c>
      <c r="HN113" s="34">
        <f t="shared" ref="HN113:HN120" si="997">+F113+R113+AD113+AP113+BB113+BN113+BZ113+CL113+CX113+DJ113+DV113+EH113+ET113+FF113+FR113+GD113+GP113+HB113</f>
        <v>1103</v>
      </c>
      <c r="HO113" s="34">
        <f t="shared" ref="HO113:HO120" si="998">+G113+S113+AE113+AQ113+BC113+BO113+CA113+CM113+CY113+DK113+DW113+EI113+EU113+FG113+FS113+GE113+GQ113+HC113+I113+U113+AG113+AS113+BE113+BQ113+CC113+CO113+DA113+DM113+DY113+EK113+EW113+FI113+FU113+GG113+GS113+HE113</f>
        <v>9010</v>
      </c>
      <c r="HP113" s="94">
        <f t="shared" ref="HP113:HP119" si="999">+(HO113)/HM113</f>
        <v>0.73407202216066481</v>
      </c>
      <c r="HQ113" s="48">
        <f t="shared" ref="HQ113:HQ120" si="1000">+I113+U113+AG113+AS113+BE113+BQ113+CC113+CO113+DA113+DM113+DY113+EK113+EW113+FI113+FU113+GG113+GS113+HE113</f>
        <v>154</v>
      </c>
      <c r="HR113" s="35">
        <f t="shared" ref="HR113:HR120" si="1001">+(HQ113/(HO113))</f>
        <v>1.7092119866814651E-2</v>
      </c>
      <c r="HS113" s="49">
        <v>60.9</v>
      </c>
      <c r="HT113" s="50">
        <v>8684</v>
      </c>
      <c r="HU113" s="49">
        <f t="shared" ref="HU113:HU119" si="1002">+HT113/HO113*100</f>
        <v>96.381798002219753</v>
      </c>
      <c r="HV113" s="48"/>
      <c r="HW113" s="37"/>
      <c r="HX113" s="73">
        <f t="shared" ref="HX113:HX119" si="1003">SUM(G113,I113,S113,U113,AE113,AG113,AQ113,AS113,BC113,BE113)/SUM(E113,Q113,AC113,AO113,BA113)</f>
        <v>0.75210336538461542</v>
      </c>
      <c r="HY113" s="73">
        <f t="shared" ref="HY113:HY119" si="1004">SUM(BO113,BQ113,CA113,CC113,CM113,CO113,CY113,DA113,DK113,DM113)/SUM(BM113,BY113,CK113,CW113,DI113)</f>
        <v>0.72746650426309378</v>
      </c>
      <c r="HZ113" s="73">
        <f t="shared" ref="HZ113:HZ119" si="1005">SUM(DW113,DY113,EI113,EK113,EU113,EW113,FG113,FI113)/SUM(DU113,EG113,ES113,FE113)</f>
        <v>0.73205914172376485</v>
      </c>
      <c r="IA113" s="73">
        <f t="shared" ref="IA113:IA119" si="1006">SUM(FS113,FU113,GE113,GG113,GQ113,GS113,HC113,HE113)/SUM(FQ113,GC113,GO113,HA113)</f>
        <v>0.72274143302180682</v>
      </c>
    </row>
    <row r="114" spans="1:244" x14ac:dyDescent="0.25">
      <c r="A114" s="374"/>
      <c r="B114" s="41">
        <f t="shared" ref="B114:B119" si="1007">+B113+1</f>
        <v>45026</v>
      </c>
      <c r="C114" s="10"/>
      <c r="D114" s="11">
        <v>3</v>
      </c>
      <c r="E114" s="69">
        <f t="shared" ref="E114:E119" si="1008">E113-C114</f>
        <v>844</v>
      </c>
      <c r="F114" s="69">
        <f t="shared" ref="F114:F119" si="1009">F113-D114</f>
        <v>72</v>
      </c>
      <c r="G114" s="11">
        <v>626</v>
      </c>
      <c r="H114" s="12">
        <f t="shared" si="958"/>
        <v>0.75118483412322279</v>
      </c>
      <c r="I114" s="11">
        <v>8</v>
      </c>
      <c r="J114" s="12">
        <f t="shared" si="959"/>
        <v>1.2618296529968454E-2</v>
      </c>
      <c r="K114" s="13"/>
      <c r="L114" s="11"/>
      <c r="M114" s="11"/>
      <c r="N114" s="14"/>
      <c r="O114" s="10">
        <v>1</v>
      </c>
      <c r="P114" s="11">
        <v>3</v>
      </c>
      <c r="Q114" s="69">
        <f t="shared" ref="Q114:Q119" si="1010">Q113-O114</f>
        <v>764</v>
      </c>
      <c r="R114" s="69">
        <f t="shared" ref="R114:R119" si="1011">R113-P114</f>
        <v>65</v>
      </c>
      <c r="S114" s="11">
        <v>553</v>
      </c>
      <c r="T114" s="12">
        <f t="shared" si="960"/>
        <v>0.73691099476439792</v>
      </c>
      <c r="U114" s="11">
        <v>10</v>
      </c>
      <c r="V114" s="12">
        <f t="shared" si="961"/>
        <v>1.7761989342806393E-2</v>
      </c>
      <c r="W114" s="13"/>
      <c r="X114" s="11"/>
      <c r="Y114" s="11"/>
      <c r="Z114" s="14"/>
      <c r="AA114" s="10"/>
      <c r="AB114" s="11">
        <v>1</v>
      </c>
      <c r="AC114" s="69">
        <f t="shared" ref="AC114:AC119" si="1012">AC113-AA114</f>
        <v>177</v>
      </c>
      <c r="AD114" s="69">
        <f t="shared" ref="AD114:AD119" si="1013">AD113-AB114</f>
        <v>13</v>
      </c>
      <c r="AE114" s="11">
        <v>131</v>
      </c>
      <c r="AF114" s="12">
        <f t="shared" si="962"/>
        <v>0.75706214689265539</v>
      </c>
      <c r="AG114" s="11">
        <v>3</v>
      </c>
      <c r="AH114" s="12">
        <f t="shared" si="963"/>
        <v>2.2388059701492536E-2</v>
      </c>
      <c r="AI114" s="13"/>
      <c r="AJ114" s="11"/>
      <c r="AK114" s="11"/>
      <c r="AL114" s="14"/>
      <c r="AM114" s="10"/>
      <c r="AN114" s="11">
        <v>3</v>
      </c>
      <c r="AO114" s="69">
        <f t="shared" ref="AO114:AO119" si="1014">AO113-AM114</f>
        <v>775</v>
      </c>
      <c r="AP114" s="69">
        <f t="shared" ref="AP114:AP119" si="1015">AP113-AN114</f>
        <v>65</v>
      </c>
      <c r="AQ114" s="11">
        <v>557</v>
      </c>
      <c r="AR114" s="12">
        <f t="shared" si="964"/>
        <v>0.72387096774193549</v>
      </c>
      <c r="AS114" s="11">
        <v>4</v>
      </c>
      <c r="AT114" s="12">
        <f t="shared" si="965"/>
        <v>7.1301247771836003E-3</v>
      </c>
      <c r="AU114" s="13"/>
      <c r="AV114" s="11"/>
      <c r="AW114" s="11"/>
      <c r="AX114" s="14"/>
      <c r="AY114" s="10"/>
      <c r="AZ114" s="11">
        <v>2</v>
      </c>
      <c r="BA114" s="69">
        <f t="shared" ref="BA114:BA119" si="1016">BA113-AY114</f>
        <v>767</v>
      </c>
      <c r="BB114" s="69">
        <f t="shared" ref="BB114:BB119" si="1017">BB113-AZ114</f>
        <v>67</v>
      </c>
      <c r="BC114" s="11">
        <v>566</v>
      </c>
      <c r="BD114" s="12">
        <f t="shared" si="966"/>
        <v>0.74445893089960891</v>
      </c>
      <c r="BE114" s="11">
        <v>5</v>
      </c>
      <c r="BF114" s="12">
        <f t="shared" si="967"/>
        <v>8.7565674255691769E-3</v>
      </c>
      <c r="BG114" s="13"/>
      <c r="BH114" s="11"/>
      <c r="BI114" s="11"/>
      <c r="BJ114" s="14"/>
      <c r="BK114" s="10"/>
      <c r="BL114" s="11">
        <v>4</v>
      </c>
      <c r="BM114" s="69">
        <f t="shared" ref="BM114:BM119" si="1018">BM113-BK114</f>
        <v>835</v>
      </c>
      <c r="BN114" s="69">
        <f t="shared" ref="BN114:BN119" si="1019">BN113-BL114</f>
        <v>72</v>
      </c>
      <c r="BO114" s="11">
        <v>620</v>
      </c>
      <c r="BP114" s="12">
        <f t="shared" si="968"/>
        <v>0.755688622754491</v>
      </c>
      <c r="BQ114" s="11">
        <v>11</v>
      </c>
      <c r="BR114" s="12">
        <f t="shared" si="969"/>
        <v>1.7432646592709985E-2</v>
      </c>
      <c r="BS114" s="13"/>
      <c r="BT114" s="11"/>
      <c r="BU114" s="11"/>
      <c r="BV114" s="14"/>
      <c r="BW114" s="10"/>
      <c r="BX114" s="11">
        <v>4</v>
      </c>
      <c r="BY114" s="69">
        <f t="shared" ref="BY114:BY119" si="1020">BY113-BW114</f>
        <v>758</v>
      </c>
      <c r="BZ114" s="69">
        <f t="shared" ref="BZ114:BZ119" si="1021">BZ113-BX114</f>
        <v>64</v>
      </c>
      <c r="CA114" s="11">
        <v>557</v>
      </c>
      <c r="CB114" s="12">
        <f t="shared" si="970"/>
        <v>0.74802110817941958</v>
      </c>
      <c r="CC114" s="11">
        <v>10</v>
      </c>
      <c r="CD114" s="12">
        <f t="shared" si="971"/>
        <v>1.7636684303350969E-2</v>
      </c>
      <c r="CE114" s="13"/>
      <c r="CF114" s="11"/>
      <c r="CG114" s="11"/>
      <c r="CH114" s="14"/>
      <c r="CI114" s="10"/>
      <c r="CJ114" s="11">
        <v>1</v>
      </c>
      <c r="CK114" s="69">
        <f t="shared" ref="CK114:CK119" si="1022">CK113-CI114</f>
        <v>176</v>
      </c>
      <c r="CL114" s="69">
        <f t="shared" ref="CL114:CL119" si="1023">CL113-CJ114</f>
        <v>14</v>
      </c>
      <c r="CM114" s="11">
        <v>111</v>
      </c>
      <c r="CN114" s="12">
        <f t="shared" si="972"/>
        <v>0.65909090909090906</v>
      </c>
      <c r="CO114" s="11">
        <v>5</v>
      </c>
      <c r="CP114" s="12">
        <f t="shared" si="973"/>
        <v>4.3103448275862072E-2</v>
      </c>
      <c r="CQ114" s="13"/>
      <c r="CR114" s="11"/>
      <c r="CS114" s="11"/>
      <c r="CT114" s="14"/>
      <c r="CU114" s="10"/>
      <c r="CV114" s="11">
        <v>4</v>
      </c>
      <c r="CW114" s="69">
        <f t="shared" ref="CW114:CW119" si="1024">CW113-CU114</f>
        <v>754</v>
      </c>
      <c r="CX114" s="69">
        <f t="shared" ref="CX114:CX119" si="1025">CX113-CV114</f>
        <v>65</v>
      </c>
      <c r="CY114" s="11">
        <v>553</v>
      </c>
      <c r="CZ114" s="12">
        <f t="shared" si="974"/>
        <v>0.74535809018567645</v>
      </c>
      <c r="DA114" s="11">
        <v>9</v>
      </c>
      <c r="DB114" s="12">
        <f t="shared" si="975"/>
        <v>1.601423487544484E-2</v>
      </c>
      <c r="DC114" s="13"/>
      <c r="DD114" s="11"/>
      <c r="DE114" s="11"/>
      <c r="DF114" s="14"/>
      <c r="DG114" s="10"/>
      <c r="DH114" s="11">
        <v>3</v>
      </c>
      <c r="DI114" s="69">
        <f t="shared" ref="DI114:DI119" si="1026">DI113-DG114</f>
        <v>761</v>
      </c>
      <c r="DJ114" s="69">
        <f t="shared" ref="DJ114:DJ119" si="1027">DJ113-DH114</f>
        <v>67</v>
      </c>
      <c r="DK114" s="11">
        <v>552</v>
      </c>
      <c r="DL114" s="12">
        <f t="shared" si="976"/>
        <v>0.74244415243101181</v>
      </c>
      <c r="DM114" s="11">
        <v>13</v>
      </c>
      <c r="DN114" s="12">
        <f t="shared" si="977"/>
        <v>2.3008849557522124E-2</v>
      </c>
      <c r="DO114" s="13"/>
      <c r="DP114" s="11"/>
      <c r="DQ114" s="11"/>
      <c r="DR114" s="14"/>
      <c r="DS114" s="10"/>
      <c r="DT114" s="11">
        <v>6</v>
      </c>
      <c r="DU114" s="69">
        <f t="shared" ref="DU114:DU119" si="1028">DU113-DS114</f>
        <v>850</v>
      </c>
      <c r="DV114" s="69">
        <f t="shared" ref="DV114:DV119" si="1029">DV113-DT114</f>
        <v>71</v>
      </c>
      <c r="DW114" s="11">
        <v>617</v>
      </c>
      <c r="DX114" s="12">
        <f t="shared" si="978"/>
        <v>0.73529411764705888</v>
      </c>
      <c r="DY114" s="11">
        <v>8</v>
      </c>
      <c r="DZ114" s="12">
        <f t="shared" si="979"/>
        <v>1.2800000000000001E-2</v>
      </c>
      <c r="EA114" s="13"/>
      <c r="EB114" s="11"/>
      <c r="EC114" s="11"/>
      <c r="ED114" s="14"/>
      <c r="EE114" s="10"/>
      <c r="EF114" s="11">
        <v>4</v>
      </c>
      <c r="EG114" s="69">
        <f t="shared" ref="EG114:EG119" si="1030">EG113-EE114</f>
        <v>860</v>
      </c>
      <c r="EH114" s="69">
        <f t="shared" ref="EH114:EH119" si="1031">EH113-EF114</f>
        <v>74</v>
      </c>
      <c r="EI114" s="11">
        <v>628</v>
      </c>
      <c r="EJ114" s="12">
        <f t="shared" si="980"/>
        <v>0.7441860465116279</v>
      </c>
      <c r="EK114" s="11">
        <v>12</v>
      </c>
      <c r="EL114" s="12">
        <f t="shared" si="981"/>
        <v>1.8749999999999999E-2</v>
      </c>
      <c r="EM114" s="13"/>
      <c r="EN114" s="11"/>
      <c r="EO114" s="11"/>
      <c r="EP114" s="14"/>
      <c r="EQ114" s="10">
        <v>1</v>
      </c>
      <c r="ER114" s="11">
        <v>1</v>
      </c>
      <c r="ES114" s="69">
        <f t="shared" ref="ES114:ES119" si="1032">ES113-EQ114</f>
        <v>197</v>
      </c>
      <c r="ET114" s="69">
        <f t="shared" ref="ET114:ET119" si="1033">ET113-ER114</f>
        <v>16</v>
      </c>
      <c r="EU114" s="11">
        <v>146</v>
      </c>
      <c r="EV114" s="12">
        <f t="shared" si="982"/>
        <v>0.75634517766497467</v>
      </c>
      <c r="EW114" s="11">
        <v>3</v>
      </c>
      <c r="EX114" s="12">
        <f t="shared" si="983"/>
        <v>2.0134228187919462E-2</v>
      </c>
      <c r="EY114" s="13"/>
      <c r="EZ114" s="11"/>
      <c r="FA114" s="11"/>
      <c r="FB114" s="14"/>
      <c r="FC114" s="10"/>
      <c r="FD114" s="11">
        <v>4</v>
      </c>
      <c r="FE114" s="69">
        <f t="shared" ref="FE114:FE119" si="1034">FE113-FC114</f>
        <v>865</v>
      </c>
      <c r="FF114" s="69">
        <f t="shared" ref="FF114:FF119" si="1035">FF113-FD114</f>
        <v>75</v>
      </c>
      <c r="FG114" s="11">
        <v>657</v>
      </c>
      <c r="FH114" s="12">
        <f t="shared" si="984"/>
        <v>0.76994219653179186</v>
      </c>
      <c r="FI114" s="11">
        <v>9</v>
      </c>
      <c r="FJ114" s="12">
        <f t="shared" si="985"/>
        <v>1.3513513513513514E-2</v>
      </c>
      <c r="FK114" s="13"/>
      <c r="FL114" s="11"/>
      <c r="FM114" s="11"/>
      <c r="FN114" s="14"/>
      <c r="FO114" s="10"/>
      <c r="FP114" s="11">
        <v>5</v>
      </c>
      <c r="FQ114" s="69">
        <f t="shared" ref="FQ114:FQ119" si="1036">FQ113-FO114</f>
        <v>903</v>
      </c>
      <c r="FR114" s="69">
        <f t="shared" ref="FR114:FR119" si="1037">FR113-FP114</f>
        <v>75</v>
      </c>
      <c r="FS114" s="11">
        <v>626</v>
      </c>
      <c r="FT114" s="12">
        <f t="shared" si="986"/>
        <v>0.71096345514950166</v>
      </c>
      <c r="FU114" s="11">
        <v>16</v>
      </c>
      <c r="FV114" s="12">
        <f t="shared" si="987"/>
        <v>2.4922118380062305E-2</v>
      </c>
      <c r="FW114" s="13"/>
      <c r="FX114" s="11"/>
      <c r="FY114" s="11"/>
      <c r="FZ114" s="14"/>
      <c r="GA114" s="10"/>
      <c r="GB114" s="11">
        <v>5</v>
      </c>
      <c r="GC114" s="69">
        <f t="shared" ref="GC114:GC119" si="1038">GC113-GA114</f>
        <v>895</v>
      </c>
      <c r="GD114" s="69">
        <f t="shared" ref="GD114:GD119" si="1039">GD113-GB114</f>
        <v>76</v>
      </c>
      <c r="GE114" s="11">
        <v>606</v>
      </c>
      <c r="GF114" s="12">
        <f t="shared" si="988"/>
        <v>0.69497206703910619</v>
      </c>
      <c r="GG114" s="11">
        <v>16</v>
      </c>
      <c r="GH114" s="12">
        <f t="shared" si="989"/>
        <v>2.5723472668810289E-2</v>
      </c>
      <c r="GI114" s="13"/>
      <c r="GJ114" s="11"/>
      <c r="GK114" s="11"/>
      <c r="GL114" s="14"/>
      <c r="GM114" s="10"/>
      <c r="GN114" s="11"/>
      <c r="GO114" s="69">
        <f t="shared" ref="GO114:GO119" si="1040">GO113-GM114</f>
        <v>182</v>
      </c>
      <c r="GP114" s="69">
        <f t="shared" ref="GP114:GP119" si="1041">GP113-GN114</f>
        <v>17</v>
      </c>
      <c r="GQ114" s="11">
        <v>146</v>
      </c>
      <c r="GR114" s="12">
        <f t="shared" si="990"/>
        <v>0.81318681318681318</v>
      </c>
      <c r="GS114" s="11">
        <v>2</v>
      </c>
      <c r="GT114" s="12">
        <f t="shared" si="991"/>
        <v>1.3513513513513514E-2</v>
      </c>
      <c r="GU114" s="13"/>
      <c r="GV114" s="11"/>
      <c r="GW114" s="11"/>
      <c r="GX114" s="14"/>
      <c r="GY114" s="10">
        <v>1</v>
      </c>
      <c r="GZ114" s="11">
        <v>4</v>
      </c>
      <c r="HA114" s="69">
        <f t="shared" ref="HA114:HA119" si="1042">HA113-GY114</f>
        <v>908</v>
      </c>
      <c r="HB114" s="69">
        <f t="shared" ref="HB114:HB119" si="1043">HB113-GZ114</f>
        <v>78</v>
      </c>
      <c r="HC114" s="11">
        <v>645</v>
      </c>
      <c r="HD114" s="12">
        <f t="shared" si="992"/>
        <v>0.72687224669603523</v>
      </c>
      <c r="HE114" s="11">
        <v>15</v>
      </c>
      <c r="HF114" s="12">
        <f t="shared" si="993"/>
        <v>2.2727272727272728E-2</v>
      </c>
      <c r="HG114" s="13"/>
      <c r="HH114" s="11"/>
      <c r="HI114" s="11"/>
      <c r="HJ114" s="14"/>
      <c r="HK114" s="10">
        <f t="shared" si="994"/>
        <v>3</v>
      </c>
      <c r="HL114" s="11">
        <f t="shared" si="995"/>
        <v>57</v>
      </c>
      <c r="HM114" s="11">
        <f t="shared" si="996"/>
        <v>12271</v>
      </c>
      <c r="HN114" s="11">
        <f t="shared" si="997"/>
        <v>1046</v>
      </c>
      <c r="HO114" s="11">
        <f t="shared" si="998"/>
        <v>9056</v>
      </c>
      <c r="HP114" s="95">
        <f t="shared" si="999"/>
        <v>0.73800016298590176</v>
      </c>
      <c r="HQ114" s="15">
        <f t="shared" si="1000"/>
        <v>159</v>
      </c>
      <c r="HR114" s="12">
        <f t="shared" si="1001"/>
        <v>1.7557420494699646E-2</v>
      </c>
      <c r="HS114" s="16">
        <v>60.6</v>
      </c>
      <c r="HT114" s="17">
        <v>8724</v>
      </c>
      <c r="HU114" s="16">
        <f t="shared" si="1002"/>
        <v>96.333922261484091</v>
      </c>
      <c r="HV114" s="15"/>
      <c r="HW114" s="14"/>
      <c r="HX114" s="73">
        <f t="shared" si="1003"/>
        <v>0.74030658250676284</v>
      </c>
      <c r="HY114" s="73">
        <f t="shared" si="1004"/>
        <v>0.74330085261875767</v>
      </c>
      <c r="HZ114" s="73">
        <f t="shared" si="1005"/>
        <v>0.75036075036075034</v>
      </c>
      <c r="IA114" s="73">
        <f t="shared" si="1006"/>
        <v>0.7174515235457064</v>
      </c>
    </row>
    <row r="115" spans="1:244" x14ac:dyDescent="0.25">
      <c r="A115" s="374"/>
      <c r="B115" s="41">
        <f t="shared" si="1007"/>
        <v>45027</v>
      </c>
      <c r="C115" s="10"/>
      <c r="D115" s="11"/>
      <c r="E115" s="69">
        <f t="shared" si="1008"/>
        <v>844</v>
      </c>
      <c r="F115" s="69">
        <f t="shared" si="1009"/>
        <v>72</v>
      </c>
      <c r="G115" s="11">
        <v>639</v>
      </c>
      <c r="H115" s="12">
        <f t="shared" si="958"/>
        <v>0.77132701421800953</v>
      </c>
      <c r="I115" s="11">
        <v>12</v>
      </c>
      <c r="J115" s="12">
        <f t="shared" si="959"/>
        <v>1.8433179723502304E-2</v>
      </c>
      <c r="K115" s="13"/>
      <c r="L115" s="11"/>
      <c r="M115" s="11"/>
      <c r="N115" s="14"/>
      <c r="O115" s="10"/>
      <c r="P115" s="11"/>
      <c r="Q115" s="69">
        <f t="shared" si="1010"/>
        <v>764</v>
      </c>
      <c r="R115" s="69">
        <f t="shared" si="1011"/>
        <v>65</v>
      </c>
      <c r="S115" s="11">
        <v>538</v>
      </c>
      <c r="T115" s="12">
        <f t="shared" si="960"/>
        <v>0.71465968586387429</v>
      </c>
      <c r="U115" s="11">
        <v>8</v>
      </c>
      <c r="V115" s="12">
        <f t="shared" si="961"/>
        <v>1.4652014652014652E-2</v>
      </c>
      <c r="W115" s="13"/>
      <c r="X115" s="11"/>
      <c r="Y115" s="11"/>
      <c r="Z115" s="14"/>
      <c r="AA115" s="10"/>
      <c r="AB115" s="11"/>
      <c r="AC115" s="69">
        <f t="shared" si="1012"/>
        <v>177</v>
      </c>
      <c r="AD115" s="69">
        <f t="shared" si="1013"/>
        <v>13</v>
      </c>
      <c r="AE115" s="11">
        <v>139</v>
      </c>
      <c r="AF115" s="12">
        <f t="shared" si="962"/>
        <v>0.80225988700564976</v>
      </c>
      <c r="AG115" s="11">
        <v>3</v>
      </c>
      <c r="AH115" s="12">
        <f t="shared" si="963"/>
        <v>2.1126760563380281E-2</v>
      </c>
      <c r="AI115" s="13"/>
      <c r="AJ115" s="11"/>
      <c r="AK115" s="11"/>
      <c r="AL115" s="14"/>
      <c r="AM115" s="10"/>
      <c r="AN115" s="11"/>
      <c r="AO115" s="69">
        <f t="shared" si="1014"/>
        <v>775</v>
      </c>
      <c r="AP115" s="69">
        <f t="shared" si="1015"/>
        <v>65</v>
      </c>
      <c r="AQ115" s="11">
        <v>579</v>
      </c>
      <c r="AR115" s="12">
        <f t="shared" si="964"/>
        <v>0.75483870967741939</v>
      </c>
      <c r="AS115" s="11">
        <v>6</v>
      </c>
      <c r="AT115" s="12">
        <f t="shared" si="965"/>
        <v>1.0256410256410256E-2</v>
      </c>
      <c r="AU115" s="13"/>
      <c r="AV115" s="11"/>
      <c r="AW115" s="11"/>
      <c r="AX115" s="14"/>
      <c r="AY115" s="10"/>
      <c r="AZ115" s="11"/>
      <c r="BA115" s="69">
        <f t="shared" si="1016"/>
        <v>767</v>
      </c>
      <c r="BB115" s="69">
        <f t="shared" si="1017"/>
        <v>67</v>
      </c>
      <c r="BC115" s="11">
        <v>568</v>
      </c>
      <c r="BD115" s="12">
        <f t="shared" si="966"/>
        <v>0.75228161668839633</v>
      </c>
      <c r="BE115" s="11">
        <v>9</v>
      </c>
      <c r="BF115" s="12">
        <f t="shared" si="967"/>
        <v>1.5597920277296361E-2</v>
      </c>
      <c r="BG115" s="13"/>
      <c r="BH115" s="11"/>
      <c r="BI115" s="11"/>
      <c r="BJ115" s="14"/>
      <c r="BK115" s="10"/>
      <c r="BL115" s="11"/>
      <c r="BM115" s="69">
        <f t="shared" si="1018"/>
        <v>835</v>
      </c>
      <c r="BN115" s="69">
        <f t="shared" si="1019"/>
        <v>72</v>
      </c>
      <c r="BO115" s="11">
        <v>625</v>
      </c>
      <c r="BP115" s="12">
        <f t="shared" si="968"/>
        <v>0.76287425149700594</v>
      </c>
      <c r="BQ115" s="11">
        <v>12</v>
      </c>
      <c r="BR115" s="12">
        <f t="shared" si="969"/>
        <v>1.8838304552590265E-2</v>
      </c>
      <c r="BS115" s="13"/>
      <c r="BT115" s="11"/>
      <c r="BU115" s="11"/>
      <c r="BV115" s="14"/>
      <c r="BW115" s="10"/>
      <c r="BX115" s="11"/>
      <c r="BY115" s="69">
        <f t="shared" si="1020"/>
        <v>758</v>
      </c>
      <c r="BZ115" s="69">
        <f t="shared" si="1021"/>
        <v>64</v>
      </c>
      <c r="CA115" s="11">
        <v>556</v>
      </c>
      <c r="CB115" s="12">
        <f t="shared" si="970"/>
        <v>0.74934036939313986</v>
      </c>
      <c r="CC115" s="11">
        <v>12</v>
      </c>
      <c r="CD115" s="12">
        <f t="shared" si="971"/>
        <v>2.1126760563380281E-2</v>
      </c>
      <c r="CE115" s="13"/>
      <c r="CF115" s="11"/>
      <c r="CG115" s="11"/>
      <c r="CH115" s="14"/>
      <c r="CI115" s="10"/>
      <c r="CJ115" s="11"/>
      <c r="CK115" s="69">
        <f t="shared" si="1022"/>
        <v>176</v>
      </c>
      <c r="CL115" s="69">
        <f t="shared" si="1023"/>
        <v>14</v>
      </c>
      <c r="CM115" s="11">
        <v>123</v>
      </c>
      <c r="CN115" s="12">
        <f t="shared" si="972"/>
        <v>0.72727272727272729</v>
      </c>
      <c r="CO115" s="11">
        <v>5</v>
      </c>
      <c r="CP115" s="12">
        <f t="shared" si="973"/>
        <v>3.90625E-2</v>
      </c>
      <c r="CQ115" s="13"/>
      <c r="CR115" s="11"/>
      <c r="CS115" s="11"/>
      <c r="CT115" s="14"/>
      <c r="CU115" s="10">
        <v>1</v>
      </c>
      <c r="CV115" s="11"/>
      <c r="CW115" s="69">
        <f t="shared" si="1024"/>
        <v>753</v>
      </c>
      <c r="CX115" s="69">
        <f t="shared" si="1025"/>
        <v>65</v>
      </c>
      <c r="CY115" s="11">
        <v>552</v>
      </c>
      <c r="CZ115" s="12">
        <f t="shared" si="974"/>
        <v>0.74767596281540505</v>
      </c>
      <c r="DA115" s="11">
        <v>11</v>
      </c>
      <c r="DB115" s="12">
        <f t="shared" si="975"/>
        <v>1.9538188277087035E-2</v>
      </c>
      <c r="DC115" s="13"/>
      <c r="DD115" s="11"/>
      <c r="DE115" s="11"/>
      <c r="DF115" s="14"/>
      <c r="DG115" s="10"/>
      <c r="DH115" s="11"/>
      <c r="DI115" s="69">
        <f t="shared" si="1026"/>
        <v>761</v>
      </c>
      <c r="DJ115" s="69">
        <f t="shared" si="1027"/>
        <v>67</v>
      </c>
      <c r="DK115" s="11">
        <v>580</v>
      </c>
      <c r="DL115" s="12">
        <f t="shared" si="976"/>
        <v>0.77792378449408672</v>
      </c>
      <c r="DM115" s="11">
        <v>12</v>
      </c>
      <c r="DN115" s="12">
        <f t="shared" si="977"/>
        <v>2.0270270270270271E-2</v>
      </c>
      <c r="DO115" s="13"/>
      <c r="DP115" s="11"/>
      <c r="DQ115" s="11"/>
      <c r="DR115" s="14"/>
      <c r="DS115" s="10"/>
      <c r="DT115" s="11"/>
      <c r="DU115" s="69">
        <f t="shared" si="1028"/>
        <v>850</v>
      </c>
      <c r="DV115" s="69">
        <f t="shared" si="1029"/>
        <v>71</v>
      </c>
      <c r="DW115" s="11">
        <v>624</v>
      </c>
      <c r="DX115" s="12">
        <f t="shared" si="978"/>
        <v>0.75176470588235289</v>
      </c>
      <c r="DY115" s="11">
        <v>15</v>
      </c>
      <c r="DZ115" s="12">
        <f t="shared" si="979"/>
        <v>2.3474178403755867E-2</v>
      </c>
      <c r="EA115" s="13"/>
      <c r="EB115" s="11"/>
      <c r="EC115" s="11"/>
      <c r="ED115" s="14"/>
      <c r="EE115" s="10"/>
      <c r="EF115" s="11"/>
      <c r="EG115" s="69">
        <f t="shared" si="1030"/>
        <v>860</v>
      </c>
      <c r="EH115" s="69">
        <f t="shared" si="1031"/>
        <v>74</v>
      </c>
      <c r="EI115" s="11">
        <v>630</v>
      </c>
      <c r="EJ115" s="12">
        <f t="shared" si="980"/>
        <v>0.75465116279069766</v>
      </c>
      <c r="EK115" s="11">
        <v>19</v>
      </c>
      <c r="EL115" s="12">
        <f t="shared" si="981"/>
        <v>2.9275808936825885E-2</v>
      </c>
      <c r="EM115" s="13"/>
      <c r="EN115" s="11"/>
      <c r="EO115" s="11"/>
      <c r="EP115" s="14"/>
      <c r="EQ115" s="10">
        <v>1</v>
      </c>
      <c r="ER115" s="11"/>
      <c r="ES115" s="69">
        <f t="shared" si="1032"/>
        <v>196</v>
      </c>
      <c r="ET115" s="69">
        <f t="shared" si="1033"/>
        <v>16</v>
      </c>
      <c r="EU115" s="11">
        <v>141</v>
      </c>
      <c r="EV115" s="12">
        <f t="shared" si="982"/>
        <v>0.72959183673469385</v>
      </c>
      <c r="EW115" s="11">
        <v>2</v>
      </c>
      <c r="EX115" s="12">
        <f t="shared" si="983"/>
        <v>1.3986013986013986E-2</v>
      </c>
      <c r="EY115" s="13"/>
      <c r="EZ115" s="11"/>
      <c r="FA115" s="11"/>
      <c r="FB115" s="14"/>
      <c r="FC115" s="10">
        <v>1</v>
      </c>
      <c r="FD115" s="11"/>
      <c r="FE115" s="69">
        <f t="shared" si="1034"/>
        <v>864</v>
      </c>
      <c r="FF115" s="69">
        <f t="shared" si="1035"/>
        <v>75</v>
      </c>
      <c r="FG115" s="11">
        <v>650</v>
      </c>
      <c r="FH115" s="12">
        <f t="shared" si="984"/>
        <v>0.7592592592592593</v>
      </c>
      <c r="FI115" s="11">
        <v>6</v>
      </c>
      <c r="FJ115" s="12">
        <f t="shared" si="985"/>
        <v>9.1463414634146336E-3</v>
      </c>
      <c r="FK115" s="13"/>
      <c r="FL115" s="11"/>
      <c r="FM115" s="11"/>
      <c r="FN115" s="14"/>
      <c r="FO115" s="10"/>
      <c r="FP115" s="11"/>
      <c r="FQ115" s="69">
        <f t="shared" si="1036"/>
        <v>903</v>
      </c>
      <c r="FR115" s="69">
        <f t="shared" si="1037"/>
        <v>75</v>
      </c>
      <c r="FS115" s="11">
        <v>633</v>
      </c>
      <c r="FT115" s="12">
        <f t="shared" si="986"/>
        <v>0.71539313399778515</v>
      </c>
      <c r="FU115" s="11">
        <v>13</v>
      </c>
      <c r="FV115" s="12">
        <f t="shared" si="987"/>
        <v>2.0123839009287926E-2</v>
      </c>
      <c r="FW115" s="13"/>
      <c r="FX115" s="11"/>
      <c r="FY115" s="11"/>
      <c r="FZ115" s="14"/>
      <c r="GA115" s="10">
        <v>1</v>
      </c>
      <c r="GB115" s="11"/>
      <c r="GC115" s="69">
        <f t="shared" si="1038"/>
        <v>894</v>
      </c>
      <c r="GD115" s="69">
        <f t="shared" si="1039"/>
        <v>76</v>
      </c>
      <c r="GE115" s="11">
        <v>630</v>
      </c>
      <c r="GF115" s="12">
        <f t="shared" si="988"/>
        <v>0.7203579418344519</v>
      </c>
      <c r="GG115" s="11">
        <v>14</v>
      </c>
      <c r="GH115" s="12">
        <f t="shared" si="989"/>
        <v>2.1739130434782608E-2</v>
      </c>
      <c r="GI115" s="13"/>
      <c r="GJ115" s="11"/>
      <c r="GK115" s="11"/>
      <c r="GL115" s="14"/>
      <c r="GM115" s="10">
        <v>1</v>
      </c>
      <c r="GN115" s="11"/>
      <c r="GO115" s="69">
        <f t="shared" si="1040"/>
        <v>181</v>
      </c>
      <c r="GP115" s="69">
        <f t="shared" si="1041"/>
        <v>17</v>
      </c>
      <c r="GQ115" s="11">
        <v>125</v>
      </c>
      <c r="GR115" s="12">
        <f t="shared" si="990"/>
        <v>0.71270718232044195</v>
      </c>
      <c r="GS115" s="11">
        <v>4</v>
      </c>
      <c r="GT115" s="12">
        <f t="shared" si="991"/>
        <v>3.1007751937984496E-2</v>
      </c>
      <c r="GU115" s="13"/>
      <c r="GV115" s="11"/>
      <c r="GW115" s="11"/>
      <c r="GX115" s="14"/>
      <c r="GY115" s="10"/>
      <c r="GZ115" s="11"/>
      <c r="HA115" s="69">
        <f t="shared" si="1042"/>
        <v>908</v>
      </c>
      <c r="HB115" s="69">
        <f t="shared" si="1043"/>
        <v>78</v>
      </c>
      <c r="HC115" s="11">
        <v>660</v>
      </c>
      <c r="HD115" s="12">
        <f t="shared" si="992"/>
        <v>0.73237885462555063</v>
      </c>
      <c r="HE115" s="11">
        <v>5</v>
      </c>
      <c r="HF115" s="12">
        <f t="shared" si="993"/>
        <v>7.5187969924812026E-3</v>
      </c>
      <c r="HG115" s="13"/>
      <c r="HH115" s="11"/>
      <c r="HI115" s="11"/>
      <c r="HJ115" s="14"/>
      <c r="HK115" s="10">
        <f t="shared" si="994"/>
        <v>5</v>
      </c>
      <c r="HL115" s="11">
        <f t="shared" si="995"/>
        <v>0</v>
      </c>
      <c r="HM115" s="11">
        <f t="shared" si="996"/>
        <v>12266</v>
      </c>
      <c r="HN115" s="11">
        <f t="shared" si="997"/>
        <v>1046</v>
      </c>
      <c r="HO115" s="11">
        <f t="shared" si="998"/>
        <v>9160</v>
      </c>
      <c r="HP115" s="95">
        <f t="shared" si="999"/>
        <v>0.7467797162889287</v>
      </c>
      <c r="HQ115" s="15">
        <f t="shared" si="1000"/>
        <v>168</v>
      </c>
      <c r="HR115" s="12">
        <f t="shared" si="1001"/>
        <v>1.8340611353711789E-2</v>
      </c>
      <c r="HS115" s="16">
        <v>60.8</v>
      </c>
      <c r="HT115" s="17">
        <v>8774</v>
      </c>
      <c r="HU115" s="16">
        <f t="shared" si="1002"/>
        <v>95.786026200873366</v>
      </c>
      <c r="HV115" s="15"/>
      <c r="HW115" s="14"/>
      <c r="HX115" s="73">
        <f t="shared" si="1003"/>
        <v>0.75172828373910427</v>
      </c>
      <c r="HY115" s="73">
        <f t="shared" si="1004"/>
        <v>0.75784343588181546</v>
      </c>
      <c r="HZ115" s="73">
        <f t="shared" si="1005"/>
        <v>0.75342960288808669</v>
      </c>
      <c r="IA115" s="73">
        <f t="shared" si="1006"/>
        <v>0.72210672210672211</v>
      </c>
    </row>
    <row r="116" spans="1:244" x14ac:dyDescent="0.25">
      <c r="A116" s="374"/>
      <c r="B116" s="41">
        <f t="shared" si="1007"/>
        <v>45028</v>
      </c>
      <c r="C116" s="10">
        <v>1</v>
      </c>
      <c r="D116" s="11"/>
      <c r="E116" s="69">
        <f t="shared" si="1008"/>
        <v>843</v>
      </c>
      <c r="F116" s="69">
        <f t="shared" si="1009"/>
        <v>72</v>
      </c>
      <c r="G116" s="11">
        <v>607</v>
      </c>
      <c r="H116" s="12">
        <f t="shared" si="958"/>
        <v>0.72597864768683273</v>
      </c>
      <c r="I116" s="11">
        <v>5</v>
      </c>
      <c r="J116" s="12">
        <f t="shared" si="959"/>
        <v>8.1699346405228763E-3</v>
      </c>
      <c r="K116" s="11"/>
      <c r="L116" s="11"/>
      <c r="M116" s="18"/>
      <c r="N116" s="20"/>
      <c r="O116" s="10"/>
      <c r="P116" s="11"/>
      <c r="Q116" s="69">
        <f t="shared" si="1010"/>
        <v>764</v>
      </c>
      <c r="R116" s="69">
        <f t="shared" si="1011"/>
        <v>65</v>
      </c>
      <c r="S116" s="11">
        <v>519</v>
      </c>
      <c r="T116" s="12">
        <f t="shared" si="960"/>
        <v>0.68586387434554974</v>
      </c>
      <c r="U116" s="11">
        <v>5</v>
      </c>
      <c r="V116" s="12">
        <f t="shared" si="961"/>
        <v>9.5419847328244278E-3</v>
      </c>
      <c r="W116" s="11"/>
      <c r="X116" s="11"/>
      <c r="Y116" s="18"/>
      <c r="Z116" s="20"/>
      <c r="AA116" s="10"/>
      <c r="AB116" s="11"/>
      <c r="AC116" s="69">
        <f t="shared" si="1012"/>
        <v>177</v>
      </c>
      <c r="AD116" s="69">
        <f t="shared" si="1013"/>
        <v>13</v>
      </c>
      <c r="AE116" s="11">
        <v>139</v>
      </c>
      <c r="AF116" s="12">
        <f t="shared" si="962"/>
        <v>0.79661016949152541</v>
      </c>
      <c r="AG116" s="11">
        <v>2</v>
      </c>
      <c r="AH116" s="12">
        <f t="shared" si="963"/>
        <v>1.4184397163120567E-2</v>
      </c>
      <c r="AI116" s="11"/>
      <c r="AJ116" s="11"/>
      <c r="AK116" s="18"/>
      <c r="AL116" s="20"/>
      <c r="AM116" s="10">
        <v>1</v>
      </c>
      <c r="AN116" s="11"/>
      <c r="AO116" s="69">
        <f t="shared" si="1014"/>
        <v>774</v>
      </c>
      <c r="AP116" s="69">
        <f t="shared" si="1015"/>
        <v>65</v>
      </c>
      <c r="AQ116" s="11">
        <v>547</v>
      </c>
      <c r="AR116" s="12">
        <f t="shared" si="964"/>
        <v>0.710594315245478</v>
      </c>
      <c r="AS116" s="11">
        <v>3</v>
      </c>
      <c r="AT116" s="12">
        <f t="shared" si="965"/>
        <v>5.454545454545455E-3</v>
      </c>
      <c r="AU116" s="11"/>
      <c r="AV116" s="11"/>
      <c r="AW116" s="18"/>
      <c r="AX116" s="20"/>
      <c r="AY116" s="10">
        <v>1</v>
      </c>
      <c r="AZ116" s="11"/>
      <c r="BA116" s="69">
        <f t="shared" si="1016"/>
        <v>766</v>
      </c>
      <c r="BB116" s="69">
        <f t="shared" si="1017"/>
        <v>67</v>
      </c>
      <c r="BC116" s="11">
        <v>532</v>
      </c>
      <c r="BD116" s="12">
        <f t="shared" si="966"/>
        <v>0.70626631853785904</v>
      </c>
      <c r="BE116" s="11">
        <v>9</v>
      </c>
      <c r="BF116" s="12">
        <f t="shared" si="967"/>
        <v>1.6635859519408502E-2</v>
      </c>
      <c r="BG116" s="11"/>
      <c r="BH116" s="11"/>
      <c r="BI116" s="18"/>
      <c r="BJ116" s="20"/>
      <c r="BK116" s="10"/>
      <c r="BL116" s="11"/>
      <c r="BM116" s="69">
        <f t="shared" si="1018"/>
        <v>835</v>
      </c>
      <c r="BN116" s="69">
        <f t="shared" si="1019"/>
        <v>72</v>
      </c>
      <c r="BO116" s="11">
        <v>587</v>
      </c>
      <c r="BP116" s="12">
        <f t="shared" si="968"/>
        <v>0.71257485029940115</v>
      </c>
      <c r="BQ116" s="11">
        <v>8</v>
      </c>
      <c r="BR116" s="12">
        <f t="shared" si="969"/>
        <v>1.3445378151260505E-2</v>
      </c>
      <c r="BS116" s="11"/>
      <c r="BT116" s="11"/>
      <c r="BU116" s="18"/>
      <c r="BV116" s="20"/>
      <c r="BW116" s="10"/>
      <c r="BX116" s="11"/>
      <c r="BY116" s="69">
        <f t="shared" si="1020"/>
        <v>758</v>
      </c>
      <c r="BZ116" s="69">
        <f t="shared" si="1021"/>
        <v>64</v>
      </c>
      <c r="CA116" s="11">
        <v>539</v>
      </c>
      <c r="CB116" s="12">
        <f t="shared" si="970"/>
        <v>0.71767810026385226</v>
      </c>
      <c r="CC116" s="11">
        <v>5</v>
      </c>
      <c r="CD116" s="12">
        <f t="shared" si="971"/>
        <v>9.1911764705882356E-3</v>
      </c>
      <c r="CE116" s="11"/>
      <c r="CF116" s="11"/>
      <c r="CG116" s="18"/>
      <c r="CH116" s="20"/>
      <c r="CI116" s="10"/>
      <c r="CJ116" s="11"/>
      <c r="CK116" s="69">
        <f t="shared" si="1022"/>
        <v>176</v>
      </c>
      <c r="CL116" s="69">
        <f t="shared" si="1023"/>
        <v>14</v>
      </c>
      <c r="CM116" s="11">
        <v>115</v>
      </c>
      <c r="CN116" s="12">
        <f t="shared" si="972"/>
        <v>0.67045454545454541</v>
      </c>
      <c r="CO116" s="11">
        <v>3</v>
      </c>
      <c r="CP116" s="12">
        <f t="shared" si="973"/>
        <v>2.5423728813559324E-2</v>
      </c>
      <c r="CQ116" s="11"/>
      <c r="CR116" s="11"/>
      <c r="CS116" s="18"/>
      <c r="CT116" s="20"/>
      <c r="CU116" s="10"/>
      <c r="CV116" s="11"/>
      <c r="CW116" s="69">
        <f t="shared" si="1024"/>
        <v>753</v>
      </c>
      <c r="CX116" s="69">
        <f t="shared" si="1025"/>
        <v>65</v>
      </c>
      <c r="CY116" s="11">
        <v>555</v>
      </c>
      <c r="CZ116" s="12">
        <f t="shared" si="974"/>
        <v>0.73705179282868527</v>
      </c>
      <c r="DA116" s="11"/>
      <c r="DB116" s="12">
        <v>0.06</v>
      </c>
      <c r="DC116" s="11"/>
      <c r="DD116" s="11"/>
      <c r="DE116" s="18"/>
      <c r="DF116" s="20"/>
      <c r="DG116" s="10"/>
      <c r="DH116" s="11"/>
      <c r="DI116" s="69">
        <f t="shared" si="1026"/>
        <v>761</v>
      </c>
      <c r="DJ116" s="69">
        <f t="shared" si="1027"/>
        <v>67</v>
      </c>
      <c r="DK116" s="11">
        <v>568</v>
      </c>
      <c r="DL116" s="12">
        <f t="shared" si="976"/>
        <v>0.75689881734559794</v>
      </c>
      <c r="DM116" s="11">
        <v>8</v>
      </c>
      <c r="DN116" s="12">
        <f t="shared" si="977"/>
        <v>1.3888888888888888E-2</v>
      </c>
      <c r="DO116" s="11"/>
      <c r="DP116" s="11"/>
      <c r="DQ116" s="18"/>
      <c r="DR116" s="20"/>
      <c r="DS116" s="10">
        <v>1</v>
      </c>
      <c r="DT116" s="11"/>
      <c r="DU116" s="69">
        <f t="shared" si="1028"/>
        <v>849</v>
      </c>
      <c r="DV116" s="69">
        <f t="shared" si="1029"/>
        <v>71</v>
      </c>
      <c r="DW116" s="11">
        <v>589</v>
      </c>
      <c r="DX116" s="12">
        <f t="shared" si="978"/>
        <v>0.71142520612485272</v>
      </c>
      <c r="DY116" s="11">
        <v>15</v>
      </c>
      <c r="DZ116" s="12">
        <f t="shared" si="979"/>
        <v>2.4834437086092714E-2</v>
      </c>
      <c r="EA116" s="11"/>
      <c r="EB116" s="11"/>
      <c r="EC116" s="18"/>
      <c r="ED116" s="20"/>
      <c r="EE116" s="10">
        <v>1</v>
      </c>
      <c r="EF116" s="11"/>
      <c r="EG116" s="69">
        <f t="shared" si="1030"/>
        <v>859</v>
      </c>
      <c r="EH116" s="69">
        <f t="shared" si="1031"/>
        <v>74</v>
      </c>
      <c r="EI116" s="11">
        <v>569</v>
      </c>
      <c r="EJ116" s="12">
        <f t="shared" si="980"/>
        <v>0.67287543655413273</v>
      </c>
      <c r="EK116" s="11">
        <v>9</v>
      </c>
      <c r="EL116" s="12">
        <f t="shared" si="981"/>
        <v>1.5570934256055362E-2</v>
      </c>
      <c r="EM116" s="11"/>
      <c r="EN116" s="11"/>
      <c r="EO116" s="18"/>
      <c r="EP116" s="20"/>
      <c r="EQ116" s="10"/>
      <c r="ER116" s="11"/>
      <c r="ES116" s="69">
        <f t="shared" si="1032"/>
        <v>196</v>
      </c>
      <c r="ET116" s="69">
        <f t="shared" si="1033"/>
        <v>16</v>
      </c>
      <c r="EU116" s="11">
        <v>132</v>
      </c>
      <c r="EV116" s="12">
        <f t="shared" si="982"/>
        <v>0.70408163265306123</v>
      </c>
      <c r="EW116" s="11">
        <v>6</v>
      </c>
      <c r="EX116" s="12">
        <f t="shared" si="983"/>
        <v>4.3478260869565216E-2</v>
      </c>
      <c r="EY116" s="11"/>
      <c r="EZ116" s="11"/>
      <c r="FA116" s="18"/>
      <c r="FB116" s="20"/>
      <c r="FC116" s="10"/>
      <c r="FD116" s="11"/>
      <c r="FE116" s="69">
        <f t="shared" si="1034"/>
        <v>864</v>
      </c>
      <c r="FF116" s="69">
        <f t="shared" si="1035"/>
        <v>75</v>
      </c>
      <c r="FG116" s="11">
        <v>634</v>
      </c>
      <c r="FH116" s="12">
        <f t="shared" si="984"/>
        <v>0.74768518518518523</v>
      </c>
      <c r="FI116" s="11">
        <v>12</v>
      </c>
      <c r="FJ116" s="12">
        <f t="shared" si="985"/>
        <v>1.8575851393188854E-2</v>
      </c>
      <c r="FK116" s="11"/>
      <c r="FL116" s="11"/>
      <c r="FM116" s="18"/>
      <c r="FN116" s="20"/>
      <c r="FO116" s="10"/>
      <c r="FP116" s="11"/>
      <c r="FQ116" s="69">
        <f t="shared" si="1036"/>
        <v>903</v>
      </c>
      <c r="FR116" s="69">
        <f t="shared" si="1037"/>
        <v>75</v>
      </c>
      <c r="FS116" s="11">
        <v>615</v>
      </c>
      <c r="FT116" s="12">
        <f t="shared" si="986"/>
        <v>0.70985603543743081</v>
      </c>
      <c r="FU116" s="11">
        <v>26</v>
      </c>
      <c r="FV116" s="12">
        <f t="shared" si="987"/>
        <v>4.0561622464898597E-2</v>
      </c>
      <c r="FW116" s="11"/>
      <c r="FX116" s="11"/>
      <c r="FY116" s="18"/>
      <c r="FZ116" s="20"/>
      <c r="GA116" s="10"/>
      <c r="GB116" s="11"/>
      <c r="GC116" s="69">
        <f t="shared" si="1038"/>
        <v>894</v>
      </c>
      <c r="GD116" s="69">
        <f t="shared" si="1039"/>
        <v>76</v>
      </c>
      <c r="GE116" s="11">
        <v>630</v>
      </c>
      <c r="GF116" s="12">
        <f t="shared" si="988"/>
        <v>0.72483221476510062</v>
      </c>
      <c r="GG116" s="11">
        <v>18</v>
      </c>
      <c r="GH116" s="12">
        <f t="shared" si="989"/>
        <v>2.7777777777777776E-2</v>
      </c>
      <c r="GI116" s="11"/>
      <c r="GJ116" s="11"/>
      <c r="GK116" s="18"/>
      <c r="GL116" s="20"/>
      <c r="GM116" s="10"/>
      <c r="GN116" s="11"/>
      <c r="GO116" s="69">
        <f t="shared" si="1040"/>
        <v>181</v>
      </c>
      <c r="GP116" s="69">
        <f t="shared" si="1041"/>
        <v>17</v>
      </c>
      <c r="GQ116" s="11">
        <v>134</v>
      </c>
      <c r="GR116" s="12">
        <f t="shared" si="990"/>
        <v>0.77900552486187846</v>
      </c>
      <c r="GS116" s="11">
        <v>7</v>
      </c>
      <c r="GT116" s="12">
        <f t="shared" si="991"/>
        <v>4.9645390070921988E-2</v>
      </c>
      <c r="GU116" s="11"/>
      <c r="GV116" s="11"/>
      <c r="GW116" s="18"/>
      <c r="GX116" s="20"/>
      <c r="GY116" s="10"/>
      <c r="GZ116" s="11"/>
      <c r="HA116" s="69">
        <f t="shared" si="1042"/>
        <v>908</v>
      </c>
      <c r="HB116" s="69">
        <f t="shared" si="1043"/>
        <v>78</v>
      </c>
      <c r="HC116" s="11">
        <v>646</v>
      </c>
      <c r="HD116" s="12">
        <f t="shared" si="992"/>
        <v>0.73017621145374445</v>
      </c>
      <c r="HE116" s="11">
        <v>17</v>
      </c>
      <c r="HF116" s="12">
        <f t="shared" si="993"/>
        <v>2.564102564102564E-2</v>
      </c>
      <c r="HG116" s="11"/>
      <c r="HH116" s="11"/>
      <c r="HI116" s="18"/>
      <c r="HJ116" s="20"/>
      <c r="HK116" s="10">
        <f t="shared" si="994"/>
        <v>5</v>
      </c>
      <c r="HL116" s="11">
        <f t="shared" si="995"/>
        <v>0</v>
      </c>
      <c r="HM116" s="11">
        <f t="shared" si="996"/>
        <v>12261</v>
      </c>
      <c r="HN116" s="11">
        <f t="shared" si="997"/>
        <v>1046</v>
      </c>
      <c r="HO116" s="11">
        <f t="shared" si="998"/>
        <v>8815</v>
      </c>
      <c r="HP116" s="95">
        <f t="shared" si="999"/>
        <v>0.71894625234483323</v>
      </c>
      <c r="HQ116" s="15">
        <f t="shared" si="1000"/>
        <v>158</v>
      </c>
      <c r="HR116" s="12">
        <f t="shared" si="1001"/>
        <v>1.7923993193420307E-2</v>
      </c>
      <c r="HS116" s="16">
        <v>60.9</v>
      </c>
      <c r="HT116" s="17">
        <v>8467</v>
      </c>
      <c r="HU116" s="16">
        <f t="shared" si="1002"/>
        <v>96.052183777651734</v>
      </c>
      <c r="HV116" s="18"/>
      <c r="HW116" s="20"/>
      <c r="HX116" s="73">
        <f t="shared" si="1003"/>
        <v>0.71239470517448855</v>
      </c>
      <c r="HY116" s="73">
        <f t="shared" si="1004"/>
        <v>0.72738349070971675</v>
      </c>
      <c r="HZ116" s="73">
        <f t="shared" si="1005"/>
        <v>0.71026011560693647</v>
      </c>
      <c r="IA116" s="73">
        <f t="shared" si="1006"/>
        <v>0.72522522522522526</v>
      </c>
    </row>
    <row r="117" spans="1:244" x14ac:dyDescent="0.25">
      <c r="A117" s="374"/>
      <c r="B117" s="41">
        <f>+B116+1</f>
        <v>45029</v>
      </c>
      <c r="C117" s="10"/>
      <c r="D117" s="11"/>
      <c r="E117" s="69">
        <f t="shared" si="1008"/>
        <v>843</v>
      </c>
      <c r="F117" s="69">
        <f t="shared" si="1009"/>
        <v>72</v>
      </c>
      <c r="G117" s="11">
        <v>603</v>
      </c>
      <c r="H117" s="12">
        <f t="shared" si="958"/>
        <v>0.72479240806642942</v>
      </c>
      <c r="I117" s="11">
        <v>8</v>
      </c>
      <c r="J117" s="12">
        <f t="shared" si="959"/>
        <v>1.3093289689034371E-2</v>
      </c>
      <c r="K117" s="13"/>
      <c r="L117" s="13"/>
      <c r="M117" s="25">
        <v>3978</v>
      </c>
      <c r="N117" s="38">
        <v>4265</v>
      </c>
      <c r="O117" s="10"/>
      <c r="P117" s="11"/>
      <c r="Q117" s="69">
        <f t="shared" si="1010"/>
        <v>764</v>
      </c>
      <c r="R117" s="69">
        <f t="shared" si="1011"/>
        <v>65</v>
      </c>
      <c r="S117" s="11">
        <v>517</v>
      </c>
      <c r="T117" s="12">
        <f t="shared" si="960"/>
        <v>0.68717277486910999</v>
      </c>
      <c r="U117" s="11">
        <v>8</v>
      </c>
      <c r="V117" s="12">
        <f t="shared" si="961"/>
        <v>1.5238095238095238E-2</v>
      </c>
      <c r="W117" s="13"/>
      <c r="X117" s="13"/>
      <c r="Y117" s="25">
        <v>3978</v>
      </c>
      <c r="Z117" s="38">
        <v>4265</v>
      </c>
      <c r="AA117" s="10"/>
      <c r="AB117" s="11"/>
      <c r="AC117" s="69">
        <f t="shared" si="1012"/>
        <v>177</v>
      </c>
      <c r="AD117" s="69">
        <f t="shared" si="1013"/>
        <v>13</v>
      </c>
      <c r="AE117" s="11">
        <v>124</v>
      </c>
      <c r="AF117" s="12">
        <f t="shared" si="962"/>
        <v>0.71186440677966101</v>
      </c>
      <c r="AG117" s="11">
        <v>2</v>
      </c>
      <c r="AH117" s="12">
        <f t="shared" si="963"/>
        <v>1.5873015873015872E-2</v>
      </c>
      <c r="AI117" s="13"/>
      <c r="AJ117" s="13"/>
      <c r="AK117" s="25">
        <v>3978</v>
      </c>
      <c r="AL117" s="38">
        <v>4265</v>
      </c>
      <c r="AM117" s="10"/>
      <c r="AN117" s="11"/>
      <c r="AO117" s="69">
        <f t="shared" si="1014"/>
        <v>774</v>
      </c>
      <c r="AP117" s="69">
        <f t="shared" si="1015"/>
        <v>65</v>
      </c>
      <c r="AQ117" s="11">
        <v>547</v>
      </c>
      <c r="AR117" s="12">
        <f t="shared" si="964"/>
        <v>0.71705426356589153</v>
      </c>
      <c r="AS117" s="11">
        <v>8</v>
      </c>
      <c r="AT117" s="12">
        <f t="shared" si="965"/>
        <v>1.4414414414414415E-2</v>
      </c>
      <c r="AU117" s="13"/>
      <c r="AV117" s="13"/>
      <c r="AW117" s="25">
        <v>3978</v>
      </c>
      <c r="AX117" s="38">
        <v>4265</v>
      </c>
      <c r="AY117" s="10"/>
      <c r="AZ117" s="11"/>
      <c r="BA117" s="69">
        <f t="shared" si="1016"/>
        <v>766</v>
      </c>
      <c r="BB117" s="69">
        <f t="shared" si="1017"/>
        <v>67</v>
      </c>
      <c r="BC117" s="11">
        <v>555</v>
      </c>
      <c r="BD117" s="12">
        <f t="shared" si="966"/>
        <v>0.73368146214099217</v>
      </c>
      <c r="BE117" s="11">
        <v>7</v>
      </c>
      <c r="BF117" s="12">
        <f t="shared" si="967"/>
        <v>1.2455516014234875E-2</v>
      </c>
      <c r="BG117" s="13"/>
      <c r="BH117" s="13"/>
      <c r="BI117" s="25">
        <v>3978</v>
      </c>
      <c r="BJ117" s="38">
        <v>4265</v>
      </c>
      <c r="BK117" s="10"/>
      <c r="BL117" s="11"/>
      <c r="BM117" s="69">
        <f t="shared" si="1018"/>
        <v>835</v>
      </c>
      <c r="BN117" s="69">
        <f t="shared" si="1019"/>
        <v>72</v>
      </c>
      <c r="BO117" s="11">
        <v>600</v>
      </c>
      <c r="BP117" s="12">
        <f t="shared" si="968"/>
        <v>0.72455089820359286</v>
      </c>
      <c r="BQ117" s="11">
        <v>5</v>
      </c>
      <c r="BR117" s="12">
        <f t="shared" si="969"/>
        <v>8.2644628099173556E-3</v>
      </c>
      <c r="BS117" s="13"/>
      <c r="BT117" s="13"/>
      <c r="BU117" s="25">
        <v>3978</v>
      </c>
      <c r="BV117" s="38">
        <v>4265</v>
      </c>
      <c r="BW117" s="10"/>
      <c r="BX117" s="11"/>
      <c r="BY117" s="69">
        <f t="shared" si="1020"/>
        <v>758</v>
      </c>
      <c r="BZ117" s="69">
        <f t="shared" si="1021"/>
        <v>64</v>
      </c>
      <c r="CA117" s="11">
        <v>538</v>
      </c>
      <c r="CB117" s="12">
        <f t="shared" si="970"/>
        <v>0.72427440633245388</v>
      </c>
      <c r="CC117" s="11">
        <v>11</v>
      </c>
      <c r="CD117" s="12">
        <f t="shared" si="971"/>
        <v>2.0036429872495445E-2</v>
      </c>
      <c r="CE117" s="13"/>
      <c r="CF117" s="13"/>
      <c r="CG117" s="25">
        <v>3978</v>
      </c>
      <c r="CH117" s="38">
        <v>4265</v>
      </c>
      <c r="CI117" s="10"/>
      <c r="CJ117" s="11"/>
      <c r="CK117" s="69">
        <f t="shared" si="1022"/>
        <v>176</v>
      </c>
      <c r="CL117" s="69">
        <f t="shared" si="1023"/>
        <v>14</v>
      </c>
      <c r="CM117" s="11">
        <v>118</v>
      </c>
      <c r="CN117" s="12">
        <f t="shared" si="972"/>
        <v>0.73863636363636365</v>
      </c>
      <c r="CO117" s="11">
        <v>12</v>
      </c>
      <c r="CP117" s="12">
        <f t="shared" si="973"/>
        <v>9.2307692307692313E-2</v>
      </c>
      <c r="CQ117" s="13"/>
      <c r="CR117" s="13"/>
      <c r="CS117" s="25">
        <v>3978</v>
      </c>
      <c r="CT117" s="38">
        <v>4265</v>
      </c>
      <c r="CU117" s="10">
        <v>1</v>
      </c>
      <c r="CV117" s="11"/>
      <c r="CW117" s="69">
        <f t="shared" si="1024"/>
        <v>752</v>
      </c>
      <c r="CX117" s="69">
        <f t="shared" si="1025"/>
        <v>65</v>
      </c>
      <c r="CY117" s="11">
        <v>507</v>
      </c>
      <c r="CZ117" s="12">
        <f t="shared" si="974"/>
        <v>0.68882978723404253</v>
      </c>
      <c r="DA117" s="11">
        <v>11</v>
      </c>
      <c r="DB117" s="12">
        <f t="shared" si="975"/>
        <v>2.1235521235521235E-2</v>
      </c>
      <c r="DC117" s="13"/>
      <c r="DD117" s="13"/>
      <c r="DE117" s="25">
        <v>3978</v>
      </c>
      <c r="DF117" s="38">
        <v>4265</v>
      </c>
      <c r="DG117" s="10"/>
      <c r="DH117" s="11"/>
      <c r="DI117" s="69">
        <f t="shared" si="1026"/>
        <v>761</v>
      </c>
      <c r="DJ117" s="69">
        <f t="shared" si="1027"/>
        <v>67</v>
      </c>
      <c r="DK117" s="11">
        <v>524</v>
      </c>
      <c r="DL117" s="12">
        <f t="shared" si="976"/>
        <v>0.70433639947437587</v>
      </c>
      <c r="DM117" s="11">
        <v>12</v>
      </c>
      <c r="DN117" s="12">
        <f t="shared" si="977"/>
        <v>2.2388059701492536E-2</v>
      </c>
      <c r="DO117" s="13"/>
      <c r="DP117" s="13"/>
      <c r="DQ117" s="25">
        <v>3978</v>
      </c>
      <c r="DR117" s="38">
        <v>4265</v>
      </c>
      <c r="DS117" s="10">
        <v>1</v>
      </c>
      <c r="DT117" s="11"/>
      <c r="DU117" s="69">
        <f t="shared" si="1028"/>
        <v>848</v>
      </c>
      <c r="DV117" s="69">
        <f t="shared" si="1029"/>
        <v>71</v>
      </c>
      <c r="DW117" s="11">
        <v>605</v>
      </c>
      <c r="DX117" s="12">
        <f t="shared" si="978"/>
        <v>0.72051886792452835</v>
      </c>
      <c r="DY117" s="11">
        <v>6</v>
      </c>
      <c r="DZ117" s="12">
        <f t="shared" si="979"/>
        <v>9.8199672667757774E-3</v>
      </c>
      <c r="EA117" s="13"/>
      <c r="EB117" s="13"/>
      <c r="EC117" s="25">
        <v>3978</v>
      </c>
      <c r="ED117" s="38">
        <v>4265</v>
      </c>
      <c r="EE117" s="10"/>
      <c r="EF117" s="11"/>
      <c r="EG117" s="69">
        <f t="shared" si="1030"/>
        <v>859</v>
      </c>
      <c r="EH117" s="69">
        <f t="shared" si="1031"/>
        <v>74</v>
      </c>
      <c r="EI117" s="11">
        <v>583</v>
      </c>
      <c r="EJ117" s="12">
        <f t="shared" si="980"/>
        <v>0.6938300349243306</v>
      </c>
      <c r="EK117" s="11">
        <v>13</v>
      </c>
      <c r="EL117" s="12">
        <f t="shared" si="981"/>
        <v>2.1812080536912751E-2</v>
      </c>
      <c r="EM117" s="13"/>
      <c r="EN117" s="13"/>
      <c r="EO117" s="25">
        <v>3978</v>
      </c>
      <c r="EP117" s="38">
        <v>4265</v>
      </c>
      <c r="EQ117" s="10"/>
      <c r="ER117" s="11"/>
      <c r="ES117" s="69">
        <f t="shared" si="1032"/>
        <v>196</v>
      </c>
      <c r="ET117" s="69">
        <f t="shared" si="1033"/>
        <v>16</v>
      </c>
      <c r="EU117" s="11">
        <v>146</v>
      </c>
      <c r="EV117" s="12">
        <f t="shared" si="982"/>
        <v>0.77040816326530615</v>
      </c>
      <c r="EW117" s="11">
        <v>5</v>
      </c>
      <c r="EX117" s="12">
        <f t="shared" si="983"/>
        <v>3.3112582781456956E-2</v>
      </c>
      <c r="EY117" s="13"/>
      <c r="EZ117" s="13"/>
      <c r="FA117" s="25">
        <v>3978</v>
      </c>
      <c r="FB117" s="38">
        <v>4265</v>
      </c>
      <c r="FC117" s="10"/>
      <c r="FD117" s="11"/>
      <c r="FE117" s="69">
        <f t="shared" si="1034"/>
        <v>864</v>
      </c>
      <c r="FF117" s="69">
        <f t="shared" si="1035"/>
        <v>75</v>
      </c>
      <c r="FG117" s="11">
        <v>640</v>
      </c>
      <c r="FH117" s="12">
        <f t="shared" si="984"/>
        <v>0.74537037037037035</v>
      </c>
      <c r="FI117" s="11">
        <v>4</v>
      </c>
      <c r="FJ117" s="12">
        <f t="shared" si="985"/>
        <v>6.2111801242236021E-3</v>
      </c>
      <c r="FK117" s="13"/>
      <c r="FL117" s="13"/>
      <c r="FM117" s="25">
        <v>3978</v>
      </c>
      <c r="FN117" s="38">
        <v>4265</v>
      </c>
      <c r="FO117" s="10"/>
      <c r="FP117" s="11"/>
      <c r="FQ117" s="69">
        <f t="shared" si="1036"/>
        <v>903</v>
      </c>
      <c r="FR117" s="69">
        <f t="shared" si="1037"/>
        <v>75</v>
      </c>
      <c r="FS117" s="11">
        <v>621</v>
      </c>
      <c r="FT117" s="12">
        <f t="shared" si="986"/>
        <v>0.70542635658914732</v>
      </c>
      <c r="FU117" s="11">
        <v>16</v>
      </c>
      <c r="FV117" s="12">
        <f t="shared" si="987"/>
        <v>2.5117739403453691E-2</v>
      </c>
      <c r="FW117" s="13"/>
      <c r="FX117" s="13"/>
      <c r="FY117" s="25">
        <v>3978</v>
      </c>
      <c r="FZ117" s="38">
        <v>4265</v>
      </c>
      <c r="GA117" s="10"/>
      <c r="GB117" s="11"/>
      <c r="GC117" s="69">
        <f t="shared" si="1038"/>
        <v>894</v>
      </c>
      <c r="GD117" s="69">
        <f t="shared" si="1039"/>
        <v>76</v>
      </c>
      <c r="GE117" s="11">
        <v>624</v>
      </c>
      <c r="GF117" s="12">
        <f t="shared" si="988"/>
        <v>0.7203579418344519</v>
      </c>
      <c r="GG117" s="11">
        <v>20</v>
      </c>
      <c r="GH117" s="12">
        <f t="shared" si="989"/>
        <v>3.1055900621118012E-2</v>
      </c>
      <c r="GI117" s="13"/>
      <c r="GJ117" s="13"/>
      <c r="GK117" s="25">
        <v>3978</v>
      </c>
      <c r="GL117" s="38">
        <v>4265</v>
      </c>
      <c r="GM117" s="10"/>
      <c r="GN117" s="11"/>
      <c r="GO117" s="69">
        <f t="shared" si="1040"/>
        <v>181</v>
      </c>
      <c r="GP117" s="69">
        <f t="shared" si="1041"/>
        <v>17</v>
      </c>
      <c r="GQ117" s="11">
        <v>143</v>
      </c>
      <c r="GR117" s="12">
        <f t="shared" si="990"/>
        <v>0.81215469613259672</v>
      </c>
      <c r="GS117" s="11">
        <v>4</v>
      </c>
      <c r="GT117" s="12">
        <f t="shared" si="991"/>
        <v>2.7210884353741496E-2</v>
      </c>
      <c r="GU117" s="13"/>
      <c r="GV117" s="13"/>
      <c r="GW117" s="25">
        <v>3978</v>
      </c>
      <c r="GX117" s="38">
        <v>4265</v>
      </c>
      <c r="GY117" s="10"/>
      <c r="GZ117" s="11"/>
      <c r="HA117" s="69">
        <f t="shared" si="1042"/>
        <v>908</v>
      </c>
      <c r="HB117" s="69">
        <f t="shared" si="1043"/>
        <v>78</v>
      </c>
      <c r="HC117" s="11">
        <v>646</v>
      </c>
      <c r="HD117" s="12">
        <f t="shared" si="992"/>
        <v>0.72026431718061679</v>
      </c>
      <c r="HE117" s="11">
        <v>8</v>
      </c>
      <c r="HF117" s="12">
        <f t="shared" si="993"/>
        <v>1.2232415902140673E-2</v>
      </c>
      <c r="HG117" s="13"/>
      <c r="HH117" s="13"/>
      <c r="HI117" s="25">
        <v>3978</v>
      </c>
      <c r="HJ117" s="38">
        <v>4265</v>
      </c>
      <c r="HK117" s="10">
        <f t="shared" si="994"/>
        <v>2</v>
      </c>
      <c r="HL117" s="11">
        <f t="shared" si="995"/>
        <v>0</v>
      </c>
      <c r="HM117" s="11">
        <f t="shared" si="996"/>
        <v>12259</v>
      </c>
      <c r="HN117" s="11">
        <f t="shared" si="997"/>
        <v>1046</v>
      </c>
      <c r="HO117" s="11">
        <f t="shared" si="998"/>
        <v>8801</v>
      </c>
      <c r="HP117" s="95">
        <f t="shared" si="999"/>
        <v>0.71792152704135737</v>
      </c>
      <c r="HQ117" s="15">
        <f t="shared" si="1000"/>
        <v>160</v>
      </c>
      <c r="HR117" s="12">
        <f t="shared" si="1001"/>
        <v>1.8179752300874902E-2</v>
      </c>
      <c r="HS117" s="16">
        <v>61</v>
      </c>
      <c r="HT117" s="17">
        <v>8472</v>
      </c>
      <c r="HU117" s="16">
        <f t="shared" si="1002"/>
        <v>96.261788433132594</v>
      </c>
      <c r="HV117" s="23">
        <v>3978</v>
      </c>
      <c r="HW117" s="22">
        <v>4265</v>
      </c>
      <c r="HX117" s="73">
        <f t="shared" si="1003"/>
        <v>0.71570397111913353</v>
      </c>
      <c r="HY117" s="73">
        <f t="shared" si="1004"/>
        <v>0.71237050578915295</v>
      </c>
      <c r="HZ117" s="73">
        <f t="shared" si="1005"/>
        <v>0.72352728586917237</v>
      </c>
      <c r="IA117" s="73">
        <f t="shared" si="1006"/>
        <v>0.7214137214137214</v>
      </c>
    </row>
    <row r="118" spans="1:244" x14ac:dyDescent="0.25">
      <c r="A118" s="374"/>
      <c r="B118" s="41">
        <f t="shared" si="1007"/>
        <v>45030</v>
      </c>
      <c r="C118" s="10">
        <v>1</v>
      </c>
      <c r="D118" s="11"/>
      <c r="E118" s="69">
        <f t="shared" si="1008"/>
        <v>842</v>
      </c>
      <c r="F118" s="69">
        <f t="shared" si="1009"/>
        <v>72</v>
      </c>
      <c r="G118" s="11">
        <v>626</v>
      </c>
      <c r="H118" s="12">
        <f t="shared" si="958"/>
        <v>0.75296912114014247</v>
      </c>
      <c r="I118" s="11">
        <v>8</v>
      </c>
      <c r="J118" s="12">
        <f t="shared" si="959"/>
        <v>1.2618296529968454E-2</v>
      </c>
      <c r="K118" s="13"/>
      <c r="L118" s="11"/>
      <c r="M118" s="25">
        <v>4586.67</v>
      </c>
      <c r="N118" s="38">
        <v>4405</v>
      </c>
      <c r="O118" s="10">
        <v>1</v>
      </c>
      <c r="P118" s="11"/>
      <c r="Q118" s="69">
        <f t="shared" si="1010"/>
        <v>763</v>
      </c>
      <c r="R118" s="69">
        <f t="shared" si="1011"/>
        <v>65</v>
      </c>
      <c r="S118" s="11">
        <v>537</v>
      </c>
      <c r="T118" s="12">
        <f t="shared" si="960"/>
        <v>0.72083879423328967</v>
      </c>
      <c r="U118" s="11">
        <v>13</v>
      </c>
      <c r="V118" s="12">
        <f t="shared" si="961"/>
        <v>2.3636363636363636E-2</v>
      </c>
      <c r="W118" s="13"/>
      <c r="X118" s="11"/>
      <c r="Y118" s="25">
        <v>4614.29</v>
      </c>
      <c r="Z118" s="38">
        <v>4753.53</v>
      </c>
      <c r="AA118" s="10"/>
      <c r="AB118" s="11"/>
      <c r="AC118" s="69">
        <f t="shared" si="1012"/>
        <v>177</v>
      </c>
      <c r="AD118" s="69">
        <f t="shared" si="1013"/>
        <v>13</v>
      </c>
      <c r="AE118" s="11">
        <v>129</v>
      </c>
      <c r="AF118" s="12">
        <f t="shared" si="962"/>
        <v>0.7344632768361582</v>
      </c>
      <c r="AG118" s="11">
        <v>1</v>
      </c>
      <c r="AH118" s="12">
        <f t="shared" si="963"/>
        <v>7.6923076923076927E-3</v>
      </c>
      <c r="AI118" s="13"/>
      <c r="AJ118" s="11"/>
      <c r="AK118" s="25">
        <v>4915</v>
      </c>
      <c r="AL118" s="38">
        <v>4358.33</v>
      </c>
      <c r="AM118" s="10"/>
      <c r="AN118" s="11"/>
      <c r="AO118" s="69">
        <f t="shared" si="1014"/>
        <v>774</v>
      </c>
      <c r="AP118" s="69">
        <f t="shared" si="1015"/>
        <v>65</v>
      </c>
      <c r="AQ118" s="11">
        <v>540</v>
      </c>
      <c r="AR118" s="12">
        <f t="shared" si="964"/>
        <v>0.70801033591731266</v>
      </c>
      <c r="AS118" s="11">
        <v>8</v>
      </c>
      <c r="AT118" s="12">
        <f t="shared" si="965"/>
        <v>1.4598540145985401E-2</v>
      </c>
      <c r="AU118" s="13"/>
      <c r="AV118" s="11"/>
      <c r="AW118" s="25">
        <v>4587.67</v>
      </c>
      <c r="AX118" s="38">
        <v>4592.5</v>
      </c>
      <c r="AY118" s="10"/>
      <c r="AZ118" s="11"/>
      <c r="BA118" s="69">
        <f t="shared" si="1016"/>
        <v>766</v>
      </c>
      <c r="BB118" s="69">
        <f t="shared" si="1017"/>
        <v>67</v>
      </c>
      <c r="BC118" s="11">
        <v>583</v>
      </c>
      <c r="BD118" s="12">
        <f t="shared" si="966"/>
        <v>0.78459530026109658</v>
      </c>
      <c r="BE118" s="11">
        <v>18</v>
      </c>
      <c r="BF118" s="12">
        <f t="shared" si="967"/>
        <v>2.9950083194675542E-2</v>
      </c>
      <c r="BG118" s="13"/>
      <c r="BH118" s="11"/>
      <c r="BI118" s="25">
        <v>4513.33</v>
      </c>
      <c r="BJ118" s="38">
        <v>4846</v>
      </c>
      <c r="BK118" s="10"/>
      <c r="BL118" s="11"/>
      <c r="BM118" s="69">
        <f t="shared" si="1018"/>
        <v>835</v>
      </c>
      <c r="BN118" s="69">
        <f t="shared" si="1019"/>
        <v>72</v>
      </c>
      <c r="BO118" s="11">
        <v>619</v>
      </c>
      <c r="BP118" s="12">
        <f t="shared" si="968"/>
        <v>0.75449101796407181</v>
      </c>
      <c r="BQ118" s="11">
        <v>11</v>
      </c>
      <c r="BR118" s="12">
        <f t="shared" si="969"/>
        <v>1.7460317460317461E-2</v>
      </c>
      <c r="BS118" s="13"/>
      <c r="BT118" s="11"/>
      <c r="BU118" s="25">
        <v>4591.33</v>
      </c>
      <c r="BV118" s="38">
        <v>4521.43</v>
      </c>
      <c r="BW118" s="10">
        <v>1</v>
      </c>
      <c r="BX118" s="11"/>
      <c r="BY118" s="69">
        <f t="shared" si="1020"/>
        <v>757</v>
      </c>
      <c r="BZ118" s="69">
        <f t="shared" si="1021"/>
        <v>64</v>
      </c>
      <c r="CA118" s="11">
        <v>543</v>
      </c>
      <c r="CB118" s="12">
        <f t="shared" si="970"/>
        <v>0.72258916776750326</v>
      </c>
      <c r="CC118" s="11">
        <v>4</v>
      </c>
      <c r="CD118" s="12">
        <f t="shared" si="971"/>
        <v>7.3126142595978062E-3</v>
      </c>
      <c r="CE118" s="13"/>
      <c r="CF118" s="11"/>
      <c r="CG118" s="25">
        <v>4579.5</v>
      </c>
      <c r="CH118" s="38">
        <v>4615.88</v>
      </c>
      <c r="CI118" s="10"/>
      <c r="CJ118" s="11"/>
      <c r="CK118" s="69">
        <f t="shared" si="1022"/>
        <v>176</v>
      </c>
      <c r="CL118" s="69">
        <f t="shared" si="1023"/>
        <v>14</v>
      </c>
      <c r="CM118" s="11">
        <v>129</v>
      </c>
      <c r="CN118" s="12">
        <f t="shared" si="972"/>
        <v>0.75</v>
      </c>
      <c r="CO118" s="11">
        <v>3</v>
      </c>
      <c r="CP118" s="12">
        <f t="shared" si="973"/>
        <v>2.2727272727272728E-2</v>
      </c>
      <c r="CQ118" s="13"/>
      <c r="CR118" s="11"/>
      <c r="CS118" s="25">
        <v>4551</v>
      </c>
      <c r="CT118" s="38">
        <v>4276.67</v>
      </c>
      <c r="CU118" s="10"/>
      <c r="CV118" s="11"/>
      <c r="CW118" s="69">
        <f t="shared" si="1024"/>
        <v>752</v>
      </c>
      <c r="CX118" s="69">
        <f t="shared" si="1025"/>
        <v>65</v>
      </c>
      <c r="CY118" s="11">
        <v>545</v>
      </c>
      <c r="CZ118" s="12">
        <f t="shared" si="974"/>
        <v>0.7353723404255319</v>
      </c>
      <c r="DA118" s="11">
        <v>8</v>
      </c>
      <c r="DB118" s="12">
        <f t="shared" si="975"/>
        <v>1.4466546112115732E-2</v>
      </c>
      <c r="DC118" s="13"/>
      <c r="DD118" s="11"/>
      <c r="DE118" s="25">
        <v>4631.75</v>
      </c>
      <c r="DF118" s="38">
        <v>4649.29</v>
      </c>
      <c r="DG118" s="10"/>
      <c r="DH118" s="11"/>
      <c r="DI118" s="69">
        <f t="shared" si="1026"/>
        <v>761</v>
      </c>
      <c r="DJ118" s="69">
        <f t="shared" si="1027"/>
        <v>67</v>
      </c>
      <c r="DK118" s="11">
        <v>549</v>
      </c>
      <c r="DL118" s="12">
        <f t="shared" si="976"/>
        <v>0.74507227332457293</v>
      </c>
      <c r="DM118" s="11">
        <v>18</v>
      </c>
      <c r="DN118" s="12">
        <f t="shared" si="977"/>
        <v>3.1746031746031744E-2</v>
      </c>
      <c r="DO118" s="13"/>
      <c r="DP118" s="11"/>
      <c r="DQ118" s="25">
        <v>4751.58</v>
      </c>
      <c r="DR118" s="38">
        <v>4859</v>
      </c>
      <c r="DS118" s="10"/>
      <c r="DT118" s="11"/>
      <c r="DU118" s="69">
        <f t="shared" si="1028"/>
        <v>848</v>
      </c>
      <c r="DV118" s="69">
        <f t="shared" si="1029"/>
        <v>71</v>
      </c>
      <c r="DW118" s="11">
        <v>597</v>
      </c>
      <c r="DX118" s="12">
        <f t="shared" si="978"/>
        <v>0.73113207547169812</v>
      </c>
      <c r="DY118" s="11">
        <v>23</v>
      </c>
      <c r="DZ118" s="12">
        <f t="shared" si="979"/>
        <v>3.7096774193548385E-2</v>
      </c>
      <c r="EA118" s="13"/>
      <c r="EB118" s="11"/>
      <c r="EC118" s="25">
        <v>4543.41</v>
      </c>
      <c r="ED118" s="38">
        <v>4373.33</v>
      </c>
      <c r="EE118" s="10">
        <v>1</v>
      </c>
      <c r="EF118" s="11"/>
      <c r="EG118" s="69">
        <f t="shared" si="1030"/>
        <v>858</v>
      </c>
      <c r="EH118" s="69">
        <f t="shared" si="1031"/>
        <v>74</v>
      </c>
      <c r="EI118" s="11">
        <v>591</v>
      </c>
      <c r="EJ118" s="12">
        <f t="shared" si="980"/>
        <v>0.71445221445221441</v>
      </c>
      <c r="EK118" s="11">
        <v>22</v>
      </c>
      <c r="EL118" s="12">
        <f t="shared" si="981"/>
        <v>3.588907014681892E-2</v>
      </c>
      <c r="EM118" s="13"/>
      <c r="EN118" s="11"/>
      <c r="EO118" s="25">
        <v>4525.24</v>
      </c>
      <c r="EP118" s="38">
        <v>4584.29</v>
      </c>
      <c r="EQ118" s="10"/>
      <c r="ER118" s="11"/>
      <c r="ES118" s="69">
        <f t="shared" si="1032"/>
        <v>196</v>
      </c>
      <c r="ET118" s="69">
        <f t="shared" si="1033"/>
        <v>16</v>
      </c>
      <c r="EU118" s="11">
        <v>130</v>
      </c>
      <c r="EV118" s="12">
        <f t="shared" si="982"/>
        <v>0.6785714285714286</v>
      </c>
      <c r="EW118" s="11">
        <v>3</v>
      </c>
      <c r="EX118" s="12">
        <f t="shared" si="983"/>
        <v>2.2556390977443608E-2</v>
      </c>
      <c r="EY118" s="13"/>
      <c r="EZ118" s="11"/>
      <c r="FA118" s="25">
        <v>4586</v>
      </c>
      <c r="FB118" s="38">
        <v>4298</v>
      </c>
      <c r="FC118" s="10"/>
      <c r="FD118" s="11"/>
      <c r="FE118" s="69">
        <f t="shared" si="1034"/>
        <v>864</v>
      </c>
      <c r="FF118" s="69">
        <f t="shared" si="1035"/>
        <v>75</v>
      </c>
      <c r="FG118" s="11">
        <v>632</v>
      </c>
      <c r="FH118" s="12">
        <f t="shared" si="984"/>
        <v>0.73958333333333337</v>
      </c>
      <c r="FI118" s="11">
        <v>7</v>
      </c>
      <c r="FJ118" s="12">
        <f t="shared" si="985"/>
        <v>1.0954616588419406E-2</v>
      </c>
      <c r="FK118" s="13"/>
      <c r="FL118" s="11"/>
      <c r="FM118" s="25">
        <v>4588.3</v>
      </c>
      <c r="FN118" s="38">
        <v>4750</v>
      </c>
      <c r="FO118" s="10">
        <v>1</v>
      </c>
      <c r="FP118" s="11"/>
      <c r="FQ118" s="69">
        <f t="shared" si="1036"/>
        <v>902</v>
      </c>
      <c r="FR118" s="69">
        <f t="shared" si="1037"/>
        <v>75</v>
      </c>
      <c r="FS118" s="11">
        <v>610</v>
      </c>
      <c r="FT118" s="12">
        <f t="shared" si="986"/>
        <v>0.69623059866962311</v>
      </c>
      <c r="FU118" s="11">
        <v>18</v>
      </c>
      <c r="FV118" s="12">
        <f t="shared" si="987"/>
        <v>2.8662420382165606E-2</v>
      </c>
      <c r="FW118" s="13"/>
      <c r="FX118" s="11"/>
      <c r="FY118" s="25">
        <v>4603.78</v>
      </c>
      <c r="FZ118" s="38">
        <v>4408</v>
      </c>
      <c r="GA118" s="10"/>
      <c r="GB118" s="11"/>
      <c r="GC118" s="69">
        <f t="shared" si="1038"/>
        <v>894</v>
      </c>
      <c r="GD118" s="69">
        <f t="shared" si="1039"/>
        <v>76</v>
      </c>
      <c r="GE118" s="11">
        <v>624</v>
      </c>
      <c r="GF118" s="12">
        <f t="shared" si="988"/>
        <v>0.71476510067114096</v>
      </c>
      <c r="GG118" s="11">
        <v>15</v>
      </c>
      <c r="GH118" s="12">
        <f t="shared" si="989"/>
        <v>2.3474178403755867E-2</v>
      </c>
      <c r="GI118" s="13"/>
      <c r="GJ118" s="11"/>
      <c r="GK118" s="25">
        <v>4650</v>
      </c>
      <c r="GL118" s="38">
        <v>4598.7</v>
      </c>
      <c r="GM118" s="10"/>
      <c r="GN118" s="11"/>
      <c r="GO118" s="69">
        <f t="shared" si="1040"/>
        <v>181</v>
      </c>
      <c r="GP118" s="69">
        <f t="shared" si="1041"/>
        <v>17</v>
      </c>
      <c r="GQ118" s="11">
        <v>114</v>
      </c>
      <c r="GR118" s="12">
        <f t="shared" si="990"/>
        <v>0.65193370165745856</v>
      </c>
      <c r="GS118" s="11">
        <v>4</v>
      </c>
      <c r="GT118" s="12">
        <f t="shared" si="991"/>
        <v>3.3898305084745763E-2</v>
      </c>
      <c r="GU118" s="13"/>
      <c r="GV118" s="11"/>
      <c r="GW118" s="25">
        <v>4566.92</v>
      </c>
      <c r="GX118" s="38">
        <v>4195</v>
      </c>
      <c r="GY118" s="10"/>
      <c r="GZ118" s="11"/>
      <c r="HA118" s="69">
        <f t="shared" si="1042"/>
        <v>908</v>
      </c>
      <c r="HB118" s="69">
        <f t="shared" si="1043"/>
        <v>78</v>
      </c>
      <c r="HC118" s="11">
        <v>635</v>
      </c>
      <c r="HD118" s="12">
        <f t="shared" si="992"/>
        <v>0.71585903083700442</v>
      </c>
      <c r="HE118" s="11">
        <v>15</v>
      </c>
      <c r="HF118" s="12">
        <f t="shared" si="993"/>
        <v>2.3076923076923078E-2</v>
      </c>
      <c r="HG118" s="13"/>
      <c r="HH118" s="11"/>
      <c r="HI118" s="25">
        <v>4677.62</v>
      </c>
      <c r="HJ118" s="38">
        <v>4695.63</v>
      </c>
      <c r="HK118" s="10">
        <f t="shared" si="994"/>
        <v>5</v>
      </c>
      <c r="HL118" s="11">
        <f t="shared" si="995"/>
        <v>0</v>
      </c>
      <c r="HM118" s="11">
        <f t="shared" si="996"/>
        <v>12254</v>
      </c>
      <c r="HN118" s="11">
        <f t="shared" si="997"/>
        <v>1046</v>
      </c>
      <c r="HO118" s="11">
        <f t="shared" si="998"/>
        <v>8932</v>
      </c>
      <c r="HP118" s="95">
        <f t="shared" si="999"/>
        <v>0.72890484739676842</v>
      </c>
      <c r="HQ118" s="15">
        <f t="shared" si="1000"/>
        <v>199</v>
      </c>
      <c r="HR118" s="12">
        <f t="shared" si="1001"/>
        <v>2.2279444693237796E-2</v>
      </c>
      <c r="HS118" s="16" t="s">
        <v>147</v>
      </c>
      <c r="HT118" s="17">
        <v>8932</v>
      </c>
      <c r="HU118" s="16">
        <f t="shared" si="1002"/>
        <v>100</v>
      </c>
      <c r="HV118" s="23">
        <v>4605.62</v>
      </c>
      <c r="HW118" s="22">
        <v>4583.07</v>
      </c>
      <c r="HX118" s="73">
        <f t="shared" si="1003"/>
        <v>0.74142083082480437</v>
      </c>
      <c r="HY118" s="73">
        <f t="shared" si="1004"/>
        <v>0.74032307223407501</v>
      </c>
      <c r="HZ118" s="73">
        <f t="shared" si="1005"/>
        <v>0.72487346348517712</v>
      </c>
      <c r="IA118" s="73">
        <f t="shared" si="1006"/>
        <v>0.70537261698440212</v>
      </c>
    </row>
    <row r="119" spans="1:244" x14ac:dyDescent="0.25">
      <c r="A119" s="374"/>
      <c r="B119" s="41">
        <f t="shared" si="1007"/>
        <v>45031</v>
      </c>
      <c r="C119" s="10"/>
      <c r="D119" s="11"/>
      <c r="E119" s="69">
        <f t="shared" si="1008"/>
        <v>842</v>
      </c>
      <c r="F119" s="69">
        <f t="shared" si="1009"/>
        <v>72</v>
      </c>
      <c r="G119" s="11">
        <v>637</v>
      </c>
      <c r="H119" s="12">
        <f t="shared" si="958"/>
        <v>0.76840855106888362</v>
      </c>
      <c r="I119" s="11">
        <v>10</v>
      </c>
      <c r="J119" s="12">
        <f t="shared" si="959"/>
        <v>1.5455950540958269E-2</v>
      </c>
      <c r="K119" s="13"/>
      <c r="L119" s="11"/>
      <c r="M119" s="39">
        <v>91.1</v>
      </c>
      <c r="N119" s="43">
        <v>100</v>
      </c>
      <c r="O119" s="10"/>
      <c r="P119" s="11"/>
      <c r="Q119" s="69">
        <f t="shared" si="1010"/>
        <v>763</v>
      </c>
      <c r="R119" s="69">
        <f t="shared" si="1011"/>
        <v>65</v>
      </c>
      <c r="S119" s="11">
        <v>541</v>
      </c>
      <c r="T119" s="12">
        <f t="shared" si="960"/>
        <v>0.71690694626474438</v>
      </c>
      <c r="U119" s="11">
        <v>6</v>
      </c>
      <c r="V119" s="12">
        <f t="shared" si="961"/>
        <v>1.0968921389396709E-2</v>
      </c>
      <c r="W119" s="13"/>
      <c r="X119" s="11"/>
      <c r="Y119" s="39">
        <v>76.19</v>
      </c>
      <c r="Z119" s="43">
        <v>100</v>
      </c>
      <c r="AA119" s="10"/>
      <c r="AB119" s="11"/>
      <c r="AC119" s="69">
        <f t="shared" si="1012"/>
        <v>177</v>
      </c>
      <c r="AD119" s="69">
        <f t="shared" si="1013"/>
        <v>13</v>
      </c>
      <c r="AE119" s="11">
        <v>131</v>
      </c>
      <c r="AF119" s="12">
        <f t="shared" si="962"/>
        <v>0.75706214689265539</v>
      </c>
      <c r="AG119" s="11">
        <v>3</v>
      </c>
      <c r="AH119" s="12">
        <f t="shared" si="963"/>
        <v>2.2388059701492536E-2</v>
      </c>
      <c r="AI119" s="13"/>
      <c r="AJ119" s="11"/>
      <c r="AK119" s="39">
        <v>90</v>
      </c>
      <c r="AL119" s="43">
        <v>100</v>
      </c>
      <c r="AM119" s="10"/>
      <c r="AN119" s="11"/>
      <c r="AO119" s="69">
        <f t="shared" si="1014"/>
        <v>774</v>
      </c>
      <c r="AP119" s="69">
        <f t="shared" si="1015"/>
        <v>65</v>
      </c>
      <c r="AQ119" s="11">
        <v>570</v>
      </c>
      <c r="AR119" s="12">
        <f t="shared" si="964"/>
        <v>0.74289405684754517</v>
      </c>
      <c r="AS119" s="11">
        <v>5</v>
      </c>
      <c r="AT119" s="12">
        <f t="shared" si="965"/>
        <v>8.6956521739130436E-3</v>
      </c>
      <c r="AU119" s="13"/>
      <c r="AV119" s="11"/>
      <c r="AW119" s="39">
        <v>88.4</v>
      </c>
      <c r="AX119" s="43">
        <v>100</v>
      </c>
      <c r="AY119" s="10"/>
      <c r="AZ119" s="11"/>
      <c r="BA119" s="69">
        <f t="shared" si="1016"/>
        <v>766</v>
      </c>
      <c r="BB119" s="69">
        <f t="shared" si="1017"/>
        <v>67</v>
      </c>
      <c r="BC119" s="11">
        <v>564</v>
      </c>
      <c r="BD119" s="12">
        <f t="shared" si="966"/>
        <v>0.74412532637075723</v>
      </c>
      <c r="BE119" s="11">
        <v>6</v>
      </c>
      <c r="BF119" s="12">
        <f t="shared" si="967"/>
        <v>1.0526315789473684E-2</v>
      </c>
      <c r="BG119" s="13"/>
      <c r="BH119" s="11"/>
      <c r="BI119" s="39">
        <v>82.05</v>
      </c>
      <c r="BJ119" s="43">
        <v>100</v>
      </c>
      <c r="BK119" s="10"/>
      <c r="BL119" s="11"/>
      <c r="BM119" s="69">
        <f t="shared" si="1018"/>
        <v>835</v>
      </c>
      <c r="BN119" s="69">
        <f t="shared" si="1019"/>
        <v>72</v>
      </c>
      <c r="BO119" s="11">
        <v>603</v>
      </c>
      <c r="BP119" s="12">
        <f t="shared" si="968"/>
        <v>0.74011976047904193</v>
      </c>
      <c r="BQ119" s="11">
        <v>15</v>
      </c>
      <c r="BR119" s="12">
        <f t="shared" si="969"/>
        <v>2.4271844660194174E-2</v>
      </c>
      <c r="BS119" s="13"/>
      <c r="BT119" s="11"/>
      <c r="BU119" s="39">
        <v>84.44</v>
      </c>
      <c r="BV119" s="43">
        <v>100</v>
      </c>
      <c r="BW119" s="10"/>
      <c r="BX119" s="11"/>
      <c r="BY119" s="69">
        <f t="shared" si="1020"/>
        <v>757</v>
      </c>
      <c r="BZ119" s="69">
        <f t="shared" si="1021"/>
        <v>64</v>
      </c>
      <c r="CA119" s="11">
        <v>553</v>
      </c>
      <c r="CB119" s="12">
        <f t="shared" si="970"/>
        <v>0.75033025099075301</v>
      </c>
      <c r="CC119" s="11">
        <v>15</v>
      </c>
      <c r="CD119" s="12">
        <f t="shared" si="971"/>
        <v>2.6408450704225352E-2</v>
      </c>
      <c r="CE119" s="13"/>
      <c r="CF119" s="11"/>
      <c r="CG119" s="39">
        <v>77.5</v>
      </c>
      <c r="CH119" s="43">
        <v>94.12</v>
      </c>
      <c r="CI119" s="10"/>
      <c r="CJ119" s="11"/>
      <c r="CK119" s="69">
        <f t="shared" si="1022"/>
        <v>176</v>
      </c>
      <c r="CL119" s="69">
        <f t="shared" si="1023"/>
        <v>14</v>
      </c>
      <c r="CM119" s="11">
        <v>107</v>
      </c>
      <c r="CN119" s="12">
        <f t="shared" si="972"/>
        <v>0.61931818181818177</v>
      </c>
      <c r="CO119" s="11">
        <v>2</v>
      </c>
      <c r="CP119" s="12">
        <f t="shared" si="973"/>
        <v>1.834862385321101E-2</v>
      </c>
      <c r="CQ119" s="13"/>
      <c r="CR119" s="11"/>
      <c r="CS119" s="39">
        <v>90</v>
      </c>
      <c r="CT119" s="43">
        <v>83.33</v>
      </c>
      <c r="CU119" s="10"/>
      <c r="CV119" s="11"/>
      <c r="CW119" s="69">
        <f t="shared" si="1024"/>
        <v>752</v>
      </c>
      <c r="CX119" s="69">
        <f t="shared" si="1025"/>
        <v>65</v>
      </c>
      <c r="CY119" s="11">
        <v>550</v>
      </c>
      <c r="CZ119" s="12">
        <f t="shared" si="974"/>
        <v>0.74202127659574468</v>
      </c>
      <c r="DA119" s="11">
        <v>8</v>
      </c>
      <c r="DB119" s="12">
        <f t="shared" si="975"/>
        <v>1.4336917562724014E-2</v>
      </c>
      <c r="DC119" s="13"/>
      <c r="DD119" s="11"/>
      <c r="DE119" s="39">
        <v>92.5</v>
      </c>
      <c r="DF119" s="43">
        <v>100</v>
      </c>
      <c r="DG119" s="10"/>
      <c r="DH119" s="11"/>
      <c r="DI119" s="69">
        <f t="shared" si="1026"/>
        <v>761</v>
      </c>
      <c r="DJ119" s="69">
        <f t="shared" si="1027"/>
        <v>67</v>
      </c>
      <c r="DK119" s="11">
        <v>549</v>
      </c>
      <c r="DL119" s="12">
        <f t="shared" si="976"/>
        <v>0.75032851511169518</v>
      </c>
      <c r="DM119" s="11">
        <v>22</v>
      </c>
      <c r="DN119" s="12">
        <f t="shared" si="977"/>
        <v>3.8528896672504379E-2</v>
      </c>
      <c r="DO119" s="13"/>
      <c r="DP119" s="11"/>
      <c r="DQ119" s="39">
        <v>89.47</v>
      </c>
      <c r="DR119" s="43">
        <v>100</v>
      </c>
      <c r="DS119" s="10"/>
      <c r="DT119" s="11"/>
      <c r="DU119" s="69">
        <f t="shared" si="1028"/>
        <v>848</v>
      </c>
      <c r="DV119" s="69">
        <f t="shared" si="1029"/>
        <v>71</v>
      </c>
      <c r="DW119" s="11">
        <v>617</v>
      </c>
      <c r="DX119" s="12">
        <f t="shared" si="978"/>
        <v>0.74764150943396224</v>
      </c>
      <c r="DY119" s="11">
        <v>17</v>
      </c>
      <c r="DZ119" s="12">
        <f t="shared" si="979"/>
        <v>2.6813880126182965E-2</v>
      </c>
      <c r="EA119" s="13"/>
      <c r="EB119" s="11"/>
      <c r="EC119" s="39">
        <v>87.8</v>
      </c>
      <c r="ED119" s="43">
        <v>100</v>
      </c>
      <c r="EE119" s="10"/>
      <c r="EF119" s="11"/>
      <c r="EG119" s="69">
        <f t="shared" si="1030"/>
        <v>858</v>
      </c>
      <c r="EH119" s="69">
        <f t="shared" si="1031"/>
        <v>74</v>
      </c>
      <c r="EI119" s="11">
        <v>610</v>
      </c>
      <c r="EJ119" s="12">
        <f t="shared" si="980"/>
        <v>0.72610722610722611</v>
      </c>
      <c r="EK119" s="11">
        <v>13</v>
      </c>
      <c r="EL119" s="12">
        <f t="shared" si="981"/>
        <v>2.0866773675762441E-2</v>
      </c>
      <c r="EM119" s="13"/>
      <c r="EN119" s="11"/>
      <c r="EO119" s="39">
        <v>88.1</v>
      </c>
      <c r="EP119" s="43">
        <v>100</v>
      </c>
      <c r="EQ119" s="10"/>
      <c r="ER119" s="11"/>
      <c r="ES119" s="69">
        <f t="shared" si="1032"/>
        <v>196</v>
      </c>
      <c r="ET119" s="69">
        <f t="shared" si="1033"/>
        <v>16</v>
      </c>
      <c r="EU119" s="11">
        <v>143</v>
      </c>
      <c r="EV119" s="12">
        <f t="shared" si="982"/>
        <v>0.75510204081632648</v>
      </c>
      <c r="EW119" s="11">
        <v>5</v>
      </c>
      <c r="EX119" s="12">
        <f t="shared" si="983"/>
        <v>3.3783783783783786E-2</v>
      </c>
      <c r="EY119" s="13"/>
      <c r="EZ119" s="11"/>
      <c r="FA119" s="39">
        <v>80</v>
      </c>
      <c r="FB119" s="43">
        <v>100</v>
      </c>
      <c r="FC119" s="10"/>
      <c r="FD119" s="11"/>
      <c r="FE119" s="69">
        <f t="shared" si="1034"/>
        <v>864</v>
      </c>
      <c r="FF119" s="69">
        <f t="shared" si="1035"/>
        <v>75</v>
      </c>
      <c r="FG119" s="11">
        <v>638</v>
      </c>
      <c r="FH119" s="12">
        <f t="shared" si="984"/>
        <v>0.74768518518518523</v>
      </c>
      <c r="FI119" s="11">
        <v>8</v>
      </c>
      <c r="FJ119" s="12">
        <f t="shared" si="985"/>
        <v>1.238390092879257E-2</v>
      </c>
      <c r="FK119" s="13"/>
      <c r="FL119" s="11"/>
      <c r="FM119" s="39">
        <v>92.86</v>
      </c>
      <c r="FN119" s="43">
        <v>100</v>
      </c>
      <c r="FO119" s="10">
        <v>1</v>
      </c>
      <c r="FP119" s="11"/>
      <c r="FQ119" s="69">
        <f t="shared" si="1036"/>
        <v>901</v>
      </c>
      <c r="FR119" s="69">
        <f t="shared" si="1037"/>
        <v>75</v>
      </c>
      <c r="FS119" s="11">
        <v>623</v>
      </c>
      <c r="FT119" s="12">
        <f t="shared" si="986"/>
        <v>0.72142064372918979</v>
      </c>
      <c r="FU119" s="11">
        <v>27</v>
      </c>
      <c r="FV119" s="12">
        <f t="shared" si="987"/>
        <v>4.1538461538461538E-2</v>
      </c>
      <c r="FW119" s="13"/>
      <c r="FX119" s="11"/>
      <c r="FY119" s="39">
        <v>77.78</v>
      </c>
      <c r="FZ119" s="43">
        <v>93.33</v>
      </c>
      <c r="GA119" s="10"/>
      <c r="GB119" s="11"/>
      <c r="GC119" s="69">
        <f t="shared" si="1038"/>
        <v>894</v>
      </c>
      <c r="GD119" s="69">
        <f t="shared" si="1039"/>
        <v>76</v>
      </c>
      <c r="GE119" s="11">
        <v>606</v>
      </c>
      <c r="GF119" s="12">
        <f t="shared" si="988"/>
        <v>0.69463087248322153</v>
      </c>
      <c r="GG119" s="11">
        <v>15</v>
      </c>
      <c r="GH119" s="12">
        <f t="shared" si="989"/>
        <v>2.4154589371980676E-2</v>
      </c>
      <c r="GI119" s="13"/>
      <c r="GJ119" s="11"/>
      <c r="GK119" s="39">
        <v>80.489999999999995</v>
      </c>
      <c r="GL119" s="43">
        <v>100</v>
      </c>
      <c r="GM119" s="10">
        <v>1</v>
      </c>
      <c r="GN119" s="11"/>
      <c r="GO119" s="69">
        <f t="shared" si="1040"/>
        <v>180</v>
      </c>
      <c r="GP119" s="69">
        <f t="shared" si="1041"/>
        <v>17</v>
      </c>
      <c r="GQ119" s="11">
        <v>132</v>
      </c>
      <c r="GR119" s="12">
        <f t="shared" si="990"/>
        <v>0.76111111111111107</v>
      </c>
      <c r="GS119" s="11">
        <v>5</v>
      </c>
      <c r="GT119" s="12">
        <f t="shared" si="991"/>
        <v>3.6496350364963501E-2</v>
      </c>
      <c r="GU119" s="13"/>
      <c r="GV119" s="11"/>
      <c r="GW119" s="39">
        <v>84.62</v>
      </c>
      <c r="GX119" s="43">
        <v>100</v>
      </c>
      <c r="GY119" s="10"/>
      <c r="GZ119" s="11"/>
      <c r="HA119" s="69">
        <f t="shared" si="1042"/>
        <v>908</v>
      </c>
      <c r="HB119" s="69">
        <f t="shared" si="1043"/>
        <v>78</v>
      </c>
      <c r="HC119" s="11">
        <v>675</v>
      </c>
      <c r="HD119" s="12">
        <f t="shared" si="992"/>
        <v>0.75</v>
      </c>
      <c r="HE119" s="11">
        <v>6</v>
      </c>
      <c r="HF119" s="12">
        <f t="shared" si="993"/>
        <v>8.8105726872246704E-3</v>
      </c>
      <c r="HG119" s="13"/>
      <c r="HH119" s="11"/>
      <c r="HI119" s="39">
        <v>78.569999999999993</v>
      </c>
      <c r="HJ119" s="43">
        <v>100</v>
      </c>
      <c r="HK119" s="10">
        <f t="shared" si="994"/>
        <v>2</v>
      </c>
      <c r="HL119" s="11">
        <f t="shared" si="995"/>
        <v>0</v>
      </c>
      <c r="HM119" s="11">
        <f t="shared" si="996"/>
        <v>12252</v>
      </c>
      <c r="HN119" s="11">
        <f t="shared" si="997"/>
        <v>1046</v>
      </c>
      <c r="HO119" s="11">
        <f t="shared" si="998"/>
        <v>9037</v>
      </c>
      <c r="HP119" s="95">
        <f t="shared" si="999"/>
        <v>0.7375938622265753</v>
      </c>
      <c r="HQ119" s="15">
        <f t="shared" si="1000"/>
        <v>188</v>
      </c>
      <c r="HR119" s="12">
        <f t="shared" si="1001"/>
        <v>2.0803363948212902E-2</v>
      </c>
      <c r="HS119" s="16">
        <v>61.2</v>
      </c>
      <c r="HT119" s="17">
        <v>8674</v>
      </c>
      <c r="HU119" s="16">
        <f t="shared" si="1002"/>
        <v>95.983180258935491</v>
      </c>
      <c r="HV119" s="23">
        <v>83.92</v>
      </c>
      <c r="HW119" s="22">
        <v>93.33</v>
      </c>
      <c r="HX119" s="73">
        <f t="shared" si="1003"/>
        <v>0.74443106562311856</v>
      </c>
      <c r="HY119" s="73">
        <f t="shared" si="1004"/>
        <v>0.73879914660164581</v>
      </c>
      <c r="HZ119" s="73">
        <f t="shared" si="1005"/>
        <v>0.7415039768618944</v>
      </c>
      <c r="IA119" s="73">
        <f t="shared" si="1006"/>
        <v>0.72459243843218868</v>
      </c>
      <c r="IF119" s="85">
        <f>IF120/IF121</f>
        <v>2.1027335536197055E-3</v>
      </c>
      <c r="IG119" s="85">
        <f>IG120/IG121</f>
        <v>2.1289537712895377E-3</v>
      </c>
      <c r="IH119" s="85">
        <f>IH120/IH121</f>
        <v>2.8839221341023791E-3</v>
      </c>
      <c r="II119" s="85">
        <f>II120/II121</f>
        <v>2.422145328719723E-3</v>
      </c>
      <c r="IJ119" s="88" t="s">
        <v>90</v>
      </c>
    </row>
    <row r="120" spans="1:244" ht="19.5" thickBot="1" x14ac:dyDescent="0.3">
      <c r="A120" s="374"/>
      <c r="B120" s="42"/>
      <c r="C120" s="26">
        <f>SUM(C113:C119)</f>
        <v>2</v>
      </c>
      <c r="D120" s="27">
        <f>SUM(D113:D119)</f>
        <v>3</v>
      </c>
      <c r="E120" s="27"/>
      <c r="F120" s="27"/>
      <c r="G120" s="27">
        <f>SUM(G113:G119)</f>
        <v>4348</v>
      </c>
      <c r="H120" s="28">
        <f>((G120+I120)/7)/E119</f>
        <v>0.74838819138106549</v>
      </c>
      <c r="I120" s="27">
        <f>SUM(I113:I119)</f>
        <v>63</v>
      </c>
      <c r="J120" s="28">
        <f>(I120/(I120+G120))</f>
        <v>1.4282475629109045E-2</v>
      </c>
      <c r="K120" s="27"/>
      <c r="L120" s="27"/>
      <c r="M120" s="29">
        <f>M118/M117*100-100</f>
        <v>15.300904977375581</v>
      </c>
      <c r="N120" s="67">
        <f>N118/N117*100-100</f>
        <v>3.2825322391559126</v>
      </c>
      <c r="O120" s="26">
        <f>SUM(O113:O119)</f>
        <v>2</v>
      </c>
      <c r="P120" s="27">
        <f>SUM(P113:P119)</f>
        <v>3</v>
      </c>
      <c r="Q120" s="27"/>
      <c r="R120" s="27"/>
      <c r="S120" s="27">
        <f>SUM(S113:S119)</f>
        <v>3771</v>
      </c>
      <c r="T120" s="28">
        <f>((S120+U120)/7)/Q119</f>
        <v>0.71821756225425948</v>
      </c>
      <c r="U120" s="27">
        <f>SUM(U113:U119)</f>
        <v>65</v>
      </c>
      <c r="V120" s="28">
        <f>(U120/(U120+S120))</f>
        <v>1.694473409801877E-2</v>
      </c>
      <c r="W120" s="27"/>
      <c r="X120" s="27"/>
      <c r="Y120" s="29">
        <f>Y118/Y117*100-100</f>
        <v>15.99522373051785</v>
      </c>
      <c r="Z120" s="67">
        <f>Z118/Z117*100-100</f>
        <v>11.454396248534565</v>
      </c>
      <c r="AA120" s="26">
        <f>SUM(AA113:AA119)</f>
        <v>1</v>
      </c>
      <c r="AB120" s="27">
        <f>SUM(AB113:AB119)</f>
        <v>1</v>
      </c>
      <c r="AC120" s="27"/>
      <c r="AD120" s="27"/>
      <c r="AE120" s="27">
        <f>SUM(AE113:AE119)</f>
        <v>932</v>
      </c>
      <c r="AF120" s="28">
        <f>((AE120+AG120)/7)/AC119</f>
        <v>0.76513317191283281</v>
      </c>
      <c r="AG120" s="27">
        <f>SUM(AG113:AG119)</f>
        <v>16</v>
      </c>
      <c r="AH120" s="28">
        <f>(AG120/(AG120+AE120))</f>
        <v>1.6877637130801686E-2</v>
      </c>
      <c r="AI120" s="27"/>
      <c r="AJ120" s="27"/>
      <c r="AK120" s="29">
        <f>AK118/AK117*100-100</f>
        <v>23.554550025138269</v>
      </c>
      <c r="AL120" s="67">
        <f>AL118/AL117*100-100</f>
        <v>2.1882766705744388</v>
      </c>
      <c r="AM120" s="26">
        <f>SUM(AM113:AM119)</f>
        <v>1</v>
      </c>
      <c r="AN120" s="27">
        <f>SUM(AN113:AN119)</f>
        <v>3</v>
      </c>
      <c r="AO120" s="27"/>
      <c r="AP120" s="27"/>
      <c r="AQ120" s="27">
        <f>SUM(AQ113:AQ119)</f>
        <v>3888</v>
      </c>
      <c r="AR120" s="28">
        <f>((AQ120+AS120)/7)/AO119</f>
        <v>0.72554448135843486</v>
      </c>
      <c r="AS120" s="27">
        <f>SUM(AS113:AS119)</f>
        <v>43</v>
      </c>
      <c r="AT120" s="28">
        <f>(AS120/(AS120+AQ120))</f>
        <v>1.0938692444670568E-2</v>
      </c>
      <c r="AU120" s="27"/>
      <c r="AV120" s="27"/>
      <c r="AW120" s="29">
        <f>AW118/AW117*100-100</f>
        <v>15.326043237807951</v>
      </c>
      <c r="AX120" s="67">
        <f>AX118/AX117*100-100</f>
        <v>7.6787807737397316</v>
      </c>
      <c r="AY120" s="26">
        <f>SUM(AY113:AY119)</f>
        <v>1</v>
      </c>
      <c r="AZ120" s="27">
        <f>SUM(AZ113:AZ119)</f>
        <v>2</v>
      </c>
      <c r="BA120" s="27"/>
      <c r="BB120" s="27"/>
      <c r="BC120" s="27">
        <f>SUM(BC113:BC119)</f>
        <v>3956</v>
      </c>
      <c r="BD120" s="28">
        <f>((BC120+BE120)/7)/BA119</f>
        <v>0.75046624393882888</v>
      </c>
      <c r="BE120" s="27">
        <f>SUM(BE113:BE119)</f>
        <v>68</v>
      </c>
      <c r="BF120" s="28">
        <f>(BE120/(BE120+BC120))</f>
        <v>1.6898608349900597E-2</v>
      </c>
      <c r="BG120" s="27"/>
      <c r="BH120" s="27"/>
      <c r="BI120" s="29">
        <f>BI118/BI117*100-100</f>
        <v>13.457264957264954</v>
      </c>
      <c r="BJ120" s="67">
        <f>BJ118/BJ117*100-100</f>
        <v>13.622508792497072</v>
      </c>
      <c r="BK120" s="26">
        <f>SUM(BK113:BK119)</f>
        <v>1</v>
      </c>
      <c r="BL120" s="27">
        <f>SUM(BL113:BL119)</f>
        <v>4</v>
      </c>
      <c r="BM120" s="27"/>
      <c r="BN120" s="27"/>
      <c r="BO120" s="27">
        <f>SUM(BO113:BO119)</f>
        <v>4266</v>
      </c>
      <c r="BP120" s="28">
        <f>((BO120+BQ120)/7)/BM119</f>
        <v>0.74234388366124893</v>
      </c>
      <c r="BQ120" s="27">
        <f>SUM(BQ113:BQ119)</f>
        <v>73</v>
      </c>
      <c r="BR120" s="28">
        <f>(BQ120/(BQ120+BO120))</f>
        <v>1.6824153030652225E-2</v>
      </c>
      <c r="BS120" s="27"/>
      <c r="BT120" s="27"/>
      <c r="BU120" s="29">
        <f>BU118/BU117*100-100</f>
        <v>15.418049270990437</v>
      </c>
      <c r="BV120" s="67">
        <f>BV118/BV117*100-100</f>
        <v>6.0124267291910911</v>
      </c>
      <c r="BW120" s="26">
        <f>SUM(BW113:BW119)</f>
        <v>2</v>
      </c>
      <c r="BX120" s="27">
        <f>SUM(BX113:BX119)</f>
        <v>4</v>
      </c>
      <c r="BY120" s="27"/>
      <c r="BZ120" s="27"/>
      <c r="CA120" s="27">
        <f>SUM(CA113:CA119)</f>
        <v>3819</v>
      </c>
      <c r="CB120" s="28">
        <f>((CA120+CC120)/7)/BY119</f>
        <v>0.73240234006416305</v>
      </c>
      <c r="CC120" s="27">
        <f>SUM(CC113:CC119)</f>
        <v>62</v>
      </c>
      <c r="CD120" s="28">
        <f>(CC120/(CC120+CA120))</f>
        <v>1.5975264107188868E-2</v>
      </c>
      <c r="CE120" s="27"/>
      <c r="CF120" s="27"/>
      <c r="CG120" s="29">
        <f>CG118/CG117*100-100</f>
        <v>15.1206636500754</v>
      </c>
      <c r="CH120" s="67">
        <f>CH118/CH117*100-100</f>
        <v>8.2269636576787946</v>
      </c>
      <c r="CI120" s="26">
        <f>SUM(CI113:CI119)</f>
        <v>1</v>
      </c>
      <c r="CJ120" s="27">
        <f>SUM(CJ113:CJ119)</f>
        <v>1</v>
      </c>
      <c r="CK120" s="27"/>
      <c r="CL120" s="27"/>
      <c r="CM120" s="27">
        <f>SUM(CM113:CM119)</f>
        <v>822</v>
      </c>
      <c r="CN120" s="28">
        <f>((CM120+CO120)/7)/CK119</f>
        <v>0.69399350649350644</v>
      </c>
      <c r="CO120" s="27">
        <f>SUM(CO113:CO119)</f>
        <v>33</v>
      </c>
      <c r="CP120" s="28">
        <f>(CO120/(CO120+CM120))</f>
        <v>3.8596491228070177E-2</v>
      </c>
      <c r="CQ120" s="27"/>
      <c r="CR120" s="27"/>
      <c r="CS120" s="29">
        <f>CS118/CS117*100-100</f>
        <v>14.404223227752638</v>
      </c>
      <c r="CT120" s="67">
        <f>CT118/CT117*100-100</f>
        <v>0.27362250879249927</v>
      </c>
      <c r="CU120" s="26">
        <f>SUM(CU113:CU119)</f>
        <v>2</v>
      </c>
      <c r="CV120" s="27">
        <f>SUM(CV113:CV119)</f>
        <v>4</v>
      </c>
      <c r="CW120" s="27"/>
      <c r="CX120" s="27"/>
      <c r="CY120" s="27">
        <f>SUM(CY113:CY119)</f>
        <v>3820</v>
      </c>
      <c r="CZ120" s="28">
        <f>((CY120+DA120)/7)/CW119</f>
        <v>0.73518237082066873</v>
      </c>
      <c r="DA120" s="27">
        <f>SUM(DA113:DA119)</f>
        <v>50</v>
      </c>
      <c r="DB120" s="28">
        <f>(DA120/(DA120+CY120))</f>
        <v>1.2919896640826873E-2</v>
      </c>
      <c r="DC120" s="27"/>
      <c r="DD120" s="27"/>
      <c r="DE120" s="29">
        <f>DE118/DE117*100-100</f>
        <v>16.434137757667173</v>
      </c>
      <c r="DF120" s="67">
        <f>DF118/DF117*100-100</f>
        <v>9.0103165298944816</v>
      </c>
      <c r="DG120" s="26">
        <f>SUM(DG113:DG119)</f>
        <v>1</v>
      </c>
      <c r="DH120" s="27">
        <f>SUM(DH113:DH119)</f>
        <v>3</v>
      </c>
      <c r="DI120" s="27"/>
      <c r="DJ120" s="27"/>
      <c r="DK120" s="27">
        <f>SUM(DK113:DK119)</f>
        <v>3853</v>
      </c>
      <c r="DL120" s="28">
        <f>((DK120+DM120)/7)/DI119</f>
        <v>0.74188098366810584</v>
      </c>
      <c r="DM120" s="27">
        <f>SUM(DM113:DM119)</f>
        <v>99</v>
      </c>
      <c r="DN120" s="28">
        <f>(DM120/(DM120+DK120))</f>
        <v>2.5050607287449393E-2</v>
      </c>
      <c r="DO120" s="27"/>
      <c r="DP120" s="27"/>
      <c r="DQ120" s="29">
        <f>DQ118/DQ117*100-100</f>
        <v>19.446455505279033</v>
      </c>
      <c r="DR120" s="67">
        <f>DR118/DR117*100-100</f>
        <v>13.927315357561554</v>
      </c>
      <c r="DS120" s="26">
        <f>SUM(DS113:DS119)</f>
        <v>2</v>
      </c>
      <c r="DT120" s="27">
        <f>SUM(DT113:DT119)</f>
        <v>6</v>
      </c>
      <c r="DU120" s="27"/>
      <c r="DV120" s="27"/>
      <c r="DW120" s="27">
        <f>SUM(DW113:DW119)</f>
        <v>4259</v>
      </c>
      <c r="DX120" s="28">
        <f>((DW120+DY120)/7)/DU119</f>
        <v>0.73466981132075471</v>
      </c>
      <c r="DY120" s="27">
        <f>SUM(DY113:DY119)</f>
        <v>102</v>
      </c>
      <c r="DZ120" s="28">
        <f>(DY120/(DY120+DW120))</f>
        <v>2.3389130933272186E-2</v>
      </c>
      <c r="EA120" s="27"/>
      <c r="EB120" s="27"/>
      <c r="EC120" s="29">
        <f>EC118/EC117*100-100</f>
        <v>14.213423831070898</v>
      </c>
      <c r="ED120" s="67">
        <f>ED118/ED117*100-100</f>
        <v>2.5399765533411482</v>
      </c>
      <c r="EE120" s="26">
        <f>SUM(EE113:EE119)</f>
        <v>3</v>
      </c>
      <c r="EF120" s="27">
        <f>SUM(EF113:EF119)</f>
        <v>4</v>
      </c>
      <c r="EG120" s="27"/>
      <c r="EH120" s="27"/>
      <c r="EI120" s="27">
        <f>SUM(EI113:EI119)</f>
        <v>4220</v>
      </c>
      <c r="EJ120" s="28">
        <f>((EI120+EK120)/7)/EG119</f>
        <v>0.71928071928071924</v>
      </c>
      <c r="EK120" s="27">
        <f>SUM(EK113:EK119)</f>
        <v>100</v>
      </c>
      <c r="EL120" s="28">
        <f>(EK120/(EK120+EI120))</f>
        <v>2.3148148148148147E-2</v>
      </c>
      <c r="EM120" s="27"/>
      <c r="EN120" s="27"/>
      <c r="EO120" s="29">
        <f>EO118/EO117*100-100</f>
        <v>13.756661639014567</v>
      </c>
      <c r="EP120" s="67">
        <f>EP118/EP117*100-100</f>
        <v>7.486283704572088</v>
      </c>
      <c r="EQ120" s="26">
        <f>SUM(EQ113:EQ119)</f>
        <v>2</v>
      </c>
      <c r="ER120" s="27">
        <f>SUM(ER113:ER119)</f>
        <v>1</v>
      </c>
      <c r="ES120" s="27"/>
      <c r="ET120" s="27"/>
      <c r="EU120" s="27">
        <f>SUM(EU113:EU119)</f>
        <v>975</v>
      </c>
      <c r="EV120" s="28">
        <f>((EU120+EW120)/7)/ES119</f>
        <v>0.73250728862973769</v>
      </c>
      <c r="EW120" s="27">
        <f>SUM(EW113:EW119)</f>
        <v>30</v>
      </c>
      <c r="EX120" s="28">
        <f>(EW120/(EW120+EU120))</f>
        <v>2.9850746268656716E-2</v>
      </c>
      <c r="EY120" s="27"/>
      <c r="EZ120" s="27"/>
      <c r="FA120" s="29">
        <f>FA118/FA117*100-100</f>
        <v>15.284062342885861</v>
      </c>
      <c r="FB120" s="67">
        <f>FB118/FB117*100-100</f>
        <v>0.77373974208674667</v>
      </c>
      <c r="FC120" s="26">
        <f>SUM(FC113:FC119)</f>
        <v>1</v>
      </c>
      <c r="FD120" s="27">
        <f>SUM(FD113:FD119)</f>
        <v>4</v>
      </c>
      <c r="FE120" s="27"/>
      <c r="FF120" s="27"/>
      <c r="FG120" s="27">
        <f>SUM(FG113:FG119)</f>
        <v>4480</v>
      </c>
      <c r="FH120" s="28">
        <f>((FG120+FI120)/7)/FE119</f>
        <v>0.74983465608465616</v>
      </c>
      <c r="FI120" s="27">
        <f>SUM(FI113:FI119)</f>
        <v>55</v>
      </c>
      <c r="FJ120" s="28">
        <f>(FI120/(FI120+FG120))</f>
        <v>1.2127894156560088E-2</v>
      </c>
      <c r="FK120" s="27"/>
      <c r="FL120" s="27"/>
      <c r="FM120" s="29">
        <f>FM118/FM117*100-100</f>
        <v>15.341880341880355</v>
      </c>
      <c r="FN120" s="67">
        <f>FN118/FN117*100-100</f>
        <v>11.37162954279016</v>
      </c>
      <c r="FO120" s="26">
        <f>SUM(FO113:FO119)</f>
        <v>3</v>
      </c>
      <c r="FP120" s="27">
        <f>SUM(FP113:FP119)</f>
        <v>5</v>
      </c>
      <c r="FQ120" s="27"/>
      <c r="FR120" s="27"/>
      <c r="FS120" s="27">
        <f>SUM(FS113:FS119)</f>
        <v>4351</v>
      </c>
      <c r="FT120" s="28">
        <f>((FS120+FU120)/7)/FQ119</f>
        <v>0.70921198668146501</v>
      </c>
      <c r="FU120" s="27">
        <f>SUM(FU113:FU119)</f>
        <v>122</v>
      </c>
      <c r="FV120" s="28">
        <f>(FU120/(FU120+FS120))</f>
        <v>2.7274759669125865E-2</v>
      </c>
      <c r="FW120" s="27"/>
      <c r="FX120" s="27"/>
      <c r="FY120" s="29">
        <f>FY118/FY117*100-100</f>
        <v>15.731020613373545</v>
      </c>
      <c r="FZ120" s="67">
        <f>FZ118/FZ117*100-100</f>
        <v>3.3528722157092545</v>
      </c>
      <c r="GA120" s="26">
        <f>SUM(GA113:GA119)</f>
        <v>1</v>
      </c>
      <c r="GB120" s="27">
        <f>SUM(GB113:GB119)</f>
        <v>5</v>
      </c>
      <c r="GC120" s="27"/>
      <c r="GD120" s="27"/>
      <c r="GE120" s="27">
        <f>SUM(GE113:GE119)</f>
        <v>4348</v>
      </c>
      <c r="GF120" s="28">
        <f>((GE120+GG120)/7)/GC119</f>
        <v>0.71140939597315433</v>
      </c>
      <c r="GG120" s="27">
        <f>SUM(GG113:GG119)</f>
        <v>104</v>
      </c>
      <c r="GH120" s="28">
        <f>(GG120/(GG120+GE120))</f>
        <v>2.3360287511230909E-2</v>
      </c>
      <c r="GI120" s="27"/>
      <c r="GJ120" s="27"/>
      <c r="GK120" s="29">
        <f>GK118/GK117*100-100</f>
        <v>16.89291101055808</v>
      </c>
      <c r="GL120" s="67">
        <f>GL118/GL117*100-100</f>
        <v>7.8241500586166524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927</v>
      </c>
      <c r="GR120" s="28">
        <f>((GQ120+GS120)/7)/GO119</f>
        <v>0.75793650793650791</v>
      </c>
      <c r="GS120" s="27">
        <f>SUM(GS113:GS119)</f>
        <v>28</v>
      </c>
      <c r="GT120" s="28">
        <f>(GS120/(GS120+GQ120))</f>
        <v>2.9319371727748691E-2</v>
      </c>
      <c r="GU120" s="27"/>
      <c r="GV120" s="27"/>
      <c r="GW120" s="29">
        <f>GW118/GW117*100-100</f>
        <v>14.80442433383611</v>
      </c>
      <c r="GX120" s="67">
        <f>GX118/GX117*100-100</f>
        <v>-1.6412661195779492</v>
      </c>
      <c r="GY120" s="26">
        <f>SUM(GY113:GY119)</f>
        <v>1</v>
      </c>
      <c r="GZ120" s="27">
        <f>SUM(GZ113:GZ119)</f>
        <v>4</v>
      </c>
      <c r="HA120" s="27"/>
      <c r="HB120" s="27"/>
      <c r="HC120" s="27">
        <f>SUM(HC113:HC119)</f>
        <v>4590</v>
      </c>
      <c r="HD120" s="28">
        <f>((HC120+HE120)/7)/HA119</f>
        <v>0.73363750786658277</v>
      </c>
      <c r="HE120" s="27">
        <f>SUM(HE113:HE119)</f>
        <v>73</v>
      </c>
      <c r="HF120" s="28">
        <f>(HE120/(HE120+HC120))</f>
        <v>1.565515762384731E-2</v>
      </c>
      <c r="HG120" s="27"/>
      <c r="HH120" s="27"/>
      <c r="HI120" s="29">
        <f>HI118/HI117*100-100</f>
        <v>17.58722976370035</v>
      </c>
      <c r="HJ120" s="67">
        <f>HJ118/HJ117*100-100</f>
        <v>10.096834701055116</v>
      </c>
      <c r="HK120" s="26">
        <f t="shared" si="994"/>
        <v>29</v>
      </c>
      <c r="HL120" s="27">
        <f t="shared" si="995"/>
        <v>57</v>
      </c>
      <c r="HM120" s="27">
        <f t="shared" si="996"/>
        <v>0</v>
      </c>
      <c r="HN120" s="27">
        <f t="shared" si="997"/>
        <v>0</v>
      </c>
      <c r="HO120" s="27">
        <f t="shared" si="998"/>
        <v>62811</v>
      </c>
      <c r="HP120" s="96">
        <f>+((HO120)/HM119)/7</f>
        <v>0.73237022526934381</v>
      </c>
      <c r="HQ120" s="62">
        <f t="shared" si="1000"/>
        <v>1186</v>
      </c>
      <c r="HR120" s="52">
        <f t="shared" si="1001"/>
        <v>1.8882042954259604E-2</v>
      </c>
      <c r="HS120" s="53">
        <f>SUM(HS113:HS119)/7</f>
        <v>52.2</v>
      </c>
      <c r="HT120" s="54">
        <f>SUM(HT113:HT119)</f>
        <v>60727</v>
      </c>
      <c r="HU120" s="53">
        <f>AVERAGE(HU113:HU119)</f>
        <v>96.685556990613847</v>
      </c>
      <c r="HV120" s="63">
        <f>HV118/HV117*100-100</f>
        <v>15.777275012569135</v>
      </c>
      <c r="HW120" s="67">
        <f>HW118/HW117*100-100</f>
        <v>7.457678780773719</v>
      </c>
      <c r="HX120" s="73">
        <f>SUM(G120,I120,S120,U120,AE120,AG120,AQ120,AS120,BC120,BE120)/7/SUM(E119,Q119,AC119,AO119,BA119)</f>
        <v>0.73750752558699584</v>
      </c>
      <c r="HY120" s="73">
        <f>SUM(BO120,BQ120,CA120,CC120,CM120,CO120,CY120,DA120,DK120,DM120)/7/SUM(BM119,BY119,CK119,CW119,DI119)</f>
        <v>0.73570775460443238</v>
      </c>
      <c r="HZ120" s="73">
        <f>SUM(DW120,DY120,EI120,EK120,EU120,EW120,FG120,FI120)/7/SUM(DU119,EG119,ES119,FE119)</f>
        <v>0.73447990910029959</v>
      </c>
      <c r="IA120" s="73">
        <f>SUM(FS120,FU120,GE120,GG120,GQ120,GS120,HC120,HE120)/7/SUM(FQ119,GC119,GO119,HA119)</f>
        <v>0.72062831376046776</v>
      </c>
      <c r="IB120" s="84">
        <f>SUM(I120,U120,AG120,AS120,BE120)/SUM(G120,I120,S120,U120,AE120,AG120,AQ120,AS120,BC120,BE120)</f>
        <v>1.4868804664723033E-2</v>
      </c>
      <c r="IC120" s="84">
        <f>SUM(BQ120,CC120,CO120,DA120,DM120)/SUM(BO120,BQ120,CA120,CC120,CM120,CO120,CY120,DA120,DK120,DM120)</f>
        <v>1.8760726756228915E-2</v>
      </c>
      <c r="ID120" s="84">
        <f>SUM(DY120,EK120,EW120,FI120)/SUM(DW120,DY120,EI120,EK120,EU120,EW120,FG120,FI120)</f>
        <v>2.0181421840939455E-2</v>
      </c>
      <c r="IE120" s="84">
        <f>SUM(FU120,GG120,GS120,HE120)/SUM(FS120,FU120,GE120,GG120,GQ120,GS120,HC120,HE120)</f>
        <v>2.248504435123427E-2</v>
      </c>
      <c r="IF120" s="86">
        <f>SUM(C120,O120,AA120,AM120,AY120)</f>
        <v>7</v>
      </c>
      <c r="IG120" s="86">
        <f>SUM(BK120,BW120,CI120,CU120,DG120)</f>
        <v>7</v>
      </c>
      <c r="IH120" s="86">
        <f>SUM(DS120,EE120,EQ120,FC120)</f>
        <v>8</v>
      </c>
      <c r="II120" s="86">
        <f>SUM(FO120,GA120,GM120,GY120)</f>
        <v>7</v>
      </c>
      <c r="IJ120" s="88" t="s">
        <v>89</v>
      </c>
    </row>
    <row r="121" spans="1:244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HK120/HM113</f>
        <v>2.3627179403617402E-3</v>
      </c>
      <c r="HL121" s="66">
        <f>HL120/HN113</f>
        <v>5.1677243880326386E-2</v>
      </c>
      <c r="HM121" s="45"/>
      <c r="HN121" s="45"/>
      <c r="HO121" s="45"/>
      <c r="HP121" s="98"/>
      <c r="HQ121" s="45"/>
      <c r="HR121" s="45"/>
      <c r="HS121" s="45"/>
      <c r="HT121" s="55"/>
      <c r="HU121" s="45"/>
      <c r="HV121" s="45"/>
      <c r="HW121" s="46"/>
      <c r="HY121" s="72"/>
      <c r="HZ121" s="72"/>
      <c r="IA121" s="72"/>
      <c r="IF121" s="86">
        <f>SUM(E110,Q110,AC110,AO110,BA110)</f>
        <v>3329</v>
      </c>
      <c r="IG121" s="86">
        <f>SUM(BM110,BY110,CK110,CW110,DI110)</f>
        <v>3288</v>
      </c>
      <c r="IH121" s="86">
        <f>SUM(DU110,EG110,ES110,FE110)</f>
        <v>2774</v>
      </c>
      <c r="II121" s="86">
        <f>SUM(FQ110,GC110,GO110,HA110)</f>
        <v>2890</v>
      </c>
      <c r="IJ121" s="88" t="s">
        <v>84</v>
      </c>
    </row>
    <row r="122" spans="1:244" x14ac:dyDescent="0.25">
      <c r="A122" s="373">
        <v>38</v>
      </c>
      <c r="B122" s="68">
        <f>B119+1</f>
        <v>45032</v>
      </c>
      <c r="C122" s="33"/>
      <c r="D122" s="34"/>
      <c r="E122" s="34">
        <f>E119-C122</f>
        <v>842</v>
      </c>
      <c r="F122" s="34">
        <f>F119-D122</f>
        <v>72</v>
      </c>
      <c r="G122" s="34">
        <v>616</v>
      </c>
      <c r="H122" s="35">
        <f t="shared" ref="H122:H128" si="1044">((G122+I122)/E122)</f>
        <v>0.74821852731591454</v>
      </c>
      <c r="I122" s="34">
        <v>14</v>
      </c>
      <c r="J122" s="35">
        <f t="shared" ref="J122:J128" si="1045">I122/(G122+I122)</f>
        <v>2.2222222222222223E-2</v>
      </c>
      <c r="K122" s="36"/>
      <c r="L122" s="34"/>
      <c r="M122" s="34"/>
      <c r="N122" s="37"/>
      <c r="O122" s="33"/>
      <c r="P122" s="34"/>
      <c r="Q122" s="34">
        <f>Q119-O122</f>
        <v>763</v>
      </c>
      <c r="R122" s="34">
        <f>R119-P122</f>
        <v>65</v>
      </c>
      <c r="S122" s="34">
        <v>535</v>
      </c>
      <c r="T122" s="35">
        <f t="shared" ref="T122:T128" si="1046">((S122+U122)/Q122)</f>
        <v>0.70773263433813893</v>
      </c>
      <c r="U122" s="34">
        <v>5</v>
      </c>
      <c r="V122" s="35">
        <f t="shared" ref="V122:V128" si="1047">U122/(S122+U122)</f>
        <v>9.2592592592592587E-3</v>
      </c>
      <c r="W122" s="36"/>
      <c r="X122" s="34"/>
      <c r="Y122" s="34"/>
      <c r="Z122" s="37"/>
      <c r="AA122" s="33"/>
      <c r="AB122" s="34"/>
      <c r="AC122" s="34">
        <f>AC119-AA122</f>
        <v>177</v>
      </c>
      <c r="AD122" s="34">
        <f>AD119-AB122</f>
        <v>13</v>
      </c>
      <c r="AE122" s="34">
        <v>130</v>
      </c>
      <c r="AF122" s="35">
        <f t="shared" ref="AF122:AF128" si="1048">((AE122+AG122)/AC122)</f>
        <v>0.75141242937853103</v>
      </c>
      <c r="AG122" s="34">
        <v>3</v>
      </c>
      <c r="AH122" s="35">
        <f t="shared" ref="AH122:AH128" si="1049">AG122/(AE122+AG122)</f>
        <v>2.2556390977443608E-2</v>
      </c>
      <c r="AI122" s="36"/>
      <c r="AJ122" s="34"/>
      <c r="AK122" s="34"/>
      <c r="AL122" s="37"/>
      <c r="AM122" s="33"/>
      <c r="AN122" s="34"/>
      <c r="AO122" s="34">
        <f>AO119-AM122</f>
        <v>774</v>
      </c>
      <c r="AP122" s="34">
        <f>AP119-AN122</f>
        <v>65</v>
      </c>
      <c r="AQ122" s="34">
        <v>531</v>
      </c>
      <c r="AR122" s="35">
        <f t="shared" ref="AR122:AR128" si="1050">((AQ122+AS122)/AO122)</f>
        <v>0.70284237726098187</v>
      </c>
      <c r="AS122" s="34">
        <v>13</v>
      </c>
      <c r="AT122" s="35">
        <f t="shared" ref="AT122:AT128" si="1051">AS122/(AQ122+AS122)</f>
        <v>2.389705882352941E-2</v>
      </c>
      <c r="AU122" s="36"/>
      <c r="AV122" s="34"/>
      <c r="AW122" s="34"/>
      <c r="AX122" s="37"/>
      <c r="AY122" s="33"/>
      <c r="AZ122" s="34"/>
      <c r="BA122" s="34">
        <f>BA119-AY122</f>
        <v>766</v>
      </c>
      <c r="BB122" s="34">
        <f>BB119-AZ122</f>
        <v>67</v>
      </c>
      <c r="BC122" s="34">
        <v>576</v>
      </c>
      <c r="BD122" s="35">
        <f t="shared" ref="BD122:BD128" si="1052">((BC122+BE122)/BA122)</f>
        <v>0.76501305483028725</v>
      </c>
      <c r="BE122" s="34">
        <v>10</v>
      </c>
      <c r="BF122" s="35">
        <f t="shared" ref="BF122:BF128" si="1053">BE122/(BC122+BE122)</f>
        <v>1.7064846416382253E-2</v>
      </c>
      <c r="BG122" s="36"/>
      <c r="BH122" s="34"/>
      <c r="BI122" s="34"/>
      <c r="BJ122" s="37"/>
      <c r="BK122" s="33"/>
      <c r="BL122" s="34"/>
      <c r="BM122" s="34">
        <f>BM119-BK122</f>
        <v>835</v>
      </c>
      <c r="BN122" s="34">
        <f>BN119-BL122</f>
        <v>72</v>
      </c>
      <c r="BO122" s="34">
        <v>634</v>
      </c>
      <c r="BP122" s="35">
        <f t="shared" ref="BP122:BP128" si="1054">((BO122+BQ122)/BM122)</f>
        <v>0.77005988023952099</v>
      </c>
      <c r="BQ122" s="34">
        <v>9</v>
      </c>
      <c r="BR122" s="35">
        <f t="shared" ref="BR122:BR128" si="1055">BQ122/(BO122+BQ122)</f>
        <v>1.3996889580093312E-2</v>
      </c>
      <c r="BS122" s="36"/>
      <c r="BT122" s="34"/>
      <c r="BU122" s="34"/>
      <c r="BV122" s="37"/>
      <c r="BW122" s="33"/>
      <c r="BX122" s="34"/>
      <c r="BY122" s="34">
        <f>BY119-BW122</f>
        <v>757</v>
      </c>
      <c r="BZ122" s="34">
        <f>BZ119-BX122</f>
        <v>64</v>
      </c>
      <c r="CA122" s="34">
        <v>548</v>
      </c>
      <c r="CB122" s="35">
        <f t="shared" ref="CB122:CB128" si="1056">((CA122+CC122)/BY122)</f>
        <v>0.7371202113606341</v>
      </c>
      <c r="CC122" s="34">
        <v>10</v>
      </c>
      <c r="CD122" s="35">
        <f t="shared" ref="CD122:CD128" si="1057">CC122/(CA122+CC122)</f>
        <v>1.7921146953405017E-2</v>
      </c>
      <c r="CE122" s="36"/>
      <c r="CF122" s="34"/>
      <c r="CG122" s="34"/>
      <c r="CH122" s="37"/>
      <c r="CI122" s="33">
        <v>1</v>
      </c>
      <c r="CJ122" s="34"/>
      <c r="CK122" s="34">
        <f>CK119-CI122</f>
        <v>175</v>
      </c>
      <c r="CL122" s="34">
        <f>CL119-CJ122</f>
        <v>14</v>
      </c>
      <c r="CM122" s="34">
        <v>131</v>
      </c>
      <c r="CN122" s="35">
        <f t="shared" ref="CN122:CN128" si="1058">((CM122+CO122)/CK122)</f>
        <v>0.76</v>
      </c>
      <c r="CO122" s="34">
        <v>2</v>
      </c>
      <c r="CP122" s="35">
        <f t="shared" ref="CP122:CP128" si="1059">CO122/(CM122+CO122)</f>
        <v>1.5037593984962405E-2</v>
      </c>
      <c r="CQ122" s="36"/>
      <c r="CR122" s="34"/>
      <c r="CS122" s="34"/>
      <c r="CT122" s="37"/>
      <c r="CU122" s="33"/>
      <c r="CV122" s="34"/>
      <c r="CW122" s="34">
        <f>CW119-CU122</f>
        <v>752</v>
      </c>
      <c r="CX122" s="34">
        <f>CX119-CV122</f>
        <v>65</v>
      </c>
      <c r="CY122" s="34">
        <v>541</v>
      </c>
      <c r="CZ122" s="35">
        <f t="shared" ref="CZ122:CZ128" si="1060">((CY122+DA122)/CW122)</f>
        <v>0.72606382978723405</v>
      </c>
      <c r="DA122" s="34">
        <v>5</v>
      </c>
      <c r="DB122" s="35">
        <f t="shared" ref="DB122:DB128" si="1061">DA122/(CY122+DA122)</f>
        <v>9.1575091575091579E-3</v>
      </c>
      <c r="DC122" s="36"/>
      <c r="DD122" s="34"/>
      <c r="DE122" s="34"/>
      <c r="DF122" s="37"/>
      <c r="DG122" s="33">
        <v>1</v>
      </c>
      <c r="DH122" s="34"/>
      <c r="DI122" s="34">
        <f>DI119-DG122</f>
        <v>760</v>
      </c>
      <c r="DJ122" s="34">
        <f>DJ119-DH122</f>
        <v>67</v>
      </c>
      <c r="DK122" s="34">
        <v>557</v>
      </c>
      <c r="DL122" s="35">
        <f t="shared" ref="DL122:DL128" si="1062">((DK122+DM122)/DI122)</f>
        <v>0.76184210526315788</v>
      </c>
      <c r="DM122" s="34">
        <v>22</v>
      </c>
      <c r="DN122" s="35">
        <f t="shared" ref="DN122:DN127" si="1063">DM122/(DK122+DM122)</f>
        <v>3.7996545768566495E-2</v>
      </c>
      <c r="DO122" s="36"/>
      <c r="DP122" s="34"/>
      <c r="DQ122" s="34"/>
      <c r="DR122" s="37"/>
      <c r="DS122" s="33">
        <v>1</v>
      </c>
      <c r="DT122" s="34"/>
      <c r="DU122" s="34">
        <f>DU119-DS122</f>
        <v>847</v>
      </c>
      <c r="DV122" s="34">
        <f>DV119-DT122</f>
        <v>71</v>
      </c>
      <c r="DW122" s="34">
        <v>596</v>
      </c>
      <c r="DX122" s="35">
        <f t="shared" ref="DX122:DX128" si="1064">((DW122+DY122)/DU122)</f>
        <v>0.72018890200708385</v>
      </c>
      <c r="DY122" s="34">
        <v>14</v>
      </c>
      <c r="DZ122" s="35">
        <f t="shared" ref="DZ122:DZ128" si="1065">DY122/(DW122+DY122)</f>
        <v>2.2950819672131147E-2</v>
      </c>
      <c r="EA122" s="36"/>
      <c r="EB122" s="34"/>
      <c r="EC122" s="34"/>
      <c r="ED122" s="37"/>
      <c r="EE122" s="33">
        <v>1</v>
      </c>
      <c r="EF122" s="34"/>
      <c r="EG122" s="34">
        <f>EG119-EE122</f>
        <v>857</v>
      </c>
      <c r="EH122" s="34">
        <f>EH119-EF122</f>
        <v>74</v>
      </c>
      <c r="EI122" s="34">
        <v>579</v>
      </c>
      <c r="EJ122" s="35">
        <f t="shared" ref="EJ122:EJ128" si="1066">((EI122+EK122)/EG122)</f>
        <v>0.68961493582263711</v>
      </c>
      <c r="EK122" s="34">
        <v>12</v>
      </c>
      <c r="EL122" s="35">
        <f t="shared" ref="EL122:EL128" si="1067">EK122/(EI122+EK122)</f>
        <v>2.030456852791878E-2</v>
      </c>
      <c r="EM122" s="36"/>
      <c r="EN122" s="34"/>
      <c r="EO122" s="34"/>
      <c r="EP122" s="37"/>
      <c r="EQ122" s="33"/>
      <c r="ER122" s="34"/>
      <c r="ES122" s="34">
        <f>ES119-EQ122</f>
        <v>196</v>
      </c>
      <c r="ET122" s="34">
        <f>ET119-ER122</f>
        <v>16</v>
      </c>
      <c r="EU122" s="34">
        <v>143</v>
      </c>
      <c r="EV122" s="35">
        <f t="shared" ref="EV122:EV128" si="1068">((EU122+EW122)/ES122)</f>
        <v>0.77040816326530615</v>
      </c>
      <c r="EW122" s="34">
        <v>8</v>
      </c>
      <c r="EX122" s="35">
        <f t="shared" ref="EX122:EX128" si="1069">EW122/(EU122+EW122)</f>
        <v>5.2980132450331126E-2</v>
      </c>
      <c r="EY122" s="36"/>
      <c r="EZ122" s="34"/>
      <c r="FA122" s="34"/>
      <c r="FB122" s="37"/>
      <c r="FC122" s="33"/>
      <c r="FD122" s="34"/>
      <c r="FE122" s="34">
        <f>FE119-FC122</f>
        <v>864</v>
      </c>
      <c r="FF122" s="34">
        <f>FF119-FD122</f>
        <v>75</v>
      </c>
      <c r="FG122" s="34">
        <v>616</v>
      </c>
      <c r="FH122" s="35">
        <f t="shared" ref="FH122:FH128" si="1070">((FG122+FI122)/FE122)</f>
        <v>0.72222222222222221</v>
      </c>
      <c r="FI122" s="34">
        <v>8</v>
      </c>
      <c r="FJ122" s="35">
        <f t="shared" ref="FJ122:FJ128" si="1071">FI122/(FG122+FI122)</f>
        <v>1.282051282051282E-2</v>
      </c>
      <c r="FK122" s="36"/>
      <c r="FL122" s="34"/>
      <c r="FM122" s="34"/>
      <c r="FN122" s="37"/>
      <c r="FO122" s="33">
        <v>1</v>
      </c>
      <c r="FP122" s="34"/>
      <c r="FQ122" s="34">
        <f>FQ119-FO122</f>
        <v>900</v>
      </c>
      <c r="FR122" s="34">
        <f>FR119-FP122</f>
        <v>75</v>
      </c>
      <c r="FS122" s="34">
        <v>612</v>
      </c>
      <c r="FT122" s="35">
        <f t="shared" ref="FT122:FT128" si="1072">((FS122+FU122)/FQ122)</f>
        <v>0.7055555555555556</v>
      </c>
      <c r="FU122" s="34">
        <v>23</v>
      </c>
      <c r="FV122" s="35">
        <f t="shared" ref="FV122:FV128" si="1073">FU122/(FS122+FU122)</f>
        <v>3.6220472440944881E-2</v>
      </c>
      <c r="FW122" s="36"/>
      <c r="FX122" s="34"/>
      <c r="FY122" s="34"/>
      <c r="FZ122" s="37"/>
      <c r="GA122" s="33">
        <v>1</v>
      </c>
      <c r="GB122" s="34"/>
      <c r="GC122" s="34">
        <f>GC119-GA122</f>
        <v>893</v>
      </c>
      <c r="GD122" s="34">
        <f>GD119-GB122</f>
        <v>76</v>
      </c>
      <c r="GE122" s="34">
        <v>577</v>
      </c>
      <c r="GF122" s="35">
        <f t="shared" ref="GF122:GF128" si="1074">((GE122+GG122)/GC122)</f>
        <v>0.6685330347144457</v>
      </c>
      <c r="GG122" s="34">
        <v>20</v>
      </c>
      <c r="GH122" s="35">
        <f t="shared" ref="GH122:GH128" si="1075">GG122/(GE122+GG122)</f>
        <v>3.350083752093802E-2</v>
      </c>
      <c r="GI122" s="36"/>
      <c r="GJ122" s="34"/>
      <c r="GK122" s="34"/>
      <c r="GL122" s="37"/>
      <c r="GM122" s="33">
        <v>1</v>
      </c>
      <c r="GN122" s="34"/>
      <c r="GO122" s="34">
        <f>GO119-GM122</f>
        <v>179</v>
      </c>
      <c r="GP122" s="34">
        <f>GP119-GN122</f>
        <v>17</v>
      </c>
      <c r="GQ122" s="34">
        <v>132</v>
      </c>
      <c r="GR122" s="35">
        <f t="shared" ref="GR122:GR128" si="1076">((GQ122+GS122)/GO122)</f>
        <v>0.79329608938547491</v>
      </c>
      <c r="GS122" s="34">
        <v>10</v>
      </c>
      <c r="GT122" s="35">
        <f t="shared" ref="GT122:GT128" si="1077">GS122/(GQ122+GS122)</f>
        <v>7.0422535211267609E-2</v>
      </c>
      <c r="GU122" s="36"/>
      <c r="GV122" s="34"/>
      <c r="GW122" s="34"/>
      <c r="GX122" s="37"/>
      <c r="GY122" s="33"/>
      <c r="GZ122" s="34"/>
      <c r="HA122" s="34">
        <f>HA119-GY122</f>
        <v>908</v>
      </c>
      <c r="HB122" s="34">
        <f>HB119-GZ122</f>
        <v>78</v>
      </c>
      <c r="HC122" s="34">
        <v>637</v>
      </c>
      <c r="HD122" s="35">
        <f t="shared" ref="HD122:HD128" si="1078">((HC122+HE122)/HA122)</f>
        <v>0.71585903083700442</v>
      </c>
      <c r="HE122" s="34">
        <v>13</v>
      </c>
      <c r="HF122" s="35">
        <f t="shared" ref="HF122:HF128" si="1079">HE122/(HC122+HE122)</f>
        <v>0.02</v>
      </c>
      <c r="HG122" s="36"/>
      <c r="HH122" s="34"/>
      <c r="HI122" s="34"/>
      <c r="HJ122" s="37"/>
      <c r="HK122" s="33">
        <f t="shared" ref="HK122:HK129" si="1080">+C122+O122+AA122+AM122+AY122+BK122+BW122+CI122+CU122+DG122+DS122+EE122+EQ122+FC122+FO122+GA122+GM122+GY122</f>
        <v>7</v>
      </c>
      <c r="HL122" s="34">
        <f t="shared" ref="HL122:HL129" si="1081">+D122+P122+AB122+AN122+AZ122+BL122+BX122+CJ122+CV122+DH122+DT122+EF122+ER122+FD122+FP122+GB122+GN122+GZ122</f>
        <v>0</v>
      </c>
      <c r="HM122" s="34">
        <f t="shared" ref="HM122:HM129" si="1082">+E122+Q122+AC122+AO122+BA122+BM122+BY122+CK122+CW122+DI122+DU122+EG122+ES122+FE122+FQ122+GC122+GO122+HA122</f>
        <v>12245</v>
      </c>
      <c r="HN122" s="34">
        <f t="shared" ref="HN122:HN129" si="1083">+F122+R122+AD122+AP122+BB122+BN122+BZ122+CL122+CX122+DJ122+DV122+EH122+ET122+FF122+FR122+GD122+GP122+HB122</f>
        <v>1046</v>
      </c>
      <c r="HO122" s="34">
        <f t="shared" ref="HO122:HO129" si="1084">+G122+S122+AE122+AQ122+BC122+BO122+CA122+CM122+CY122+DK122+DW122+EI122+EU122+FG122+FS122+GE122+GQ122+HC122+I122+U122+AG122+AS122+BE122+BQ122+CC122+CO122+DA122+DM122+DY122+EK122+EW122+FI122+FU122+GG122+GS122+HE122</f>
        <v>8892</v>
      </c>
      <c r="HP122" s="94">
        <f t="shared" ref="HP122:HP128" si="1085">+(HO122)/HM122</f>
        <v>0.72617394855042872</v>
      </c>
      <c r="HQ122" s="48">
        <f t="shared" ref="HQ122:HQ129" si="1086">+I122+U122+AG122+AS122+BE122+BQ122+CC122+CO122+DA122+DM122+DY122+EK122+EW122+FI122+FU122+GG122+GS122+HE122</f>
        <v>201</v>
      </c>
      <c r="HR122" s="35">
        <f t="shared" ref="HR122:HR129" si="1087">+(HQ122/(HO122))</f>
        <v>2.260458839406208E-2</v>
      </c>
      <c r="HS122" s="49">
        <v>61.2</v>
      </c>
      <c r="HT122" s="50">
        <v>8490</v>
      </c>
      <c r="HU122" s="49">
        <f t="shared" ref="HU122:HU128" si="1088">+HT122/HO122*100</f>
        <v>95.479082321187576</v>
      </c>
      <c r="HV122" s="48"/>
      <c r="HW122" s="37"/>
      <c r="HX122" s="73">
        <f t="shared" ref="HX122:HX128" si="1089">SUM(G122,I122,S122,U122,AE122,AG122,AQ122,AS122,BC122,BE122)/SUM(E122,Q122,AC122,AO122,BA122)</f>
        <v>0.73239012642986157</v>
      </c>
      <c r="HY122" s="73">
        <f t="shared" ref="HY122:HY128" si="1090">SUM(BO122,BQ122,CA122,CC122,CM122,CO122,CY122,DA122,DK122,DM122)/SUM(BM122,BY122,CK122,CW122,DI122)</f>
        <v>0.74992375724306193</v>
      </c>
      <c r="HZ122" s="73">
        <f t="shared" ref="HZ122:HZ128" si="1091">SUM(DW122,DY122,EI122,EK122,EU122,EW122,FG122,FI122)/SUM(DU122,EG122,ES122,FE122)</f>
        <v>0.7149059334298119</v>
      </c>
      <c r="IA122" s="73">
        <f t="shared" ref="IA122:IA128" si="1092">SUM(FS122,FU122,GE122,GG122,GQ122,GS122,HC122,HE122)/SUM(FQ122,GC122,GO122,HA122)</f>
        <v>0.70277777777777772</v>
      </c>
    </row>
    <row r="123" spans="1:244" x14ac:dyDescent="0.25">
      <c r="A123" s="374"/>
      <c r="B123" s="41">
        <f t="shared" ref="B123:B128" si="1093">+B122+1</f>
        <v>45033</v>
      </c>
      <c r="C123" s="10"/>
      <c r="D123" s="11"/>
      <c r="E123" s="69">
        <f t="shared" ref="E123:E128" si="1094">E122-C123</f>
        <v>842</v>
      </c>
      <c r="F123" s="69">
        <f t="shared" ref="F123:F128" si="1095">F122-D123</f>
        <v>72</v>
      </c>
      <c r="G123" s="11">
        <v>602</v>
      </c>
      <c r="H123" s="12">
        <f t="shared" si="1044"/>
        <v>0.72802850356294535</v>
      </c>
      <c r="I123" s="11">
        <v>11</v>
      </c>
      <c r="J123" s="12">
        <f t="shared" si="1045"/>
        <v>1.794453507340946E-2</v>
      </c>
      <c r="K123" s="13"/>
      <c r="L123" s="11"/>
      <c r="M123" s="11"/>
      <c r="N123" s="14"/>
      <c r="O123" s="10"/>
      <c r="P123" s="11"/>
      <c r="Q123" s="69">
        <f t="shared" ref="Q123:Q128" si="1096">Q122-O123</f>
        <v>763</v>
      </c>
      <c r="R123" s="69">
        <f t="shared" ref="R123:R128" si="1097">R122-P123</f>
        <v>65</v>
      </c>
      <c r="S123" s="11">
        <v>536</v>
      </c>
      <c r="T123" s="12">
        <f t="shared" si="1046"/>
        <v>0.71821756225425948</v>
      </c>
      <c r="U123" s="11">
        <v>12</v>
      </c>
      <c r="V123" s="12">
        <f t="shared" si="1047"/>
        <v>2.1897810218978103E-2</v>
      </c>
      <c r="W123" s="13"/>
      <c r="X123" s="11"/>
      <c r="Y123" s="11"/>
      <c r="Z123" s="14"/>
      <c r="AA123" s="10"/>
      <c r="AB123" s="11"/>
      <c r="AC123" s="69">
        <f t="shared" ref="AC123:AC128" si="1098">AC122-AA123</f>
        <v>177</v>
      </c>
      <c r="AD123" s="69">
        <f t="shared" ref="AD123:AD128" si="1099">AD122-AB123</f>
        <v>13</v>
      </c>
      <c r="AE123" s="11">
        <v>141</v>
      </c>
      <c r="AF123" s="12">
        <f t="shared" si="1048"/>
        <v>0.80790960451977401</v>
      </c>
      <c r="AG123" s="11">
        <v>2</v>
      </c>
      <c r="AH123" s="12">
        <f t="shared" si="1049"/>
        <v>1.3986013986013986E-2</v>
      </c>
      <c r="AI123" s="13"/>
      <c r="AJ123" s="11"/>
      <c r="AK123" s="11"/>
      <c r="AL123" s="14"/>
      <c r="AM123" s="10"/>
      <c r="AN123" s="11"/>
      <c r="AO123" s="69">
        <f t="shared" ref="AO123:AO128" si="1100">AO122-AM123</f>
        <v>774</v>
      </c>
      <c r="AP123" s="69">
        <f t="shared" ref="AP123:AP128" si="1101">AP122-AN123</f>
        <v>65</v>
      </c>
      <c r="AQ123" s="11">
        <v>562</v>
      </c>
      <c r="AR123" s="12">
        <f t="shared" si="1050"/>
        <v>0.73126614987080107</v>
      </c>
      <c r="AS123" s="11">
        <v>4</v>
      </c>
      <c r="AT123" s="12">
        <f t="shared" si="1051"/>
        <v>7.0671378091872791E-3</v>
      </c>
      <c r="AU123" s="13"/>
      <c r="AV123" s="11"/>
      <c r="AW123" s="11"/>
      <c r="AX123" s="14"/>
      <c r="AY123" s="10">
        <v>1</v>
      </c>
      <c r="AZ123" s="11"/>
      <c r="BA123" s="69">
        <f t="shared" ref="BA123:BA128" si="1102">BA122-AY123</f>
        <v>765</v>
      </c>
      <c r="BB123" s="69">
        <f t="shared" ref="BB123:BB128" si="1103">BB122-AZ123</f>
        <v>67</v>
      </c>
      <c r="BC123" s="11">
        <v>542</v>
      </c>
      <c r="BD123" s="12">
        <f t="shared" si="1052"/>
        <v>0.72026143790849673</v>
      </c>
      <c r="BE123" s="11">
        <v>9</v>
      </c>
      <c r="BF123" s="12">
        <f t="shared" si="1053"/>
        <v>1.6333938294010888E-2</v>
      </c>
      <c r="BG123" s="13"/>
      <c r="BH123" s="11"/>
      <c r="BI123" s="11"/>
      <c r="BJ123" s="14"/>
      <c r="BK123" s="10"/>
      <c r="BL123" s="11"/>
      <c r="BM123" s="69">
        <f t="shared" ref="BM123:BM128" si="1104">BM122-BK123</f>
        <v>835</v>
      </c>
      <c r="BN123" s="69">
        <f t="shared" ref="BN123:BN128" si="1105">BN122-BL123</f>
        <v>72</v>
      </c>
      <c r="BO123" s="11">
        <v>603</v>
      </c>
      <c r="BP123" s="12">
        <f t="shared" si="1054"/>
        <v>0.73772455089820355</v>
      </c>
      <c r="BQ123" s="11">
        <v>13</v>
      </c>
      <c r="BR123" s="12">
        <f t="shared" si="1055"/>
        <v>2.1103896103896104E-2</v>
      </c>
      <c r="BS123" s="13"/>
      <c r="BT123" s="11"/>
      <c r="BU123" s="11"/>
      <c r="BV123" s="14"/>
      <c r="BW123" s="10"/>
      <c r="BX123" s="11">
        <v>1</v>
      </c>
      <c r="BY123" s="69">
        <f t="shared" ref="BY123:BY128" si="1106">BY122-BW123</f>
        <v>757</v>
      </c>
      <c r="BZ123" s="69">
        <f t="shared" ref="BZ123:BZ128" si="1107">BZ122-BX123</f>
        <v>63</v>
      </c>
      <c r="CA123" s="11">
        <v>532</v>
      </c>
      <c r="CB123" s="12">
        <f t="shared" si="1056"/>
        <v>0.71334214002642005</v>
      </c>
      <c r="CC123" s="11">
        <v>8</v>
      </c>
      <c r="CD123" s="12">
        <f t="shared" si="1057"/>
        <v>1.4814814814814815E-2</v>
      </c>
      <c r="CE123" s="13"/>
      <c r="CF123" s="11"/>
      <c r="CG123" s="11"/>
      <c r="CH123" s="14"/>
      <c r="CI123" s="10"/>
      <c r="CJ123" s="11"/>
      <c r="CK123" s="69">
        <f t="shared" ref="CK123:CK128" si="1108">CK122-CI123</f>
        <v>175</v>
      </c>
      <c r="CL123" s="69">
        <f t="shared" ref="CL123:CL128" si="1109">CL122-CJ123</f>
        <v>14</v>
      </c>
      <c r="CM123" s="11">
        <v>125</v>
      </c>
      <c r="CN123" s="12">
        <f t="shared" si="1058"/>
        <v>0.72571428571428576</v>
      </c>
      <c r="CO123" s="11">
        <v>2</v>
      </c>
      <c r="CP123" s="12">
        <f t="shared" si="1059"/>
        <v>1.5748031496062992E-2</v>
      </c>
      <c r="CQ123" s="13"/>
      <c r="CR123" s="11"/>
      <c r="CS123" s="11"/>
      <c r="CT123" s="14"/>
      <c r="CU123" s="10"/>
      <c r="CV123" s="11"/>
      <c r="CW123" s="69">
        <f t="shared" ref="CW123:CW128" si="1110">CW122-CU123</f>
        <v>752</v>
      </c>
      <c r="CX123" s="69">
        <f t="shared" ref="CX123:CX128" si="1111">CX122-CV123</f>
        <v>65</v>
      </c>
      <c r="CY123" s="11">
        <v>545</v>
      </c>
      <c r="CZ123" s="12">
        <f t="shared" si="1060"/>
        <v>0.73670212765957444</v>
      </c>
      <c r="DA123" s="11">
        <v>9</v>
      </c>
      <c r="DB123" s="12">
        <f t="shared" si="1061"/>
        <v>1.6245487364620937E-2</v>
      </c>
      <c r="DC123" s="13"/>
      <c r="DD123" s="11"/>
      <c r="DE123" s="11"/>
      <c r="DF123" s="14"/>
      <c r="DG123" s="10">
        <v>1</v>
      </c>
      <c r="DH123" s="11"/>
      <c r="DI123" s="69">
        <f t="shared" ref="DI123:DI128" si="1112">DI122-DG123</f>
        <v>759</v>
      </c>
      <c r="DJ123" s="69">
        <f t="shared" ref="DJ123:DJ128" si="1113">DJ122-DH123</f>
        <v>67</v>
      </c>
      <c r="DK123" s="11">
        <v>567</v>
      </c>
      <c r="DL123" s="12">
        <f t="shared" si="1062"/>
        <v>0.76416337285902503</v>
      </c>
      <c r="DM123" s="11">
        <v>13</v>
      </c>
      <c r="DN123" s="12">
        <f t="shared" si="1063"/>
        <v>2.2413793103448276E-2</v>
      </c>
      <c r="DO123" s="13"/>
      <c r="DP123" s="11"/>
      <c r="DQ123" s="11"/>
      <c r="DR123" s="14"/>
      <c r="DS123" s="10">
        <v>1</v>
      </c>
      <c r="DT123" s="11"/>
      <c r="DU123" s="69">
        <f t="shared" ref="DU123:DU128" si="1114">DU122-DS123</f>
        <v>846</v>
      </c>
      <c r="DV123" s="69">
        <f t="shared" ref="DV123:DV128" si="1115">DV122-DT123</f>
        <v>71</v>
      </c>
      <c r="DW123" s="11">
        <v>546</v>
      </c>
      <c r="DX123" s="12">
        <f t="shared" si="1064"/>
        <v>0.67612293144208035</v>
      </c>
      <c r="DY123" s="11">
        <v>26</v>
      </c>
      <c r="DZ123" s="12">
        <f t="shared" si="1065"/>
        <v>4.5454545454545456E-2</v>
      </c>
      <c r="EA123" s="13"/>
      <c r="EB123" s="11"/>
      <c r="EC123" s="11"/>
      <c r="ED123" s="14"/>
      <c r="EE123" s="10">
        <v>1</v>
      </c>
      <c r="EF123" s="11"/>
      <c r="EG123" s="69">
        <f t="shared" ref="EG123:EG128" si="1116">EG122-EE123</f>
        <v>856</v>
      </c>
      <c r="EH123" s="69">
        <f t="shared" ref="EH123:EH128" si="1117">EH122-EF123</f>
        <v>74</v>
      </c>
      <c r="EI123" s="11">
        <v>566</v>
      </c>
      <c r="EJ123" s="12">
        <f t="shared" si="1066"/>
        <v>0.68224299065420557</v>
      </c>
      <c r="EK123" s="11">
        <v>18</v>
      </c>
      <c r="EL123" s="12">
        <f t="shared" si="1067"/>
        <v>3.0821917808219176E-2</v>
      </c>
      <c r="EM123" s="13"/>
      <c r="EN123" s="11"/>
      <c r="EO123" s="11"/>
      <c r="EP123" s="14"/>
      <c r="EQ123" s="10"/>
      <c r="ER123" s="11"/>
      <c r="ES123" s="69">
        <f t="shared" ref="ES123:ES128" si="1118">ES122-EQ123</f>
        <v>196</v>
      </c>
      <c r="ET123" s="69">
        <f t="shared" ref="ET123:ET128" si="1119">ET122-ER123</f>
        <v>16</v>
      </c>
      <c r="EU123" s="11">
        <v>120</v>
      </c>
      <c r="EV123" s="12">
        <f t="shared" si="1068"/>
        <v>0.65306122448979587</v>
      </c>
      <c r="EW123" s="11">
        <v>8</v>
      </c>
      <c r="EX123" s="12">
        <f t="shared" si="1069"/>
        <v>6.25E-2</v>
      </c>
      <c r="EY123" s="13"/>
      <c r="EZ123" s="11"/>
      <c r="FA123" s="11"/>
      <c r="FB123" s="14"/>
      <c r="FC123" s="10"/>
      <c r="FD123" s="11"/>
      <c r="FE123" s="69">
        <f t="shared" ref="FE123:FE128" si="1120">FE122-FC123</f>
        <v>864</v>
      </c>
      <c r="FF123" s="69">
        <f t="shared" ref="FF123:FF128" si="1121">FF122-FD123</f>
        <v>75</v>
      </c>
      <c r="FG123" s="11">
        <v>624</v>
      </c>
      <c r="FH123" s="12">
        <f t="shared" si="1070"/>
        <v>0.73148148148148151</v>
      </c>
      <c r="FI123" s="11">
        <v>8</v>
      </c>
      <c r="FJ123" s="12">
        <f t="shared" si="1071"/>
        <v>1.2658227848101266E-2</v>
      </c>
      <c r="FK123" s="13"/>
      <c r="FL123" s="11"/>
      <c r="FM123" s="11"/>
      <c r="FN123" s="14"/>
      <c r="FO123" s="10"/>
      <c r="FP123" s="11"/>
      <c r="FQ123" s="69">
        <f t="shared" ref="FQ123:FQ128" si="1122">FQ122-FO123</f>
        <v>900</v>
      </c>
      <c r="FR123" s="69">
        <f t="shared" ref="FR123:FR128" si="1123">FR122-FP123</f>
        <v>75</v>
      </c>
      <c r="FS123" s="11">
        <v>604</v>
      </c>
      <c r="FT123" s="12">
        <f t="shared" si="1072"/>
        <v>0.69111111111111112</v>
      </c>
      <c r="FU123" s="11">
        <v>18</v>
      </c>
      <c r="FV123" s="12">
        <f t="shared" si="1073"/>
        <v>2.8938906752411574E-2</v>
      </c>
      <c r="FW123" s="13"/>
      <c r="FX123" s="11"/>
      <c r="FY123" s="11"/>
      <c r="FZ123" s="14"/>
      <c r="GA123" s="10">
        <v>1</v>
      </c>
      <c r="GB123" s="11"/>
      <c r="GC123" s="69">
        <f t="shared" ref="GC123:GC128" si="1124">GC122-GA123</f>
        <v>892</v>
      </c>
      <c r="GD123" s="69">
        <f t="shared" ref="GD123:GD128" si="1125">GD122-GB123</f>
        <v>76</v>
      </c>
      <c r="GE123" s="11">
        <v>632</v>
      </c>
      <c r="GF123" s="12">
        <f t="shared" si="1074"/>
        <v>0.72309417040358748</v>
      </c>
      <c r="GG123" s="11">
        <v>13</v>
      </c>
      <c r="GH123" s="12">
        <f t="shared" si="1075"/>
        <v>2.0155038759689922E-2</v>
      </c>
      <c r="GI123" s="13"/>
      <c r="GJ123" s="11"/>
      <c r="GK123" s="11"/>
      <c r="GL123" s="14"/>
      <c r="GM123" s="10"/>
      <c r="GN123" s="11"/>
      <c r="GO123" s="69">
        <f t="shared" ref="GO123:GO128" si="1126">GO122-GM123</f>
        <v>179</v>
      </c>
      <c r="GP123" s="69">
        <f t="shared" ref="GP123:GP128" si="1127">GP122-GN123</f>
        <v>17</v>
      </c>
      <c r="GQ123" s="11">
        <v>147</v>
      </c>
      <c r="GR123" s="12">
        <f t="shared" si="1076"/>
        <v>0.85474860335195535</v>
      </c>
      <c r="GS123" s="11">
        <v>6</v>
      </c>
      <c r="GT123" s="12">
        <f t="shared" si="1077"/>
        <v>3.9215686274509803E-2</v>
      </c>
      <c r="GU123" s="13"/>
      <c r="GV123" s="11"/>
      <c r="GW123" s="11"/>
      <c r="GX123" s="14"/>
      <c r="GY123" s="10"/>
      <c r="GZ123" s="11"/>
      <c r="HA123" s="69">
        <f t="shared" ref="HA123:HA128" si="1128">HA122-GY123</f>
        <v>908</v>
      </c>
      <c r="HB123" s="69">
        <f t="shared" ref="HB123:HB128" si="1129">HB122-GZ123</f>
        <v>78</v>
      </c>
      <c r="HC123" s="11">
        <v>631</v>
      </c>
      <c r="HD123" s="12">
        <f t="shared" si="1078"/>
        <v>0.70704845814977979</v>
      </c>
      <c r="HE123" s="11">
        <v>11</v>
      </c>
      <c r="HF123" s="12">
        <f t="shared" si="1079"/>
        <v>1.7133956386292833E-2</v>
      </c>
      <c r="HG123" s="13"/>
      <c r="HH123" s="11"/>
      <c r="HI123" s="11"/>
      <c r="HJ123" s="14"/>
      <c r="HK123" s="10">
        <f t="shared" si="1080"/>
        <v>5</v>
      </c>
      <c r="HL123" s="11">
        <f t="shared" si="1081"/>
        <v>1</v>
      </c>
      <c r="HM123" s="11">
        <f t="shared" si="1082"/>
        <v>12240</v>
      </c>
      <c r="HN123" s="11">
        <f t="shared" si="1083"/>
        <v>1045</v>
      </c>
      <c r="HO123" s="11">
        <f t="shared" si="1084"/>
        <v>8816</v>
      </c>
      <c r="HP123" s="95">
        <f t="shared" si="1085"/>
        <v>0.72026143790849673</v>
      </c>
      <c r="HQ123" s="15">
        <f t="shared" si="1086"/>
        <v>191</v>
      </c>
      <c r="HR123" s="12">
        <f t="shared" si="1087"/>
        <v>2.1665154264972775E-2</v>
      </c>
      <c r="HS123" s="16">
        <v>61.3</v>
      </c>
      <c r="HT123" s="17">
        <v>8467</v>
      </c>
      <c r="HU123" s="16">
        <f t="shared" si="1088"/>
        <v>96.041288566243196</v>
      </c>
      <c r="HV123" s="15"/>
      <c r="HW123" s="14"/>
      <c r="HX123" s="73">
        <f t="shared" si="1089"/>
        <v>0.7289972899728997</v>
      </c>
      <c r="HY123" s="73">
        <f t="shared" si="1090"/>
        <v>0.73733984136668695</v>
      </c>
      <c r="HZ123" s="73">
        <f t="shared" si="1091"/>
        <v>0.69370021723388853</v>
      </c>
      <c r="IA123" s="73">
        <f t="shared" si="1092"/>
        <v>0.71622091003820776</v>
      </c>
    </row>
    <row r="124" spans="1:244" x14ac:dyDescent="0.25">
      <c r="A124" s="374"/>
      <c r="B124" s="41">
        <f t="shared" si="1093"/>
        <v>45034</v>
      </c>
      <c r="C124" s="10">
        <v>1</v>
      </c>
      <c r="D124" s="11"/>
      <c r="E124" s="69">
        <f t="shared" si="1094"/>
        <v>841</v>
      </c>
      <c r="F124" s="69">
        <f t="shared" si="1095"/>
        <v>72</v>
      </c>
      <c r="G124" s="11">
        <v>619</v>
      </c>
      <c r="H124" s="12">
        <f t="shared" si="1044"/>
        <v>0.74791914387633773</v>
      </c>
      <c r="I124" s="11">
        <v>10</v>
      </c>
      <c r="J124" s="12">
        <f t="shared" si="1045"/>
        <v>1.5898251192368838E-2</v>
      </c>
      <c r="K124" s="13"/>
      <c r="L124" s="11"/>
      <c r="M124" s="11"/>
      <c r="N124" s="14"/>
      <c r="O124" s="10">
        <v>1</v>
      </c>
      <c r="P124" s="11"/>
      <c r="Q124" s="69">
        <f t="shared" si="1096"/>
        <v>762</v>
      </c>
      <c r="R124" s="69">
        <f t="shared" si="1097"/>
        <v>65</v>
      </c>
      <c r="S124" s="11">
        <v>547</v>
      </c>
      <c r="T124" s="12">
        <f t="shared" si="1046"/>
        <v>0.73359580052493434</v>
      </c>
      <c r="U124" s="11">
        <v>12</v>
      </c>
      <c r="V124" s="12">
        <f t="shared" si="1047"/>
        <v>2.1466905187835419E-2</v>
      </c>
      <c r="W124" s="13"/>
      <c r="X124" s="11"/>
      <c r="Y124" s="11"/>
      <c r="Z124" s="14"/>
      <c r="AA124" s="10"/>
      <c r="AB124" s="11"/>
      <c r="AC124" s="69">
        <f t="shared" si="1098"/>
        <v>177</v>
      </c>
      <c r="AD124" s="69">
        <f t="shared" si="1099"/>
        <v>13</v>
      </c>
      <c r="AE124" s="11">
        <v>130</v>
      </c>
      <c r="AF124" s="12">
        <f t="shared" si="1048"/>
        <v>0.74576271186440679</v>
      </c>
      <c r="AG124" s="11">
        <v>2</v>
      </c>
      <c r="AH124" s="12">
        <f t="shared" si="1049"/>
        <v>1.5151515151515152E-2</v>
      </c>
      <c r="AI124" s="13"/>
      <c r="AJ124" s="11"/>
      <c r="AK124" s="11"/>
      <c r="AL124" s="14"/>
      <c r="AM124" s="10"/>
      <c r="AN124" s="11"/>
      <c r="AO124" s="69">
        <f t="shared" si="1100"/>
        <v>774</v>
      </c>
      <c r="AP124" s="69">
        <f t="shared" si="1101"/>
        <v>65</v>
      </c>
      <c r="AQ124" s="11">
        <v>529</v>
      </c>
      <c r="AR124" s="12">
        <f t="shared" si="1050"/>
        <v>0.69509043927648584</v>
      </c>
      <c r="AS124" s="11">
        <v>9</v>
      </c>
      <c r="AT124" s="12">
        <f t="shared" si="1051"/>
        <v>1.6728624535315983E-2</v>
      </c>
      <c r="AU124" s="13"/>
      <c r="AV124" s="11"/>
      <c r="AW124" s="11"/>
      <c r="AX124" s="14"/>
      <c r="AY124" s="10"/>
      <c r="AZ124" s="11"/>
      <c r="BA124" s="69">
        <f t="shared" si="1102"/>
        <v>765</v>
      </c>
      <c r="BB124" s="69">
        <f t="shared" si="1103"/>
        <v>67</v>
      </c>
      <c r="BC124" s="11">
        <v>537</v>
      </c>
      <c r="BD124" s="12">
        <f t="shared" si="1052"/>
        <v>0.71764705882352942</v>
      </c>
      <c r="BE124" s="11">
        <v>12</v>
      </c>
      <c r="BF124" s="12">
        <f t="shared" si="1053"/>
        <v>2.185792349726776E-2</v>
      </c>
      <c r="BG124" s="13"/>
      <c r="BH124" s="11"/>
      <c r="BI124" s="11"/>
      <c r="BJ124" s="14"/>
      <c r="BK124" s="10"/>
      <c r="BL124" s="11"/>
      <c r="BM124" s="69">
        <f t="shared" si="1104"/>
        <v>835</v>
      </c>
      <c r="BN124" s="69">
        <f t="shared" si="1105"/>
        <v>72</v>
      </c>
      <c r="BO124" s="11">
        <v>614</v>
      </c>
      <c r="BP124" s="12">
        <f t="shared" si="1054"/>
        <v>0.75089820359281434</v>
      </c>
      <c r="BQ124" s="11">
        <v>13</v>
      </c>
      <c r="BR124" s="12">
        <f t="shared" si="1055"/>
        <v>2.0733652312599681E-2</v>
      </c>
      <c r="BS124" s="13"/>
      <c r="BT124" s="11"/>
      <c r="BU124" s="11"/>
      <c r="BV124" s="14"/>
      <c r="BW124" s="10"/>
      <c r="BX124" s="11"/>
      <c r="BY124" s="69">
        <f t="shared" si="1106"/>
        <v>757</v>
      </c>
      <c r="BZ124" s="69">
        <f t="shared" si="1107"/>
        <v>63</v>
      </c>
      <c r="CA124" s="11">
        <v>529</v>
      </c>
      <c r="CB124" s="12">
        <f t="shared" si="1056"/>
        <v>0.70673712021136059</v>
      </c>
      <c r="CC124" s="11">
        <v>6</v>
      </c>
      <c r="CD124" s="12">
        <f t="shared" si="1057"/>
        <v>1.1214953271028037E-2</v>
      </c>
      <c r="CE124" s="13"/>
      <c r="CF124" s="11"/>
      <c r="CG124" s="11"/>
      <c r="CH124" s="14"/>
      <c r="CI124" s="10"/>
      <c r="CJ124" s="11"/>
      <c r="CK124" s="69">
        <f t="shared" si="1108"/>
        <v>175</v>
      </c>
      <c r="CL124" s="69">
        <f t="shared" si="1109"/>
        <v>14</v>
      </c>
      <c r="CM124" s="11">
        <v>121</v>
      </c>
      <c r="CN124" s="12">
        <f t="shared" si="1058"/>
        <v>0.69714285714285718</v>
      </c>
      <c r="CO124" s="11">
        <v>1</v>
      </c>
      <c r="CP124" s="12">
        <f t="shared" si="1059"/>
        <v>8.1967213114754103E-3</v>
      </c>
      <c r="CQ124" s="13"/>
      <c r="CR124" s="11"/>
      <c r="CS124" s="11"/>
      <c r="CT124" s="14"/>
      <c r="CU124" s="10"/>
      <c r="CV124" s="11"/>
      <c r="CW124" s="69">
        <f t="shared" si="1110"/>
        <v>752</v>
      </c>
      <c r="CX124" s="69">
        <f t="shared" si="1111"/>
        <v>65</v>
      </c>
      <c r="CY124" s="11">
        <v>535</v>
      </c>
      <c r="CZ124" s="12">
        <f t="shared" si="1060"/>
        <v>0.71941489361702127</v>
      </c>
      <c r="DA124" s="11">
        <v>6</v>
      </c>
      <c r="DB124" s="12">
        <f t="shared" si="1061"/>
        <v>1.1090573012939002E-2</v>
      </c>
      <c r="DC124" s="13"/>
      <c r="DD124" s="11"/>
      <c r="DE124" s="11"/>
      <c r="DF124" s="14"/>
      <c r="DG124" s="10"/>
      <c r="DH124" s="11"/>
      <c r="DI124" s="69">
        <f t="shared" si="1112"/>
        <v>759</v>
      </c>
      <c r="DJ124" s="69">
        <f t="shared" si="1113"/>
        <v>67</v>
      </c>
      <c r="DK124" s="11">
        <v>535</v>
      </c>
      <c r="DL124" s="12">
        <f t="shared" si="1062"/>
        <v>0.72595520421607374</v>
      </c>
      <c r="DM124" s="11">
        <v>16</v>
      </c>
      <c r="DN124" s="12">
        <f t="shared" si="1063"/>
        <v>2.9038112522686024E-2</v>
      </c>
      <c r="DO124" s="13"/>
      <c r="DP124" s="11"/>
      <c r="DQ124" s="11"/>
      <c r="DR124" s="14"/>
      <c r="DS124" s="10"/>
      <c r="DT124" s="11"/>
      <c r="DU124" s="69">
        <f t="shared" si="1114"/>
        <v>846</v>
      </c>
      <c r="DV124" s="69">
        <f t="shared" si="1115"/>
        <v>71</v>
      </c>
      <c r="DW124" s="11">
        <v>593</v>
      </c>
      <c r="DX124" s="12">
        <f t="shared" si="1064"/>
        <v>0.71985815602836878</v>
      </c>
      <c r="DY124" s="11">
        <v>16</v>
      </c>
      <c r="DZ124" s="12">
        <f t="shared" si="1065"/>
        <v>2.6272577996715927E-2</v>
      </c>
      <c r="EA124" s="13"/>
      <c r="EB124" s="11"/>
      <c r="EC124" s="11"/>
      <c r="ED124" s="14"/>
      <c r="EE124" s="10"/>
      <c r="EF124" s="11"/>
      <c r="EG124" s="69">
        <f t="shared" si="1116"/>
        <v>856</v>
      </c>
      <c r="EH124" s="69">
        <f t="shared" si="1117"/>
        <v>74</v>
      </c>
      <c r="EI124" s="11">
        <v>576</v>
      </c>
      <c r="EJ124" s="12">
        <f t="shared" si="1066"/>
        <v>0.69275700934579443</v>
      </c>
      <c r="EK124" s="11">
        <v>17</v>
      </c>
      <c r="EL124" s="12">
        <f t="shared" si="1067"/>
        <v>2.866779089376054E-2</v>
      </c>
      <c r="EM124" s="13"/>
      <c r="EN124" s="11"/>
      <c r="EO124" s="11"/>
      <c r="EP124" s="14"/>
      <c r="EQ124" s="10"/>
      <c r="ER124" s="11"/>
      <c r="ES124" s="69">
        <f t="shared" si="1118"/>
        <v>196</v>
      </c>
      <c r="ET124" s="69">
        <f t="shared" si="1119"/>
        <v>16</v>
      </c>
      <c r="EU124" s="11">
        <v>127</v>
      </c>
      <c r="EV124" s="12">
        <f t="shared" si="1068"/>
        <v>0.69387755102040816</v>
      </c>
      <c r="EW124" s="11">
        <v>9</v>
      </c>
      <c r="EX124" s="12">
        <f t="shared" si="1069"/>
        <v>6.6176470588235295E-2</v>
      </c>
      <c r="EY124" s="13"/>
      <c r="EZ124" s="11"/>
      <c r="FA124" s="11"/>
      <c r="FB124" s="14"/>
      <c r="FC124" s="10"/>
      <c r="FD124" s="11"/>
      <c r="FE124" s="69">
        <f t="shared" si="1120"/>
        <v>864</v>
      </c>
      <c r="FF124" s="69">
        <f t="shared" si="1121"/>
        <v>75</v>
      </c>
      <c r="FG124" s="11">
        <v>661</v>
      </c>
      <c r="FH124" s="12">
        <f t="shared" si="1070"/>
        <v>0.77662037037037035</v>
      </c>
      <c r="FI124" s="11">
        <v>10</v>
      </c>
      <c r="FJ124" s="12">
        <f t="shared" si="1071"/>
        <v>1.4903129657228018E-2</v>
      </c>
      <c r="FK124" s="13"/>
      <c r="FL124" s="11"/>
      <c r="FM124" s="11"/>
      <c r="FN124" s="14"/>
      <c r="FO124" s="10"/>
      <c r="FP124" s="11"/>
      <c r="FQ124" s="69">
        <f t="shared" si="1122"/>
        <v>900</v>
      </c>
      <c r="FR124" s="69">
        <f t="shared" si="1123"/>
        <v>75</v>
      </c>
      <c r="FS124" s="11">
        <v>591</v>
      </c>
      <c r="FT124" s="12">
        <f t="shared" si="1072"/>
        <v>0.67222222222222228</v>
      </c>
      <c r="FU124" s="11">
        <v>14</v>
      </c>
      <c r="FV124" s="12">
        <f t="shared" si="1073"/>
        <v>2.3140495867768594E-2</v>
      </c>
      <c r="FW124" s="13"/>
      <c r="FX124" s="11"/>
      <c r="FY124" s="11"/>
      <c r="FZ124" s="14"/>
      <c r="GA124" s="10"/>
      <c r="GB124" s="11"/>
      <c r="GC124" s="69">
        <f t="shared" si="1124"/>
        <v>892</v>
      </c>
      <c r="GD124" s="69">
        <f t="shared" si="1125"/>
        <v>76</v>
      </c>
      <c r="GE124" s="11">
        <v>620</v>
      </c>
      <c r="GF124" s="12">
        <f t="shared" si="1074"/>
        <v>0.70964125560538116</v>
      </c>
      <c r="GG124" s="11">
        <v>13</v>
      </c>
      <c r="GH124" s="12">
        <f t="shared" si="1075"/>
        <v>2.0537124802527645E-2</v>
      </c>
      <c r="GI124" s="13"/>
      <c r="GJ124" s="11"/>
      <c r="GK124" s="11"/>
      <c r="GL124" s="14"/>
      <c r="GM124" s="10"/>
      <c r="GN124" s="11"/>
      <c r="GO124" s="69">
        <f t="shared" si="1126"/>
        <v>179</v>
      </c>
      <c r="GP124" s="69">
        <f t="shared" si="1127"/>
        <v>17</v>
      </c>
      <c r="GQ124" s="11">
        <v>127</v>
      </c>
      <c r="GR124" s="12">
        <f t="shared" si="1076"/>
        <v>0.74301675977653636</v>
      </c>
      <c r="GS124" s="11">
        <v>6</v>
      </c>
      <c r="GT124" s="12">
        <f t="shared" si="1077"/>
        <v>4.5112781954887216E-2</v>
      </c>
      <c r="GU124" s="13"/>
      <c r="GV124" s="11"/>
      <c r="GW124" s="11"/>
      <c r="GX124" s="14"/>
      <c r="GY124" s="10"/>
      <c r="GZ124" s="11"/>
      <c r="HA124" s="69">
        <f t="shared" si="1128"/>
        <v>908</v>
      </c>
      <c r="HB124" s="69">
        <f t="shared" si="1129"/>
        <v>78</v>
      </c>
      <c r="HC124" s="11">
        <v>628</v>
      </c>
      <c r="HD124" s="12">
        <f t="shared" si="1078"/>
        <v>0.71145374449339205</v>
      </c>
      <c r="HE124" s="11">
        <v>18</v>
      </c>
      <c r="HF124" s="12">
        <f t="shared" si="1079"/>
        <v>2.7863777089783281E-2</v>
      </c>
      <c r="HG124" s="13"/>
      <c r="HH124" s="11"/>
      <c r="HI124" s="11"/>
      <c r="HJ124" s="14"/>
      <c r="HK124" s="10">
        <f t="shared" si="1080"/>
        <v>2</v>
      </c>
      <c r="HL124" s="11">
        <f t="shared" si="1081"/>
        <v>0</v>
      </c>
      <c r="HM124" s="11">
        <f t="shared" si="1082"/>
        <v>12238</v>
      </c>
      <c r="HN124" s="11">
        <f t="shared" si="1083"/>
        <v>1045</v>
      </c>
      <c r="HO124" s="11">
        <f t="shared" si="1084"/>
        <v>8809</v>
      </c>
      <c r="HP124" s="95">
        <f t="shared" si="1085"/>
        <v>0.71980715803235817</v>
      </c>
      <c r="HQ124" s="15">
        <f t="shared" si="1086"/>
        <v>190</v>
      </c>
      <c r="HR124" s="12">
        <f t="shared" si="1087"/>
        <v>2.1568850039732093E-2</v>
      </c>
      <c r="HS124" s="16">
        <v>60.9</v>
      </c>
      <c r="HT124" s="17">
        <v>8449</v>
      </c>
      <c r="HU124" s="16">
        <f t="shared" si="1088"/>
        <v>95.913270518787613</v>
      </c>
      <c r="HV124" s="15"/>
      <c r="HW124" s="14"/>
      <c r="HX124" s="73">
        <f t="shared" si="1089"/>
        <v>0.72521843928894247</v>
      </c>
      <c r="HY124" s="73">
        <f t="shared" si="1090"/>
        <v>0.72483221476510062</v>
      </c>
      <c r="HZ124" s="73">
        <f t="shared" si="1091"/>
        <v>0.72737146994931212</v>
      </c>
      <c r="IA124" s="73">
        <f t="shared" si="1092"/>
        <v>0.70059048280653002</v>
      </c>
    </row>
    <row r="125" spans="1:244" x14ac:dyDescent="0.25">
      <c r="A125" s="374"/>
      <c r="B125" s="41">
        <f t="shared" si="1093"/>
        <v>45035</v>
      </c>
      <c r="C125" s="10">
        <v>2</v>
      </c>
      <c r="D125" s="11"/>
      <c r="E125" s="69">
        <f t="shared" si="1094"/>
        <v>839</v>
      </c>
      <c r="F125" s="69">
        <f t="shared" si="1095"/>
        <v>72</v>
      </c>
      <c r="G125" s="11">
        <v>611</v>
      </c>
      <c r="H125" s="12">
        <f t="shared" si="1044"/>
        <v>0.74016686531585218</v>
      </c>
      <c r="I125" s="11">
        <v>10</v>
      </c>
      <c r="J125" s="12">
        <f t="shared" si="1045"/>
        <v>1.610305958132045E-2</v>
      </c>
      <c r="K125" s="11"/>
      <c r="L125" s="11"/>
      <c r="M125" s="18"/>
      <c r="N125" s="20"/>
      <c r="O125" s="10"/>
      <c r="P125" s="11"/>
      <c r="Q125" s="69">
        <f t="shared" si="1096"/>
        <v>762</v>
      </c>
      <c r="R125" s="69">
        <f t="shared" si="1097"/>
        <v>65</v>
      </c>
      <c r="S125" s="11">
        <v>532</v>
      </c>
      <c r="T125" s="12">
        <f t="shared" si="1046"/>
        <v>0.70734908136482944</v>
      </c>
      <c r="U125" s="11">
        <v>7</v>
      </c>
      <c r="V125" s="12">
        <f t="shared" si="1047"/>
        <v>1.2987012987012988E-2</v>
      </c>
      <c r="W125" s="11"/>
      <c r="X125" s="11"/>
      <c r="Y125" s="18"/>
      <c r="Z125" s="20"/>
      <c r="AA125" s="10">
        <v>1</v>
      </c>
      <c r="AB125" s="11"/>
      <c r="AC125" s="69">
        <f t="shared" si="1098"/>
        <v>176</v>
      </c>
      <c r="AD125" s="69">
        <f t="shared" si="1099"/>
        <v>13</v>
      </c>
      <c r="AE125" s="11">
        <v>113</v>
      </c>
      <c r="AF125" s="12">
        <f t="shared" si="1048"/>
        <v>0.64772727272727271</v>
      </c>
      <c r="AG125" s="11">
        <v>1</v>
      </c>
      <c r="AH125" s="12">
        <f t="shared" si="1049"/>
        <v>8.771929824561403E-3</v>
      </c>
      <c r="AI125" s="11"/>
      <c r="AJ125" s="11"/>
      <c r="AK125" s="18"/>
      <c r="AL125" s="20"/>
      <c r="AM125" s="10"/>
      <c r="AN125" s="11"/>
      <c r="AO125" s="69">
        <f t="shared" si="1100"/>
        <v>774</v>
      </c>
      <c r="AP125" s="69">
        <f t="shared" si="1101"/>
        <v>65</v>
      </c>
      <c r="AQ125" s="11">
        <v>538</v>
      </c>
      <c r="AR125" s="12">
        <f t="shared" si="1050"/>
        <v>0.70025839793281652</v>
      </c>
      <c r="AS125" s="11">
        <v>4</v>
      </c>
      <c r="AT125" s="12">
        <f t="shared" si="1051"/>
        <v>7.3800738007380072E-3</v>
      </c>
      <c r="AU125" s="11"/>
      <c r="AV125" s="11"/>
      <c r="AW125" s="18"/>
      <c r="AX125" s="20"/>
      <c r="AY125" s="10"/>
      <c r="AZ125" s="11"/>
      <c r="BA125" s="69">
        <f t="shared" si="1102"/>
        <v>765</v>
      </c>
      <c r="BB125" s="69">
        <f t="shared" si="1103"/>
        <v>67</v>
      </c>
      <c r="BC125" s="11">
        <v>541</v>
      </c>
      <c r="BD125" s="12">
        <f t="shared" si="1052"/>
        <v>0.7150326797385621</v>
      </c>
      <c r="BE125" s="11">
        <v>6</v>
      </c>
      <c r="BF125" s="12">
        <f t="shared" si="1053"/>
        <v>1.0968921389396709E-2</v>
      </c>
      <c r="BG125" s="11"/>
      <c r="BH125" s="11"/>
      <c r="BI125" s="18"/>
      <c r="BJ125" s="20"/>
      <c r="BK125" s="10">
        <v>1</v>
      </c>
      <c r="BL125" s="11"/>
      <c r="BM125" s="69">
        <f t="shared" si="1104"/>
        <v>834</v>
      </c>
      <c r="BN125" s="69">
        <f t="shared" si="1105"/>
        <v>72</v>
      </c>
      <c r="BO125" s="11">
        <v>599</v>
      </c>
      <c r="BP125" s="12">
        <f t="shared" si="1054"/>
        <v>0.73621103117505993</v>
      </c>
      <c r="BQ125" s="11">
        <v>15</v>
      </c>
      <c r="BR125" s="12">
        <f t="shared" si="1055"/>
        <v>2.4429967426710098E-2</v>
      </c>
      <c r="BS125" s="11"/>
      <c r="BT125" s="11"/>
      <c r="BU125" s="18"/>
      <c r="BV125" s="20"/>
      <c r="BW125" s="10"/>
      <c r="BX125" s="11"/>
      <c r="BY125" s="69">
        <f t="shared" si="1106"/>
        <v>757</v>
      </c>
      <c r="BZ125" s="69">
        <f t="shared" si="1107"/>
        <v>63</v>
      </c>
      <c r="CA125" s="11">
        <v>530</v>
      </c>
      <c r="CB125" s="12">
        <f t="shared" si="1056"/>
        <v>0.70541611624834877</v>
      </c>
      <c r="CC125" s="11">
        <v>4</v>
      </c>
      <c r="CD125" s="12">
        <f t="shared" si="1057"/>
        <v>7.4906367041198503E-3</v>
      </c>
      <c r="CE125" s="11"/>
      <c r="CF125" s="11"/>
      <c r="CG125" s="18"/>
      <c r="CH125" s="20"/>
      <c r="CI125" s="10"/>
      <c r="CJ125" s="11"/>
      <c r="CK125" s="69">
        <f t="shared" si="1108"/>
        <v>175</v>
      </c>
      <c r="CL125" s="69">
        <f t="shared" si="1109"/>
        <v>14</v>
      </c>
      <c r="CM125" s="11">
        <v>126</v>
      </c>
      <c r="CN125" s="12">
        <f t="shared" si="1058"/>
        <v>0.74857142857142855</v>
      </c>
      <c r="CO125" s="11">
        <v>5</v>
      </c>
      <c r="CP125" s="12">
        <f t="shared" si="1059"/>
        <v>3.8167938931297711E-2</v>
      </c>
      <c r="CQ125" s="11"/>
      <c r="CR125" s="11"/>
      <c r="CS125" s="18"/>
      <c r="CT125" s="20"/>
      <c r="CU125" s="10"/>
      <c r="CV125" s="11"/>
      <c r="CW125" s="69">
        <f t="shared" si="1110"/>
        <v>752</v>
      </c>
      <c r="CX125" s="69">
        <f t="shared" si="1111"/>
        <v>65</v>
      </c>
      <c r="CY125" s="11">
        <v>548</v>
      </c>
      <c r="CZ125" s="12">
        <f t="shared" si="1060"/>
        <v>0.73936170212765961</v>
      </c>
      <c r="DA125" s="11">
        <v>8</v>
      </c>
      <c r="DB125" s="12">
        <f t="shared" si="1061"/>
        <v>1.4388489208633094E-2</v>
      </c>
      <c r="DC125" s="11"/>
      <c r="DD125" s="11"/>
      <c r="DE125" s="18"/>
      <c r="DF125" s="20"/>
      <c r="DG125" s="10">
        <v>1</v>
      </c>
      <c r="DH125" s="11"/>
      <c r="DI125" s="69">
        <f t="shared" si="1112"/>
        <v>758</v>
      </c>
      <c r="DJ125" s="69">
        <f t="shared" si="1113"/>
        <v>67</v>
      </c>
      <c r="DK125" s="11">
        <v>542</v>
      </c>
      <c r="DL125" s="12">
        <f t="shared" si="1062"/>
        <v>0.73482849604221634</v>
      </c>
      <c r="DM125" s="11">
        <v>15</v>
      </c>
      <c r="DN125" s="12">
        <f t="shared" si="1063"/>
        <v>2.6929982046678635E-2</v>
      </c>
      <c r="DO125" s="11"/>
      <c r="DP125" s="11"/>
      <c r="DQ125" s="18"/>
      <c r="DR125" s="20"/>
      <c r="DS125" s="10"/>
      <c r="DT125" s="11"/>
      <c r="DU125" s="69">
        <f t="shared" si="1114"/>
        <v>846</v>
      </c>
      <c r="DV125" s="69">
        <f t="shared" si="1115"/>
        <v>71</v>
      </c>
      <c r="DW125" s="11">
        <v>594</v>
      </c>
      <c r="DX125" s="12">
        <f t="shared" si="1064"/>
        <v>0.72222222222222221</v>
      </c>
      <c r="DY125" s="11">
        <v>17</v>
      </c>
      <c r="DZ125" s="12">
        <f t="shared" si="1065"/>
        <v>2.7823240589198037E-2</v>
      </c>
      <c r="EA125" s="11"/>
      <c r="EB125" s="11"/>
      <c r="EC125" s="18"/>
      <c r="ED125" s="20"/>
      <c r="EE125" s="10"/>
      <c r="EF125" s="11"/>
      <c r="EG125" s="69">
        <f t="shared" si="1116"/>
        <v>856</v>
      </c>
      <c r="EH125" s="69">
        <f t="shared" si="1117"/>
        <v>74</v>
      </c>
      <c r="EI125" s="11">
        <v>584</v>
      </c>
      <c r="EJ125" s="12">
        <f t="shared" si="1066"/>
        <v>0.70911214953271029</v>
      </c>
      <c r="EK125" s="11">
        <v>23</v>
      </c>
      <c r="EL125" s="12">
        <f t="shared" si="1067"/>
        <v>3.789126853377265E-2</v>
      </c>
      <c r="EM125" s="11"/>
      <c r="EN125" s="11"/>
      <c r="EO125" s="18"/>
      <c r="EP125" s="20"/>
      <c r="EQ125" s="10"/>
      <c r="ER125" s="11"/>
      <c r="ES125" s="69">
        <f t="shared" si="1118"/>
        <v>196</v>
      </c>
      <c r="ET125" s="69">
        <f t="shared" si="1119"/>
        <v>16</v>
      </c>
      <c r="EU125" s="11">
        <v>131</v>
      </c>
      <c r="EV125" s="12">
        <f t="shared" si="1068"/>
        <v>0.70408163265306123</v>
      </c>
      <c r="EW125" s="11">
        <v>7</v>
      </c>
      <c r="EX125" s="12">
        <f t="shared" si="1069"/>
        <v>5.0724637681159424E-2</v>
      </c>
      <c r="EY125" s="11"/>
      <c r="EZ125" s="11"/>
      <c r="FA125" s="18"/>
      <c r="FB125" s="20"/>
      <c r="FC125" s="10"/>
      <c r="FD125" s="11"/>
      <c r="FE125" s="69">
        <f t="shared" si="1120"/>
        <v>864</v>
      </c>
      <c r="FF125" s="69">
        <f t="shared" si="1121"/>
        <v>75</v>
      </c>
      <c r="FG125" s="11">
        <v>628</v>
      </c>
      <c r="FH125" s="12">
        <f t="shared" si="1070"/>
        <v>0.73148148148148151</v>
      </c>
      <c r="FI125" s="11">
        <v>4</v>
      </c>
      <c r="FJ125" s="12">
        <f t="shared" si="1071"/>
        <v>6.3291139240506328E-3</v>
      </c>
      <c r="FK125" s="11"/>
      <c r="FL125" s="11"/>
      <c r="FM125" s="18"/>
      <c r="FN125" s="20"/>
      <c r="FO125" s="10">
        <v>2</v>
      </c>
      <c r="FP125" s="11"/>
      <c r="FQ125" s="69">
        <f t="shared" si="1122"/>
        <v>898</v>
      </c>
      <c r="FR125" s="69">
        <f t="shared" si="1123"/>
        <v>75</v>
      </c>
      <c r="FS125" s="11">
        <v>595</v>
      </c>
      <c r="FT125" s="12">
        <f t="shared" si="1072"/>
        <v>0.6804008908685969</v>
      </c>
      <c r="FU125" s="11">
        <v>16</v>
      </c>
      <c r="FV125" s="12">
        <f t="shared" si="1073"/>
        <v>2.6186579378068741E-2</v>
      </c>
      <c r="FW125" s="11"/>
      <c r="FX125" s="11"/>
      <c r="FY125" s="18"/>
      <c r="FZ125" s="20"/>
      <c r="GA125" s="10"/>
      <c r="GB125" s="11"/>
      <c r="GC125" s="69">
        <f t="shared" si="1124"/>
        <v>892</v>
      </c>
      <c r="GD125" s="69">
        <f t="shared" si="1125"/>
        <v>76</v>
      </c>
      <c r="GE125" s="11">
        <v>623</v>
      </c>
      <c r="GF125" s="12">
        <f t="shared" si="1074"/>
        <v>0.70852017937219736</v>
      </c>
      <c r="GG125" s="11">
        <v>9</v>
      </c>
      <c r="GH125" s="12">
        <f t="shared" si="1075"/>
        <v>1.4240506329113924E-2</v>
      </c>
      <c r="GI125" s="11"/>
      <c r="GJ125" s="11"/>
      <c r="GK125" s="18"/>
      <c r="GL125" s="20"/>
      <c r="GM125" s="10"/>
      <c r="GN125" s="11"/>
      <c r="GO125" s="69">
        <f t="shared" si="1126"/>
        <v>179</v>
      </c>
      <c r="GP125" s="69">
        <f t="shared" si="1127"/>
        <v>17</v>
      </c>
      <c r="GQ125" s="11">
        <v>122</v>
      </c>
      <c r="GR125" s="12">
        <f t="shared" si="1076"/>
        <v>0.7039106145251397</v>
      </c>
      <c r="GS125" s="11">
        <v>4</v>
      </c>
      <c r="GT125" s="12">
        <f t="shared" si="1077"/>
        <v>3.1746031746031744E-2</v>
      </c>
      <c r="GU125" s="11"/>
      <c r="GV125" s="11"/>
      <c r="GW125" s="18"/>
      <c r="GX125" s="20"/>
      <c r="GY125" s="10"/>
      <c r="GZ125" s="11"/>
      <c r="HA125" s="69">
        <f t="shared" si="1128"/>
        <v>908</v>
      </c>
      <c r="HB125" s="69">
        <f t="shared" si="1129"/>
        <v>78</v>
      </c>
      <c r="HC125" s="11">
        <v>636</v>
      </c>
      <c r="HD125" s="12">
        <f t="shared" si="1078"/>
        <v>0.71696035242290745</v>
      </c>
      <c r="HE125" s="11">
        <v>15</v>
      </c>
      <c r="HF125" s="12">
        <f t="shared" si="1079"/>
        <v>2.3041474654377881E-2</v>
      </c>
      <c r="HG125" s="11"/>
      <c r="HH125" s="11"/>
      <c r="HI125" s="18"/>
      <c r="HJ125" s="20"/>
      <c r="HK125" s="10">
        <f t="shared" si="1080"/>
        <v>7</v>
      </c>
      <c r="HL125" s="11">
        <f t="shared" si="1081"/>
        <v>0</v>
      </c>
      <c r="HM125" s="11">
        <f t="shared" si="1082"/>
        <v>12231</v>
      </c>
      <c r="HN125" s="11">
        <f t="shared" si="1083"/>
        <v>1045</v>
      </c>
      <c r="HO125" s="11">
        <f t="shared" si="1084"/>
        <v>8763</v>
      </c>
      <c r="HP125" s="95">
        <f t="shared" si="1085"/>
        <v>0.71645818003433892</v>
      </c>
      <c r="HQ125" s="15">
        <f t="shared" si="1086"/>
        <v>170</v>
      </c>
      <c r="HR125" s="12">
        <f t="shared" si="1087"/>
        <v>1.9399748944425425E-2</v>
      </c>
      <c r="HS125" s="16">
        <v>61</v>
      </c>
      <c r="HT125" s="17">
        <v>8391</v>
      </c>
      <c r="HU125" s="16">
        <f t="shared" si="1088"/>
        <v>95.754878466278669</v>
      </c>
      <c r="HV125" s="18"/>
      <c r="HW125" s="20"/>
      <c r="HX125" s="73">
        <f t="shared" si="1089"/>
        <v>0.71260554885404104</v>
      </c>
      <c r="HY125" s="73">
        <f t="shared" si="1090"/>
        <v>0.73015873015873012</v>
      </c>
      <c r="HZ125" s="73">
        <f t="shared" si="1091"/>
        <v>0.71976828385228098</v>
      </c>
      <c r="IA125" s="73">
        <f t="shared" si="1092"/>
        <v>0.70212026416405982</v>
      </c>
    </row>
    <row r="126" spans="1:244" x14ac:dyDescent="0.25">
      <c r="A126" s="374"/>
      <c r="B126" s="41">
        <f>+B125+1</f>
        <v>45036</v>
      </c>
      <c r="C126" s="10">
        <v>1</v>
      </c>
      <c r="D126" s="11"/>
      <c r="E126" s="69">
        <f t="shared" si="1094"/>
        <v>838</v>
      </c>
      <c r="F126" s="69">
        <f t="shared" si="1095"/>
        <v>72</v>
      </c>
      <c r="G126" s="11">
        <v>599</v>
      </c>
      <c r="H126" s="12">
        <f t="shared" si="1044"/>
        <v>0.72434367541766109</v>
      </c>
      <c r="I126" s="11">
        <v>8</v>
      </c>
      <c r="J126" s="12">
        <f t="shared" si="1045"/>
        <v>1.3179571663920923E-2</v>
      </c>
      <c r="K126" s="13"/>
      <c r="L126" s="13"/>
      <c r="M126" s="25">
        <v>3996</v>
      </c>
      <c r="N126" s="38">
        <v>4280</v>
      </c>
      <c r="O126" s="10"/>
      <c r="P126" s="11"/>
      <c r="Q126" s="69">
        <f t="shared" si="1096"/>
        <v>762</v>
      </c>
      <c r="R126" s="69">
        <f t="shared" si="1097"/>
        <v>65</v>
      </c>
      <c r="S126" s="11">
        <v>503</v>
      </c>
      <c r="T126" s="12">
        <f t="shared" si="1046"/>
        <v>0.6758530183727034</v>
      </c>
      <c r="U126" s="11">
        <v>12</v>
      </c>
      <c r="V126" s="12">
        <f t="shared" si="1047"/>
        <v>2.3300970873786409E-2</v>
      </c>
      <c r="W126" s="13"/>
      <c r="X126" s="13"/>
      <c r="Y126" s="25">
        <v>3996</v>
      </c>
      <c r="Z126" s="38">
        <v>4280</v>
      </c>
      <c r="AA126" s="10"/>
      <c r="AB126" s="11"/>
      <c r="AC126" s="69">
        <f t="shared" si="1098"/>
        <v>176</v>
      </c>
      <c r="AD126" s="69">
        <f t="shared" si="1099"/>
        <v>13</v>
      </c>
      <c r="AE126" s="11">
        <v>129</v>
      </c>
      <c r="AF126" s="12">
        <f t="shared" si="1048"/>
        <v>0.73863636363636365</v>
      </c>
      <c r="AG126" s="11">
        <v>1</v>
      </c>
      <c r="AH126" s="12">
        <f t="shared" si="1049"/>
        <v>7.6923076923076927E-3</v>
      </c>
      <c r="AI126" s="13"/>
      <c r="AJ126" s="13"/>
      <c r="AK126" s="25">
        <v>3996</v>
      </c>
      <c r="AL126" s="38">
        <v>4280</v>
      </c>
      <c r="AM126" s="10"/>
      <c r="AN126" s="11"/>
      <c r="AO126" s="69">
        <f t="shared" si="1100"/>
        <v>774</v>
      </c>
      <c r="AP126" s="69">
        <f t="shared" si="1101"/>
        <v>65</v>
      </c>
      <c r="AQ126" s="11">
        <v>544</v>
      </c>
      <c r="AR126" s="12">
        <f t="shared" si="1050"/>
        <v>0.72093023255813948</v>
      </c>
      <c r="AS126" s="11">
        <v>14</v>
      </c>
      <c r="AT126" s="12">
        <f t="shared" si="1051"/>
        <v>2.5089605734767026E-2</v>
      </c>
      <c r="AU126" s="13"/>
      <c r="AV126" s="13"/>
      <c r="AW126" s="25">
        <v>3996</v>
      </c>
      <c r="AX126" s="38">
        <v>4280</v>
      </c>
      <c r="AY126" s="10"/>
      <c r="AZ126" s="11"/>
      <c r="BA126" s="69">
        <f t="shared" si="1102"/>
        <v>765</v>
      </c>
      <c r="BB126" s="69">
        <f t="shared" si="1103"/>
        <v>67</v>
      </c>
      <c r="BC126" s="11">
        <v>571</v>
      </c>
      <c r="BD126" s="12">
        <f t="shared" si="1052"/>
        <v>0.75686274509803919</v>
      </c>
      <c r="BE126" s="11">
        <v>8</v>
      </c>
      <c r="BF126" s="12">
        <f t="shared" si="1053"/>
        <v>1.3816925734024179E-2</v>
      </c>
      <c r="BG126" s="13"/>
      <c r="BH126" s="13"/>
      <c r="BI126" s="25">
        <v>3996</v>
      </c>
      <c r="BJ126" s="38">
        <v>4280</v>
      </c>
      <c r="BK126" s="10"/>
      <c r="BL126" s="11"/>
      <c r="BM126" s="69">
        <f t="shared" si="1104"/>
        <v>834</v>
      </c>
      <c r="BN126" s="69">
        <f t="shared" si="1105"/>
        <v>72</v>
      </c>
      <c r="BO126" s="11">
        <v>579</v>
      </c>
      <c r="BP126" s="12">
        <f t="shared" si="1054"/>
        <v>0.71702637889688248</v>
      </c>
      <c r="BQ126" s="11">
        <v>19</v>
      </c>
      <c r="BR126" s="12">
        <f t="shared" si="1055"/>
        <v>3.177257525083612E-2</v>
      </c>
      <c r="BS126" s="13"/>
      <c r="BT126" s="13"/>
      <c r="BU126" s="25">
        <v>3996</v>
      </c>
      <c r="BV126" s="38">
        <v>4280</v>
      </c>
      <c r="BW126" s="10"/>
      <c r="BX126" s="11"/>
      <c r="BY126" s="69">
        <f t="shared" si="1106"/>
        <v>757</v>
      </c>
      <c r="BZ126" s="69">
        <f t="shared" si="1107"/>
        <v>63</v>
      </c>
      <c r="CA126" s="11">
        <v>532</v>
      </c>
      <c r="CB126" s="12">
        <f t="shared" si="1056"/>
        <v>0.70805812417437253</v>
      </c>
      <c r="CC126" s="11">
        <v>4</v>
      </c>
      <c r="CD126" s="12">
        <f t="shared" si="1057"/>
        <v>7.462686567164179E-3</v>
      </c>
      <c r="CE126" s="13"/>
      <c r="CF126" s="13"/>
      <c r="CG126" s="25">
        <v>3996</v>
      </c>
      <c r="CH126" s="38">
        <v>4280</v>
      </c>
      <c r="CI126" s="10"/>
      <c r="CJ126" s="11"/>
      <c r="CK126" s="69">
        <f t="shared" si="1108"/>
        <v>175</v>
      </c>
      <c r="CL126" s="69">
        <f t="shared" si="1109"/>
        <v>14</v>
      </c>
      <c r="CM126" s="11">
        <v>115</v>
      </c>
      <c r="CN126" s="12">
        <f t="shared" si="1058"/>
        <v>0.66285714285714281</v>
      </c>
      <c r="CO126" s="11">
        <v>1</v>
      </c>
      <c r="CP126" s="12">
        <f t="shared" si="1059"/>
        <v>8.6206896551724137E-3</v>
      </c>
      <c r="CQ126" s="13"/>
      <c r="CR126" s="13"/>
      <c r="CS126" s="25">
        <v>3996</v>
      </c>
      <c r="CT126" s="38">
        <v>4280</v>
      </c>
      <c r="CU126" s="10"/>
      <c r="CV126" s="11"/>
      <c r="CW126" s="69">
        <f t="shared" si="1110"/>
        <v>752</v>
      </c>
      <c r="CX126" s="69">
        <f t="shared" si="1111"/>
        <v>65</v>
      </c>
      <c r="CY126" s="11">
        <v>537</v>
      </c>
      <c r="CZ126" s="12">
        <f t="shared" si="1060"/>
        <v>0.72473404255319152</v>
      </c>
      <c r="DA126" s="11">
        <v>8</v>
      </c>
      <c r="DB126" s="12">
        <f t="shared" si="1061"/>
        <v>1.4678899082568808E-2</v>
      </c>
      <c r="DC126" s="13"/>
      <c r="DD126" s="13"/>
      <c r="DE126" s="25">
        <v>3996</v>
      </c>
      <c r="DF126" s="38">
        <v>4280</v>
      </c>
      <c r="DG126" s="10"/>
      <c r="DH126" s="11"/>
      <c r="DI126" s="69">
        <f t="shared" si="1112"/>
        <v>758</v>
      </c>
      <c r="DJ126" s="69">
        <f t="shared" si="1113"/>
        <v>67</v>
      </c>
      <c r="DK126" s="11">
        <v>503</v>
      </c>
      <c r="DL126" s="12">
        <f t="shared" si="1062"/>
        <v>0.68469656992084438</v>
      </c>
      <c r="DM126" s="11">
        <v>16</v>
      </c>
      <c r="DN126" s="12">
        <f t="shared" si="1063"/>
        <v>3.0828516377649325E-2</v>
      </c>
      <c r="DO126" s="13"/>
      <c r="DP126" s="13"/>
      <c r="DQ126" s="25">
        <v>3996</v>
      </c>
      <c r="DR126" s="38">
        <v>4280</v>
      </c>
      <c r="DS126" s="10"/>
      <c r="DT126" s="11"/>
      <c r="DU126" s="69">
        <f t="shared" si="1114"/>
        <v>846</v>
      </c>
      <c r="DV126" s="69">
        <f t="shared" si="1115"/>
        <v>71</v>
      </c>
      <c r="DW126" s="11">
        <v>586</v>
      </c>
      <c r="DX126" s="12">
        <f t="shared" si="1064"/>
        <v>0.7021276595744681</v>
      </c>
      <c r="DY126" s="11">
        <v>8</v>
      </c>
      <c r="DZ126" s="12">
        <f t="shared" si="1065"/>
        <v>1.3468013468013467E-2</v>
      </c>
      <c r="EA126" s="13"/>
      <c r="EB126" s="13"/>
      <c r="EC126" s="25">
        <v>3996</v>
      </c>
      <c r="ED126" s="38">
        <v>4280</v>
      </c>
      <c r="EE126" s="10"/>
      <c r="EF126" s="11"/>
      <c r="EG126" s="69">
        <f t="shared" si="1116"/>
        <v>856</v>
      </c>
      <c r="EH126" s="69">
        <f t="shared" si="1117"/>
        <v>74</v>
      </c>
      <c r="EI126" s="11">
        <v>606</v>
      </c>
      <c r="EJ126" s="12">
        <f t="shared" si="1066"/>
        <v>0.72313084112149528</v>
      </c>
      <c r="EK126" s="11">
        <v>13</v>
      </c>
      <c r="EL126" s="12">
        <f t="shared" si="1067"/>
        <v>2.10016155088853E-2</v>
      </c>
      <c r="EM126" s="13"/>
      <c r="EN126" s="13"/>
      <c r="EO126" s="25">
        <v>3996</v>
      </c>
      <c r="EP126" s="38">
        <v>4280</v>
      </c>
      <c r="EQ126" s="10">
        <v>2</v>
      </c>
      <c r="ER126" s="11"/>
      <c r="ES126" s="69">
        <f t="shared" si="1118"/>
        <v>194</v>
      </c>
      <c r="ET126" s="69">
        <f t="shared" si="1119"/>
        <v>16</v>
      </c>
      <c r="EU126" s="11">
        <v>135</v>
      </c>
      <c r="EV126" s="12">
        <f t="shared" si="1068"/>
        <v>0.71649484536082475</v>
      </c>
      <c r="EW126" s="11">
        <v>4</v>
      </c>
      <c r="EX126" s="12">
        <f t="shared" si="1069"/>
        <v>2.8776978417266189E-2</v>
      </c>
      <c r="EY126" s="13"/>
      <c r="EZ126" s="13"/>
      <c r="FA126" s="25">
        <v>3996</v>
      </c>
      <c r="FB126" s="38">
        <v>4280</v>
      </c>
      <c r="FC126" s="10"/>
      <c r="FD126" s="11"/>
      <c r="FE126" s="69">
        <f t="shared" si="1120"/>
        <v>864</v>
      </c>
      <c r="FF126" s="69">
        <f t="shared" si="1121"/>
        <v>75</v>
      </c>
      <c r="FG126" s="11">
        <v>663</v>
      </c>
      <c r="FH126" s="12">
        <f t="shared" si="1070"/>
        <v>0.77662037037037035</v>
      </c>
      <c r="FI126" s="11">
        <v>8</v>
      </c>
      <c r="FJ126" s="12">
        <f t="shared" si="1071"/>
        <v>1.1922503725782414E-2</v>
      </c>
      <c r="FK126" s="13"/>
      <c r="FL126" s="13"/>
      <c r="FM126" s="25">
        <v>3996</v>
      </c>
      <c r="FN126" s="38">
        <v>4280</v>
      </c>
      <c r="FO126" s="10"/>
      <c r="FP126" s="11"/>
      <c r="FQ126" s="69">
        <f t="shared" si="1122"/>
        <v>898</v>
      </c>
      <c r="FR126" s="69">
        <f t="shared" si="1123"/>
        <v>75</v>
      </c>
      <c r="FS126" s="11">
        <v>625</v>
      </c>
      <c r="FT126" s="12">
        <f t="shared" si="1072"/>
        <v>0.71492204899777279</v>
      </c>
      <c r="FU126" s="11">
        <v>17</v>
      </c>
      <c r="FV126" s="12">
        <f t="shared" si="1073"/>
        <v>2.6479750778816199E-2</v>
      </c>
      <c r="FW126" s="13"/>
      <c r="FX126" s="13"/>
      <c r="FY126" s="25">
        <v>3996</v>
      </c>
      <c r="FZ126" s="38">
        <v>4280</v>
      </c>
      <c r="GA126" s="10"/>
      <c r="GB126" s="11"/>
      <c r="GC126" s="69">
        <f t="shared" si="1124"/>
        <v>892</v>
      </c>
      <c r="GD126" s="69">
        <f t="shared" si="1125"/>
        <v>76</v>
      </c>
      <c r="GE126" s="11">
        <v>637</v>
      </c>
      <c r="GF126" s="12">
        <f t="shared" si="1074"/>
        <v>0.73206278026905824</v>
      </c>
      <c r="GG126" s="11">
        <v>16</v>
      </c>
      <c r="GH126" s="12">
        <f t="shared" si="1075"/>
        <v>2.4502297090352222E-2</v>
      </c>
      <c r="GI126" s="13"/>
      <c r="GJ126" s="13"/>
      <c r="GK126" s="25">
        <v>3996</v>
      </c>
      <c r="GL126" s="38">
        <v>4280</v>
      </c>
      <c r="GM126" s="10"/>
      <c r="GN126" s="11"/>
      <c r="GO126" s="69">
        <f t="shared" si="1126"/>
        <v>179</v>
      </c>
      <c r="GP126" s="69">
        <f t="shared" si="1127"/>
        <v>17</v>
      </c>
      <c r="GQ126" s="11">
        <v>132</v>
      </c>
      <c r="GR126" s="12">
        <f t="shared" si="1076"/>
        <v>0.75418994413407825</v>
      </c>
      <c r="GS126" s="11">
        <v>3</v>
      </c>
      <c r="GT126" s="12">
        <f t="shared" si="1077"/>
        <v>2.2222222222222223E-2</v>
      </c>
      <c r="GU126" s="13"/>
      <c r="GV126" s="13"/>
      <c r="GW126" s="25">
        <v>3996</v>
      </c>
      <c r="GX126" s="38">
        <v>4280</v>
      </c>
      <c r="GY126" s="10"/>
      <c r="GZ126" s="11"/>
      <c r="HA126" s="69">
        <f t="shared" si="1128"/>
        <v>908</v>
      </c>
      <c r="HB126" s="69">
        <f t="shared" si="1129"/>
        <v>78</v>
      </c>
      <c r="HC126" s="11">
        <v>643</v>
      </c>
      <c r="HD126" s="12">
        <f t="shared" si="1078"/>
        <v>0.72136563876651982</v>
      </c>
      <c r="HE126" s="11">
        <v>12</v>
      </c>
      <c r="HF126" s="12">
        <f t="shared" si="1079"/>
        <v>1.8320610687022901E-2</v>
      </c>
      <c r="HG126" s="13"/>
      <c r="HH126" s="13"/>
      <c r="HI126" s="25">
        <v>3996</v>
      </c>
      <c r="HJ126" s="38">
        <v>4280</v>
      </c>
      <c r="HK126" s="10">
        <f t="shared" si="1080"/>
        <v>3</v>
      </c>
      <c r="HL126" s="11">
        <f t="shared" si="1081"/>
        <v>0</v>
      </c>
      <c r="HM126" s="11">
        <f t="shared" si="1082"/>
        <v>12228</v>
      </c>
      <c r="HN126" s="11">
        <f t="shared" si="1083"/>
        <v>1045</v>
      </c>
      <c r="HO126" s="11">
        <f t="shared" si="1084"/>
        <v>8811</v>
      </c>
      <c r="HP126" s="95">
        <f t="shared" si="1085"/>
        <v>0.72055937193326791</v>
      </c>
      <c r="HQ126" s="15">
        <f t="shared" si="1086"/>
        <v>172</v>
      </c>
      <c r="HR126" s="12">
        <f t="shared" si="1087"/>
        <v>1.9521053228918398E-2</v>
      </c>
      <c r="HS126" s="16">
        <v>61.05</v>
      </c>
      <c r="HT126" s="17">
        <v>8452</v>
      </c>
      <c r="HU126" s="16">
        <f t="shared" si="1088"/>
        <v>95.925547610940868</v>
      </c>
      <c r="HV126" s="23">
        <v>3996</v>
      </c>
      <c r="HW126" s="22">
        <v>4280</v>
      </c>
      <c r="HX126" s="73">
        <f t="shared" si="1089"/>
        <v>0.72066365007541477</v>
      </c>
      <c r="HY126" s="73">
        <f t="shared" si="1090"/>
        <v>0.70634920634920639</v>
      </c>
      <c r="HZ126" s="73">
        <f t="shared" si="1091"/>
        <v>0.73297101449275359</v>
      </c>
      <c r="IA126" s="73">
        <f t="shared" si="1092"/>
        <v>0.72471324296141815</v>
      </c>
    </row>
    <row r="127" spans="1:244" x14ac:dyDescent="0.25">
      <c r="A127" s="374"/>
      <c r="B127" s="41">
        <f t="shared" si="1093"/>
        <v>45037</v>
      </c>
      <c r="C127" s="10"/>
      <c r="D127" s="11"/>
      <c r="E127" s="69">
        <f t="shared" si="1094"/>
        <v>838</v>
      </c>
      <c r="F127" s="69">
        <f t="shared" si="1095"/>
        <v>72</v>
      </c>
      <c r="G127" s="11">
        <v>594</v>
      </c>
      <c r="H127" s="12">
        <f t="shared" si="1044"/>
        <v>0.72195704057279231</v>
      </c>
      <c r="I127" s="11">
        <v>11</v>
      </c>
      <c r="J127" s="12">
        <f t="shared" si="1045"/>
        <v>1.8181818181818181E-2</v>
      </c>
      <c r="K127" s="13"/>
      <c r="L127" s="11"/>
      <c r="M127" s="25">
        <v>4645.8139534883721</v>
      </c>
      <c r="N127" s="38">
        <v>4430.7692307692305</v>
      </c>
      <c r="O127" s="10">
        <v>1</v>
      </c>
      <c r="P127" s="11"/>
      <c r="Q127" s="69">
        <f t="shared" si="1096"/>
        <v>761</v>
      </c>
      <c r="R127" s="69">
        <f t="shared" si="1097"/>
        <v>65</v>
      </c>
      <c r="S127" s="11">
        <v>518</v>
      </c>
      <c r="T127" s="12">
        <f t="shared" si="1046"/>
        <v>0.69513797634691199</v>
      </c>
      <c r="U127" s="11">
        <v>11</v>
      </c>
      <c r="V127" s="12">
        <f t="shared" si="1047"/>
        <v>2.0793950850661626E-2</v>
      </c>
      <c r="W127" s="13"/>
      <c r="X127" s="11"/>
      <c r="Y127" s="25">
        <v>4624.4736842105267</v>
      </c>
      <c r="Z127" s="38">
        <v>4636.666666666667</v>
      </c>
      <c r="AA127" s="10"/>
      <c r="AB127" s="11"/>
      <c r="AC127" s="69">
        <f t="shared" si="1098"/>
        <v>176</v>
      </c>
      <c r="AD127" s="69">
        <f t="shared" si="1099"/>
        <v>13</v>
      </c>
      <c r="AE127" s="11">
        <v>131</v>
      </c>
      <c r="AF127" s="12">
        <f t="shared" si="1048"/>
        <v>0.77840909090909094</v>
      </c>
      <c r="AG127" s="11">
        <v>6</v>
      </c>
      <c r="AH127" s="12">
        <f t="shared" si="1049"/>
        <v>4.3795620437956206E-2</v>
      </c>
      <c r="AI127" s="13"/>
      <c r="AJ127" s="11"/>
      <c r="AK127" s="25">
        <v>4855.5555555555557</v>
      </c>
      <c r="AL127" s="38">
        <v>4330</v>
      </c>
      <c r="AM127" s="10"/>
      <c r="AN127" s="11"/>
      <c r="AO127" s="69">
        <f t="shared" si="1100"/>
        <v>774</v>
      </c>
      <c r="AP127" s="69">
        <f t="shared" si="1101"/>
        <v>65</v>
      </c>
      <c r="AQ127" s="11">
        <v>530</v>
      </c>
      <c r="AR127" s="12">
        <f t="shared" si="1050"/>
        <v>0.69379844961240311</v>
      </c>
      <c r="AS127" s="11">
        <v>7</v>
      </c>
      <c r="AT127" s="12">
        <f t="shared" si="1051"/>
        <v>1.3035381750465549E-2</v>
      </c>
      <c r="AU127" s="13"/>
      <c r="AV127" s="11"/>
      <c r="AW127" s="25">
        <v>4596.0526315789475</v>
      </c>
      <c r="AX127" s="38">
        <v>4712.727272727273</v>
      </c>
      <c r="AY127" s="10"/>
      <c r="AZ127" s="11"/>
      <c r="BA127" s="69">
        <f t="shared" si="1102"/>
        <v>765</v>
      </c>
      <c r="BB127" s="69">
        <f t="shared" si="1103"/>
        <v>67</v>
      </c>
      <c r="BC127" s="11">
        <v>530</v>
      </c>
      <c r="BD127" s="12">
        <f t="shared" si="1052"/>
        <v>0.70196078431372544</v>
      </c>
      <c r="BE127" s="11">
        <v>7</v>
      </c>
      <c r="BF127" s="12">
        <f t="shared" si="1053"/>
        <v>1.3035381750465549E-2</v>
      </c>
      <c r="BG127" s="13"/>
      <c r="BH127" s="11"/>
      <c r="BI127" s="25">
        <v>4661.8604651162786</v>
      </c>
      <c r="BJ127" s="38">
        <v>4808.181818181818</v>
      </c>
      <c r="BK127" s="10">
        <v>1</v>
      </c>
      <c r="BL127" s="11"/>
      <c r="BM127" s="69">
        <f t="shared" si="1104"/>
        <v>833</v>
      </c>
      <c r="BN127" s="69">
        <f t="shared" si="1105"/>
        <v>72</v>
      </c>
      <c r="BO127" s="11">
        <v>587</v>
      </c>
      <c r="BP127" s="12">
        <f t="shared" si="1054"/>
        <v>0.71308523409363744</v>
      </c>
      <c r="BQ127" s="11">
        <v>7</v>
      </c>
      <c r="BR127" s="12">
        <f t="shared" si="1055"/>
        <v>1.1784511784511785E-2</v>
      </c>
      <c r="BS127" s="13"/>
      <c r="BT127" s="11"/>
      <c r="BU127" s="25">
        <v>4570.7142857142853</v>
      </c>
      <c r="BV127" s="38">
        <v>4528.333333333333</v>
      </c>
      <c r="BW127" s="10"/>
      <c r="BX127" s="11"/>
      <c r="BY127" s="69">
        <f t="shared" si="1106"/>
        <v>757</v>
      </c>
      <c r="BZ127" s="69">
        <f t="shared" si="1107"/>
        <v>63</v>
      </c>
      <c r="CA127" s="11">
        <v>544</v>
      </c>
      <c r="CB127" s="12">
        <f t="shared" si="1056"/>
        <v>0.73579920739762217</v>
      </c>
      <c r="CC127" s="11">
        <v>13</v>
      </c>
      <c r="CD127" s="12">
        <f t="shared" si="1057"/>
        <v>2.333931777378815E-2</v>
      </c>
      <c r="CE127" s="13"/>
      <c r="CF127" s="11"/>
      <c r="CG127" s="25">
        <v>4617.75</v>
      </c>
      <c r="CH127" s="38">
        <v>4675.7142857142853</v>
      </c>
      <c r="CI127" s="10">
        <v>1</v>
      </c>
      <c r="CJ127" s="11"/>
      <c r="CK127" s="69">
        <f t="shared" si="1108"/>
        <v>174</v>
      </c>
      <c r="CL127" s="69">
        <f t="shared" si="1109"/>
        <v>14</v>
      </c>
      <c r="CM127" s="11">
        <v>123</v>
      </c>
      <c r="CN127" s="12">
        <f t="shared" si="1058"/>
        <v>0.72413793103448276</v>
      </c>
      <c r="CO127" s="11">
        <v>3</v>
      </c>
      <c r="CP127" s="12">
        <f t="shared" si="1059"/>
        <v>2.3809523809523808E-2</v>
      </c>
      <c r="CQ127" s="13"/>
      <c r="CR127" s="11"/>
      <c r="CS127" s="25">
        <v>4548</v>
      </c>
      <c r="CT127" s="38">
        <v>4452</v>
      </c>
      <c r="CU127" s="10"/>
      <c r="CV127" s="11"/>
      <c r="CW127" s="69">
        <f t="shared" si="1110"/>
        <v>752</v>
      </c>
      <c r="CX127" s="69">
        <f t="shared" si="1111"/>
        <v>65</v>
      </c>
      <c r="CY127" s="11">
        <v>549</v>
      </c>
      <c r="CZ127" s="12">
        <f t="shared" si="1060"/>
        <v>0.73803191489361697</v>
      </c>
      <c r="DA127" s="11">
        <v>6</v>
      </c>
      <c r="DB127" s="12">
        <f t="shared" si="1061"/>
        <v>1.0810810810810811E-2</v>
      </c>
      <c r="DC127" s="13"/>
      <c r="DD127" s="11"/>
      <c r="DE127" s="25">
        <v>4609.2857142857147</v>
      </c>
      <c r="DF127" s="38">
        <v>4572.8571428571431</v>
      </c>
      <c r="DG127" s="10"/>
      <c r="DH127" s="11"/>
      <c r="DI127" s="69">
        <f t="shared" si="1112"/>
        <v>758</v>
      </c>
      <c r="DJ127" s="69">
        <f t="shared" si="1113"/>
        <v>67</v>
      </c>
      <c r="DK127" s="11">
        <v>533</v>
      </c>
      <c r="DL127" s="12">
        <f t="shared" si="1062"/>
        <v>0.72427440633245388</v>
      </c>
      <c r="DM127" s="11">
        <v>16</v>
      </c>
      <c r="DN127" s="12">
        <f t="shared" si="1063"/>
        <v>2.9143897996357013E-2</v>
      </c>
      <c r="DO127" s="13"/>
      <c r="DP127" s="11"/>
      <c r="DQ127" s="25">
        <v>4749.7222222222226</v>
      </c>
      <c r="DR127" s="38">
        <v>5017.5</v>
      </c>
      <c r="DS127" s="10"/>
      <c r="DT127" s="11"/>
      <c r="DU127" s="69">
        <f t="shared" si="1114"/>
        <v>846</v>
      </c>
      <c r="DV127" s="69">
        <f t="shared" si="1115"/>
        <v>71</v>
      </c>
      <c r="DW127" s="11">
        <v>600</v>
      </c>
      <c r="DX127" s="12">
        <f t="shared" si="1064"/>
        <v>0.72813238770685584</v>
      </c>
      <c r="DY127" s="11">
        <v>16</v>
      </c>
      <c r="DZ127" s="12">
        <f t="shared" si="1065"/>
        <v>2.5974025974025976E-2</v>
      </c>
      <c r="EA127" s="13"/>
      <c r="EB127" s="11"/>
      <c r="EC127" s="25">
        <v>4548.5365853658541</v>
      </c>
      <c r="ED127" s="38">
        <v>4455.8823529411766</v>
      </c>
      <c r="EE127" s="10"/>
      <c r="EF127" s="11"/>
      <c r="EG127" s="69">
        <f t="shared" si="1116"/>
        <v>856</v>
      </c>
      <c r="EH127" s="69">
        <f t="shared" si="1117"/>
        <v>74</v>
      </c>
      <c r="EI127" s="11">
        <v>606</v>
      </c>
      <c r="EJ127" s="12">
        <f t="shared" si="1066"/>
        <v>0.73014018691588789</v>
      </c>
      <c r="EK127" s="11">
        <v>19</v>
      </c>
      <c r="EL127" s="12">
        <f t="shared" si="1067"/>
        <v>3.04E-2</v>
      </c>
      <c r="EM127" s="13"/>
      <c r="EN127" s="11"/>
      <c r="EO127" s="25">
        <v>4716.1016949152545</v>
      </c>
      <c r="EP127" s="38">
        <v>4587.5</v>
      </c>
      <c r="EQ127" s="10">
        <v>1</v>
      </c>
      <c r="ER127" s="11"/>
      <c r="ES127" s="69">
        <f t="shared" si="1118"/>
        <v>193</v>
      </c>
      <c r="ET127" s="69">
        <f t="shared" si="1119"/>
        <v>16</v>
      </c>
      <c r="EU127" s="11">
        <v>140</v>
      </c>
      <c r="EV127" s="12">
        <f t="shared" si="1068"/>
        <v>0.75129533678756477</v>
      </c>
      <c r="EW127" s="11">
        <v>5</v>
      </c>
      <c r="EX127" s="12">
        <f t="shared" si="1069"/>
        <v>3.4482758620689655E-2</v>
      </c>
      <c r="EY127" s="13"/>
      <c r="EZ127" s="11"/>
      <c r="FA127" s="25">
        <v>4428.75</v>
      </c>
      <c r="FB127" s="38">
        <v>4353.333333333333</v>
      </c>
      <c r="FC127" s="10"/>
      <c r="FD127" s="11"/>
      <c r="FE127" s="69">
        <f t="shared" si="1120"/>
        <v>864</v>
      </c>
      <c r="FF127" s="69">
        <f t="shared" si="1121"/>
        <v>75</v>
      </c>
      <c r="FG127" s="11">
        <v>654</v>
      </c>
      <c r="FH127" s="12">
        <f t="shared" si="1070"/>
        <v>0.77314814814814814</v>
      </c>
      <c r="FI127" s="11">
        <v>14</v>
      </c>
      <c r="FJ127" s="12">
        <f t="shared" si="1071"/>
        <v>2.0958083832335328E-2</v>
      </c>
      <c r="FK127" s="13"/>
      <c r="FL127" s="11"/>
      <c r="FM127" s="25">
        <v>4563.333333333333</v>
      </c>
      <c r="FN127" s="38">
        <v>4746.666666666667</v>
      </c>
      <c r="FO127" s="10"/>
      <c r="FP127" s="11"/>
      <c r="FQ127" s="69">
        <f t="shared" si="1122"/>
        <v>898</v>
      </c>
      <c r="FR127" s="69">
        <f t="shared" si="1123"/>
        <v>75</v>
      </c>
      <c r="FS127" s="11">
        <v>644</v>
      </c>
      <c r="FT127" s="12">
        <f t="shared" si="1072"/>
        <v>0.72828507795100228</v>
      </c>
      <c r="FU127" s="11">
        <v>10</v>
      </c>
      <c r="FV127" s="12">
        <f t="shared" si="1073"/>
        <v>1.5290519877675841E-2</v>
      </c>
      <c r="FW127" s="13"/>
      <c r="FX127" s="11"/>
      <c r="FY127" s="25">
        <v>4745.4761904761908</v>
      </c>
      <c r="FZ127" s="38">
        <v>4404.6153846153848</v>
      </c>
      <c r="GA127" s="10">
        <v>1</v>
      </c>
      <c r="GB127" s="11"/>
      <c r="GC127" s="69">
        <f t="shared" si="1124"/>
        <v>891</v>
      </c>
      <c r="GD127" s="69">
        <f t="shared" si="1125"/>
        <v>76</v>
      </c>
      <c r="GE127" s="11">
        <v>589</v>
      </c>
      <c r="GF127" s="12">
        <f t="shared" si="1074"/>
        <v>0.68125701459034793</v>
      </c>
      <c r="GG127" s="11">
        <v>18</v>
      </c>
      <c r="GH127" s="12">
        <f t="shared" si="1075"/>
        <v>2.9654036243822075E-2</v>
      </c>
      <c r="GI127" s="13"/>
      <c r="GJ127" s="11"/>
      <c r="GK127" s="25">
        <v>4637.25</v>
      </c>
      <c r="GL127" s="38">
        <v>4552.5</v>
      </c>
      <c r="GM127" s="10"/>
      <c r="GN127" s="11"/>
      <c r="GO127" s="69">
        <f t="shared" si="1126"/>
        <v>179</v>
      </c>
      <c r="GP127" s="69">
        <f t="shared" si="1127"/>
        <v>17</v>
      </c>
      <c r="GQ127" s="11">
        <v>129</v>
      </c>
      <c r="GR127" s="12">
        <f t="shared" si="1076"/>
        <v>0.74301675977653636</v>
      </c>
      <c r="GS127" s="11">
        <v>4</v>
      </c>
      <c r="GT127" s="12">
        <f t="shared" si="1077"/>
        <v>3.007518796992481E-2</v>
      </c>
      <c r="GU127" s="13"/>
      <c r="GV127" s="11"/>
      <c r="GW127" s="25">
        <v>4409.166666666667</v>
      </c>
      <c r="GX127" s="38">
        <v>4152.5</v>
      </c>
      <c r="GY127" s="10"/>
      <c r="GZ127" s="11"/>
      <c r="HA127" s="69">
        <f t="shared" si="1128"/>
        <v>908</v>
      </c>
      <c r="HB127" s="69">
        <f t="shared" si="1129"/>
        <v>78</v>
      </c>
      <c r="HC127" s="11">
        <v>674</v>
      </c>
      <c r="HD127" s="12">
        <f t="shared" si="1078"/>
        <v>0.75110132158590304</v>
      </c>
      <c r="HE127" s="11">
        <v>8</v>
      </c>
      <c r="HF127" s="12">
        <f t="shared" si="1079"/>
        <v>1.1730205278592375E-2</v>
      </c>
      <c r="HG127" s="13"/>
      <c r="HH127" s="11"/>
      <c r="HI127" s="25">
        <v>4680.4878048780483</v>
      </c>
      <c r="HJ127" s="38">
        <v>4688.5714285714284</v>
      </c>
      <c r="HK127" s="10">
        <f t="shared" si="1080"/>
        <v>5</v>
      </c>
      <c r="HL127" s="11">
        <f t="shared" si="1081"/>
        <v>0</v>
      </c>
      <c r="HM127" s="11">
        <f t="shared" si="1082"/>
        <v>12223</v>
      </c>
      <c r="HN127" s="11">
        <f t="shared" si="1083"/>
        <v>1045</v>
      </c>
      <c r="HO127" s="11">
        <f t="shared" si="1084"/>
        <v>8856</v>
      </c>
      <c r="HP127" s="95">
        <f t="shared" si="1085"/>
        <v>0.72453571136382233</v>
      </c>
      <c r="HQ127" s="15">
        <f t="shared" si="1086"/>
        <v>181</v>
      </c>
      <c r="HR127" s="12">
        <f t="shared" si="1087"/>
        <v>2.0438121047877147E-2</v>
      </c>
      <c r="HS127" s="16">
        <v>60.95</v>
      </c>
      <c r="HT127" s="17">
        <v>8469</v>
      </c>
      <c r="HU127" s="16">
        <f t="shared" si="1088"/>
        <v>95.630081300813004</v>
      </c>
      <c r="HV127" s="23">
        <v>4635.4394693200666</v>
      </c>
      <c r="HW127" s="22">
        <v>4597.5527426160334</v>
      </c>
      <c r="HX127" s="73">
        <f t="shared" si="1089"/>
        <v>0.70760410380205185</v>
      </c>
      <c r="HY127" s="73">
        <f t="shared" si="1090"/>
        <v>0.72724496029321928</v>
      </c>
      <c r="HZ127" s="73">
        <f t="shared" si="1091"/>
        <v>0.74447263501268579</v>
      </c>
      <c r="IA127" s="73">
        <f t="shared" si="1092"/>
        <v>0.72183588317107095</v>
      </c>
    </row>
    <row r="128" spans="1:244" x14ac:dyDescent="0.25">
      <c r="A128" s="374"/>
      <c r="B128" s="41">
        <f t="shared" si="1093"/>
        <v>45038</v>
      </c>
      <c r="C128" s="10"/>
      <c r="D128" s="11"/>
      <c r="E128" s="69">
        <f t="shared" si="1094"/>
        <v>838</v>
      </c>
      <c r="F128" s="69">
        <f t="shared" si="1095"/>
        <v>72</v>
      </c>
      <c r="G128" s="11">
        <v>580</v>
      </c>
      <c r="H128" s="12">
        <f t="shared" si="1044"/>
        <v>0.70286396181384247</v>
      </c>
      <c r="I128" s="11">
        <v>9</v>
      </c>
      <c r="J128" s="12">
        <f t="shared" si="1045"/>
        <v>1.5280135823429542E-2</v>
      </c>
      <c r="K128" s="13"/>
      <c r="L128" s="11"/>
      <c r="M128" s="39">
        <v>83.720930232558146</v>
      </c>
      <c r="N128" s="43">
        <v>100</v>
      </c>
      <c r="O128" s="10"/>
      <c r="P128" s="11"/>
      <c r="Q128" s="69">
        <f t="shared" si="1096"/>
        <v>761</v>
      </c>
      <c r="R128" s="69">
        <f t="shared" si="1097"/>
        <v>65</v>
      </c>
      <c r="S128" s="11">
        <v>521</v>
      </c>
      <c r="T128" s="12">
        <f t="shared" si="1046"/>
        <v>0.70170827858081475</v>
      </c>
      <c r="U128" s="11">
        <v>13</v>
      </c>
      <c r="V128" s="12">
        <f t="shared" si="1047"/>
        <v>2.4344569288389514E-2</v>
      </c>
      <c r="W128" s="13"/>
      <c r="X128" s="11"/>
      <c r="Y128" s="39">
        <v>76.315789473684205</v>
      </c>
      <c r="Z128" s="43">
        <v>100</v>
      </c>
      <c r="AA128" s="10"/>
      <c r="AB128" s="11"/>
      <c r="AC128" s="69">
        <f t="shared" si="1098"/>
        <v>176</v>
      </c>
      <c r="AD128" s="69">
        <f t="shared" si="1099"/>
        <v>13</v>
      </c>
      <c r="AE128" s="11">
        <v>125</v>
      </c>
      <c r="AF128" s="12">
        <f t="shared" si="1048"/>
        <v>0.72727272727272729</v>
      </c>
      <c r="AG128" s="11">
        <v>3</v>
      </c>
      <c r="AH128" s="12">
        <f t="shared" si="1049"/>
        <v>2.34375E-2</v>
      </c>
      <c r="AI128" s="13"/>
      <c r="AJ128" s="11"/>
      <c r="AK128" s="39">
        <v>77.777777777777771</v>
      </c>
      <c r="AL128" s="43">
        <v>100</v>
      </c>
      <c r="AM128" s="10"/>
      <c r="AN128" s="11"/>
      <c r="AO128" s="69">
        <f t="shared" si="1100"/>
        <v>774</v>
      </c>
      <c r="AP128" s="69">
        <f t="shared" si="1101"/>
        <v>65</v>
      </c>
      <c r="AQ128" s="11">
        <v>531</v>
      </c>
      <c r="AR128" s="12">
        <f t="shared" si="1050"/>
        <v>0.69767441860465118</v>
      </c>
      <c r="AS128" s="11">
        <v>9</v>
      </c>
      <c r="AT128" s="12">
        <f t="shared" si="1051"/>
        <v>1.6666666666666666E-2</v>
      </c>
      <c r="AU128" s="13"/>
      <c r="AV128" s="11"/>
      <c r="AW128" s="39">
        <v>78.94736842105263</v>
      </c>
      <c r="AX128" s="43">
        <v>100</v>
      </c>
      <c r="AY128" s="10"/>
      <c r="AZ128" s="11"/>
      <c r="BA128" s="69">
        <f t="shared" si="1102"/>
        <v>765</v>
      </c>
      <c r="BB128" s="69">
        <f t="shared" si="1103"/>
        <v>67</v>
      </c>
      <c r="BC128" s="11">
        <v>579</v>
      </c>
      <c r="BD128" s="12">
        <f t="shared" si="1052"/>
        <v>0.77647058823529413</v>
      </c>
      <c r="BE128" s="11">
        <v>15</v>
      </c>
      <c r="BF128" s="12">
        <f t="shared" si="1053"/>
        <v>2.5252525252525252E-2</v>
      </c>
      <c r="BG128" s="13"/>
      <c r="BH128" s="11"/>
      <c r="BI128" s="39">
        <v>69.767441860465112</v>
      </c>
      <c r="BJ128" s="43">
        <v>100</v>
      </c>
      <c r="BK128" s="10">
        <v>1</v>
      </c>
      <c r="BL128" s="11"/>
      <c r="BM128" s="69">
        <f t="shared" si="1104"/>
        <v>832</v>
      </c>
      <c r="BN128" s="69">
        <f t="shared" si="1105"/>
        <v>72</v>
      </c>
      <c r="BO128" s="11">
        <v>596</v>
      </c>
      <c r="BP128" s="12">
        <f t="shared" si="1054"/>
        <v>0.73076923076923073</v>
      </c>
      <c r="BQ128" s="11">
        <v>12</v>
      </c>
      <c r="BR128" s="12">
        <f t="shared" si="1055"/>
        <v>1.9736842105263157E-2</v>
      </c>
      <c r="BS128" s="13"/>
      <c r="BT128" s="11"/>
      <c r="BU128" s="39">
        <v>88.095238095238102</v>
      </c>
      <c r="BV128" s="43">
        <v>100</v>
      </c>
      <c r="BW128" s="10"/>
      <c r="BX128" s="11"/>
      <c r="BY128" s="69">
        <f t="shared" si="1106"/>
        <v>757</v>
      </c>
      <c r="BZ128" s="69">
        <f t="shared" si="1107"/>
        <v>63</v>
      </c>
      <c r="CA128" s="11">
        <v>541</v>
      </c>
      <c r="CB128" s="12">
        <f t="shared" si="1056"/>
        <v>0.72258916776750326</v>
      </c>
      <c r="CC128" s="11">
        <v>6</v>
      </c>
      <c r="CD128" s="12">
        <f t="shared" si="1057"/>
        <v>1.0968921389396709E-2</v>
      </c>
      <c r="CE128" s="13"/>
      <c r="CF128" s="11"/>
      <c r="CG128" s="39">
        <v>92.5</v>
      </c>
      <c r="CH128" s="43">
        <v>100</v>
      </c>
      <c r="CI128" s="10"/>
      <c r="CJ128" s="11"/>
      <c r="CK128" s="69">
        <f t="shared" si="1108"/>
        <v>174</v>
      </c>
      <c r="CL128" s="69">
        <f t="shared" si="1109"/>
        <v>14</v>
      </c>
      <c r="CM128" s="11">
        <v>124</v>
      </c>
      <c r="CN128" s="12">
        <f t="shared" si="1058"/>
        <v>0.72413793103448276</v>
      </c>
      <c r="CO128" s="11">
        <v>2</v>
      </c>
      <c r="CP128" s="12">
        <f t="shared" si="1059"/>
        <v>1.5873015873015872E-2</v>
      </c>
      <c r="CQ128" s="13"/>
      <c r="CR128" s="11"/>
      <c r="CS128" s="39">
        <v>90</v>
      </c>
      <c r="CT128" s="43">
        <v>100</v>
      </c>
      <c r="CU128" s="10">
        <v>1</v>
      </c>
      <c r="CV128" s="11"/>
      <c r="CW128" s="69">
        <f t="shared" si="1110"/>
        <v>751</v>
      </c>
      <c r="CX128" s="69">
        <f t="shared" si="1111"/>
        <v>65</v>
      </c>
      <c r="CY128" s="11">
        <v>536</v>
      </c>
      <c r="CZ128" s="12">
        <f t="shared" si="1060"/>
        <v>0.7230359520639148</v>
      </c>
      <c r="DA128" s="11">
        <v>7</v>
      </c>
      <c r="DB128" s="12">
        <f t="shared" si="1061"/>
        <v>1.289134438305709E-2</v>
      </c>
      <c r="DC128" s="13"/>
      <c r="DD128" s="11"/>
      <c r="DE128" s="39">
        <v>100</v>
      </c>
      <c r="DF128" s="43">
        <v>97.61904761904762</v>
      </c>
      <c r="DG128" s="10"/>
      <c r="DH128" s="11"/>
      <c r="DI128" s="69">
        <f t="shared" si="1112"/>
        <v>758</v>
      </c>
      <c r="DJ128" s="69">
        <f t="shared" si="1113"/>
        <v>67</v>
      </c>
      <c r="DK128" s="11">
        <v>540</v>
      </c>
      <c r="DL128" s="12">
        <f t="shared" si="1062"/>
        <v>0.72691292875989444</v>
      </c>
      <c r="DM128" s="11">
        <v>11</v>
      </c>
      <c r="DN128" s="12">
        <v>0.05</v>
      </c>
      <c r="DO128" s="13"/>
      <c r="DP128" s="11"/>
      <c r="DQ128" s="39">
        <v>72.222222222222229</v>
      </c>
      <c r="DR128" s="43">
        <v>100</v>
      </c>
      <c r="DS128" s="10"/>
      <c r="DT128" s="11"/>
      <c r="DU128" s="69">
        <f t="shared" si="1114"/>
        <v>846</v>
      </c>
      <c r="DV128" s="69">
        <f t="shared" si="1115"/>
        <v>71</v>
      </c>
      <c r="DW128" s="11">
        <v>588</v>
      </c>
      <c r="DX128" s="12">
        <f t="shared" si="1064"/>
        <v>0.71394799054373526</v>
      </c>
      <c r="DY128" s="11">
        <v>16</v>
      </c>
      <c r="DZ128" s="12">
        <f t="shared" si="1065"/>
        <v>2.6490066225165563E-2</v>
      </c>
      <c r="EA128" s="13"/>
      <c r="EB128" s="11"/>
      <c r="EC128" s="39">
        <v>92.682926829268297</v>
      </c>
      <c r="ED128" s="43">
        <v>100</v>
      </c>
      <c r="EE128" s="10">
        <v>2</v>
      </c>
      <c r="EF128" s="11"/>
      <c r="EG128" s="69">
        <f t="shared" si="1116"/>
        <v>854</v>
      </c>
      <c r="EH128" s="69">
        <f t="shared" si="1117"/>
        <v>74</v>
      </c>
      <c r="EI128" s="11">
        <v>589</v>
      </c>
      <c r="EJ128" s="12">
        <f t="shared" si="1066"/>
        <v>0.71077283372365341</v>
      </c>
      <c r="EK128" s="11">
        <v>18</v>
      </c>
      <c r="EL128" s="12">
        <f t="shared" si="1067"/>
        <v>2.9654036243822075E-2</v>
      </c>
      <c r="EM128" s="13"/>
      <c r="EN128" s="11"/>
      <c r="EO128" s="39">
        <v>86.440677966101688</v>
      </c>
      <c r="EP128" s="43">
        <v>100</v>
      </c>
      <c r="EQ128" s="10">
        <v>1</v>
      </c>
      <c r="ER128" s="11"/>
      <c r="ES128" s="69">
        <f t="shared" si="1118"/>
        <v>192</v>
      </c>
      <c r="ET128" s="69">
        <f t="shared" si="1119"/>
        <v>16</v>
      </c>
      <c r="EU128" s="11">
        <v>131</v>
      </c>
      <c r="EV128" s="12">
        <f t="shared" si="1068"/>
        <v>0.71875</v>
      </c>
      <c r="EW128" s="11">
        <v>7</v>
      </c>
      <c r="EX128" s="12">
        <f t="shared" si="1069"/>
        <v>5.0724637681159424E-2</v>
      </c>
      <c r="EY128" s="13"/>
      <c r="EZ128" s="11"/>
      <c r="FA128" s="39">
        <v>93.75</v>
      </c>
      <c r="FB128" s="43">
        <v>100</v>
      </c>
      <c r="FC128" s="10"/>
      <c r="FD128" s="11"/>
      <c r="FE128" s="69">
        <f t="shared" si="1120"/>
        <v>864</v>
      </c>
      <c r="FF128" s="69">
        <f t="shared" si="1121"/>
        <v>75</v>
      </c>
      <c r="FG128" s="11">
        <v>625</v>
      </c>
      <c r="FH128" s="12">
        <f t="shared" si="1070"/>
        <v>0.73726851851851849</v>
      </c>
      <c r="FI128" s="11">
        <v>12</v>
      </c>
      <c r="FJ128" s="12">
        <f t="shared" si="1071"/>
        <v>1.8838304552590265E-2</v>
      </c>
      <c r="FK128" s="13"/>
      <c r="FL128" s="11"/>
      <c r="FM128" s="39">
        <v>79.487179487179489</v>
      </c>
      <c r="FN128" s="43">
        <v>100</v>
      </c>
      <c r="FO128" s="10"/>
      <c r="FP128" s="11"/>
      <c r="FQ128" s="69">
        <f t="shared" si="1122"/>
        <v>898</v>
      </c>
      <c r="FR128" s="69">
        <f t="shared" si="1123"/>
        <v>75</v>
      </c>
      <c r="FS128" s="11">
        <v>605</v>
      </c>
      <c r="FT128" s="12">
        <f t="shared" si="1072"/>
        <v>0.69710467706013368</v>
      </c>
      <c r="FU128" s="11">
        <v>21</v>
      </c>
      <c r="FV128" s="12">
        <f t="shared" si="1073"/>
        <v>3.3546325878594248E-2</v>
      </c>
      <c r="FW128" s="13"/>
      <c r="FX128" s="11"/>
      <c r="FY128" s="39">
        <v>90.476190476190482</v>
      </c>
      <c r="FZ128" s="43">
        <v>100</v>
      </c>
      <c r="GA128" s="10"/>
      <c r="GB128" s="11"/>
      <c r="GC128" s="69">
        <f t="shared" si="1124"/>
        <v>891</v>
      </c>
      <c r="GD128" s="69">
        <f t="shared" si="1125"/>
        <v>76</v>
      </c>
      <c r="GE128" s="11">
        <v>635</v>
      </c>
      <c r="GF128" s="12">
        <f t="shared" si="1074"/>
        <v>0.72615039281705951</v>
      </c>
      <c r="GG128" s="11">
        <v>12</v>
      </c>
      <c r="GH128" s="12">
        <f t="shared" si="1075"/>
        <v>1.8547140649149921E-2</v>
      </c>
      <c r="GI128" s="13"/>
      <c r="GJ128" s="11"/>
      <c r="GK128" s="39">
        <v>87.5</v>
      </c>
      <c r="GL128" s="43">
        <v>100</v>
      </c>
      <c r="GM128" s="10"/>
      <c r="GN128" s="11"/>
      <c r="GO128" s="69">
        <f t="shared" si="1126"/>
        <v>179</v>
      </c>
      <c r="GP128" s="69">
        <f t="shared" si="1127"/>
        <v>17</v>
      </c>
      <c r="GQ128" s="11">
        <v>119</v>
      </c>
      <c r="GR128" s="12">
        <f t="shared" si="1076"/>
        <v>0.69273743016759781</v>
      </c>
      <c r="GS128" s="11">
        <v>5</v>
      </c>
      <c r="GT128" s="12">
        <f t="shared" si="1077"/>
        <v>4.0322580645161289E-2</v>
      </c>
      <c r="GU128" s="13"/>
      <c r="GV128" s="11"/>
      <c r="GW128" s="39">
        <v>100</v>
      </c>
      <c r="GX128" s="43">
        <v>100</v>
      </c>
      <c r="GY128" s="10"/>
      <c r="GZ128" s="11"/>
      <c r="HA128" s="69">
        <f t="shared" si="1128"/>
        <v>908</v>
      </c>
      <c r="HB128" s="69">
        <f t="shared" si="1129"/>
        <v>78</v>
      </c>
      <c r="HC128" s="11">
        <v>666</v>
      </c>
      <c r="HD128" s="12">
        <f t="shared" si="1078"/>
        <v>0.74339207048458145</v>
      </c>
      <c r="HE128" s="11">
        <v>9</v>
      </c>
      <c r="HF128" s="12">
        <f t="shared" si="1079"/>
        <v>1.3333333333333334E-2</v>
      </c>
      <c r="HG128" s="13"/>
      <c r="HH128" s="11"/>
      <c r="HI128" s="39">
        <v>92.682926829268297</v>
      </c>
      <c r="HJ128" s="43">
        <v>100</v>
      </c>
      <c r="HK128" s="10">
        <f t="shared" si="1080"/>
        <v>5</v>
      </c>
      <c r="HL128" s="11">
        <f t="shared" si="1081"/>
        <v>0</v>
      </c>
      <c r="HM128" s="11">
        <f t="shared" si="1082"/>
        <v>12218</v>
      </c>
      <c r="HN128" s="11">
        <f t="shared" si="1083"/>
        <v>1045</v>
      </c>
      <c r="HO128" s="11">
        <f t="shared" si="1084"/>
        <v>8818</v>
      </c>
      <c r="HP128" s="95">
        <f t="shared" si="1085"/>
        <v>0.72172204943525942</v>
      </c>
      <c r="HQ128" s="15">
        <f t="shared" si="1086"/>
        <v>187</v>
      </c>
      <c r="HR128" s="12">
        <f t="shared" si="1087"/>
        <v>2.1206622816965299E-2</v>
      </c>
      <c r="HS128" s="16">
        <v>61.8</v>
      </c>
      <c r="HT128" s="17">
        <v>8456</v>
      </c>
      <c r="HU128" s="16">
        <f t="shared" si="1088"/>
        <v>95.894760716715808</v>
      </c>
      <c r="HV128" s="23">
        <v>83.582089552238813</v>
      </c>
      <c r="HW128" s="22">
        <v>94.514767932489448</v>
      </c>
      <c r="HX128" s="73">
        <f t="shared" si="1089"/>
        <v>0.71967410983705493</v>
      </c>
      <c r="HY128" s="73">
        <f t="shared" si="1090"/>
        <v>0.72585574572127143</v>
      </c>
      <c r="HZ128" s="73">
        <f t="shared" si="1091"/>
        <v>0.72060957910014511</v>
      </c>
      <c r="IA128" s="73">
        <f t="shared" si="1092"/>
        <v>0.72044506258692631</v>
      </c>
      <c r="IF128" s="85">
        <f>IF129/IF130</f>
        <v>2.4081878386514148E-3</v>
      </c>
      <c r="IG128" s="85">
        <f>IG129/IG130</f>
        <v>2.7430661383724473E-3</v>
      </c>
      <c r="IH128" s="85">
        <f>IH129/IH130</f>
        <v>3.6153289949385392E-3</v>
      </c>
      <c r="II128" s="85">
        <f>II129/II130</f>
        <v>2.428026361429067E-3</v>
      </c>
      <c r="IJ128" s="88" t="s">
        <v>90</v>
      </c>
    </row>
    <row r="129" spans="1:244" ht="19.5" thickBot="1" x14ac:dyDescent="0.3">
      <c r="A129" s="374"/>
      <c r="B129" s="42"/>
      <c r="C129" s="26">
        <f>SUM(C122:C128)</f>
        <v>4</v>
      </c>
      <c r="D129" s="27">
        <f>SUM(D122:D128)</f>
        <v>0</v>
      </c>
      <c r="E129" s="27"/>
      <c r="F129" s="27"/>
      <c r="G129" s="27">
        <f>SUM(G122:G128)</f>
        <v>4221</v>
      </c>
      <c r="H129" s="28">
        <f>((G129+I129)/7)/E128</f>
        <v>0.73201500170473921</v>
      </c>
      <c r="I129" s="27">
        <f>SUM(I122:I128)</f>
        <v>73</v>
      </c>
      <c r="J129" s="28">
        <f>(I129/(I129+G129))</f>
        <v>1.7000465766185375E-2</v>
      </c>
      <c r="K129" s="27"/>
      <c r="L129" s="27"/>
      <c r="M129" s="29">
        <f>M127/M126*100-100</f>
        <v>16.261610447656977</v>
      </c>
      <c r="N129" s="67">
        <f>N127/N126*100-100</f>
        <v>3.5226455787203292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3692</v>
      </c>
      <c r="T129" s="28">
        <f>((S129+U129)/7)/Q128</f>
        <v>0.70658907452599951</v>
      </c>
      <c r="U129" s="27">
        <f>SUM(U122:U128)</f>
        <v>72</v>
      </c>
      <c r="V129" s="28">
        <f>(U129/(U129+S129))</f>
        <v>1.9128586609989374E-2</v>
      </c>
      <c r="W129" s="27"/>
      <c r="X129" s="27"/>
      <c r="Y129" s="29">
        <f>Y127/Y126*100-100</f>
        <v>15.72756967493811</v>
      </c>
      <c r="Z129" s="67">
        <f>Z127/Z126*100-100</f>
        <v>8.3333333333333428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899</v>
      </c>
      <c r="AF129" s="28">
        <f>((AE129+AG129)/7)/AC128</f>
        <v>0.74431818181818177</v>
      </c>
      <c r="AG129" s="27">
        <f>SUM(AG122:AG128)</f>
        <v>18</v>
      </c>
      <c r="AH129" s="28">
        <f>(AG129/(AG129+AE129))</f>
        <v>1.9629225736095966E-2</v>
      </c>
      <c r="AI129" s="27"/>
      <c r="AJ129" s="27"/>
      <c r="AK129" s="29">
        <f>AK127/AK126*100-100</f>
        <v>21.510399288177069</v>
      </c>
      <c r="AL129" s="67">
        <f>AL127/AL126*100-100</f>
        <v>1.1682242990654288</v>
      </c>
      <c r="AM129" s="26">
        <f>SUM(AM122:AM128)</f>
        <v>0</v>
      </c>
      <c r="AN129" s="27">
        <f>SUM(AN122:AN128)</f>
        <v>0</v>
      </c>
      <c r="AO129" s="27"/>
      <c r="AP129" s="27"/>
      <c r="AQ129" s="27">
        <f>SUM(AQ122:AQ128)</f>
        <v>3765</v>
      </c>
      <c r="AR129" s="28">
        <f>((AQ129+AS129)/7)/AO128</f>
        <v>0.70598006644518274</v>
      </c>
      <c r="AS129" s="27">
        <f>SUM(AS122:AS128)</f>
        <v>60</v>
      </c>
      <c r="AT129" s="28">
        <f>(AS129/(AS129+AQ129))</f>
        <v>1.5686274509803921E-2</v>
      </c>
      <c r="AU129" s="27"/>
      <c r="AV129" s="27"/>
      <c r="AW129" s="29">
        <f>AW127/AW126*100-100</f>
        <v>15.016332121595283</v>
      </c>
      <c r="AX129" s="67">
        <f>AX127/AX126*100-100</f>
        <v>10.110450297366185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3876</v>
      </c>
      <c r="BD129" s="28">
        <f>((BC129+BE129)/7)/BA128</f>
        <v>0.73632119514472461</v>
      </c>
      <c r="BE129" s="27">
        <f>SUM(BE122:BE128)</f>
        <v>67</v>
      </c>
      <c r="BF129" s="28">
        <f>(BE129/(BE129+BC129))</f>
        <v>1.6992137966015723E-2</v>
      </c>
      <c r="BG129" s="27"/>
      <c r="BH129" s="27"/>
      <c r="BI129" s="29">
        <f>BI127/BI126*100-100</f>
        <v>16.663174802709662</v>
      </c>
      <c r="BJ129" s="67">
        <f>BJ127/BJ126*100-100</f>
        <v>12.340696686491071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4212</v>
      </c>
      <c r="BP129" s="28">
        <f>((BO129+BQ129)/7)/BM128</f>
        <v>0.73832417582417587</v>
      </c>
      <c r="BQ129" s="27">
        <f>SUM(BQ122:BQ128)</f>
        <v>88</v>
      </c>
      <c r="BR129" s="28">
        <f>(BQ129/(BQ129+BO129))</f>
        <v>2.0465116279069766E-2</v>
      </c>
      <c r="BS129" s="27"/>
      <c r="BT129" s="27"/>
      <c r="BU129" s="29">
        <f>BU127/BU126*100-100</f>
        <v>14.382239382239376</v>
      </c>
      <c r="BV129" s="67">
        <f>BV127/BV126*100-100</f>
        <v>5.8021806853582518</v>
      </c>
      <c r="BW129" s="26">
        <f>SUM(BW122:BW128)</f>
        <v>0</v>
      </c>
      <c r="BX129" s="27">
        <f>SUM(BX122:BX128)</f>
        <v>1</v>
      </c>
      <c r="BY129" s="27"/>
      <c r="BZ129" s="27"/>
      <c r="CA129" s="27">
        <f>SUM(CA122:CA128)</f>
        <v>3756</v>
      </c>
      <c r="CB129" s="28">
        <f>((CA129+CC129)/7)/BY128</f>
        <v>0.71843744102660889</v>
      </c>
      <c r="CC129" s="27">
        <f>SUM(CC122:CC128)</f>
        <v>51</v>
      </c>
      <c r="CD129" s="28">
        <f>(CC129/(CC129+CA129))</f>
        <v>1.3396375098502758E-2</v>
      </c>
      <c r="CE129" s="27"/>
      <c r="CF129" s="27"/>
      <c r="CG129" s="29">
        <f>CG127/CG126*100-100</f>
        <v>15.559309309309313</v>
      </c>
      <c r="CH129" s="67">
        <f>CH127/CH126*100-100</f>
        <v>9.245660881174885</v>
      </c>
      <c r="CI129" s="26">
        <f>SUM(CI122:CI128)</f>
        <v>2</v>
      </c>
      <c r="CJ129" s="27">
        <f>SUM(CJ122:CJ128)</f>
        <v>0</v>
      </c>
      <c r="CK129" s="27"/>
      <c r="CL129" s="27"/>
      <c r="CM129" s="27">
        <f>SUM(CM122:CM128)</f>
        <v>865</v>
      </c>
      <c r="CN129" s="28">
        <f>((CM129+CO129)/7)/CK128</f>
        <v>0.72331691297208545</v>
      </c>
      <c r="CO129" s="27">
        <f>SUM(CO122:CO128)</f>
        <v>16</v>
      </c>
      <c r="CP129" s="28">
        <f>(CO129/(CO129+CM129))</f>
        <v>1.8161180476730987E-2</v>
      </c>
      <c r="CQ129" s="27"/>
      <c r="CR129" s="27"/>
      <c r="CS129" s="29">
        <f>CS127/CS126*100-100</f>
        <v>13.813813813813809</v>
      </c>
      <c r="CT129" s="67">
        <f>CT127/CT126*100-100</f>
        <v>4.0186915887850461</v>
      </c>
      <c r="CU129" s="26">
        <f>SUM(CU122:CU128)</f>
        <v>1</v>
      </c>
      <c r="CV129" s="27">
        <f>SUM(CV122:CV128)</f>
        <v>0</v>
      </c>
      <c r="CW129" s="27"/>
      <c r="CX129" s="27"/>
      <c r="CY129" s="27">
        <f>SUM(CY122:CY128)</f>
        <v>3791</v>
      </c>
      <c r="CZ129" s="28">
        <f>((CY129+DA129)/7)/CW128</f>
        <v>0.73045463191934557</v>
      </c>
      <c r="DA129" s="27">
        <f>SUM(DA122:DA128)</f>
        <v>49</v>
      </c>
      <c r="DB129" s="28">
        <f>(DA129/(DA129+CY129))</f>
        <v>1.2760416666666666E-2</v>
      </c>
      <c r="DC129" s="27"/>
      <c r="DD129" s="27"/>
      <c r="DE129" s="29">
        <f>DE127/DE126*100-100</f>
        <v>15.347490347490364</v>
      </c>
      <c r="DF129" s="67">
        <f>DF127/DF126*100-100</f>
        <v>6.8424566088117587</v>
      </c>
      <c r="DG129" s="26">
        <f>SUM(DG122:DG128)</f>
        <v>3</v>
      </c>
      <c r="DH129" s="27">
        <f>SUM(DH122:DH128)</f>
        <v>0</v>
      </c>
      <c r="DI129" s="27"/>
      <c r="DJ129" s="27"/>
      <c r="DK129" s="27">
        <f>SUM(DK122:DK128)</f>
        <v>3777</v>
      </c>
      <c r="DL129" s="28">
        <f>((DK129+DM129)/7)/DI128</f>
        <v>0.73237843950244996</v>
      </c>
      <c r="DM129" s="27">
        <f>SUM(DM122:DM128)</f>
        <v>109</v>
      </c>
      <c r="DN129" s="28">
        <f>(DM129/(DM129+DK129))</f>
        <v>2.8049408131755018E-2</v>
      </c>
      <c r="DO129" s="27"/>
      <c r="DP129" s="27"/>
      <c r="DQ129" s="29">
        <f>DQ127/DQ126*100-100</f>
        <v>18.861917473028583</v>
      </c>
      <c r="DR129" s="67">
        <f>DR127/DR126*100-100</f>
        <v>17.231308411214968</v>
      </c>
      <c r="DS129" s="26">
        <f>SUM(DS122:DS128)</f>
        <v>2</v>
      </c>
      <c r="DT129" s="27">
        <f>SUM(DT122:DT128)</f>
        <v>0</v>
      </c>
      <c r="DU129" s="27"/>
      <c r="DV129" s="27"/>
      <c r="DW129" s="27">
        <f>SUM(DW122:DW128)</f>
        <v>4103</v>
      </c>
      <c r="DX129" s="28">
        <f>((DW129+DY129)/7)/DU128</f>
        <v>0.71192164809186087</v>
      </c>
      <c r="DY129" s="27">
        <f>SUM(DY122:DY128)</f>
        <v>113</v>
      </c>
      <c r="DZ129" s="28">
        <f>(DY129/(DY129+DW129))</f>
        <v>2.6802656546489563E-2</v>
      </c>
      <c r="EA129" s="27"/>
      <c r="EB129" s="27"/>
      <c r="EC129" s="29">
        <f>EC127/EC126*100-100</f>
        <v>13.827241876022384</v>
      </c>
      <c r="ED129" s="67">
        <f>ED127/ED126*100-100</f>
        <v>4.1094007696536465</v>
      </c>
      <c r="EE129" s="26">
        <f>SUM(EE122:EE128)</f>
        <v>4</v>
      </c>
      <c r="EF129" s="27">
        <f>SUM(EF122:EF128)</f>
        <v>0</v>
      </c>
      <c r="EG129" s="27"/>
      <c r="EH129" s="27"/>
      <c r="EI129" s="27">
        <f>SUM(EI122:EI128)</f>
        <v>4106</v>
      </c>
      <c r="EJ129" s="28">
        <f>((EI129+EK129)/7)/EG128</f>
        <v>0.70692539310806279</v>
      </c>
      <c r="EK129" s="27">
        <f>SUM(EK122:EK128)</f>
        <v>120</v>
      </c>
      <c r="EL129" s="28">
        <f>(EK129/(EK129+EI129))</f>
        <v>2.8395646000946521E-2</v>
      </c>
      <c r="EM129" s="27"/>
      <c r="EN129" s="27"/>
      <c r="EO129" s="29">
        <f>EO127/EO126*100-100</f>
        <v>18.020562935817168</v>
      </c>
      <c r="EP129" s="67">
        <f>EP127/EP126*100-100</f>
        <v>7.1845794392523317</v>
      </c>
      <c r="EQ129" s="26">
        <f>SUM(EQ122:EQ128)</f>
        <v>4</v>
      </c>
      <c r="ER129" s="27">
        <f>SUM(ER122:ER128)</f>
        <v>0</v>
      </c>
      <c r="ES129" s="27"/>
      <c r="ET129" s="27"/>
      <c r="EU129" s="27">
        <f>SUM(EU122:EU128)</f>
        <v>927</v>
      </c>
      <c r="EV129" s="28">
        <f>((EU129+EW129)/7)/ES128</f>
        <v>0.72544642857142849</v>
      </c>
      <c r="EW129" s="27">
        <f>SUM(EW122:EW128)</f>
        <v>48</v>
      </c>
      <c r="EX129" s="28">
        <f>(EW129/(EW129+EU129))</f>
        <v>4.9230769230769231E-2</v>
      </c>
      <c r="EY129" s="27"/>
      <c r="EZ129" s="27"/>
      <c r="FA129" s="29">
        <f>FA127/FA126*100-100</f>
        <v>10.829579579579573</v>
      </c>
      <c r="FB129" s="67">
        <f>FB127/FB126*100-100</f>
        <v>1.7133956386292652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4471</v>
      </c>
      <c r="FH129" s="28">
        <f>((FG129+FI129)/7)/FE128</f>
        <v>0.74983465608465616</v>
      </c>
      <c r="FI129" s="27">
        <f>SUM(FI122:FI128)</f>
        <v>64</v>
      </c>
      <c r="FJ129" s="28">
        <f>(FI129/(FI129+FG129))</f>
        <v>1.4112458654906285E-2</v>
      </c>
      <c r="FK129" s="27"/>
      <c r="FL129" s="27"/>
      <c r="FM129" s="29">
        <f>FM127/FM126*100-100</f>
        <v>14.197530864197532</v>
      </c>
      <c r="FN129" s="67">
        <f>FN127/FN126*100-100</f>
        <v>10.903426791277269</v>
      </c>
      <c r="FO129" s="26">
        <f>SUM(FO122:FO128)</f>
        <v>3</v>
      </c>
      <c r="FP129" s="27">
        <f>SUM(FP122:FP128)</f>
        <v>0</v>
      </c>
      <c r="FQ129" s="27"/>
      <c r="FR129" s="27"/>
      <c r="FS129" s="27">
        <f>SUM(FS122:FS128)</f>
        <v>4276</v>
      </c>
      <c r="FT129" s="28">
        <f>((FS129+FU129)/7)/FQ128</f>
        <v>0.69917276487432389</v>
      </c>
      <c r="FU129" s="27">
        <f>SUM(FU122:FU128)</f>
        <v>119</v>
      </c>
      <c r="FV129" s="28">
        <f>(FU129/(FU129+FS129))</f>
        <v>2.7076222980659842E-2</v>
      </c>
      <c r="FW129" s="27"/>
      <c r="FX129" s="27"/>
      <c r="FY129" s="29">
        <f>FY127/FY126*100-100</f>
        <v>18.755660422327097</v>
      </c>
      <c r="FZ129" s="67">
        <f>FZ127/FZ126*100-100</f>
        <v>2.9115744069015079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4313</v>
      </c>
      <c r="GF129" s="28">
        <f>((GE129+GG129)/7)/GC128</f>
        <v>0.70771204104537433</v>
      </c>
      <c r="GG129" s="27">
        <f>SUM(GG122:GG128)</f>
        <v>101</v>
      </c>
      <c r="GH129" s="28">
        <f>(GG129/(GG129+GE129))</f>
        <v>2.2881739918441325E-2</v>
      </c>
      <c r="GI129" s="27"/>
      <c r="GJ129" s="27"/>
      <c r="GK129" s="29">
        <f>GK127/GK126*100-100</f>
        <v>16.047297297297305</v>
      </c>
      <c r="GL129" s="67">
        <f>GL127/GL126*100-100</f>
        <v>6.3668224299065344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908</v>
      </c>
      <c r="GR129" s="28">
        <f>((GQ129+GS129)/7)/GO128</f>
        <v>0.75498802873104542</v>
      </c>
      <c r="GS129" s="27">
        <f>SUM(GS122:GS128)</f>
        <v>38</v>
      </c>
      <c r="GT129" s="28">
        <f>(GS129/(GS129+GQ129))</f>
        <v>4.0169133192389003E-2</v>
      </c>
      <c r="GU129" s="27"/>
      <c r="GV129" s="27"/>
      <c r="GW129" s="29">
        <f>GW127/GW126*100-100</f>
        <v>10.339506172839521</v>
      </c>
      <c r="GX129" s="67">
        <f>GX127/GX126*100-100</f>
        <v>-2.978971962616825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4515</v>
      </c>
      <c r="HD129" s="28">
        <f>((HC129+HE129)/7)/HA128</f>
        <v>0.7238829452485841</v>
      </c>
      <c r="HE129" s="27">
        <f>SUM(HE122:HE128)</f>
        <v>86</v>
      </c>
      <c r="HF129" s="28">
        <f>(HE129/(HE129+HC129))</f>
        <v>1.8691588785046728E-2</v>
      </c>
      <c r="HG129" s="27"/>
      <c r="HH129" s="27"/>
      <c r="HI129" s="29">
        <f>HI127/HI126*100-100</f>
        <v>17.129324446397604</v>
      </c>
      <c r="HJ129" s="67">
        <f>HJ127/HJ126*100-100</f>
        <v>9.5460614152202936</v>
      </c>
      <c r="HK129" s="26">
        <f t="shared" si="1080"/>
        <v>34</v>
      </c>
      <c r="HL129" s="27">
        <f t="shared" si="1081"/>
        <v>1</v>
      </c>
      <c r="HM129" s="27">
        <f t="shared" si="1082"/>
        <v>0</v>
      </c>
      <c r="HN129" s="27">
        <f t="shared" si="1083"/>
        <v>0</v>
      </c>
      <c r="HO129" s="27">
        <f t="shared" si="1084"/>
        <v>61765</v>
      </c>
      <c r="HP129" s="96">
        <f>+((HO129)/HM128)/7</f>
        <v>0.72217805111895805</v>
      </c>
      <c r="HQ129" s="62">
        <f t="shared" si="1086"/>
        <v>1292</v>
      </c>
      <c r="HR129" s="52">
        <f t="shared" si="1087"/>
        <v>2.0917995628592246E-2</v>
      </c>
      <c r="HS129" s="53">
        <f>SUM(HS122:HS128)/7</f>
        <v>61.171428571428571</v>
      </c>
      <c r="HT129" s="54">
        <f>SUM(HT122:HT128)</f>
        <v>59174</v>
      </c>
      <c r="HU129" s="53">
        <f>AVERAGE(HU122:HU128)</f>
        <v>95.805558500138105</v>
      </c>
      <c r="HV129" s="63">
        <f>HV127/HV126*100-100</f>
        <v>16.001988721723379</v>
      </c>
      <c r="HW129" s="67">
        <f>HW127/HW126*100-100</f>
        <v>7.4194566031783609</v>
      </c>
      <c r="HX129" s="73">
        <f>SUM(G129,I129,S129,U129,AE129,AG129,AQ129,AS129,BC129,BE129)/7/SUM(E128,Q128,AC128,AO128,BA128)</f>
        <v>0.72174325372876968</v>
      </c>
      <c r="HY129" s="73">
        <f>SUM(BO129,BQ129,CA129,CC129,CM129,CO129,CY129,DA129,DK129,DM129)/7/SUM(BM128,BY128,CK128,CW128,DI128)</f>
        <v>0.72974152986377927</v>
      </c>
      <c r="HZ129" s="73">
        <f>SUM(DW129,DY129,EI129,EK129,EU129,EW129,FG129,FI129)/7/SUM(DU128,EG128,ES128,FE128)</f>
        <v>0.72320132697491191</v>
      </c>
      <c r="IA129" s="73">
        <f>SUM(FS129,FU129,GE129,GG129,GQ129,GS129,HC129,HE129)/7/SUM(FQ128,GC128,GO128,HA128)</f>
        <v>0.71309358235644738</v>
      </c>
      <c r="IB129" s="84">
        <f>SUM(I129,U129,AG129,AS129,BE129)/SUM(G129,I129,S129,U129,AE129,AG129,AQ129,AS129,BC129,BE129)</f>
        <v>1.7320671325329988E-2</v>
      </c>
      <c r="IC129" s="84">
        <f>SUM(BQ129,CC129,CO129,DA129,DM129)/SUM(BO129,BQ129,CA129,CC129,CM129,CO129,CY129,DA129,DK129,DM129)</f>
        <v>1.8726815843005864E-2</v>
      </c>
      <c r="ID129" s="84">
        <f>SUM(DY129,EK129,EW129,FI129)/SUM(DW129,DY129,EI129,EK129,EU129,EW129,FG129,FI129)</f>
        <v>2.4727637614678898E-2</v>
      </c>
      <c r="IE129" s="84">
        <f>SUM(FU129,GG129,GS129,HE129)/SUM(FS129,FU129,GE129,GG129,GQ129,GS129,HC129,HE129)</f>
        <v>2.3962106436333241E-2</v>
      </c>
      <c r="IF129" s="86">
        <f>SUM(C129,O129,AA129,AM129,AY129)</f>
        <v>8</v>
      </c>
      <c r="IG129" s="86">
        <f>SUM(BK129,BW129,CI129,CU129,DG129)</f>
        <v>9</v>
      </c>
      <c r="IH129" s="86">
        <f>SUM(DS129,EE129,EQ129,FC129)</f>
        <v>10</v>
      </c>
      <c r="II129" s="86">
        <f>SUM(FO129,GA129,GM129,GY129)</f>
        <v>7</v>
      </c>
      <c r="IJ129" s="88" t="s">
        <v>89</v>
      </c>
    </row>
    <row r="130" spans="1:244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HK129/HM122</f>
        <v>2.7766435279706E-3</v>
      </c>
      <c r="HL130" s="66">
        <f>HL129/HN122</f>
        <v>9.5602294455066918E-4</v>
      </c>
      <c r="HM130" s="45"/>
      <c r="HN130" s="45"/>
      <c r="HO130" s="45"/>
      <c r="HP130" s="98"/>
      <c r="HQ130" s="45"/>
      <c r="HR130" s="45"/>
      <c r="HS130" s="45"/>
      <c r="HT130" s="55"/>
      <c r="HU130" s="45"/>
      <c r="HV130" s="45"/>
      <c r="HW130" s="46"/>
      <c r="HY130" s="72"/>
      <c r="HZ130" s="72"/>
      <c r="IA130" s="72"/>
      <c r="IF130" s="86">
        <f>SUM(E119,Q119,AC119,AO119,BA119)</f>
        <v>3322</v>
      </c>
      <c r="IG130" s="86">
        <f>SUM(BM119,BY119,CK119,CW119,DI119)</f>
        <v>3281</v>
      </c>
      <c r="IH130" s="86">
        <f>SUM(DU119,EG119,ES119,FE119)</f>
        <v>2766</v>
      </c>
      <c r="II130" s="86">
        <f>SUM(FQ119,GC119,GO119,HA119)</f>
        <v>2883</v>
      </c>
      <c r="IJ130" s="88" t="s">
        <v>84</v>
      </c>
    </row>
    <row r="131" spans="1:244" ht="18" customHeight="1" x14ac:dyDescent="0.25">
      <c r="A131" s="373">
        <v>39</v>
      </c>
      <c r="B131" s="68">
        <f>B128+1</f>
        <v>45039</v>
      </c>
      <c r="C131" s="33">
        <v>1</v>
      </c>
      <c r="D131" s="34"/>
      <c r="E131" s="34">
        <f>E128-C131</f>
        <v>837</v>
      </c>
      <c r="F131" s="34">
        <f>F128-D131</f>
        <v>72</v>
      </c>
      <c r="G131" s="34">
        <v>584</v>
      </c>
      <c r="H131" s="35">
        <f t="shared" ref="H131:H137" si="1130">((G131+I131)/E131)</f>
        <v>0.7084826762246117</v>
      </c>
      <c r="I131" s="34">
        <v>9</v>
      </c>
      <c r="J131" s="35">
        <f t="shared" ref="J131:J137" si="1131">I131/(G131+I131)</f>
        <v>1.5177065767284991E-2</v>
      </c>
      <c r="K131" s="36"/>
      <c r="L131" s="34"/>
      <c r="M131" s="34"/>
      <c r="N131" s="37"/>
      <c r="O131" s="33"/>
      <c r="P131" s="34"/>
      <c r="Q131" s="34">
        <f>Q128-O131</f>
        <v>761</v>
      </c>
      <c r="R131" s="34">
        <f>R128-P131</f>
        <v>65</v>
      </c>
      <c r="S131" s="34">
        <v>538</v>
      </c>
      <c r="T131" s="35">
        <f t="shared" ref="T131:T137" si="1132">((S131+U131)/Q131)</f>
        <v>0.72273324572930353</v>
      </c>
      <c r="U131" s="34">
        <v>12</v>
      </c>
      <c r="V131" s="35">
        <f t="shared" ref="V131:V137" si="1133">U131/(S131+U131)</f>
        <v>2.181818181818182E-2</v>
      </c>
      <c r="W131" s="36"/>
      <c r="X131" s="34"/>
      <c r="Y131" s="34"/>
      <c r="Z131" s="37"/>
      <c r="AA131" s="33"/>
      <c r="AB131" s="34"/>
      <c r="AC131" s="34">
        <f>AC128-AA131</f>
        <v>176</v>
      </c>
      <c r="AD131" s="34">
        <f>AD128-AB131</f>
        <v>13</v>
      </c>
      <c r="AE131" s="34">
        <v>131</v>
      </c>
      <c r="AF131" s="35">
        <f t="shared" ref="AF131:AF137" si="1134">((AE131+AG131)/AC131)</f>
        <v>0.75568181818181823</v>
      </c>
      <c r="AG131" s="34">
        <v>2</v>
      </c>
      <c r="AH131" s="35">
        <f t="shared" ref="AH131:AH137" si="1135">AG131/(AE131+AG131)</f>
        <v>1.5037593984962405E-2</v>
      </c>
      <c r="AI131" s="36"/>
      <c r="AJ131" s="34"/>
      <c r="AK131" s="34"/>
      <c r="AL131" s="37"/>
      <c r="AM131" s="33"/>
      <c r="AN131" s="34"/>
      <c r="AO131" s="34">
        <f>AO128-AM131</f>
        <v>774</v>
      </c>
      <c r="AP131" s="34">
        <f>AP128-AN131</f>
        <v>65</v>
      </c>
      <c r="AQ131" s="34">
        <v>572</v>
      </c>
      <c r="AR131" s="35">
        <f t="shared" ref="AR131:AR137" si="1136">((AQ131+AS131)/AO131)</f>
        <v>0.74677002583979324</v>
      </c>
      <c r="AS131" s="34">
        <v>6</v>
      </c>
      <c r="AT131" s="35">
        <f t="shared" ref="AT131:AT137" si="1137">AS131/(AQ131+AS131)</f>
        <v>1.0380622837370242E-2</v>
      </c>
      <c r="AU131" s="36"/>
      <c r="AV131" s="34"/>
      <c r="AW131" s="34"/>
      <c r="AX131" s="37"/>
      <c r="AY131" s="33"/>
      <c r="AZ131" s="34"/>
      <c r="BA131" s="34">
        <f>BA128-AY131</f>
        <v>765</v>
      </c>
      <c r="BB131" s="34">
        <f>BB128-AZ131</f>
        <v>67</v>
      </c>
      <c r="BC131" s="34">
        <v>553</v>
      </c>
      <c r="BD131" s="35">
        <f t="shared" ref="BD131:BD137" si="1138">((BC131+BE131)/BA131)</f>
        <v>0.73333333333333328</v>
      </c>
      <c r="BE131" s="34">
        <v>8</v>
      </c>
      <c r="BF131" s="35">
        <f t="shared" ref="BF131:BF137" si="1139">BE131/(BC131+BE131)</f>
        <v>1.4260249554367201E-2</v>
      </c>
      <c r="BG131" s="36"/>
      <c r="BH131" s="34"/>
      <c r="BI131" s="34"/>
      <c r="BJ131" s="37"/>
      <c r="BK131" s="33">
        <v>1</v>
      </c>
      <c r="BL131" s="34"/>
      <c r="BM131" s="34">
        <f>BM128-BK131</f>
        <v>831</v>
      </c>
      <c r="BN131" s="34">
        <f>BN128-BL131</f>
        <v>72</v>
      </c>
      <c r="BO131" s="34">
        <v>563</v>
      </c>
      <c r="BP131" s="35">
        <f t="shared" ref="BP131:BP137" si="1140">((BO131+BQ131)/BM131)</f>
        <v>0.69554753309265949</v>
      </c>
      <c r="BQ131" s="34">
        <v>15</v>
      </c>
      <c r="BR131" s="35">
        <f t="shared" ref="BR131:BR137" si="1141">BQ131/(BO131+BQ131)</f>
        <v>2.5951557093425604E-2</v>
      </c>
      <c r="BS131" s="36"/>
      <c r="BT131" s="34"/>
      <c r="BU131" s="34"/>
      <c r="BV131" s="37"/>
      <c r="BW131" s="33">
        <v>1</v>
      </c>
      <c r="BX131" s="34"/>
      <c r="BY131" s="34">
        <f>BY128-BW131</f>
        <v>756</v>
      </c>
      <c r="BZ131" s="34">
        <f>BZ128-BX131</f>
        <v>63</v>
      </c>
      <c r="CA131" s="34">
        <v>540</v>
      </c>
      <c r="CB131" s="35">
        <f t="shared" ref="CB131:CB137" si="1142">((CA131+CC131)/BY131)</f>
        <v>0.72089947089947093</v>
      </c>
      <c r="CC131" s="34">
        <v>5</v>
      </c>
      <c r="CD131" s="35">
        <f t="shared" ref="CD131:CD137" si="1143">CC131/(CA131+CC131)</f>
        <v>9.1743119266055051E-3</v>
      </c>
      <c r="CE131" s="36"/>
      <c r="CF131" s="34"/>
      <c r="CG131" s="34"/>
      <c r="CH131" s="37"/>
      <c r="CI131" s="33"/>
      <c r="CJ131" s="34"/>
      <c r="CK131" s="34">
        <f>CK128-CI131</f>
        <v>174</v>
      </c>
      <c r="CL131" s="34">
        <f>CL128-CJ131</f>
        <v>14</v>
      </c>
      <c r="CM131" s="34">
        <v>115</v>
      </c>
      <c r="CN131" s="35">
        <f t="shared" ref="CN131:CN137" si="1144">((CM131+CO131)/CK131)</f>
        <v>0.67241379310344829</v>
      </c>
      <c r="CO131" s="34">
        <v>2</v>
      </c>
      <c r="CP131" s="35">
        <f t="shared" ref="CP131:CP137" si="1145">CO131/(CM131+CO131)</f>
        <v>1.7094017094017096E-2</v>
      </c>
      <c r="CQ131" s="36"/>
      <c r="CR131" s="34"/>
      <c r="CS131" s="34"/>
      <c r="CT131" s="37"/>
      <c r="CU131" s="33">
        <v>1</v>
      </c>
      <c r="CV131" s="34"/>
      <c r="CW131" s="34">
        <f>CW128-CU131</f>
        <v>750</v>
      </c>
      <c r="CX131" s="34">
        <f>CX128-CV131</f>
        <v>65</v>
      </c>
      <c r="CY131" s="34">
        <v>532</v>
      </c>
      <c r="CZ131" s="35">
        <f t="shared" ref="CZ131:CZ137" si="1146">((CY131+DA131)/CW131)</f>
        <v>0.72266666666666668</v>
      </c>
      <c r="DA131" s="34">
        <v>10</v>
      </c>
      <c r="DB131" s="35">
        <f t="shared" ref="DB131:DB137" si="1147">DA131/(CY131+DA131)</f>
        <v>1.8450184501845018E-2</v>
      </c>
      <c r="DC131" s="36"/>
      <c r="DD131" s="34"/>
      <c r="DE131" s="34"/>
      <c r="DF131" s="37"/>
      <c r="DG131" s="33"/>
      <c r="DH131" s="34"/>
      <c r="DI131" s="34">
        <f>DI128-DG131</f>
        <v>758</v>
      </c>
      <c r="DJ131" s="34">
        <f>DJ128-DH131</f>
        <v>67</v>
      </c>
      <c r="DK131" s="34">
        <v>523</v>
      </c>
      <c r="DL131" s="35">
        <f t="shared" ref="DL131:DL137" si="1148">((DK131+DM131)/DI131)</f>
        <v>0.71635883905013198</v>
      </c>
      <c r="DM131" s="34">
        <v>20</v>
      </c>
      <c r="DN131" s="35">
        <f t="shared" ref="DN131:DN137" si="1149">DM131/(DK131+DM131)</f>
        <v>3.6832412523020261E-2</v>
      </c>
      <c r="DO131" s="36"/>
      <c r="DP131" s="34"/>
      <c r="DQ131" s="34"/>
      <c r="DR131" s="37"/>
      <c r="DS131" s="33">
        <v>1</v>
      </c>
      <c r="DT131" s="34"/>
      <c r="DU131" s="34">
        <f>DU128-DS131</f>
        <v>845</v>
      </c>
      <c r="DV131" s="34">
        <f>DV128-DT131</f>
        <v>71</v>
      </c>
      <c r="DW131" s="34">
        <v>577</v>
      </c>
      <c r="DX131" s="35">
        <f t="shared" ref="DX131:DX137" si="1150">((DW131+DY131)/DU131)</f>
        <v>0.70532544378698225</v>
      </c>
      <c r="DY131" s="34">
        <v>19</v>
      </c>
      <c r="DZ131" s="35">
        <f t="shared" ref="DZ131:DZ137" si="1151">DY131/(DW131+DY131)</f>
        <v>3.1879194630872486E-2</v>
      </c>
      <c r="EA131" s="36"/>
      <c r="EB131" s="34"/>
      <c r="EC131" s="34"/>
      <c r="ED131" s="37"/>
      <c r="EE131" s="33"/>
      <c r="EF131" s="34"/>
      <c r="EG131" s="34">
        <f>EG128-EE131</f>
        <v>854</v>
      </c>
      <c r="EH131" s="34">
        <f>EH128-EF131</f>
        <v>74</v>
      </c>
      <c r="EI131" s="34">
        <v>581</v>
      </c>
      <c r="EJ131" s="35">
        <f t="shared" ref="EJ131:EJ137" si="1152">((EI131+EK131)/EG131)</f>
        <v>0.6955503512880562</v>
      </c>
      <c r="EK131" s="34">
        <v>13</v>
      </c>
      <c r="EL131" s="35">
        <f t="shared" ref="EL131:EL137" si="1153">EK131/(EI131+EK131)</f>
        <v>2.1885521885521887E-2</v>
      </c>
      <c r="EM131" s="36"/>
      <c r="EN131" s="34"/>
      <c r="EO131" s="34"/>
      <c r="EP131" s="37"/>
      <c r="EQ131" s="33"/>
      <c r="ER131" s="34"/>
      <c r="ES131" s="34">
        <f>ES128-EQ131</f>
        <v>192</v>
      </c>
      <c r="ET131" s="34">
        <f>ET128-ER131</f>
        <v>16</v>
      </c>
      <c r="EU131" s="34">
        <v>127</v>
      </c>
      <c r="EV131" s="35">
        <f t="shared" ref="EV131:EV137" si="1154">((EU131+EW131)/ES131)</f>
        <v>0.68229166666666663</v>
      </c>
      <c r="EW131" s="34">
        <v>4</v>
      </c>
      <c r="EX131" s="35">
        <f t="shared" ref="EX131:EX137" si="1155">EW131/(EU131+EW131)</f>
        <v>3.0534351145038167E-2</v>
      </c>
      <c r="EY131" s="36"/>
      <c r="EZ131" s="34"/>
      <c r="FA131" s="34"/>
      <c r="FB131" s="37"/>
      <c r="FC131" s="33"/>
      <c r="FD131" s="34"/>
      <c r="FE131" s="34">
        <f>FE128-FC131</f>
        <v>864</v>
      </c>
      <c r="FF131" s="34">
        <f>FF128-FD131</f>
        <v>75</v>
      </c>
      <c r="FG131" s="34">
        <v>632</v>
      </c>
      <c r="FH131" s="35">
        <f t="shared" ref="FH131:FH137" si="1156">((FG131+FI131)/FE131)</f>
        <v>0.75</v>
      </c>
      <c r="FI131" s="34">
        <v>16</v>
      </c>
      <c r="FJ131" s="35">
        <f t="shared" ref="FJ131:FJ137" si="1157">FI131/(FG131+FI131)</f>
        <v>2.4691358024691357E-2</v>
      </c>
      <c r="FK131" s="36"/>
      <c r="FL131" s="34"/>
      <c r="FM131" s="34"/>
      <c r="FN131" s="37"/>
      <c r="FO131" s="33"/>
      <c r="FP131" s="34"/>
      <c r="FQ131" s="34">
        <f>FQ128-FO131</f>
        <v>898</v>
      </c>
      <c r="FR131" s="34">
        <f>FR128-FP131</f>
        <v>75</v>
      </c>
      <c r="FS131" s="34">
        <v>587</v>
      </c>
      <c r="FT131" s="35">
        <f t="shared" ref="FT131:FT137" si="1158">((FS131+FU131)/FQ131)</f>
        <v>0.6770601336302895</v>
      </c>
      <c r="FU131" s="34">
        <v>21</v>
      </c>
      <c r="FV131" s="35">
        <f t="shared" ref="FV131:FV137" si="1159">FU131/(FS131+FU131)</f>
        <v>3.453947368421053E-2</v>
      </c>
      <c r="FW131" s="36"/>
      <c r="FX131" s="34"/>
      <c r="FY131" s="34"/>
      <c r="FZ131" s="37"/>
      <c r="GA131" s="33"/>
      <c r="GB131" s="34"/>
      <c r="GC131" s="34">
        <f>GC128-GA131</f>
        <v>891</v>
      </c>
      <c r="GD131" s="34">
        <f>GD128-GB131</f>
        <v>76</v>
      </c>
      <c r="GE131" s="34">
        <v>618</v>
      </c>
      <c r="GF131" s="35">
        <f t="shared" ref="GF131:GF137" si="1160">((GE131+GG131)/GC131)</f>
        <v>0.7048260381593715</v>
      </c>
      <c r="GG131" s="34">
        <v>10</v>
      </c>
      <c r="GH131" s="35">
        <f t="shared" ref="GH131:GH137" si="1161">GG131/(GE131+GG131)</f>
        <v>1.5923566878980892E-2</v>
      </c>
      <c r="GI131" s="36"/>
      <c r="GJ131" s="34"/>
      <c r="GK131" s="34"/>
      <c r="GL131" s="37"/>
      <c r="GM131" s="33">
        <v>1</v>
      </c>
      <c r="GN131" s="34"/>
      <c r="GO131" s="34">
        <f>GO128-GM131</f>
        <v>178</v>
      </c>
      <c r="GP131" s="34">
        <f>GP128-GN131</f>
        <v>17</v>
      </c>
      <c r="GQ131" s="34">
        <v>120</v>
      </c>
      <c r="GR131" s="35">
        <f t="shared" ref="GR131:GR137" si="1162">((GQ131+GS131)/GO131)</f>
        <v>0.6910112359550562</v>
      </c>
      <c r="GS131" s="34">
        <v>3</v>
      </c>
      <c r="GT131" s="35">
        <f t="shared" ref="GT131:GT137" si="1163">GS131/(GQ131+GS131)</f>
        <v>2.4390243902439025E-2</v>
      </c>
      <c r="GU131" s="36"/>
      <c r="GV131" s="34"/>
      <c r="GW131" s="34"/>
      <c r="GX131" s="37"/>
      <c r="GY131" s="33"/>
      <c r="GZ131" s="34"/>
      <c r="HA131" s="34">
        <f>HA128-GY131</f>
        <v>908</v>
      </c>
      <c r="HB131" s="34">
        <f>HB128-GZ131</f>
        <v>78</v>
      </c>
      <c r="HC131" s="34">
        <v>630</v>
      </c>
      <c r="HD131" s="35">
        <f t="shared" ref="HD131:HD137" si="1164">((HC131+HE131)/HA131)</f>
        <v>0.70374449339207046</v>
      </c>
      <c r="HE131" s="34">
        <v>9</v>
      </c>
      <c r="HF131" s="35">
        <f t="shared" ref="HF131:HF137" si="1165">HE131/(HC131+HE131)</f>
        <v>1.4084507042253521E-2</v>
      </c>
      <c r="HG131" s="36"/>
      <c r="HH131" s="34"/>
      <c r="HI131" s="34"/>
      <c r="HJ131" s="37"/>
      <c r="HK131" s="33">
        <f t="shared" ref="HK131:HK138" si="1166">+C131+O131+AA131+AM131+AY131+BK131+BW131+CI131+CU131+DG131+DS131+EE131+EQ131+FC131+FO131+GA131+GM131+GY131</f>
        <v>6</v>
      </c>
      <c r="HL131" s="34">
        <f t="shared" ref="HL131:HL138" si="1167">+D131+P131+AB131+AN131+AZ131+BL131+BX131+CJ131+CV131+DH131+DT131+EF131+ER131+FD131+FP131+GB131+GN131+GZ131</f>
        <v>0</v>
      </c>
      <c r="HM131" s="34">
        <f t="shared" ref="HM131:HM138" si="1168">+E131+Q131+AC131+AO131+BA131+BM131+BY131+CK131+CW131+DI131+DU131+EG131+ES131+FE131+FQ131+GC131+GO131+HA131</f>
        <v>12212</v>
      </c>
      <c r="HN131" s="34">
        <f t="shared" ref="HN131:HN138" si="1169">+F131+R131+AD131+AP131+BB131+BN131+BZ131+CL131+CX131+DJ131+DV131+EH131+ET131+FF131+FR131+GD131+GP131+HB131</f>
        <v>1045</v>
      </c>
      <c r="HO131" s="34">
        <f t="shared" ref="HO131:HO138" si="1170">+G131+S131+AE131+AQ131+BC131+BO131+CA131+CM131+CY131+DK131+DW131+EI131+EU131+FG131+FS131+GE131+GQ131+HC131+I131+U131+AG131+AS131+BE131+BQ131+CC131+CO131+DA131+DM131+DY131+EK131+EW131+FI131+FU131+GG131+GS131+HE131</f>
        <v>8707</v>
      </c>
      <c r="HP131" s="94">
        <f t="shared" ref="HP131:HP137" si="1171">+(HO131)/HM131</f>
        <v>0.71298722567965933</v>
      </c>
      <c r="HQ131" s="48">
        <f t="shared" ref="HQ131:HQ138" si="1172">+I131+U131+AG131+AS131+BE131+BQ131+CC131+CO131+DA131+DM131+DY131+EK131+EW131+FI131+FU131+GG131+GS131+HE131</f>
        <v>184</v>
      </c>
      <c r="HR131" s="35">
        <f t="shared" ref="HR131:HR138" si="1173">+(HQ131/(HO131))</f>
        <v>2.11324221890433E-2</v>
      </c>
      <c r="HS131" s="49">
        <v>61.5</v>
      </c>
      <c r="HT131" s="50">
        <v>8380</v>
      </c>
      <c r="HU131" s="49">
        <f t="shared" ref="HU131:HU137" si="1174">+HT131/HO131*100</f>
        <v>96.244401056621115</v>
      </c>
      <c r="HV131" s="48"/>
      <c r="HW131" s="37"/>
      <c r="HX131" s="73">
        <f t="shared" ref="HX131:HX137" si="1175">SUM(G131,I131,S131,U131,AE131,AG131,AQ131,AS131,BC131,BE131)/SUM(E131,Q131,AC131,AO131,BA131)</f>
        <v>0.72894657410202235</v>
      </c>
      <c r="HY131" s="73">
        <f t="shared" ref="HY131:HY137" si="1176">SUM(BO131,BQ131,CA131,CC131,CM131,CO131,CY131,DA131,DK131,DM131)/SUM(BM131,BY131,CK131,CW131,DI131)</f>
        <v>0.71122667482410518</v>
      </c>
      <c r="HZ131" s="73">
        <f t="shared" ref="HZ131:HZ137" si="1177">SUM(DW131,DY131,EI131,EK131,EU131,EW131,FG131,FI131)/SUM(DU131,EG131,ES131,FE131)</f>
        <v>0.71470054446460984</v>
      </c>
      <c r="IA131" s="73">
        <f t="shared" ref="IA131:IA137" si="1178">SUM(FS131,FU131,GE131,GG131,GQ131,GS131,HC131,HE131)/SUM(FQ131,GC131,GO131,HA131)</f>
        <v>0.69495652173913047</v>
      </c>
    </row>
    <row r="132" spans="1:244" x14ac:dyDescent="0.25">
      <c r="A132" s="374"/>
      <c r="B132" s="41">
        <f t="shared" ref="B132:B137" si="1179">+B131+1</f>
        <v>45040</v>
      </c>
      <c r="C132" s="10">
        <v>1</v>
      </c>
      <c r="D132" s="11"/>
      <c r="E132" s="69">
        <f t="shared" ref="E132:E137" si="1180">E131-C132</f>
        <v>836</v>
      </c>
      <c r="F132" s="69">
        <f t="shared" ref="F132:F137" si="1181">F131-D132</f>
        <v>72</v>
      </c>
      <c r="G132" s="11">
        <v>597</v>
      </c>
      <c r="H132" s="12">
        <f t="shared" si="1130"/>
        <v>0.72368421052631582</v>
      </c>
      <c r="I132" s="11">
        <v>8</v>
      </c>
      <c r="J132" s="12">
        <f t="shared" si="1131"/>
        <v>1.3223140495867768E-2</v>
      </c>
      <c r="K132" s="13"/>
      <c r="L132" s="11"/>
      <c r="M132" s="11"/>
      <c r="N132" s="14"/>
      <c r="O132" s="10">
        <v>1</v>
      </c>
      <c r="P132" s="11"/>
      <c r="Q132" s="69">
        <f t="shared" ref="Q132:Q137" si="1182">Q131-O132</f>
        <v>760</v>
      </c>
      <c r="R132" s="69">
        <f t="shared" ref="R132:R137" si="1183">R131-P132</f>
        <v>65</v>
      </c>
      <c r="S132" s="11">
        <v>491</v>
      </c>
      <c r="T132" s="12">
        <f t="shared" si="1132"/>
        <v>0.65921052631578947</v>
      </c>
      <c r="U132" s="11">
        <v>10</v>
      </c>
      <c r="V132" s="12">
        <f t="shared" si="1133"/>
        <v>1.9960079840319361E-2</v>
      </c>
      <c r="W132" s="13"/>
      <c r="X132" s="11"/>
      <c r="Y132" s="11"/>
      <c r="Z132" s="14"/>
      <c r="AA132" s="10"/>
      <c r="AB132" s="11"/>
      <c r="AC132" s="69">
        <f t="shared" ref="AC132:AC137" si="1184">AC131-AA132</f>
        <v>176</v>
      </c>
      <c r="AD132" s="69">
        <f t="shared" ref="AD132:AD137" si="1185">AD131-AB132</f>
        <v>13</v>
      </c>
      <c r="AE132" s="11">
        <v>132</v>
      </c>
      <c r="AF132" s="12">
        <f t="shared" si="1134"/>
        <v>0.75</v>
      </c>
      <c r="AG132" s="11">
        <v>0</v>
      </c>
      <c r="AH132" s="12">
        <f t="shared" si="1135"/>
        <v>0</v>
      </c>
      <c r="AI132" s="13"/>
      <c r="AJ132" s="11"/>
      <c r="AK132" s="11"/>
      <c r="AL132" s="14"/>
      <c r="AM132" s="10"/>
      <c r="AN132" s="11"/>
      <c r="AO132" s="69">
        <f t="shared" ref="AO132:AO137" si="1186">AO131-AM132</f>
        <v>774</v>
      </c>
      <c r="AP132" s="69">
        <f t="shared" ref="AP132:AP137" si="1187">AP131-AN132</f>
        <v>65</v>
      </c>
      <c r="AQ132" s="11">
        <v>554</v>
      </c>
      <c r="AR132" s="12">
        <f t="shared" si="1136"/>
        <v>0.72093023255813948</v>
      </c>
      <c r="AS132" s="11">
        <v>4</v>
      </c>
      <c r="AT132" s="12">
        <f t="shared" si="1137"/>
        <v>7.1684587813620072E-3</v>
      </c>
      <c r="AU132" s="13"/>
      <c r="AV132" s="11"/>
      <c r="AW132" s="11"/>
      <c r="AX132" s="14"/>
      <c r="AY132" s="10"/>
      <c r="AZ132" s="11"/>
      <c r="BA132" s="69">
        <f t="shared" ref="BA132:BA137" si="1188">BA131-AY132</f>
        <v>765</v>
      </c>
      <c r="BB132" s="69">
        <f t="shared" ref="BB132:BB137" si="1189">BB131-AZ132</f>
        <v>67</v>
      </c>
      <c r="BC132" s="11">
        <v>533</v>
      </c>
      <c r="BD132" s="12">
        <f t="shared" si="1138"/>
        <v>0.70588235294117652</v>
      </c>
      <c r="BE132" s="11">
        <v>7</v>
      </c>
      <c r="BF132" s="12">
        <f t="shared" si="1139"/>
        <v>1.2962962962962963E-2</v>
      </c>
      <c r="BG132" s="13"/>
      <c r="BH132" s="11"/>
      <c r="BI132" s="11"/>
      <c r="BJ132" s="14"/>
      <c r="BK132" s="10"/>
      <c r="BL132" s="11"/>
      <c r="BM132" s="69">
        <f t="shared" ref="BM132:BM137" si="1190">BM131-BK132</f>
        <v>831</v>
      </c>
      <c r="BN132" s="69">
        <f t="shared" ref="BN132:BN137" si="1191">BN131-BL132</f>
        <v>72</v>
      </c>
      <c r="BO132" s="11">
        <v>571</v>
      </c>
      <c r="BP132" s="12">
        <f t="shared" si="1140"/>
        <v>0.70276774969915767</v>
      </c>
      <c r="BQ132" s="11">
        <v>13</v>
      </c>
      <c r="BR132" s="12">
        <f t="shared" si="1141"/>
        <v>2.2260273972602738E-2</v>
      </c>
      <c r="BS132" s="13"/>
      <c r="BT132" s="11"/>
      <c r="BU132" s="11"/>
      <c r="BV132" s="14"/>
      <c r="BW132" s="10"/>
      <c r="BX132" s="11"/>
      <c r="BY132" s="69">
        <f t="shared" ref="BY132:BY137" si="1192">BY131-BW132</f>
        <v>756</v>
      </c>
      <c r="BZ132" s="69">
        <f t="shared" ref="BZ132:BZ137" si="1193">BZ131-BX132</f>
        <v>63</v>
      </c>
      <c r="CA132" s="11">
        <v>541</v>
      </c>
      <c r="CB132" s="12">
        <f t="shared" si="1142"/>
        <v>0.72354497354497349</v>
      </c>
      <c r="CC132" s="11">
        <v>6</v>
      </c>
      <c r="CD132" s="12">
        <f t="shared" si="1143"/>
        <v>1.0968921389396709E-2</v>
      </c>
      <c r="CE132" s="13"/>
      <c r="CF132" s="11"/>
      <c r="CG132" s="11"/>
      <c r="CH132" s="14"/>
      <c r="CI132" s="10"/>
      <c r="CJ132" s="11"/>
      <c r="CK132" s="69">
        <f t="shared" ref="CK132:CK137" si="1194">CK131-CI132</f>
        <v>174</v>
      </c>
      <c r="CL132" s="69">
        <f t="shared" ref="CL132:CL137" si="1195">CL131-CJ132</f>
        <v>14</v>
      </c>
      <c r="CM132" s="11">
        <v>108</v>
      </c>
      <c r="CN132" s="12">
        <f t="shared" si="1144"/>
        <v>0.66091954022988508</v>
      </c>
      <c r="CO132" s="11">
        <v>7</v>
      </c>
      <c r="CP132" s="12">
        <f t="shared" si="1145"/>
        <v>6.0869565217391307E-2</v>
      </c>
      <c r="CQ132" s="13"/>
      <c r="CR132" s="11"/>
      <c r="CS132" s="11"/>
      <c r="CT132" s="14"/>
      <c r="CU132" s="10"/>
      <c r="CV132" s="11"/>
      <c r="CW132" s="69">
        <f t="shared" ref="CW132:CW137" si="1196">CW131-CU132</f>
        <v>750</v>
      </c>
      <c r="CX132" s="69">
        <f t="shared" ref="CX132:CX137" si="1197">CX131-CV132</f>
        <v>65</v>
      </c>
      <c r="CY132" s="11">
        <v>539</v>
      </c>
      <c r="CZ132" s="12">
        <f t="shared" si="1146"/>
        <v>0.72799999999999998</v>
      </c>
      <c r="DA132" s="11">
        <v>7</v>
      </c>
      <c r="DB132" s="12">
        <f t="shared" si="1147"/>
        <v>1.282051282051282E-2</v>
      </c>
      <c r="DC132" s="13"/>
      <c r="DD132" s="11"/>
      <c r="DE132" s="11"/>
      <c r="DF132" s="14"/>
      <c r="DG132" s="10"/>
      <c r="DH132" s="11"/>
      <c r="DI132" s="69">
        <f t="shared" ref="DI132:DI137" si="1198">DI131-DG132</f>
        <v>758</v>
      </c>
      <c r="DJ132" s="69">
        <f t="shared" ref="DJ132:DJ137" si="1199">DJ131-DH132</f>
        <v>67</v>
      </c>
      <c r="DK132" s="11">
        <v>523</v>
      </c>
      <c r="DL132" s="12">
        <f t="shared" si="1148"/>
        <v>0.70052770448548818</v>
      </c>
      <c r="DM132" s="11">
        <v>8</v>
      </c>
      <c r="DN132" s="12">
        <f t="shared" si="1149"/>
        <v>1.5065913370998116E-2</v>
      </c>
      <c r="DO132" s="13"/>
      <c r="DP132" s="11"/>
      <c r="DQ132" s="11"/>
      <c r="DR132" s="14"/>
      <c r="DS132" s="10">
        <v>1</v>
      </c>
      <c r="DT132" s="11"/>
      <c r="DU132" s="69">
        <f t="shared" ref="DU132:DU137" si="1200">DU131-DS132</f>
        <v>844</v>
      </c>
      <c r="DV132" s="69">
        <f t="shared" ref="DV132:DV137" si="1201">DV131-DT132</f>
        <v>71</v>
      </c>
      <c r="DW132" s="11">
        <v>615</v>
      </c>
      <c r="DX132" s="12">
        <f t="shared" si="1150"/>
        <v>0.75355450236966826</v>
      </c>
      <c r="DY132" s="11">
        <v>21</v>
      </c>
      <c r="DZ132" s="12">
        <f t="shared" si="1151"/>
        <v>3.3018867924528301E-2</v>
      </c>
      <c r="EA132" s="13"/>
      <c r="EB132" s="11"/>
      <c r="EC132" s="11"/>
      <c r="ED132" s="14"/>
      <c r="EE132" s="10"/>
      <c r="EF132" s="11"/>
      <c r="EG132" s="69">
        <f t="shared" ref="EG132:EG137" si="1202">EG131-EE132</f>
        <v>854</v>
      </c>
      <c r="EH132" s="69">
        <f t="shared" ref="EH132:EH137" si="1203">EH131-EF132</f>
        <v>74</v>
      </c>
      <c r="EI132" s="11">
        <v>581</v>
      </c>
      <c r="EJ132" s="12">
        <f t="shared" si="1152"/>
        <v>0.6955503512880562</v>
      </c>
      <c r="EK132" s="11">
        <v>13</v>
      </c>
      <c r="EL132" s="12">
        <f t="shared" si="1153"/>
        <v>2.1885521885521887E-2</v>
      </c>
      <c r="EM132" s="13"/>
      <c r="EN132" s="11"/>
      <c r="EO132" s="11"/>
      <c r="EP132" s="14"/>
      <c r="EQ132" s="10"/>
      <c r="ER132" s="11"/>
      <c r="ES132" s="69">
        <f t="shared" ref="ES132:ES137" si="1204">ES131-EQ132</f>
        <v>192</v>
      </c>
      <c r="ET132" s="69">
        <f t="shared" ref="ET132:ET137" si="1205">ET131-ER132</f>
        <v>16</v>
      </c>
      <c r="EU132" s="11">
        <v>135</v>
      </c>
      <c r="EV132" s="12">
        <f t="shared" si="1154"/>
        <v>0.72395833333333337</v>
      </c>
      <c r="EW132" s="11">
        <v>4</v>
      </c>
      <c r="EX132" s="12">
        <f t="shared" si="1155"/>
        <v>2.8776978417266189E-2</v>
      </c>
      <c r="EY132" s="13"/>
      <c r="EZ132" s="11"/>
      <c r="FA132" s="11"/>
      <c r="FB132" s="14"/>
      <c r="FC132" s="10"/>
      <c r="FD132" s="11"/>
      <c r="FE132" s="69">
        <f t="shared" ref="FE132:FE137" si="1206">FE131-FC132</f>
        <v>864</v>
      </c>
      <c r="FF132" s="69">
        <f t="shared" ref="FF132:FF137" si="1207">FF131-FD132</f>
        <v>75</v>
      </c>
      <c r="FG132" s="11">
        <v>628</v>
      </c>
      <c r="FH132" s="12">
        <f t="shared" si="1156"/>
        <v>0.74421296296296291</v>
      </c>
      <c r="FI132" s="11">
        <v>15</v>
      </c>
      <c r="FJ132" s="12">
        <f t="shared" si="1157"/>
        <v>2.3328149300155521E-2</v>
      </c>
      <c r="FK132" s="13"/>
      <c r="FL132" s="11"/>
      <c r="FM132" s="11"/>
      <c r="FN132" s="14"/>
      <c r="FO132" s="10"/>
      <c r="FP132" s="11"/>
      <c r="FQ132" s="69">
        <f t="shared" ref="FQ132:FQ137" si="1208">FQ131-FO132</f>
        <v>898</v>
      </c>
      <c r="FR132" s="69">
        <f t="shared" ref="FR132:FR137" si="1209">FR131-FP132</f>
        <v>75</v>
      </c>
      <c r="FS132" s="11">
        <v>579</v>
      </c>
      <c r="FT132" s="12">
        <f t="shared" si="1158"/>
        <v>0.65812917594654785</v>
      </c>
      <c r="FU132" s="11">
        <v>12</v>
      </c>
      <c r="FV132" s="12">
        <f t="shared" si="1159"/>
        <v>2.030456852791878E-2</v>
      </c>
      <c r="FW132" s="13"/>
      <c r="FX132" s="11"/>
      <c r="FY132" s="11"/>
      <c r="FZ132" s="14"/>
      <c r="GA132" s="10">
        <v>1</v>
      </c>
      <c r="GB132" s="11"/>
      <c r="GC132" s="69">
        <f t="shared" ref="GC132:GC137" si="1210">GC131-GA132</f>
        <v>890</v>
      </c>
      <c r="GD132" s="69">
        <f t="shared" ref="GD132:GD137" si="1211">GD131-GB132</f>
        <v>76</v>
      </c>
      <c r="GE132" s="11">
        <v>620</v>
      </c>
      <c r="GF132" s="12">
        <f t="shared" si="1160"/>
        <v>0.70674157303370788</v>
      </c>
      <c r="GG132" s="11">
        <v>9</v>
      </c>
      <c r="GH132" s="12">
        <f t="shared" si="1161"/>
        <v>1.4308426073131956E-2</v>
      </c>
      <c r="GI132" s="13"/>
      <c r="GJ132" s="11"/>
      <c r="GK132" s="11"/>
      <c r="GL132" s="14"/>
      <c r="GM132" s="10"/>
      <c r="GN132" s="11"/>
      <c r="GO132" s="69">
        <f t="shared" ref="GO132:GO137" si="1212">GO131-GM132</f>
        <v>178</v>
      </c>
      <c r="GP132" s="69">
        <f t="shared" ref="GP132:GP137" si="1213">GP131-GN132</f>
        <v>17</v>
      </c>
      <c r="GQ132" s="11">
        <v>116</v>
      </c>
      <c r="GR132" s="12">
        <f t="shared" si="1162"/>
        <v>0.6685393258426966</v>
      </c>
      <c r="GS132" s="11">
        <v>3</v>
      </c>
      <c r="GT132" s="12">
        <f t="shared" si="1163"/>
        <v>2.5210084033613446E-2</v>
      </c>
      <c r="GU132" s="13"/>
      <c r="GV132" s="11"/>
      <c r="GW132" s="11"/>
      <c r="GX132" s="14"/>
      <c r="GY132" s="10"/>
      <c r="GZ132" s="11"/>
      <c r="HA132" s="69">
        <f t="shared" ref="HA132:HA137" si="1214">HA131-GY132</f>
        <v>908</v>
      </c>
      <c r="HB132" s="69">
        <f t="shared" ref="HB132:HB137" si="1215">HB131-GZ132</f>
        <v>78</v>
      </c>
      <c r="HC132" s="11">
        <v>644</v>
      </c>
      <c r="HD132" s="12">
        <f t="shared" si="1164"/>
        <v>0.72136563876651982</v>
      </c>
      <c r="HE132" s="11">
        <v>11</v>
      </c>
      <c r="HF132" s="12">
        <f t="shared" si="1165"/>
        <v>1.6793893129770993E-2</v>
      </c>
      <c r="HG132" s="13"/>
      <c r="HH132" s="11"/>
      <c r="HI132" s="11"/>
      <c r="HJ132" s="14"/>
      <c r="HK132" s="10">
        <f t="shared" si="1166"/>
        <v>4</v>
      </c>
      <c r="HL132" s="11">
        <f t="shared" si="1167"/>
        <v>0</v>
      </c>
      <c r="HM132" s="11">
        <f t="shared" si="1168"/>
        <v>12208</v>
      </c>
      <c r="HN132" s="11">
        <f t="shared" si="1169"/>
        <v>1045</v>
      </c>
      <c r="HO132" s="11">
        <f t="shared" si="1170"/>
        <v>8665</v>
      </c>
      <c r="HP132" s="95">
        <f t="shared" si="1171"/>
        <v>0.70978047182175619</v>
      </c>
      <c r="HQ132" s="15">
        <f t="shared" si="1172"/>
        <v>158</v>
      </c>
      <c r="HR132" s="12">
        <f t="shared" si="1173"/>
        <v>1.8234275822273514E-2</v>
      </c>
      <c r="HS132" s="16">
        <v>62.1</v>
      </c>
      <c r="HT132" s="17">
        <v>8324</v>
      </c>
      <c r="HU132" s="16">
        <f t="shared" si="1174"/>
        <v>96.064627813040971</v>
      </c>
      <c r="HV132" s="15"/>
      <c r="HW132" s="14"/>
      <c r="HX132" s="73">
        <f t="shared" si="1175"/>
        <v>0.70552703110842641</v>
      </c>
      <c r="HY132" s="73">
        <f t="shared" si="1176"/>
        <v>0.71061486693178344</v>
      </c>
      <c r="HZ132" s="73">
        <f t="shared" si="1177"/>
        <v>0.73057371096586787</v>
      </c>
      <c r="IA132" s="73">
        <f t="shared" si="1178"/>
        <v>0.6938065414057063</v>
      </c>
    </row>
    <row r="133" spans="1:244" x14ac:dyDescent="0.25">
      <c r="A133" s="374"/>
      <c r="B133" s="41">
        <f t="shared" si="1179"/>
        <v>45041</v>
      </c>
      <c r="C133" s="10"/>
      <c r="D133" s="11"/>
      <c r="E133" s="69">
        <f t="shared" si="1180"/>
        <v>836</v>
      </c>
      <c r="F133" s="69">
        <f t="shared" si="1181"/>
        <v>72</v>
      </c>
      <c r="G133" s="11">
        <v>589</v>
      </c>
      <c r="H133" s="12">
        <f t="shared" si="1130"/>
        <v>0.71411483253588515</v>
      </c>
      <c r="I133" s="11">
        <v>8</v>
      </c>
      <c r="J133" s="12">
        <f t="shared" si="1131"/>
        <v>1.340033500837521E-2</v>
      </c>
      <c r="K133" s="13"/>
      <c r="L133" s="11"/>
      <c r="M133" s="11"/>
      <c r="N133" s="14"/>
      <c r="O133" s="10">
        <v>1</v>
      </c>
      <c r="P133" s="11"/>
      <c r="Q133" s="69">
        <f t="shared" si="1182"/>
        <v>759</v>
      </c>
      <c r="R133" s="69">
        <f t="shared" si="1183"/>
        <v>65</v>
      </c>
      <c r="S133" s="11">
        <v>543</v>
      </c>
      <c r="T133" s="12">
        <f t="shared" si="1132"/>
        <v>0.72595520421607374</v>
      </c>
      <c r="U133" s="11">
        <v>8</v>
      </c>
      <c r="V133" s="12">
        <f t="shared" si="1133"/>
        <v>1.4519056261343012E-2</v>
      </c>
      <c r="W133" s="13"/>
      <c r="X133" s="11"/>
      <c r="Y133" s="11"/>
      <c r="Z133" s="14"/>
      <c r="AA133" s="10"/>
      <c r="AB133" s="11"/>
      <c r="AC133" s="69">
        <f t="shared" si="1184"/>
        <v>176</v>
      </c>
      <c r="AD133" s="69">
        <f t="shared" si="1185"/>
        <v>13</v>
      </c>
      <c r="AE133" s="11">
        <v>124</v>
      </c>
      <c r="AF133" s="12">
        <f t="shared" si="1134"/>
        <v>0.72727272727272729</v>
      </c>
      <c r="AG133" s="11">
        <v>4</v>
      </c>
      <c r="AH133" s="12">
        <f t="shared" si="1135"/>
        <v>3.125E-2</v>
      </c>
      <c r="AI133" s="13"/>
      <c r="AJ133" s="11"/>
      <c r="AK133" s="11"/>
      <c r="AL133" s="14"/>
      <c r="AM133" s="10"/>
      <c r="AN133" s="11"/>
      <c r="AO133" s="69">
        <f t="shared" si="1186"/>
        <v>774</v>
      </c>
      <c r="AP133" s="69">
        <f t="shared" si="1187"/>
        <v>65</v>
      </c>
      <c r="AQ133" s="11">
        <v>546</v>
      </c>
      <c r="AR133" s="12">
        <f t="shared" si="1136"/>
        <v>0.71317829457364346</v>
      </c>
      <c r="AS133" s="11">
        <v>6</v>
      </c>
      <c r="AT133" s="12">
        <f t="shared" si="1137"/>
        <v>1.0869565217391304E-2</v>
      </c>
      <c r="AU133" s="13"/>
      <c r="AV133" s="11"/>
      <c r="AW133" s="11"/>
      <c r="AX133" s="14"/>
      <c r="AY133" s="10"/>
      <c r="AZ133" s="11"/>
      <c r="BA133" s="69">
        <f t="shared" si="1188"/>
        <v>765</v>
      </c>
      <c r="BB133" s="69">
        <f t="shared" si="1189"/>
        <v>67</v>
      </c>
      <c r="BC133" s="11">
        <v>543</v>
      </c>
      <c r="BD133" s="12">
        <f t="shared" si="1138"/>
        <v>0.72418300653594769</v>
      </c>
      <c r="BE133" s="11">
        <v>11</v>
      </c>
      <c r="BF133" s="12">
        <f t="shared" si="1139"/>
        <v>1.9855595667870037E-2</v>
      </c>
      <c r="BG133" s="13"/>
      <c r="BH133" s="11"/>
      <c r="BI133" s="11"/>
      <c r="BJ133" s="14"/>
      <c r="BK133" s="10"/>
      <c r="BL133" s="11"/>
      <c r="BM133" s="69">
        <f t="shared" si="1190"/>
        <v>831</v>
      </c>
      <c r="BN133" s="69">
        <f t="shared" si="1191"/>
        <v>72</v>
      </c>
      <c r="BO133" s="11">
        <v>611</v>
      </c>
      <c r="BP133" s="12">
        <f t="shared" si="1140"/>
        <v>0.76052948255114317</v>
      </c>
      <c r="BQ133" s="11">
        <v>21</v>
      </c>
      <c r="BR133" s="12">
        <f t="shared" si="1141"/>
        <v>3.3227848101265819E-2</v>
      </c>
      <c r="BS133" s="13"/>
      <c r="BT133" s="11"/>
      <c r="BU133" s="11"/>
      <c r="BV133" s="14"/>
      <c r="BW133" s="10"/>
      <c r="BX133" s="11"/>
      <c r="BY133" s="69">
        <f t="shared" si="1192"/>
        <v>756</v>
      </c>
      <c r="BZ133" s="69">
        <f t="shared" si="1193"/>
        <v>63</v>
      </c>
      <c r="CA133" s="11">
        <v>546</v>
      </c>
      <c r="CB133" s="12">
        <f t="shared" si="1142"/>
        <v>0.73280423280423279</v>
      </c>
      <c r="CC133" s="11">
        <v>8</v>
      </c>
      <c r="CD133" s="12">
        <f t="shared" si="1143"/>
        <v>1.444043321299639E-2</v>
      </c>
      <c r="CE133" s="13"/>
      <c r="CF133" s="11"/>
      <c r="CG133" s="11"/>
      <c r="CH133" s="14"/>
      <c r="CI133" s="10"/>
      <c r="CJ133" s="11"/>
      <c r="CK133" s="69">
        <f t="shared" si="1194"/>
        <v>174</v>
      </c>
      <c r="CL133" s="69">
        <f t="shared" si="1195"/>
        <v>14</v>
      </c>
      <c r="CM133" s="11">
        <v>132</v>
      </c>
      <c r="CN133" s="12">
        <f t="shared" si="1144"/>
        <v>0.77011494252873558</v>
      </c>
      <c r="CO133" s="11">
        <v>2</v>
      </c>
      <c r="CP133" s="12">
        <f t="shared" si="1145"/>
        <v>1.4925373134328358E-2</v>
      </c>
      <c r="CQ133" s="13"/>
      <c r="CR133" s="11"/>
      <c r="CS133" s="11"/>
      <c r="CT133" s="14"/>
      <c r="CU133" s="10"/>
      <c r="CV133" s="11"/>
      <c r="CW133" s="69">
        <f t="shared" si="1196"/>
        <v>750</v>
      </c>
      <c r="CX133" s="69">
        <f t="shared" si="1197"/>
        <v>65</v>
      </c>
      <c r="CY133" s="11">
        <v>531</v>
      </c>
      <c r="CZ133" s="12">
        <f t="shared" si="1146"/>
        <v>0.71866666666666668</v>
      </c>
      <c r="DA133" s="11">
        <v>8</v>
      </c>
      <c r="DB133" s="12">
        <f t="shared" si="1147"/>
        <v>1.4842300556586271E-2</v>
      </c>
      <c r="DC133" s="13"/>
      <c r="DD133" s="11"/>
      <c r="DE133" s="11"/>
      <c r="DF133" s="14"/>
      <c r="DG133" s="10"/>
      <c r="DH133" s="11"/>
      <c r="DI133" s="69">
        <f t="shared" si="1198"/>
        <v>758</v>
      </c>
      <c r="DJ133" s="69">
        <f t="shared" si="1199"/>
        <v>67</v>
      </c>
      <c r="DK133" s="11">
        <v>546</v>
      </c>
      <c r="DL133" s="12">
        <f t="shared" si="1148"/>
        <v>0.73614775725593673</v>
      </c>
      <c r="DM133" s="11">
        <v>12</v>
      </c>
      <c r="DN133" s="12">
        <f t="shared" si="1149"/>
        <v>2.1505376344086023E-2</v>
      </c>
      <c r="DO133" s="13"/>
      <c r="DP133" s="11"/>
      <c r="DQ133" s="11"/>
      <c r="DR133" s="14"/>
      <c r="DS133" s="10"/>
      <c r="DT133" s="11"/>
      <c r="DU133" s="69">
        <f t="shared" si="1200"/>
        <v>844</v>
      </c>
      <c r="DV133" s="69">
        <f t="shared" si="1201"/>
        <v>71</v>
      </c>
      <c r="DW133" s="11">
        <v>619</v>
      </c>
      <c r="DX133" s="12">
        <f t="shared" si="1150"/>
        <v>0.75118483412322279</v>
      </c>
      <c r="DY133" s="11">
        <v>15</v>
      </c>
      <c r="DZ133" s="12">
        <f t="shared" si="1151"/>
        <v>2.365930599369085E-2</v>
      </c>
      <c r="EA133" s="13"/>
      <c r="EB133" s="11"/>
      <c r="EC133" s="11"/>
      <c r="ED133" s="14"/>
      <c r="EE133" s="10"/>
      <c r="EF133" s="11"/>
      <c r="EG133" s="69">
        <f t="shared" si="1202"/>
        <v>854</v>
      </c>
      <c r="EH133" s="69">
        <f t="shared" si="1203"/>
        <v>74</v>
      </c>
      <c r="EI133" s="11">
        <v>610</v>
      </c>
      <c r="EJ133" s="12">
        <f t="shared" si="1152"/>
        <v>0.72950819672131151</v>
      </c>
      <c r="EK133" s="11">
        <v>13</v>
      </c>
      <c r="EL133" s="12">
        <f t="shared" si="1153"/>
        <v>2.0866773675762441E-2</v>
      </c>
      <c r="EM133" s="13"/>
      <c r="EN133" s="11"/>
      <c r="EO133" s="11"/>
      <c r="EP133" s="14"/>
      <c r="EQ133" s="10"/>
      <c r="ER133" s="11"/>
      <c r="ES133" s="69">
        <f t="shared" si="1204"/>
        <v>192</v>
      </c>
      <c r="ET133" s="69">
        <f t="shared" si="1205"/>
        <v>16</v>
      </c>
      <c r="EU133" s="11">
        <v>146</v>
      </c>
      <c r="EV133" s="12">
        <f t="shared" si="1154"/>
        <v>0.78645833333333337</v>
      </c>
      <c r="EW133" s="11">
        <v>5</v>
      </c>
      <c r="EX133" s="12">
        <f t="shared" si="1155"/>
        <v>3.3112582781456956E-2</v>
      </c>
      <c r="EY133" s="13"/>
      <c r="EZ133" s="11"/>
      <c r="FA133" s="11"/>
      <c r="FB133" s="14"/>
      <c r="FC133" s="10"/>
      <c r="FD133" s="11"/>
      <c r="FE133" s="69">
        <f t="shared" si="1206"/>
        <v>864</v>
      </c>
      <c r="FF133" s="69">
        <f t="shared" si="1207"/>
        <v>75</v>
      </c>
      <c r="FG133" s="11">
        <v>640</v>
      </c>
      <c r="FH133" s="12">
        <f t="shared" si="1156"/>
        <v>0.74768518518518523</v>
      </c>
      <c r="FI133" s="11">
        <v>6</v>
      </c>
      <c r="FJ133" s="12">
        <f t="shared" si="1157"/>
        <v>9.2879256965944269E-3</v>
      </c>
      <c r="FK133" s="13"/>
      <c r="FL133" s="11"/>
      <c r="FM133" s="11"/>
      <c r="FN133" s="14"/>
      <c r="FO133" s="10">
        <v>1</v>
      </c>
      <c r="FP133" s="11"/>
      <c r="FQ133" s="69">
        <f t="shared" si="1208"/>
        <v>897</v>
      </c>
      <c r="FR133" s="69">
        <f t="shared" si="1209"/>
        <v>75</v>
      </c>
      <c r="FS133" s="11">
        <v>589</v>
      </c>
      <c r="FT133" s="12">
        <f t="shared" si="1158"/>
        <v>0.67781493868450393</v>
      </c>
      <c r="FU133" s="11">
        <v>19</v>
      </c>
      <c r="FV133" s="12">
        <f t="shared" si="1159"/>
        <v>3.125E-2</v>
      </c>
      <c r="FW133" s="13"/>
      <c r="FX133" s="11"/>
      <c r="FY133" s="11"/>
      <c r="FZ133" s="14"/>
      <c r="GA133" s="10"/>
      <c r="GB133" s="11"/>
      <c r="GC133" s="69">
        <f t="shared" si="1210"/>
        <v>890</v>
      </c>
      <c r="GD133" s="69">
        <f t="shared" si="1211"/>
        <v>76</v>
      </c>
      <c r="GE133" s="11">
        <v>603</v>
      </c>
      <c r="GF133" s="12">
        <f t="shared" si="1160"/>
        <v>0.6966292134831461</v>
      </c>
      <c r="GG133" s="11">
        <v>17</v>
      </c>
      <c r="GH133" s="12">
        <f t="shared" si="1161"/>
        <v>2.7419354838709678E-2</v>
      </c>
      <c r="GI133" s="13"/>
      <c r="GJ133" s="11"/>
      <c r="GK133" s="11"/>
      <c r="GL133" s="14"/>
      <c r="GM133" s="10"/>
      <c r="GN133" s="11"/>
      <c r="GO133" s="69">
        <f t="shared" si="1212"/>
        <v>178</v>
      </c>
      <c r="GP133" s="69">
        <f t="shared" si="1213"/>
        <v>17</v>
      </c>
      <c r="GQ133" s="11">
        <v>130</v>
      </c>
      <c r="GR133" s="12">
        <f t="shared" si="1162"/>
        <v>0.7471910112359551</v>
      </c>
      <c r="GS133" s="11">
        <v>3</v>
      </c>
      <c r="GT133" s="12">
        <f t="shared" si="1163"/>
        <v>2.2556390977443608E-2</v>
      </c>
      <c r="GU133" s="13"/>
      <c r="GV133" s="11"/>
      <c r="GW133" s="11"/>
      <c r="GX133" s="14"/>
      <c r="GY133" s="10"/>
      <c r="GZ133" s="11"/>
      <c r="HA133" s="69">
        <f t="shared" si="1214"/>
        <v>908</v>
      </c>
      <c r="HB133" s="69">
        <f t="shared" si="1215"/>
        <v>78</v>
      </c>
      <c r="HC133" s="11">
        <v>644</v>
      </c>
      <c r="HD133" s="12">
        <f t="shared" si="1164"/>
        <v>0.72136563876651982</v>
      </c>
      <c r="HE133" s="11">
        <v>11</v>
      </c>
      <c r="HF133" s="12">
        <f t="shared" si="1165"/>
        <v>1.6793893129770993E-2</v>
      </c>
      <c r="HG133" s="13"/>
      <c r="HH133" s="11"/>
      <c r="HI133" s="11"/>
      <c r="HJ133" s="14"/>
      <c r="HK133" s="10">
        <f t="shared" si="1166"/>
        <v>2</v>
      </c>
      <c r="HL133" s="11">
        <f t="shared" si="1167"/>
        <v>0</v>
      </c>
      <c r="HM133" s="11">
        <f t="shared" si="1168"/>
        <v>12206</v>
      </c>
      <c r="HN133" s="11">
        <f t="shared" si="1169"/>
        <v>1045</v>
      </c>
      <c r="HO133" s="11">
        <f t="shared" si="1170"/>
        <v>8869</v>
      </c>
      <c r="HP133" s="95">
        <f t="shared" si="1171"/>
        <v>0.72660986400131078</v>
      </c>
      <c r="HQ133" s="15">
        <f t="shared" si="1172"/>
        <v>177</v>
      </c>
      <c r="HR133" s="12">
        <f t="shared" si="1173"/>
        <v>1.9957154132371181E-2</v>
      </c>
      <c r="HS133" s="16">
        <v>62.6</v>
      </c>
      <c r="HT133" s="17">
        <v>8543</v>
      </c>
      <c r="HU133" s="16">
        <f t="shared" si="1174"/>
        <v>96.324275566580226</v>
      </c>
      <c r="HV133" s="15"/>
      <c r="HW133" s="14"/>
      <c r="HX133" s="73">
        <f t="shared" si="1175"/>
        <v>0.71963746223564951</v>
      </c>
      <c r="HY133" s="73">
        <f t="shared" si="1176"/>
        <v>0.73936983787090849</v>
      </c>
      <c r="HZ133" s="73">
        <f t="shared" si="1177"/>
        <v>0.74582425562817722</v>
      </c>
      <c r="IA133" s="73">
        <f t="shared" si="1178"/>
        <v>0.70170553428471982</v>
      </c>
    </row>
    <row r="134" spans="1:244" x14ac:dyDescent="0.25">
      <c r="A134" s="374"/>
      <c r="B134" s="41">
        <f t="shared" si="1179"/>
        <v>45042</v>
      </c>
      <c r="C134" s="10"/>
      <c r="D134" s="11"/>
      <c r="E134" s="69">
        <f t="shared" si="1180"/>
        <v>836</v>
      </c>
      <c r="F134" s="69">
        <f t="shared" si="1181"/>
        <v>72</v>
      </c>
      <c r="G134" s="11">
        <v>583</v>
      </c>
      <c r="H134" s="12">
        <f t="shared" si="1130"/>
        <v>0.70334928229665072</v>
      </c>
      <c r="I134" s="11">
        <v>5</v>
      </c>
      <c r="J134" s="12">
        <f t="shared" si="1131"/>
        <v>8.5034013605442185E-3</v>
      </c>
      <c r="K134" s="11"/>
      <c r="L134" s="11"/>
      <c r="M134" s="18"/>
      <c r="N134" s="20"/>
      <c r="O134" s="10"/>
      <c r="P134" s="11"/>
      <c r="Q134" s="69">
        <f t="shared" si="1182"/>
        <v>759</v>
      </c>
      <c r="R134" s="69">
        <f t="shared" si="1183"/>
        <v>65</v>
      </c>
      <c r="S134" s="11">
        <v>492</v>
      </c>
      <c r="T134" s="12">
        <f t="shared" si="1132"/>
        <v>0.65876152832674573</v>
      </c>
      <c r="U134" s="11">
        <v>8</v>
      </c>
      <c r="V134" s="12">
        <f t="shared" si="1133"/>
        <v>1.6E-2</v>
      </c>
      <c r="W134" s="11"/>
      <c r="X134" s="11"/>
      <c r="Y134" s="18"/>
      <c r="Z134" s="20"/>
      <c r="AA134" s="10"/>
      <c r="AB134" s="11"/>
      <c r="AC134" s="69">
        <f t="shared" si="1184"/>
        <v>176</v>
      </c>
      <c r="AD134" s="69">
        <f t="shared" si="1185"/>
        <v>13</v>
      </c>
      <c r="AE134" s="11">
        <v>112</v>
      </c>
      <c r="AF134" s="12">
        <f t="shared" si="1134"/>
        <v>0.66477272727272729</v>
      </c>
      <c r="AG134" s="11">
        <v>5</v>
      </c>
      <c r="AH134" s="12">
        <f t="shared" si="1135"/>
        <v>4.2735042735042736E-2</v>
      </c>
      <c r="AI134" s="11"/>
      <c r="AJ134" s="11"/>
      <c r="AK134" s="18"/>
      <c r="AL134" s="20"/>
      <c r="AM134" s="10">
        <v>1</v>
      </c>
      <c r="AN134" s="11"/>
      <c r="AO134" s="69">
        <f t="shared" si="1186"/>
        <v>773</v>
      </c>
      <c r="AP134" s="69">
        <f t="shared" si="1187"/>
        <v>65</v>
      </c>
      <c r="AQ134" s="11">
        <v>500</v>
      </c>
      <c r="AR134" s="12">
        <f t="shared" si="1136"/>
        <v>0.65847347994825356</v>
      </c>
      <c r="AS134" s="11">
        <v>9</v>
      </c>
      <c r="AT134" s="12">
        <f t="shared" si="1137"/>
        <v>1.768172888015717E-2</v>
      </c>
      <c r="AU134" s="11"/>
      <c r="AV134" s="11"/>
      <c r="AW134" s="18"/>
      <c r="AX134" s="20"/>
      <c r="AY134" s="10"/>
      <c r="AZ134" s="11"/>
      <c r="BA134" s="69">
        <f t="shared" si="1188"/>
        <v>765</v>
      </c>
      <c r="BB134" s="69">
        <f t="shared" si="1189"/>
        <v>67</v>
      </c>
      <c r="BC134" s="11">
        <v>520</v>
      </c>
      <c r="BD134" s="12">
        <f t="shared" si="1138"/>
        <v>0.69150326797385619</v>
      </c>
      <c r="BE134" s="11">
        <v>9</v>
      </c>
      <c r="BF134" s="12">
        <f t="shared" si="1139"/>
        <v>1.7013232514177693E-2</v>
      </c>
      <c r="BG134" s="11"/>
      <c r="BH134" s="11"/>
      <c r="BI134" s="18"/>
      <c r="BJ134" s="20"/>
      <c r="BK134" s="10"/>
      <c r="BL134" s="11"/>
      <c r="BM134" s="69">
        <f t="shared" si="1190"/>
        <v>831</v>
      </c>
      <c r="BN134" s="69">
        <f t="shared" si="1191"/>
        <v>72</v>
      </c>
      <c r="BO134" s="11">
        <v>565</v>
      </c>
      <c r="BP134" s="12">
        <f t="shared" si="1140"/>
        <v>0.68953068592057765</v>
      </c>
      <c r="BQ134" s="11">
        <v>8</v>
      </c>
      <c r="BR134" s="12">
        <f t="shared" si="1141"/>
        <v>1.3961605584642234E-2</v>
      </c>
      <c r="BS134" s="11"/>
      <c r="BT134" s="11"/>
      <c r="BU134" s="18"/>
      <c r="BV134" s="20"/>
      <c r="BW134" s="10"/>
      <c r="BX134" s="11"/>
      <c r="BY134" s="69">
        <f t="shared" si="1192"/>
        <v>756</v>
      </c>
      <c r="BZ134" s="69">
        <f t="shared" si="1193"/>
        <v>63</v>
      </c>
      <c r="CA134" s="11">
        <v>510</v>
      </c>
      <c r="CB134" s="12">
        <f t="shared" si="1142"/>
        <v>0.6785714285714286</v>
      </c>
      <c r="CC134" s="11">
        <v>3</v>
      </c>
      <c r="CD134" s="12">
        <f t="shared" si="1143"/>
        <v>5.8479532163742687E-3</v>
      </c>
      <c r="CE134" s="11"/>
      <c r="CF134" s="11"/>
      <c r="CG134" s="18"/>
      <c r="CH134" s="20"/>
      <c r="CI134" s="10"/>
      <c r="CJ134" s="11"/>
      <c r="CK134" s="69">
        <f t="shared" si="1194"/>
        <v>174</v>
      </c>
      <c r="CL134" s="69">
        <f t="shared" si="1195"/>
        <v>14</v>
      </c>
      <c r="CM134" s="11">
        <v>128</v>
      </c>
      <c r="CN134" s="12">
        <f t="shared" si="1144"/>
        <v>0.74137931034482762</v>
      </c>
      <c r="CO134" s="11">
        <v>1</v>
      </c>
      <c r="CP134" s="12">
        <f t="shared" si="1145"/>
        <v>7.7519379844961239E-3</v>
      </c>
      <c r="CQ134" s="11"/>
      <c r="CR134" s="11"/>
      <c r="CS134" s="18"/>
      <c r="CT134" s="20"/>
      <c r="CU134" s="10"/>
      <c r="CV134" s="11"/>
      <c r="CW134" s="69">
        <f t="shared" si="1196"/>
        <v>750</v>
      </c>
      <c r="CX134" s="69">
        <f t="shared" si="1197"/>
        <v>65</v>
      </c>
      <c r="CY134" s="11">
        <v>497</v>
      </c>
      <c r="CZ134" s="12">
        <f t="shared" si="1146"/>
        <v>0.66800000000000004</v>
      </c>
      <c r="DA134" s="11">
        <v>4</v>
      </c>
      <c r="DB134" s="12">
        <f t="shared" si="1147"/>
        <v>7.9840319361277438E-3</v>
      </c>
      <c r="DC134" s="11"/>
      <c r="DD134" s="11"/>
      <c r="DE134" s="18"/>
      <c r="DF134" s="20"/>
      <c r="DG134" s="10"/>
      <c r="DH134" s="11"/>
      <c r="DI134" s="69">
        <f t="shared" si="1198"/>
        <v>758</v>
      </c>
      <c r="DJ134" s="69">
        <f t="shared" si="1199"/>
        <v>67</v>
      </c>
      <c r="DK134" s="11">
        <v>497</v>
      </c>
      <c r="DL134" s="12">
        <f t="shared" si="1148"/>
        <v>0.66622691292875991</v>
      </c>
      <c r="DM134" s="11">
        <v>8</v>
      </c>
      <c r="DN134" s="12">
        <f t="shared" si="1149"/>
        <v>1.5841584158415842E-2</v>
      </c>
      <c r="DO134" s="11"/>
      <c r="DP134" s="11"/>
      <c r="DQ134" s="18"/>
      <c r="DR134" s="20"/>
      <c r="DS134" s="10"/>
      <c r="DT134" s="11"/>
      <c r="DU134" s="69">
        <f t="shared" si="1200"/>
        <v>844</v>
      </c>
      <c r="DV134" s="69">
        <f t="shared" si="1201"/>
        <v>71</v>
      </c>
      <c r="DW134" s="11">
        <v>606</v>
      </c>
      <c r="DX134" s="12">
        <f t="shared" si="1150"/>
        <v>0.72985781990521326</v>
      </c>
      <c r="DY134" s="11">
        <v>10</v>
      </c>
      <c r="DZ134" s="12">
        <f t="shared" si="1151"/>
        <v>1.6233766233766232E-2</v>
      </c>
      <c r="EA134" s="11"/>
      <c r="EB134" s="11"/>
      <c r="EC134" s="18"/>
      <c r="ED134" s="20"/>
      <c r="EE134" s="10"/>
      <c r="EF134" s="11"/>
      <c r="EG134" s="69">
        <f t="shared" si="1202"/>
        <v>854</v>
      </c>
      <c r="EH134" s="69">
        <f t="shared" si="1203"/>
        <v>74</v>
      </c>
      <c r="EI134" s="11">
        <v>590</v>
      </c>
      <c r="EJ134" s="12">
        <f t="shared" si="1152"/>
        <v>0.71077283372365341</v>
      </c>
      <c r="EK134" s="11">
        <v>17</v>
      </c>
      <c r="EL134" s="12">
        <f t="shared" si="1153"/>
        <v>2.800658978583196E-2</v>
      </c>
      <c r="EM134" s="11"/>
      <c r="EN134" s="11"/>
      <c r="EO134" s="18"/>
      <c r="EP134" s="20"/>
      <c r="EQ134" s="10"/>
      <c r="ER134" s="11"/>
      <c r="ES134" s="69">
        <f t="shared" si="1204"/>
        <v>192</v>
      </c>
      <c r="ET134" s="69">
        <f t="shared" si="1205"/>
        <v>16</v>
      </c>
      <c r="EU134" s="11">
        <v>130</v>
      </c>
      <c r="EV134" s="12">
        <f t="shared" si="1154"/>
        <v>0.69270833333333337</v>
      </c>
      <c r="EW134" s="11">
        <v>3</v>
      </c>
      <c r="EX134" s="12">
        <f t="shared" si="1155"/>
        <v>2.2556390977443608E-2</v>
      </c>
      <c r="EY134" s="11"/>
      <c r="EZ134" s="11"/>
      <c r="FA134" s="18"/>
      <c r="FB134" s="20"/>
      <c r="FC134" s="10"/>
      <c r="FD134" s="11"/>
      <c r="FE134" s="69">
        <f t="shared" si="1206"/>
        <v>864</v>
      </c>
      <c r="FF134" s="69">
        <f t="shared" si="1207"/>
        <v>75</v>
      </c>
      <c r="FG134" s="11">
        <v>647</v>
      </c>
      <c r="FH134" s="12">
        <f t="shared" si="1156"/>
        <v>0.75810185185185186</v>
      </c>
      <c r="FI134" s="11">
        <v>8</v>
      </c>
      <c r="FJ134" s="12">
        <f t="shared" si="1157"/>
        <v>1.2213740458015267E-2</v>
      </c>
      <c r="FK134" s="11"/>
      <c r="FL134" s="11"/>
      <c r="FM134" s="18"/>
      <c r="FN134" s="20"/>
      <c r="FO134" s="10"/>
      <c r="FP134" s="11"/>
      <c r="FQ134" s="69">
        <f t="shared" si="1208"/>
        <v>897</v>
      </c>
      <c r="FR134" s="69">
        <f t="shared" si="1209"/>
        <v>75</v>
      </c>
      <c r="FS134" s="11">
        <v>591</v>
      </c>
      <c r="FT134" s="12">
        <f t="shared" si="1158"/>
        <v>0.6811594202898551</v>
      </c>
      <c r="FU134" s="11">
        <v>20</v>
      </c>
      <c r="FV134" s="12">
        <f t="shared" si="1159"/>
        <v>3.2733224222585927E-2</v>
      </c>
      <c r="FW134" s="11"/>
      <c r="FX134" s="11"/>
      <c r="FY134" s="18"/>
      <c r="FZ134" s="20"/>
      <c r="GA134" s="10"/>
      <c r="GB134" s="11"/>
      <c r="GC134" s="69">
        <f t="shared" si="1210"/>
        <v>890</v>
      </c>
      <c r="GD134" s="69">
        <f t="shared" si="1211"/>
        <v>76</v>
      </c>
      <c r="GE134" s="11">
        <v>625</v>
      </c>
      <c r="GF134" s="12">
        <f t="shared" si="1160"/>
        <v>0.72022471910112362</v>
      </c>
      <c r="GG134" s="11">
        <v>16</v>
      </c>
      <c r="GH134" s="12">
        <f t="shared" si="1161"/>
        <v>2.4960998439937598E-2</v>
      </c>
      <c r="GI134" s="11"/>
      <c r="GJ134" s="11"/>
      <c r="GK134" s="18"/>
      <c r="GL134" s="20"/>
      <c r="GM134" s="10"/>
      <c r="GN134" s="11"/>
      <c r="GO134" s="69">
        <f t="shared" si="1212"/>
        <v>178</v>
      </c>
      <c r="GP134" s="69">
        <f t="shared" si="1213"/>
        <v>17</v>
      </c>
      <c r="GQ134" s="11">
        <v>117</v>
      </c>
      <c r="GR134" s="12">
        <f t="shared" si="1162"/>
        <v>0.6797752808988764</v>
      </c>
      <c r="GS134" s="11">
        <v>4</v>
      </c>
      <c r="GT134" s="12">
        <f t="shared" si="1163"/>
        <v>3.3057851239669422E-2</v>
      </c>
      <c r="GU134" s="11"/>
      <c r="GV134" s="11"/>
      <c r="GW134" s="18"/>
      <c r="GX134" s="20"/>
      <c r="GY134" s="10"/>
      <c r="GZ134" s="11"/>
      <c r="HA134" s="69">
        <f t="shared" si="1214"/>
        <v>908</v>
      </c>
      <c r="HB134" s="69">
        <f t="shared" si="1215"/>
        <v>78</v>
      </c>
      <c r="HC134" s="11">
        <v>623</v>
      </c>
      <c r="HD134" s="12">
        <f t="shared" si="1164"/>
        <v>0.70044052863436124</v>
      </c>
      <c r="HE134" s="11">
        <v>13</v>
      </c>
      <c r="HF134" s="12">
        <f t="shared" si="1165"/>
        <v>2.0440251572327043E-2</v>
      </c>
      <c r="HG134" s="11"/>
      <c r="HH134" s="11"/>
      <c r="HI134" s="18"/>
      <c r="HJ134" s="20"/>
      <c r="HK134" s="10">
        <f t="shared" si="1166"/>
        <v>1</v>
      </c>
      <c r="HL134" s="11">
        <f t="shared" si="1167"/>
        <v>0</v>
      </c>
      <c r="HM134" s="11">
        <f t="shared" si="1168"/>
        <v>12205</v>
      </c>
      <c r="HN134" s="11">
        <f t="shared" si="1169"/>
        <v>1045</v>
      </c>
      <c r="HO134" s="11">
        <f t="shared" si="1170"/>
        <v>8484</v>
      </c>
      <c r="HP134" s="95">
        <f t="shared" si="1171"/>
        <v>0.6951249487914789</v>
      </c>
      <c r="HQ134" s="15">
        <f t="shared" si="1172"/>
        <v>151</v>
      </c>
      <c r="HR134" s="12">
        <f t="shared" si="1173"/>
        <v>1.7798208392267797E-2</v>
      </c>
      <c r="HS134" s="16">
        <v>62.8</v>
      </c>
      <c r="HT134" s="17">
        <v>8177</v>
      </c>
      <c r="HU134" s="16">
        <f t="shared" si="1174"/>
        <v>96.381423856671375</v>
      </c>
      <c r="HV134" s="18"/>
      <c r="HW134" s="20"/>
      <c r="HX134" s="73">
        <f t="shared" si="1175"/>
        <v>0.67784829253550927</v>
      </c>
      <c r="HY134" s="73">
        <f t="shared" si="1176"/>
        <v>0.67941266442337112</v>
      </c>
      <c r="HZ134" s="73">
        <f t="shared" si="1177"/>
        <v>0.73021060275962235</v>
      </c>
      <c r="IA134" s="73">
        <f t="shared" si="1178"/>
        <v>0.69926905673512008</v>
      </c>
    </row>
    <row r="135" spans="1:244" x14ac:dyDescent="0.25">
      <c r="A135" s="374"/>
      <c r="B135" s="41">
        <f>+B134+1</f>
        <v>45043</v>
      </c>
      <c r="C135" s="10"/>
      <c r="D135" s="11"/>
      <c r="E135" s="69">
        <f t="shared" si="1180"/>
        <v>836</v>
      </c>
      <c r="F135" s="69">
        <f t="shared" si="1181"/>
        <v>72</v>
      </c>
      <c r="G135" s="11">
        <v>575</v>
      </c>
      <c r="H135" s="12">
        <f t="shared" si="1130"/>
        <v>0.69976076555023925</v>
      </c>
      <c r="I135" s="11">
        <v>10</v>
      </c>
      <c r="J135" s="12">
        <f t="shared" si="1131"/>
        <v>1.7094017094017096E-2</v>
      </c>
      <c r="K135" s="13"/>
      <c r="L135" s="13"/>
      <c r="M135" s="25">
        <v>4014</v>
      </c>
      <c r="N135" s="38">
        <v>4295</v>
      </c>
      <c r="O135" s="10"/>
      <c r="P135" s="11"/>
      <c r="Q135" s="69">
        <f t="shared" si="1182"/>
        <v>759</v>
      </c>
      <c r="R135" s="69">
        <f t="shared" si="1183"/>
        <v>65</v>
      </c>
      <c r="S135" s="11">
        <v>539</v>
      </c>
      <c r="T135" s="12">
        <f t="shared" si="1132"/>
        <v>0.72332015810276684</v>
      </c>
      <c r="U135" s="11">
        <v>10</v>
      </c>
      <c r="V135" s="12">
        <f t="shared" si="1133"/>
        <v>1.8214936247723135E-2</v>
      </c>
      <c r="W135" s="13"/>
      <c r="X135" s="13"/>
      <c r="Y135" s="25">
        <v>4014</v>
      </c>
      <c r="Z135" s="38">
        <v>4295</v>
      </c>
      <c r="AA135" s="10"/>
      <c r="AB135" s="11"/>
      <c r="AC135" s="69">
        <f t="shared" si="1184"/>
        <v>176</v>
      </c>
      <c r="AD135" s="69">
        <f t="shared" si="1185"/>
        <v>13</v>
      </c>
      <c r="AE135" s="11">
        <v>131</v>
      </c>
      <c r="AF135" s="12">
        <f t="shared" si="1134"/>
        <v>0.76136363636363635</v>
      </c>
      <c r="AG135" s="11">
        <v>3</v>
      </c>
      <c r="AH135" s="12">
        <f t="shared" si="1135"/>
        <v>2.2388059701492536E-2</v>
      </c>
      <c r="AI135" s="13"/>
      <c r="AJ135" s="13"/>
      <c r="AK135" s="25">
        <v>4014</v>
      </c>
      <c r="AL135" s="38">
        <v>4295</v>
      </c>
      <c r="AM135" s="10"/>
      <c r="AN135" s="11"/>
      <c r="AO135" s="69">
        <f t="shared" si="1186"/>
        <v>773</v>
      </c>
      <c r="AP135" s="69">
        <f t="shared" si="1187"/>
        <v>65</v>
      </c>
      <c r="AQ135" s="11">
        <v>518</v>
      </c>
      <c r="AR135" s="12">
        <f t="shared" si="1136"/>
        <v>0.67787839586028464</v>
      </c>
      <c r="AS135" s="11">
        <v>6</v>
      </c>
      <c r="AT135" s="12">
        <f t="shared" si="1137"/>
        <v>1.1450381679389313E-2</v>
      </c>
      <c r="AU135" s="13"/>
      <c r="AV135" s="13"/>
      <c r="AW135" s="25">
        <v>4014</v>
      </c>
      <c r="AX135" s="38">
        <v>4295</v>
      </c>
      <c r="AY135" s="10"/>
      <c r="AZ135" s="11"/>
      <c r="BA135" s="69">
        <f t="shared" si="1188"/>
        <v>765</v>
      </c>
      <c r="BB135" s="69">
        <f t="shared" si="1189"/>
        <v>67</v>
      </c>
      <c r="BC135" s="11">
        <v>565</v>
      </c>
      <c r="BD135" s="12">
        <f t="shared" si="1138"/>
        <v>0.75032679738562091</v>
      </c>
      <c r="BE135" s="11">
        <v>9</v>
      </c>
      <c r="BF135" s="12">
        <f t="shared" si="1139"/>
        <v>1.5679442508710801E-2</v>
      </c>
      <c r="BG135" s="13"/>
      <c r="BH135" s="13"/>
      <c r="BI135" s="25">
        <v>4014</v>
      </c>
      <c r="BJ135" s="38">
        <v>4295</v>
      </c>
      <c r="BK135" s="10"/>
      <c r="BL135" s="11"/>
      <c r="BM135" s="69">
        <f t="shared" si="1190"/>
        <v>831</v>
      </c>
      <c r="BN135" s="69">
        <f t="shared" si="1191"/>
        <v>72</v>
      </c>
      <c r="BO135" s="11">
        <v>601</v>
      </c>
      <c r="BP135" s="12">
        <f t="shared" si="1140"/>
        <v>0.74729241877256314</v>
      </c>
      <c r="BQ135" s="11">
        <v>20</v>
      </c>
      <c r="BR135" s="12">
        <f t="shared" si="1141"/>
        <v>3.2206119162640899E-2</v>
      </c>
      <c r="BS135" s="13"/>
      <c r="BT135" s="13"/>
      <c r="BU135" s="25">
        <v>4014</v>
      </c>
      <c r="BV135" s="38">
        <v>4295</v>
      </c>
      <c r="BW135" s="10">
        <v>1</v>
      </c>
      <c r="BX135" s="11"/>
      <c r="BY135" s="69">
        <f t="shared" si="1192"/>
        <v>755</v>
      </c>
      <c r="BZ135" s="69">
        <f t="shared" si="1193"/>
        <v>63</v>
      </c>
      <c r="CA135" s="11">
        <v>526</v>
      </c>
      <c r="CB135" s="12">
        <f t="shared" si="1142"/>
        <v>0.70596026490066222</v>
      </c>
      <c r="CC135" s="11">
        <v>7</v>
      </c>
      <c r="CD135" s="12">
        <f t="shared" si="1143"/>
        <v>1.3133208255159476E-2</v>
      </c>
      <c r="CE135" s="13"/>
      <c r="CF135" s="13"/>
      <c r="CG135" s="25">
        <v>4014</v>
      </c>
      <c r="CH135" s="38">
        <v>4295</v>
      </c>
      <c r="CI135" s="10"/>
      <c r="CJ135" s="11"/>
      <c r="CK135" s="69">
        <f t="shared" si="1194"/>
        <v>174</v>
      </c>
      <c r="CL135" s="69">
        <f t="shared" si="1195"/>
        <v>14</v>
      </c>
      <c r="CM135" s="11">
        <v>119</v>
      </c>
      <c r="CN135" s="12">
        <f t="shared" si="1144"/>
        <v>0.70114942528735635</v>
      </c>
      <c r="CO135" s="11">
        <v>3</v>
      </c>
      <c r="CP135" s="12">
        <f t="shared" si="1145"/>
        <v>2.4590163934426229E-2</v>
      </c>
      <c r="CQ135" s="13"/>
      <c r="CR135" s="13"/>
      <c r="CS135" s="25">
        <v>4014</v>
      </c>
      <c r="CT135" s="38">
        <v>4295</v>
      </c>
      <c r="CU135" s="10">
        <v>3</v>
      </c>
      <c r="CV135" s="11"/>
      <c r="CW135" s="69">
        <f t="shared" si="1196"/>
        <v>747</v>
      </c>
      <c r="CX135" s="69">
        <f t="shared" si="1197"/>
        <v>65</v>
      </c>
      <c r="CY135" s="11">
        <v>520</v>
      </c>
      <c r="CZ135" s="12">
        <f t="shared" si="1146"/>
        <v>0.70147255689424359</v>
      </c>
      <c r="DA135" s="11">
        <v>4</v>
      </c>
      <c r="DB135" s="12">
        <f t="shared" si="1147"/>
        <v>7.6335877862595417E-3</v>
      </c>
      <c r="DC135" s="13"/>
      <c r="DD135" s="13"/>
      <c r="DE135" s="25">
        <v>4014</v>
      </c>
      <c r="DF135" s="38">
        <v>4295</v>
      </c>
      <c r="DG135" s="10"/>
      <c r="DH135" s="11"/>
      <c r="DI135" s="69">
        <f t="shared" si="1198"/>
        <v>758</v>
      </c>
      <c r="DJ135" s="69">
        <f t="shared" si="1199"/>
        <v>67</v>
      </c>
      <c r="DK135" s="11">
        <v>538</v>
      </c>
      <c r="DL135" s="12">
        <f t="shared" si="1148"/>
        <v>0.72823218997361483</v>
      </c>
      <c r="DM135" s="11">
        <v>14</v>
      </c>
      <c r="DN135" s="12">
        <f t="shared" si="1149"/>
        <v>2.5362318840579712E-2</v>
      </c>
      <c r="DO135" s="13"/>
      <c r="DP135" s="13"/>
      <c r="DQ135" s="25">
        <v>4014</v>
      </c>
      <c r="DR135" s="38">
        <v>4295</v>
      </c>
      <c r="DS135" s="10"/>
      <c r="DT135" s="11"/>
      <c r="DU135" s="69">
        <f t="shared" si="1200"/>
        <v>844</v>
      </c>
      <c r="DV135" s="69">
        <f t="shared" si="1201"/>
        <v>71</v>
      </c>
      <c r="DW135" s="11">
        <v>605</v>
      </c>
      <c r="DX135" s="12">
        <f t="shared" si="1150"/>
        <v>0.73578199052132698</v>
      </c>
      <c r="DY135" s="11">
        <v>16</v>
      </c>
      <c r="DZ135" s="12">
        <f t="shared" si="1151"/>
        <v>2.5764895330112721E-2</v>
      </c>
      <c r="EA135" s="13"/>
      <c r="EB135" s="13"/>
      <c r="EC135" s="25">
        <v>4014</v>
      </c>
      <c r="ED135" s="38">
        <v>4295</v>
      </c>
      <c r="EE135" s="10"/>
      <c r="EF135" s="11"/>
      <c r="EG135" s="69">
        <f t="shared" si="1202"/>
        <v>854</v>
      </c>
      <c r="EH135" s="69">
        <f t="shared" si="1203"/>
        <v>74</v>
      </c>
      <c r="EI135" s="11">
        <v>586</v>
      </c>
      <c r="EJ135" s="12">
        <f t="shared" si="1152"/>
        <v>0.70960187353629978</v>
      </c>
      <c r="EK135" s="11">
        <v>20</v>
      </c>
      <c r="EL135" s="12">
        <f t="shared" si="1153"/>
        <v>3.3003300330033E-2</v>
      </c>
      <c r="EM135" s="13"/>
      <c r="EN135" s="13"/>
      <c r="EO135" s="25">
        <v>4014</v>
      </c>
      <c r="EP135" s="38">
        <v>4295</v>
      </c>
      <c r="EQ135" s="10"/>
      <c r="ER135" s="11"/>
      <c r="ES135" s="69">
        <f t="shared" si="1204"/>
        <v>192</v>
      </c>
      <c r="ET135" s="69">
        <f t="shared" si="1205"/>
        <v>16</v>
      </c>
      <c r="EU135" s="11">
        <v>137</v>
      </c>
      <c r="EV135" s="12">
        <f t="shared" si="1154"/>
        <v>0.73958333333333337</v>
      </c>
      <c r="EW135" s="11">
        <v>5</v>
      </c>
      <c r="EX135" s="12">
        <f t="shared" si="1155"/>
        <v>3.5211267605633804E-2</v>
      </c>
      <c r="EY135" s="13"/>
      <c r="EZ135" s="13"/>
      <c r="FA135" s="25">
        <v>4014</v>
      </c>
      <c r="FB135" s="38">
        <v>4295</v>
      </c>
      <c r="FC135" s="10"/>
      <c r="FD135" s="11"/>
      <c r="FE135" s="69">
        <f t="shared" si="1206"/>
        <v>864</v>
      </c>
      <c r="FF135" s="69">
        <f t="shared" si="1207"/>
        <v>75</v>
      </c>
      <c r="FG135" s="11">
        <v>592</v>
      </c>
      <c r="FH135" s="12">
        <f t="shared" si="1156"/>
        <v>0.70138888888888884</v>
      </c>
      <c r="FI135" s="11">
        <v>14</v>
      </c>
      <c r="FJ135" s="12">
        <f t="shared" si="1157"/>
        <v>2.3102310231023101E-2</v>
      </c>
      <c r="FK135" s="13"/>
      <c r="FL135" s="13"/>
      <c r="FM135" s="25">
        <v>4014</v>
      </c>
      <c r="FN135" s="38">
        <v>4295</v>
      </c>
      <c r="FO135" s="10"/>
      <c r="FP135" s="11"/>
      <c r="FQ135" s="69">
        <f t="shared" si="1208"/>
        <v>897</v>
      </c>
      <c r="FR135" s="69">
        <f t="shared" si="1209"/>
        <v>75</v>
      </c>
      <c r="FS135" s="11">
        <v>612</v>
      </c>
      <c r="FT135" s="12">
        <f t="shared" si="1158"/>
        <v>0.71125975473801561</v>
      </c>
      <c r="FU135" s="11">
        <v>26</v>
      </c>
      <c r="FV135" s="12">
        <f t="shared" si="1159"/>
        <v>4.0752351097178681E-2</v>
      </c>
      <c r="FW135" s="13"/>
      <c r="FX135" s="13"/>
      <c r="FY135" s="25">
        <v>4014</v>
      </c>
      <c r="FZ135" s="38">
        <v>4295</v>
      </c>
      <c r="GA135" s="10"/>
      <c r="GB135" s="11"/>
      <c r="GC135" s="69">
        <f t="shared" si="1210"/>
        <v>890</v>
      </c>
      <c r="GD135" s="69">
        <f t="shared" si="1211"/>
        <v>76</v>
      </c>
      <c r="GE135" s="11">
        <v>603</v>
      </c>
      <c r="GF135" s="12">
        <f t="shared" si="1160"/>
        <v>0.70337078651685392</v>
      </c>
      <c r="GG135" s="11">
        <v>23</v>
      </c>
      <c r="GH135" s="12">
        <f t="shared" si="1161"/>
        <v>3.6741214057507986E-2</v>
      </c>
      <c r="GI135" s="13"/>
      <c r="GJ135" s="13"/>
      <c r="GK135" s="25">
        <v>4014</v>
      </c>
      <c r="GL135" s="38">
        <v>4295</v>
      </c>
      <c r="GM135" s="10"/>
      <c r="GN135" s="11"/>
      <c r="GO135" s="69">
        <f t="shared" si="1212"/>
        <v>178</v>
      </c>
      <c r="GP135" s="69">
        <f t="shared" si="1213"/>
        <v>17</v>
      </c>
      <c r="GQ135" s="11">
        <v>126</v>
      </c>
      <c r="GR135" s="12">
        <f t="shared" si="1162"/>
        <v>0.7247191011235955</v>
      </c>
      <c r="GS135" s="11">
        <v>3</v>
      </c>
      <c r="GT135" s="12">
        <f t="shared" si="1163"/>
        <v>2.3255813953488372E-2</v>
      </c>
      <c r="GU135" s="13"/>
      <c r="GV135" s="13"/>
      <c r="GW135" s="25">
        <v>4014</v>
      </c>
      <c r="GX135" s="38">
        <v>4295</v>
      </c>
      <c r="GY135" s="10"/>
      <c r="GZ135" s="11"/>
      <c r="HA135" s="69">
        <f t="shared" si="1214"/>
        <v>908</v>
      </c>
      <c r="HB135" s="69">
        <f t="shared" si="1215"/>
        <v>78</v>
      </c>
      <c r="HC135" s="11">
        <v>625</v>
      </c>
      <c r="HD135" s="12">
        <f t="shared" si="1164"/>
        <v>0.70264317180616742</v>
      </c>
      <c r="HE135" s="11">
        <v>13</v>
      </c>
      <c r="HF135" s="12">
        <f t="shared" si="1165"/>
        <v>2.037617554858934E-2</v>
      </c>
      <c r="HG135" s="13"/>
      <c r="HH135" s="13"/>
      <c r="HI135" s="25">
        <v>4014</v>
      </c>
      <c r="HJ135" s="38">
        <v>4295</v>
      </c>
      <c r="HK135" s="10">
        <f t="shared" si="1166"/>
        <v>4</v>
      </c>
      <c r="HL135" s="11">
        <f t="shared" si="1167"/>
        <v>0</v>
      </c>
      <c r="HM135" s="11">
        <f t="shared" si="1168"/>
        <v>12201</v>
      </c>
      <c r="HN135" s="11">
        <f t="shared" si="1169"/>
        <v>1045</v>
      </c>
      <c r="HO135" s="11">
        <f t="shared" si="1170"/>
        <v>8724</v>
      </c>
      <c r="HP135" s="95">
        <f t="shared" si="1171"/>
        <v>0.7150233587410868</v>
      </c>
      <c r="HQ135" s="15">
        <f t="shared" si="1172"/>
        <v>206</v>
      </c>
      <c r="HR135" s="12">
        <f t="shared" si="1173"/>
        <v>2.3613021549747822E-2</v>
      </c>
      <c r="HS135" s="16">
        <v>62.4</v>
      </c>
      <c r="HT135" s="17">
        <v>8353</v>
      </c>
      <c r="HU135" s="16">
        <f t="shared" si="1174"/>
        <v>95.747363594681332</v>
      </c>
      <c r="HV135" s="23">
        <v>4014</v>
      </c>
      <c r="HW135" s="22">
        <v>4295</v>
      </c>
      <c r="HX135" s="73">
        <f t="shared" si="1175"/>
        <v>0.71501964339679658</v>
      </c>
      <c r="HY135" s="73">
        <f t="shared" si="1176"/>
        <v>0.72036753445635526</v>
      </c>
      <c r="HZ135" s="73">
        <f t="shared" si="1177"/>
        <v>0.7171387073347858</v>
      </c>
      <c r="IA135" s="73">
        <f t="shared" si="1178"/>
        <v>0.70692655760529066</v>
      </c>
    </row>
    <row r="136" spans="1:244" ht="18" customHeight="1" x14ac:dyDescent="0.25">
      <c r="A136" s="374"/>
      <c r="B136" s="41">
        <f t="shared" si="1179"/>
        <v>45044</v>
      </c>
      <c r="C136" s="10"/>
      <c r="D136" s="11"/>
      <c r="E136" s="69">
        <f t="shared" si="1180"/>
        <v>836</v>
      </c>
      <c r="F136" s="69">
        <f t="shared" si="1181"/>
        <v>72</v>
      </c>
      <c r="G136" s="11">
        <v>609</v>
      </c>
      <c r="H136" s="12">
        <f t="shared" si="1130"/>
        <v>0.74401913875598091</v>
      </c>
      <c r="I136" s="11">
        <v>13</v>
      </c>
      <c r="J136" s="12">
        <f t="shared" si="1131"/>
        <v>2.0900321543408359E-2</v>
      </c>
      <c r="K136" s="13"/>
      <c r="L136" s="11"/>
      <c r="M136" s="25">
        <v>4580.43</v>
      </c>
      <c r="N136" s="38">
        <v>4432</v>
      </c>
      <c r="O136" s="10"/>
      <c r="P136" s="11"/>
      <c r="Q136" s="69">
        <f t="shared" si="1182"/>
        <v>759</v>
      </c>
      <c r="R136" s="69">
        <f t="shared" si="1183"/>
        <v>65</v>
      </c>
      <c r="S136" s="11">
        <v>529</v>
      </c>
      <c r="T136" s="12">
        <f t="shared" si="1132"/>
        <v>0.70882740447957837</v>
      </c>
      <c r="U136" s="11">
        <v>9</v>
      </c>
      <c r="V136" s="12">
        <f t="shared" si="1133"/>
        <v>1.6728624535315983E-2</v>
      </c>
      <c r="W136" s="13"/>
      <c r="X136" s="11"/>
      <c r="Y136" s="25">
        <v>4731.95</v>
      </c>
      <c r="Z136" s="38">
        <v>4622.7299999999996</v>
      </c>
      <c r="AA136" s="10"/>
      <c r="AB136" s="11"/>
      <c r="AC136" s="69">
        <f t="shared" si="1184"/>
        <v>176</v>
      </c>
      <c r="AD136" s="69">
        <f t="shared" si="1185"/>
        <v>13</v>
      </c>
      <c r="AE136" s="11">
        <v>118</v>
      </c>
      <c r="AF136" s="12">
        <f t="shared" si="1134"/>
        <v>0.67613636363636365</v>
      </c>
      <c r="AG136" s="11">
        <v>1</v>
      </c>
      <c r="AH136" s="12">
        <f t="shared" si="1135"/>
        <v>8.4033613445378148E-3</v>
      </c>
      <c r="AI136" s="13"/>
      <c r="AJ136" s="11"/>
      <c r="AK136" s="25">
        <v>4574.4399999999996</v>
      </c>
      <c r="AL136" s="38">
        <v>4610</v>
      </c>
      <c r="AM136" s="10"/>
      <c r="AN136" s="11"/>
      <c r="AO136" s="69">
        <f t="shared" si="1186"/>
        <v>773</v>
      </c>
      <c r="AP136" s="69">
        <f t="shared" si="1187"/>
        <v>65</v>
      </c>
      <c r="AQ136" s="11">
        <v>536</v>
      </c>
      <c r="AR136" s="12">
        <f t="shared" si="1136"/>
        <v>0.7076326002587322</v>
      </c>
      <c r="AS136" s="11">
        <v>11</v>
      </c>
      <c r="AT136" s="12">
        <f t="shared" si="1137"/>
        <v>2.0109689213893969E-2</v>
      </c>
      <c r="AU136" s="13"/>
      <c r="AV136" s="11"/>
      <c r="AW136" s="25">
        <v>4661.3500000000004</v>
      </c>
      <c r="AX136" s="38">
        <v>4716.1499999999996</v>
      </c>
      <c r="AY136" s="10"/>
      <c r="AZ136" s="11"/>
      <c r="BA136" s="69">
        <f t="shared" si="1188"/>
        <v>765</v>
      </c>
      <c r="BB136" s="69">
        <f t="shared" si="1189"/>
        <v>67</v>
      </c>
      <c r="BC136" s="11">
        <v>556</v>
      </c>
      <c r="BD136" s="12">
        <f t="shared" si="1138"/>
        <v>0.73856209150326801</v>
      </c>
      <c r="BE136" s="11">
        <v>9</v>
      </c>
      <c r="BF136" s="12">
        <f t="shared" si="1139"/>
        <v>1.5929203539823009E-2</v>
      </c>
      <c r="BG136" s="13"/>
      <c r="BH136" s="11"/>
      <c r="BI136" s="25">
        <v>4701.8999999999996</v>
      </c>
      <c r="BJ136" s="38">
        <v>4824.67</v>
      </c>
      <c r="BK136" s="10">
        <v>1</v>
      </c>
      <c r="BL136" s="11"/>
      <c r="BM136" s="69">
        <f t="shared" si="1190"/>
        <v>830</v>
      </c>
      <c r="BN136" s="69">
        <f t="shared" si="1191"/>
        <v>72</v>
      </c>
      <c r="BO136" s="11">
        <v>603</v>
      </c>
      <c r="BP136" s="12">
        <f t="shared" si="1140"/>
        <v>0.73614457831325297</v>
      </c>
      <c r="BQ136" s="11">
        <v>8</v>
      </c>
      <c r="BR136" s="12">
        <f t="shared" si="1141"/>
        <v>1.3093289689034371E-2</v>
      </c>
      <c r="BS136" s="13"/>
      <c r="BT136" s="11"/>
      <c r="BU136" s="25">
        <v>4699.47</v>
      </c>
      <c r="BV136" s="38">
        <v>4612.3100000000004</v>
      </c>
      <c r="BW136" s="10">
        <v>1</v>
      </c>
      <c r="BX136" s="11"/>
      <c r="BY136" s="69">
        <f t="shared" si="1192"/>
        <v>754</v>
      </c>
      <c r="BZ136" s="69">
        <f t="shared" si="1193"/>
        <v>63</v>
      </c>
      <c r="CA136" s="11">
        <v>525</v>
      </c>
      <c r="CB136" s="12">
        <f t="shared" si="1142"/>
        <v>0.70557029177718833</v>
      </c>
      <c r="CC136" s="11">
        <v>7</v>
      </c>
      <c r="CD136" s="12">
        <f t="shared" si="1143"/>
        <v>1.3157894736842105E-2</v>
      </c>
      <c r="CE136" s="13"/>
      <c r="CF136" s="11"/>
      <c r="CG136" s="25">
        <v>4588.6000000000004</v>
      </c>
      <c r="CH136" s="38">
        <v>4526.43</v>
      </c>
      <c r="CI136" s="10"/>
      <c r="CJ136" s="11"/>
      <c r="CK136" s="69">
        <f t="shared" si="1194"/>
        <v>174</v>
      </c>
      <c r="CL136" s="69">
        <f t="shared" si="1195"/>
        <v>14</v>
      </c>
      <c r="CM136" s="11">
        <v>121</v>
      </c>
      <c r="CN136" s="12">
        <f t="shared" si="1144"/>
        <v>0.7068965517241379</v>
      </c>
      <c r="CO136" s="11">
        <v>2</v>
      </c>
      <c r="CP136" s="12">
        <f t="shared" si="1145"/>
        <v>1.6260162601626018E-2</v>
      </c>
      <c r="CQ136" s="13"/>
      <c r="CR136" s="11"/>
      <c r="CS136" s="25">
        <v>4781</v>
      </c>
      <c r="CT136" s="38">
        <v>4230</v>
      </c>
      <c r="CU136" s="10"/>
      <c r="CV136" s="11"/>
      <c r="CW136" s="69">
        <f t="shared" si="1196"/>
        <v>747</v>
      </c>
      <c r="CX136" s="69">
        <f t="shared" si="1197"/>
        <v>65</v>
      </c>
      <c r="CY136" s="11">
        <v>544</v>
      </c>
      <c r="CZ136" s="12">
        <f t="shared" si="1146"/>
        <v>0.74029451137884872</v>
      </c>
      <c r="DA136" s="11">
        <v>9</v>
      </c>
      <c r="DB136" s="12">
        <f t="shared" si="1147"/>
        <v>1.62748643761302E-2</v>
      </c>
      <c r="DC136" s="13"/>
      <c r="DD136" s="11"/>
      <c r="DE136" s="25">
        <v>4588.75</v>
      </c>
      <c r="DF136" s="38">
        <v>4851.54</v>
      </c>
      <c r="DG136" s="10">
        <v>1</v>
      </c>
      <c r="DH136" s="11"/>
      <c r="DI136" s="69">
        <f t="shared" si="1198"/>
        <v>757</v>
      </c>
      <c r="DJ136" s="69">
        <f t="shared" si="1199"/>
        <v>67</v>
      </c>
      <c r="DK136" s="11">
        <v>526</v>
      </c>
      <c r="DL136" s="12">
        <f t="shared" si="1148"/>
        <v>0.70145310435931307</v>
      </c>
      <c r="DM136" s="11">
        <v>5</v>
      </c>
      <c r="DN136" s="12">
        <f t="shared" si="1149"/>
        <v>9.4161958568738224E-3</v>
      </c>
      <c r="DO136" s="13"/>
      <c r="DP136" s="11"/>
      <c r="DQ136" s="25">
        <v>4758.92</v>
      </c>
      <c r="DR136" s="38">
        <v>4987</v>
      </c>
      <c r="DS136" s="10"/>
      <c r="DT136" s="11"/>
      <c r="DU136" s="69">
        <f t="shared" si="1200"/>
        <v>844</v>
      </c>
      <c r="DV136" s="69">
        <f t="shared" si="1201"/>
        <v>71</v>
      </c>
      <c r="DW136" s="11">
        <v>589</v>
      </c>
      <c r="DX136" s="12">
        <f t="shared" si="1150"/>
        <v>0.71445497630331756</v>
      </c>
      <c r="DY136" s="11">
        <v>14</v>
      </c>
      <c r="DZ136" s="12">
        <f t="shared" si="1151"/>
        <v>2.3217247097844111E-2</v>
      </c>
      <c r="EA136" s="13"/>
      <c r="EB136" s="11"/>
      <c r="EC136" s="25">
        <v>4663.72</v>
      </c>
      <c r="ED136" s="38">
        <v>4420</v>
      </c>
      <c r="EE136" s="10"/>
      <c r="EF136" s="11"/>
      <c r="EG136" s="69">
        <f t="shared" si="1202"/>
        <v>854</v>
      </c>
      <c r="EH136" s="69">
        <f t="shared" si="1203"/>
        <v>74</v>
      </c>
      <c r="EI136" s="11">
        <v>577</v>
      </c>
      <c r="EJ136" s="12">
        <f t="shared" si="1152"/>
        <v>0.69203747072599531</v>
      </c>
      <c r="EK136" s="11">
        <v>14</v>
      </c>
      <c r="EL136" s="12">
        <f t="shared" si="1153"/>
        <v>2.3688663282571912E-2</v>
      </c>
      <c r="EM136" s="13"/>
      <c r="EN136" s="11"/>
      <c r="EO136" s="25">
        <v>4630.47</v>
      </c>
      <c r="EP136" s="38">
        <v>4630.67</v>
      </c>
      <c r="EQ136" s="10"/>
      <c r="ER136" s="11"/>
      <c r="ES136" s="69">
        <f t="shared" si="1204"/>
        <v>192</v>
      </c>
      <c r="ET136" s="69">
        <f t="shared" si="1205"/>
        <v>16</v>
      </c>
      <c r="EU136" s="11">
        <v>122</v>
      </c>
      <c r="EV136" s="12">
        <f t="shared" si="1154"/>
        <v>0.66666666666666663</v>
      </c>
      <c r="EW136" s="11">
        <v>6</v>
      </c>
      <c r="EX136" s="12">
        <f t="shared" si="1155"/>
        <v>4.6875E-2</v>
      </c>
      <c r="EY136" s="13"/>
      <c r="EZ136" s="11"/>
      <c r="FA136" s="25">
        <v>4613.75</v>
      </c>
      <c r="FB136" s="38">
        <v>4462.5</v>
      </c>
      <c r="FC136" s="10"/>
      <c r="FD136" s="11"/>
      <c r="FE136" s="69">
        <f t="shared" si="1206"/>
        <v>864</v>
      </c>
      <c r="FF136" s="69">
        <f t="shared" si="1207"/>
        <v>75</v>
      </c>
      <c r="FG136" s="11">
        <v>584</v>
      </c>
      <c r="FH136" s="12">
        <f t="shared" si="1156"/>
        <v>0.6875</v>
      </c>
      <c r="FI136" s="11">
        <v>10</v>
      </c>
      <c r="FJ136" s="12">
        <f t="shared" si="1157"/>
        <v>1.6835016835016835E-2</v>
      </c>
      <c r="FK136" s="13"/>
      <c r="FL136" s="11"/>
      <c r="FM136" s="25">
        <v>4575.1000000000004</v>
      </c>
      <c r="FN136" s="38">
        <v>4730.6000000000004</v>
      </c>
      <c r="FO136" s="10"/>
      <c r="FP136" s="11"/>
      <c r="FQ136" s="69">
        <f t="shared" si="1208"/>
        <v>897</v>
      </c>
      <c r="FR136" s="69">
        <f t="shared" si="1209"/>
        <v>75</v>
      </c>
      <c r="FS136" s="11">
        <v>602</v>
      </c>
      <c r="FT136" s="12">
        <f t="shared" si="1158"/>
        <v>0.68784838350055744</v>
      </c>
      <c r="FU136" s="11">
        <v>15</v>
      </c>
      <c r="FV136" s="12">
        <f t="shared" si="1159"/>
        <v>2.4311183144246355E-2</v>
      </c>
      <c r="FW136" s="13"/>
      <c r="FX136" s="11"/>
      <c r="FY136" s="25">
        <v>4701.79</v>
      </c>
      <c r="FZ136" s="38">
        <v>4552.5</v>
      </c>
      <c r="GA136" s="10"/>
      <c r="GB136" s="11"/>
      <c r="GC136" s="69">
        <f t="shared" si="1210"/>
        <v>890</v>
      </c>
      <c r="GD136" s="69">
        <f t="shared" si="1211"/>
        <v>76</v>
      </c>
      <c r="GE136" s="11">
        <v>584</v>
      </c>
      <c r="GF136" s="12">
        <f t="shared" si="1160"/>
        <v>0.66629213483146066</v>
      </c>
      <c r="GG136" s="11">
        <v>9</v>
      </c>
      <c r="GH136" s="12">
        <f t="shared" si="1161"/>
        <v>1.5177065767284991E-2</v>
      </c>
      <c r="GI136" s="13"/>
      <c r="GJ136" s="11"/>
      <c r="GK136" s="25">
        <v>4641.8</v>
      </c>
      <c r="GL136" s="38">
        <v>4589.3999999999996</v>
      </c>
      <c r="GM136" s="10"/>
      <c r="GN136" s="11"/>
      <c r="GO136" s="69">
        <f t="shared" si="1212"/>
        <v>178</v>
      </c>
      <c r="GP136" s="69">
        <f t="shared" si="1213"/>
        <v>17</v>
      </c>
      <c r="GQ136" s="11">
        <v>126</v>
      </c>
      <c r="GR136" s="12">
        <f t="shared" si="1162"/>
        <v>0.7134831460674157</v>
      </c>
      <c r="GS136" s="11">
        <v>1</v>
      </c>
      <c r="GT136" s="12">
        <f t="shared" si="1163"/>
        <v>7.874015748031496E-3</v>
      </c>
      <c r="GU136" s="13"/>
      <c r="GV136" s="11"/>
      <c r="GW136" s="25">
        <v>4237.5</v>
      </c>
      <c r="GX136" s="38">
        <v>4040</v>
      </c>
      <c r="GY136" s="10"/>
      <c r="GZ136" s="11"/>
      <c r="HA136" s="69">
        <f t="shared" si="1214"/>
        <v>908</v>
      </c>
      <c r="HB136" s="69">
        <f t="shared" si="1215"/>
        <v>78</v>
      </c>
      <c r="HC136" s="11">
        <v>639</v>
      </c>
      <c r="HD136" s="12">
        <f t="shared" si="1164"/>
        <v>0.71365638766519823</v>
      </c>
      <c r="HE136" s="11">
        <v>9</v>
      </c>
      <c r="HF136" s="12">
        <f t="shared" si="1165"/>
        <v>1.3888888888888888E-2</v>
      </c>
      <c r="HG136" s="13"/>
      <c r="HH136" s="11"/>
      <c r="HI136" s="25">
        <v>4584</v>
      </c>
      <c r="HJ136" s="38">
        <v>4750</v>
      </c>
      <c r="HK136" s="10">
        <f t="shared" si="1166"/>
        <v>3</v>
      </c>
      <c r="HL136" s="11">
        <f t="shared" si="1167"/>
        <v>0</v>
      </c>
      <c r="HM136" s="11">
        <f t="shared" si="1168"/>
        <v>12198</v>
      </c>
      <c r="HN136" s="11">
        <f t="shared" si="1169"/>
        <v>1045</v>
      </c>
      <c r="HO136" s="11">
        <f t="shared" si="1170"/>
        <v>8642</v>
      </c>
      <c r="HP136" s="95">
        <f t="shared" si="1171"/>
        <v>0.70847679947532383</v>
      </c>
      <c r="HQ136" s="15">
        <f t="shared" si="1172"/>
        <v>152</v>
      </c>
      <c r="HR136" s="12">
        <f t="shared" si="1173"/>
        <v>1.7588521175653783E-2</v>
      </c>
      <c r="HS136" s="16">
        <v>62.8</v>
      </c>
      <c r="HT136" s="17">
        <v>8347</v>
      </c>
      <c r="HU136" s="16">
        <f t="shared" si="1174"/>
        <v>96.586438324461938</v>
      </c>
      <c r="HV136" s="23">
        <v>4638.57</v>
      </c>
      <c r="HW136" s="22">
        <v>4628.63</v>
      </c>
      <c r="HX136" s="73">
        <f t="shared" si="1175"/>
        <v>0.72257479601087937</v>
      </c>
      <c r="HY136" s="73">
        <f t="shared" si="1176"/>
        <v>0.72041692213366038</v>
      </c>
      <c r="HZ136" s="73">
        <f t="shared" si="1177"/>
        <v>0.69571532316630358</v>
      </c>
      <c r="IA136" s="73">
        <f t="shared" si="1178"/>
        <v>0.6909154194222068</v>
      </c>
    </row>
    <row r="137" spans="1:244" x14ac:dyDescent="0.25">
      <c r="A137" s="374"/>
      <c r="B137" s="41">
        <f t="shared" si="1179"/>
        <v>45045</v>
      </c>
      <c r="C137" s="10"/>
      <c r="D137" s="11"/>
      <c r="E137" s="69">
        <f t="shared" si="1180"/>
        <v>836</v>
      </c>
      <c r="F137" s="69">
        <f t="shared" si="1181"/>
        <v>72</v>
      </c>
      <c r="G137" s="11">
        <v>582</v>
      </c>
      <c r="H137" s="12">
        <f t="shared" si="1130"/>
        <v>0.70813397129186606</v>
      </c>
      <c r="I137" s="11">
        <v>10</v>
      </c>
      <c r="J137" s="12">
        <f t="shared" si="1131"/>
        <v>1.6891891891891893E-2</v>
      </c>
      <c r="K137" s="13"/>
      <c r="L137" s="11"/>
      <c r="M137" s="39">
        <v>84.8</v>
      </c>
      <c r="N137" s="43">
        <v>100</v>
      </c>
      <c r="O137" s="10"/>
      <c r="P137" s="11"/>
      <c r="Q137" s="69">
        <f t="shared" si="1182"/>
        <v>759</v>
      </c>
      <c r="R137" s="69">
        <f t="shared" si="1183"/>
        <v>65</v>
      </c>
      <c r="S137" s="11">
        <v>517</v>
      </c>
      <c r="T137" s="12">
        <f t="shared" si="1132"/>
        <v>0.69169960474308301</v>
      </c>
      <c r="U137" s="11">
        <v>8</v>
      </c>
      <c r="V137" s="12">
        <f t="shared" si="1133"/>
        <v>1.5238095238095238E-2</v>
      </c>
      <c r="W137" s="13"/>
      <c r="X137" s="11"/>
      <c r="Y137" s="39">
        <v>92.68</v>
      </c>
      <c r="Z137" s="43">
        <v>100</v>
      </c>
      <c r="AA137" s="10"/>
      <c r="AB137" s="11"/>
      <c r="AC137" s="69">
        <f t="shared" si="1184"/>
        <v>176</v>
      </c>
      <c r="AD137" s="69">
        <f t="shared" si="1185"/>
        <v>13</v>
      </c>
      <c r="AE137" s="11">
        <v>136</v>
      </c>
      <c r="AF137" s="12">
        <f t="shared" si="1134"/>
        <v>0.77840909090909094</v>
      </c>
      <c r="AG137" s="11">
        <v>1</v>
      </c>
      <c r="AH137" s="12">
        <f t="shared" si="1135"/>
        <v>7.2992700729927005E-3</v>
      </c>
      <c r="AI137" s="13"/>
      <c r="AJ137" s="11"/>
      <c r="AK137" s="39">
        <v>88.9</v>
      </c>
      <c r="AL137" s="43">
        <v>100</v>
      </c>
      <c r="AM137" s="10"/>
      <c r="AN137" s="11"/>
      <c r="AO137" s="69">
        <f t="shared" si="1186"/>
        <v>773</v>
      </c>
      <c r="AP137" s="69">
        <f t="shared" si="1187"/>
        <v>65</v>
      </c>
      <c r="AQ137" s="11">
        <v>525</v>
      </c>
      <c r="AR137" s="12">
        <f t="shared" si="1136"/>
        <v>0.68822768434670112</v>
      </c>
      <c r="AS137" s="11">
        <v>7</v>
      </c>
      <c r="AT137" s="12">
        <f t="shared" si="1137"/>
        <v>1.3157894736842105E-2</v>
      </c>
      <c r="AU137" s="13"/>
      <c r="AV137" s="11"/>
      <c r="AW137" s="39">
        <v>83.8</v>
      </c>
      <c r="AX137" s="43">
        <v>100</v>
      </c>
      <c r="AY137" s="10"/>
      <c r="AZ137" s="11"/>
      <c r="BA137" s="69">
        <f t="shared" si="1188"/>
        <v>765</v>
      </c>
      <c r="BB137" s="69">
        <f t="shared" si="1189"/>
        <v>67</v>
      </c>
      <c r="BC137" s="11">
        <v>500</v>
      </c>
      <c r="BD137" s="12">
        <f t="shared" si="1138"/>
        <v>0.66535947712418297</v>
      </c>
      <c r="BE137" s="11">
        <v>9</v>
      </c>
      <c r="BF137" s="12">
        <f t="shared" si="1139"/>
        <v>1.768172888015717E-2</v>
      </c>
      <c r="BG137" s="13"/>
      <c r="BH137" s="11"/>
      <c r="BI137" s="39">
        <v>85.71</v>
      </c>
      <c r="BJ137" s="43">
        <v>100</v>
      </c>
      <c r="BK137" s="10"/>
      <c r="BL137" s="11"/>
      <c r="BM137" s="69">
        <f t="shared" si="1190"/>
        <v>830</v>
      </c>
      <c r="BN137" s="69">
        <f t="shared" si="1191"/>
        <v>72</v>
      </c>
      <c r="BO137" s="11">
        <v>570</v>
      </c>
      <c r="BP137" s="12">
        <f t="shared" si="1140"/>
        <v>0.6987951807228916</v>
      </c>
      <c r="BQ137" s="11">
        <v>10</v>
      </c>
      <c r="BR137" s="12">
        <f t="shared" si="1141"/>
        <v>1.7241379310344827E-2</v>
      </c>
      <c r="BS137" s="13"/>
      <c r="BT137" s="11"/>
      <c r="BU137" s="39">
        <v>89.47</v>
      </c>
      <c r="BV137" s="43">
        <v>100</v>
      </c>
      <c r="BW137" s="10"/>
      <c r="BX137" s="11"/>
      <c r="BY137" s="69">
        <f t="shared" si="1192"/>
        <v>754</v>
      </c>
      <c r="BZ137" s="69">
        <f t="shared" si="1193"/>
        <v>63</v>
      </c>
      <c r="CA137" s="11">
        <v>517</v>
      </c>
      <c r="CB137" s="12">
        <f t="shared" si="1142"/>
        <v>0.69230769230769229</v>
      </c>
      <c r="CC137" s="11">
        <v>5</v>
      </c>
      <c r="CD137" s="12">
        <f t="shared" si="1143"/>
        <v>9.5785440613026813E-3</v>
      </c>
      <c r="CE137" s="13"/>
      <c r="CF137" s="11"/>
      <c r="CG137" s="39">
        <v>86.05</v>
      </c>
      <c r="CH137" s="43">
        <v>100</v>
      </c>
      <c r="CI137" s="10"/>
      <c r="CJ137" s="11"/>
      <c r="CK137" s="69">
        <f t="shared" si="1194"/>
        <v>174</v>
      </c>
      <c r="CL137" s="69">
        <f t="shared" si="1195"/>
        <v>14</v>
      </c>
      <c r="CM137" s="11">
        <v>127</v>
      </c>
      <c r="CN137" s="12">
        <f t="shared" si="1144"/>
        <v>0.75287356321839083</v>
      </c>
      <c r="CO137" s="11">
        <v>4</v>
      </c>
      <c r="CP137" s="12">
        <f t="shared" si="1145"/>
        <v>3.0534351145038167E-2</v>
      </c>
      <c r="CQ137" s="13"/>
      <c r="CR137" s="11"/>
      <c r="CS137" s="39">
        <v>80</v>
      </c>
      <c r="CT137" s="43">
        <v>75</v>
      </c>
      <c r="CU137" s="10"/>
      <c r="CV137" s="11"/>
      <c r="CW137" s="69">
        <f t="shared" si="1196"/>
        <v>747</v>
      </c>
      <c r="CX137" s="69">
        <f t="shared" si="1197"/>
        <v>65</v>
      </c>
      <c r="CY137" s="11">
        <v>523</v>
      </c>
      <c r="CZ137" s="12">
        <f t="shared" si="1146"/>
        <v>0.70950468540829992</v>
      </c>
      <c r="DA137" s="11">
        <v>7</v>
      </c>
      <c r="DB137" s="12">
        <f t="shared" si="1147"/>
        <v>1.3207547169811321E-2</v>
      </c>
      <c r="DC137" s="13"/>
      <c r="DD137" s="11"/>
      <c r="DE137" s="39">
        <v>90.63</v>
      </c>
      <c r="DF137" s="43">
        <v>100</v>
      </c>
      <c r="DG137" s="10"/>
      <c r="DH137" s="11"/>
      <c r="DI137" s="69">
        <f t="shared" si="1198"/>
        <v>757</v>
      </c>
      <c r="DJ137" s="69">
        <f t="shared" si="1199"/>
        <v>67</v>
      </c>
      <c r="DK137" s="11">
        <v>499</v>
      </c>
      <c r="DL137" s="12">
        <f t="shared" si="1148"/>
        <v>0.66446499339498022</v>
      </c>
      <c r="DM137" s="11">
        <v>4</v>
      </c>
      <c r="DN137" s="12">
        <f t="shared" si="1149"/>
        <v>7.9522862823061622E-3</v>
      </c>
      <c r="DO137" s="13"/>
      <c r="DP137" s="11"/>
      <c r="DQ137" s="39">
        <v>86.49</v>
      </c>
      <c r="DR137" s="43">
        <v>100</v>
      </c>
      <c r="DS137" s="10"/>
      <c r="DT137" s="11"/>
      <c r="DU137" s="69">
        <f t="shared" si="1200"/>
        <v>844</v>
      </c>
      <c r="DV137" s="69">
        <f t="shared" si="1201"/>
        <v>71</v>
      </c>
      <c r="DW137" s="11">
        <v>553</v>
      </c>
      <c r="DX137" s="12">
        <f t="shared" si="1150"/>
        <v>0.69194312796208535</v>
      </c>
      <c r="DY137" s="11">
        <v>31</v>
      </c>
      <c r="DZ137" s="12">
        <f t="shared" si="1151"/>
        <v>5.3082191780821915E-2</v>
      </c>
      <c r="EA137" s="13"/>
      <c r="EB137" s="11"/>
      <c r="EC137" s="39">
        <v>81.400000000000006</v>
      </c>
      <c r="ED137" s="43">
        <v>100</v>
      </c>
      <c r="EE137" s="10"/>
      <c r="EF137" s="11"/>
      <c r="EG137" s="69">
        <f t="shared" si="1202"/>
        <v>854</v>
      </c>
      <c r="EH137" s="69">
        <f t="shared" si="1203"/>
        <v>74</v>
      </c>
      <c r="EI137" s="11">
        <v>563</v>
      </c>
      <c r="EJ137" s="12">
        <f t="shared" si="1152"/>
        <v>0.68501170960187352</v>
      </c>
      <c r="EK137" s="11">
        <v>22</v>
      </c>
      <c r="EL137" s="12">
        <f t="shared" si="1153"/>
        <v>3.7606837606837605E-2</v>
      </c>
      <c r="EM137" s="13"/>
      <c r="EN137" s="11"/>
      <c r="EO137" s="39">
        <v>69.77</v>
      </c>
      <c r="EP137" s="43">
        <v>100</v>
      </c>
      <c r="EQ137" s="10"/>
      <c r="ER137" s="11"/>
      <c r="ES137" s="69">
        <f t="shared" si="1204"/>
        <v>192</v>
      </c>
      <c r="ET137" s="69">
        <f t="shared" si="1205"/>
        <v>16</v>
      </c>
      <c r="EU137" s="11">
        <v>111</v>
      </c>
      <c r="EV137" s="12">
        <f t="shared" si="1154"/>
        <v>0.63541666666666663</v>
      </c>
      <c r="EW137" s="11">
        <v>11</v>
      </c>
      <c r="EX137" s="12">
        <f t="shared" si="1155"/>
        <v>9.0163934426229511E-2</v>
      </c>
      <c r="EY137" s="13"/>
      <c r="EZ137" s="11"/>
      <c r="FA137" s="39">
        <v>75</v>
      </c>
      <c r="FB137" s="43">
        <v>100</v>
      </c>
      <c r="FC137" s="10"/>
      <c r="FD137" s="11"/>
      <c r="FE137" s="69">
        <f t="shared" si="1206"/>
        <v>864</v>
      </c>
      <c r="FF137" s="69">
        <f t="shared" si="1207"/>
        <v>75</v>
      </c>
      <c r="FG137" s="11">
        <v>608</v>
      </c>
      <c r="FH137" s="12">
        <f t="shared" si="1156"/>
        <v>0.71990740740740744</v>
      </c>
      <c r="FI137" s="11">
        <v>14</v>
      </c>
      <c r="FJ137" s="12">
        <f t="shared" si="1157"/>
        <v>2.2508038585209004E-2</v>
      </c>
      <c r="FK137" s="13"/>
      <c r="FL137" s="11"/>
      <c r="FM137" s="39">
        <v>95.12</v>
      </c>
      <c r="FN137" s="43">
        <v>100</v>
      </c>
      <c r="FO137" s="10"/>
      <c r="FP137" s="11"/>
      <c r="FQ137" s="69">
        <f t="shared" si="1208"/>
        <v>897</v>
      </c>
      <c r="FR137" s="69">
        <f t="shared" si="1209"/>
        <v>75</v>
      </c>
      <c r="FS137" s="11">
        <v>605</v>
      </c>
      <c r="FT137" s="12">
        <f t="shared" si="1158"/>
        <v>0.69788182831661094</v>
      </c>
      <c r="FU137" s="11">
        <v>21</v>
      </c>
      <c r="FV137" s="12">
        <f t="shared" si="1159"/>
        <v>3.3546325878594248E-2</v>
      </c>
      <c r="FW137" s="13"/>
      <c r="FX137" s="11"/>
      <c r="FY137" s="39">
        <v>76.92</v>
      </c>
      <c r="FZ137" s="43">
        <v>100</v>
      </c>
      <c r="GA137" s="10"/>
      <c r="GB137" s="11"/>
      <c r="GC137" s="69">
        <f t="shared" si="1210"/>
        <v>890</v>
      </c>
      <c r="GD137" s="69">
        <f t="shared" si="1211"/>
        <v>76</v>
      </c>
      <c r="GE137" s="11">
        <v>576</v>
      </c>
      <c r="GF137" s="12">
        <f t="shared" si="1160"/>
        <v>0.66629213483146066</v>
      </c>
      <c r="GG137" s="11">
        <v>17</v>
      </c>
      <c r="GH137" s="12">
        <f t="shared" si="1161"/>
        <v>2.866779089376054E-2</v>
      </c>
      <c r="GI137" s="13"/>
      <c r="GJ137" s="11"/>
      <c r="GK137" s="39">
        <v>84.44</v>
      </c>
      <c r="GL137" s="43">
        <v>100</v>
      </c>
      <c r="GM137" s="10"/>
      <c r="GN137" s="11"/>
      <c r="GO137" s="69">
        <f t="shared" si="1212"/>
        <v>178</v>
      </c>
      <c r="GP137" s="69">
        <f t="shared" si="1213"/>
        <v>17</v>
      </c>
      <c r="GQ137" s="11">
        <v>115</v>
      </c>
      <c r="GR137" s="12">
        <f t="shared" si="1162"/>
        <v>0.702247191011236</v>
      </c>
      <c r="GS137" s="11">
        <v>10</v>
      </c>
      <c r="GT137" s="12">
        <f t="shared" si="1163"/>
        <v>0.08</v>
      </c>
      <c r="GU137" s="13"/>
      <c r="GV137" s="11"/>
      <c r="GW137" s="39">
        <v>81.25</v>
      </c>
      <c r="GX137" s="43">
        <v>100</v>
      </c>
      <c r="GY137" s="10"/>
      <c r="GZ137" s="11"/>
      <c r="HA137" s="69">
        <f t="shared" si="1214"/>
        <v>908</v>
      </c>
      <c r="HB137" s="69">
        <f t="shared" si="1215"/>
        <v>78</v>
      </c>
      <c r="HC137" s="11">
        <v>609</v>
      </c>
      <c r="HD137" s="12">
        <f t="shared" si="1164"/>
        <v>0.68942731277533043</v>
      </c>
      <c r="HE137" s="11">
        <v>17</v>
      </c>
      <c r="HF137" s="12">
        <f t="shared" si="1165"/>
        <v>2.7156549520766772E-2</v>
      </c>
      <c r="HG137" s="13"/>
      <c r="HH137" s="11"/>
      <c r="HI137" s="39">
        <v>73.33</v>
      </c>
      <c r="HJ137" s="43">
        <v>92.86</v>
      </c>
      <c r="HK137" s="10">
        <f t="shared" si="1166"/>
        <v>0</v>
      </c>
      <c r="HL137" s="11">
        <f t="shared" si="1167"/>
        <v>0</v>
      </c>
      <c r="HM137" s="11">
        <f t="shared" si="1168"/>
        <v>12198</v>
      </c>
      <c r="HN137" s="11">
        <f t="shared" si="1169"/>
        <v>1045</v>
      </c>
      <c r="HO137" s="11">
        <f t="shared" si="1170"/>
        <v>8444</v>
      </c>
      <c r="HP137" s="95">
        <f t="shared" si="1171"/>
        <v>0.69224463026725691</v>
      </c>
      <c r="HQ137" s="15">
        <f t="shared" si="1172"/>
        <v>208</v>
      </c>
      <c r="HR137" s="12">
        <f t="shared" si="1173"/>
        <v>2.4632875414495499E-2</v>
      </c>
      <c r="HS137" s="16">
        <v>62.9</v>
      </c>
      <c r="HT137" s="17">
        <v>8090</v>
      </c>
      <c r="HU137" s="16">
        <f t="shared" si="1174"/>
        <v>95.807674088109891</v>
      </c>
      <c r="HV137" s="23">
        <v>82.5</v>
      </c>
      <c r="HW137" s="22">
        <v>92.89</v>
      </c>
      <c r="HX137" s="73">
        <f t="shared" si="1175"/>
        <v>0.6935630099728014</v>
      </c>
      <c r="HY137" s="73">
        <f t="shared" si="1176"/>
        <v>0.69466584917228691</v>
      </c>
      <c r="HZ137" s="73">
        <f t="shared" si="1177"/>
        <v>0.69462599854756713</v>
      </c>
      <c r="IA137" s="73">
        <f t="shared" si="1178"/>
        <v>0.68569439610163596</v>
      </c>
      <c r="IF137" s="85">
        <f>IF138/IF139</f>
        <v>1.5087507543753772E-3</v>
      </c>
      <c r="IG137" s="85">
        <f>IG138/IG139</f>
        <v>3.0562347188264061E-3</v>
      </c>
      <c r="IH137" s="85">
        <f>IH138/IH139</f>
        <v>7.2568940493468795E-4</v>
      </c>
      <c r="II137" s="85">
        <f>II138/II139</f>
        <v>1.043115438108484E-3</v>
      </c>
      <c r="IJ137" s="88" t="s">
        <v>90</v>
      </c>
    </row>
    <row r="138" spans="1:244" ht="19.5" thickBot="1" x14ac:dyDescent="0.3">
      <c r="A138" s="374"/>
      <c r="B138" s="42"/>
      <c r="C138" s="26">
        <f>SUM(C131:C137)</f>
        <v>2</v>
      </c>
      <c r="D138" s="27">
        <f>SUM(D131:D137)</f>
        <v>0</v>
      </c>
      <c r="E138" s="27"/>
      <c r="F138" s="27"/>
      <c r="G138" s="27">
        <f>SUM(G131:G137)</f>
        <v>4119</v>
      </c>
      <c r="H138" s="28">
        <f>((G138+I138)/7)/E137</f>
        <v>0.7146274777853725</v>
      </c>
      <c r="I138" s="27">
        <f>SUM(I131:I137)</f>
        <v>63</v>
      </c>
      <c r="J138" s="28">
        <f>(I138/(I138+G138))</f>
        <v>1.5064562410329985E-2</v>
      </c>
      <c r="K138" s="27"/>
      <c r="L138" s="27"/>
      <c r="M138" s="29">
        <f>M136/M135*100-100</f>
        <v>14.111360239162934</v>
      </c>
      <c r="N138" s="67">
        <f>N136/N135*100-100</f>
        <v>3.1897555296856837</v>
      </c>
      <c r="O138" s="26">
        <f>SUM(O131:O137)</f>
        <v>2</v>
      </c>
      <c r="P138" s="27">
        <f>SUM(P131:P137)</f>
        <v>0</v>
      </c>
      <c r="Q138" s="27"/>
      <c r="R138" s="27"/>
      <c r="S138" s="27">
        <f>SUM(S131:S137)</f>
        <v>3649</v>
      </c>
      <c r="T138" s="28">
        <f>((S138+U138)/7)/Q137</f>
        <v>0.69904009034443815</v>
      </c>
      <c r="U138" s="27">
        <f>SUM(U131:U137)</f>
        <v>65</v>
      </c>
      <c r="V138" s="28">
        <f>(U138/(U138+S138))</f>
        <v>1.7501346257404415E-2</v>
      </c>
      <c r="W138" s="27"/>
      <c r="X138" s="27"/>
      <c r="Y138" s="29">
        <f>Y136/Y135*100-100</f>
        <v>17.88614848031888</v>
      </c>
      <c r="Z138" s="67">
        <f>Z136/Z135*100-100</f>
        <v>7.6305005820721732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884</v>
      </c>
      <c r="AF138" s="28">
        <f>((AE138+AG138)/7)/AC137</f>
        <v>0.73051948051948057</v>
      </c>
      <c r="AG138" s="27">
        <f>SUM(AG131:AG137)</f>
        <v>16</v>
      </c>
      <c r="AH138" s="28">
        <f>(AG138/(AG138+AE138))</f>
        <v>1.7777777777777778E-2</v>
      </c>
      <c r="AI138" s="27"/>
      <c r="AJ138" s="27"/>
      <c r="AK138" s="29">
        <f>AK136/AK135*100-100</f>
        <v>13.962132536123548</v>
      </c>
      <c r="AL138" s="67">
        <f>AL136/AL135*100-100</f>
        <v>7.334109429569267</v>
      </c>
      <c r="AM138" s="26">
        <f>SUM(AM131:AM137)</f>
        <v>1</v>
      </c>
      <c r="AN138" s="27">
        <f>SUM(AN131:AN137)</f>
        <v>0</v>
      </c>
      <c r="AO138" s="27"/>
      <c r="AP138" s="27"/>
      <c r="AQ138" s="27">
        <f>SUM(AQ131:AQ137)</f>
        <v>3751</v>
      </c>
      <c r="AR138" s="28">
        <f>((AQ138+AS138)/7)/AO137</f>
        <v>0.7022731472925523</v>
      </c>
      <c r="AS138" s="27">
        <f>SUM(AS131:AS137)</f>
        <v>49</v>
      </c>
      <c r="AT138" s="28">
        <f>(AS138/(AS138+AQ138))</f>
        <v>1.2894736842105263E-2</v>
      </c>
      <c r="AU138" s="27"/>
      <c r="AV138" s="27"/>
      <c r="AW138" s="29">
        <f>AW136/AW135*100-100</f>
        <v>16.127304434479342</v>
      </c>
      <c r="AX138" s="67">
        <f>AX136/AX135*100-100</f>
        <v>9.8055878928987141</v>
      </c>
      <c r="AY138" s="26">
        <f>SUM(AY131:AY137)</f>
        <v>0</v>
      </c>
      <c r="AZ138" s="27">
        <f>SUM(AZ131:AZ137)</f>
        <v>0</v>
      </c>
      <c r="BA138" s="27"/>
      <c r="BB138" s="27"/>
      <c r="BC138" s="27">
        <f>SUM(BC131:BC137)</f>
        <v>3770</v>
      </c>
      <c r="BD138" s="28">
        <f>((BC138+BE138)/7)/BA137</f>
        <v>0.71559290382819796</v>
      </c>
      <c r="BE138" s="27">
        <f>SUM(BE131:BE137)</f>
        <v>62</v>
      </c>
      <c r="BF138" s="28">
        <f>(BE138/(BE138+BC138))</f>
        <v>1.6179540709812108E-2</v>
      </c>
      <c r="BG138" s="27"/>
      <c r="BH138" s="27"/>
      <c r="BI138" s="29">
        <f>BI136/BI135*100-100</f>
        <v>17.137518684603876</v>
      </c>
      <c r="BJ138" s="67">
        <f>BJ136/BJ135*100-100</f>
        <v>12.332246798603023</v>
      </c>
      <c r="BK138" s="26">
        <f>SUM(BK131:BK137)</f>
        <v>2</v>
      </c>
      <c r="BL138" s="27">
        <f>SUM(BL131:BL137)</f>
        <v>0</v>
      </c>
      <c r="BM138" s="27"/>
      <c r="BN138" s="27"/>
      <c r="BO138" s="27">
        <f>SUM(BO131:BO137)</f>
        <v>4084</v>
      </c>
      <c r="BP138" s="28">
        <f>((BO138+BQ138)/7)/BM137</f>
        <v>0.71927710843373494</v>
      </c>
      <c r="BQ138" s="27">
        <f>SUM(BQ131:BQ137)</f>
        <v>95</v>
      </c>
      <c r="BR138" s="28">
        <f>(BQ138/(BQ138+BO138))</f>
        <v>2.2732711174922229E-2</v>
      </c>
      <c r="BS138" s="27"/>
      <c r="BT138" s="27"/>
      <c r="BU138" s="29">
        <f>BU136/BU135*100-100</f>
        <v>17.076980568011962</v>
      </c>
      <c r="BV138" s="67">
        <f>BV136/BV135*100-100</f>
        <v>7.387892898719457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3705</v>
      </c>
      <c r="CB138" s="28">
        <f>((CA138+CC138)/7)/BY137</f>
        <v>0.70973853732474412</v>
      </c>
      <c r="CC138" s="27">
        <f>SUM(CC131:CC137)</f>
        <v>41</v>
      </c>
      <c r="CD138" s="28">
        <f>(CC138/(CC138+CA138))</f>
        <v>1.0945008008542445E-2</v>
      </c>
      <c r="CE138" s="27"/>
      <c r="CF138" s="27"/>
      <c r="CG138" s="29">
        <f>CG136/CG135*100-100</f>
        <v>14.31489785749875</v>
      </c>
      <c r="CH138" s="67">
        <f>CH136/CH135*100-100</f>
        <v>5.3883585564610001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850</v>
      </c>
      <c r="CN138" s="28">
        <f>((CM138+CO138)/7)/CK137</f>
        <v>0.71510673234811162</v>
      </c>
      <c r="CO138" s="27">
        <f>SUM(CO131:CO137)</f>
        <v>21</v>
      </c>
      <c r="CP138" s="28">
        <f>(CO138/(CO138+CM138))</f>
        <v>2.4110218140068886E-2</v>
      </c>
      <c r="CQ138" s="27"/>
      <c r="CR138" s="27"/>
      <c r="CS138" s="29">
        <f>CS136/CS135*100-100</f>
        <v>19.108121574489289</v>
      </c>
      <c r="CT138" s="67">
        <f>CT136/CT135*100-100</f>
        <v>-1.5133876600698528</v>
      </c>
      <c r="CU138" s="26">
        <f>SUM(CU131:CU137)</f>
        <v>4</v>
      </c>
      <c r="CV138" s="27">
        <f>SUM(CV131:CV137)</f>
        <v>0</v>
      </c>
      <c r="CW138" s="27"/>
      <c r="CX138" s="27"/>
      <c r="CY138" s="27">
        <f>SUM(CY131:CY137)</f>
        <v>3686</v>
      </c>
      <c r="CZ138" s="28">
        <f>((CY138+DA138)/7)/CW137</f>
        <v>0.7142857142857143</v>
      </c>
      <c r="DA138" s="27">
        <f>SUM(DA131:DA137)</f>
        <v>49</v>
      </c>
      <c r="DB138" s="28">
        <f>(DA138/(DA138+CY138))</f>
        <v>1.3119143239625167E-2</v>
      </c>
      <c r="DC138" s="27"/>
      <c r="DD138" s="27"/>
      <c r="DE138" s="29">
        <f>DE136/DE135*100-100</f>
        <v>14.318634778276035</v>
      </c>
      <c r="DF138" s="67">
        <f>DF136/DF135*100-100</f>
        <v>12.957857974388816</v>
      </c>
      <c r="DG138" s="26">
        <f>SUM(DG131:DG137)</f>
        <v>1</v>
      </c>
      <c r="DH138" s="27">
        <f>SUM(DH131:DH137)</f>
        <v>0</v>
      </c>
      <c r="DI138" s="27"/>
      <c r="DJ138" s="27"/>
      <c r="DK138" s="27">
        <f>SUM(DK131:DK137)</f>
        <v>3652</v>
      </c>
      <c r="DL138" s="28">
        <f>((DK138+DM138)/7)/DI137</f>
        <v>0.70258539347046622</v>
      </c>
      <c r="DM138" s="27">
        <f>SUM(DM131:DM137)</f>
        <v>71</v>
      </c>
      <c r="DN138" s="28">
        <f>(DM138/(DM138+DK138))</f>
        <v>1.9070641955412301E-2</v>
      </c>
      <c r="DO138" s="27"/>
      <c r="DP138" s="27"/>
      <c r="DQ138" s="29">
        <f>DQ136/DQ135*100-100</f>
        <v>18.558046836073743</v>
      </c>
      <c r="DR138" s="67">
        <f>DR136/DR135*100-100</f>
        <v>16.111757857974382</v>
      </c>
      <c r="DS138" s="26">
        <f>SUM(DS131:DS137)</f>
        <v>2</v>
      </c>
      <c r="DT138" s="27">
        <f>SUM(DT131:DT137)</f>
        <v>0</v>
      </c>
      <c r="DU138" s="27"/>
      <c r="DV138" s="27"/>
      <c r="DW138" s="27">
        <f>SUM(DW131:DW137)</f>
        <v>4164</v>
      </c>
      <c r="DX138" s="28">
        <f>((DW138+DY138)/7)/DU137</f>
        <v>0.72613405551794186</v>
      </c>
      <c r="DY138" s="27">
        <f>SUM(DY131:DY137)</f>
        <v>126</v>
      </c>
      <c r="DZ138" s="28">
        <f>(DY138/(DY138+DW138))</f>
        <v>2.937062937062937E-2</v>
      </c>
      <c r="EA138" s="27"/>
      <c r="EB138" s="27"/>
      <c r="EC138" s="29">
        <f>EC136/EC135*100-100</f>
        <v>16.186347782760336</v>
      </c>
      <c r="ED138" s="67">
        <f>ED136/ED135*100-100</f>
        <v>2.9103608847497213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4088</v>
      </c>
      <c r="EJ138" s="28">
        <f>((EI138+EK138)/7)/EG137</f>
        <v>0.70257611241217799</v>
      </c>
      <c r="EK138" s="27">
        <f>SUM(EK131:EK137)</f>
        <v>112</v>
      </c>
      <c r="EL138" s="28">
        <f>(EK138/(EK138+EI138))</f>
        <v>2.6666666666666668E-2</v>
      </c>
      <c r="EM138" s="27"/>
      <c r="EN138" s="27"/>
      <c r="EO138" s="29">
        <f>EO136/EO135*100-100</f>
        <v>15.357997010463393</v>
      </c>
      <c r="EP138" s="67">
        <f>EP136/EP135*100-100</f>
        <v>7.8153667054714759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908</v>
      </c>
      <c r="EV138" s="28">
        <f>((EU138+EW138)/7)/ES137</f>
        <v>0.70386904761904756</v>
      </c>
      <c r="EW138" s="27">
        <f>SUM(EW131:EW137)</f>
        <v>38</v>
      </c>
      <c r="EX138" s="28">
        <f>(EW138/(EW138+EU138))</f>
        <v>4.0169133192389003E-2</v>
      </c>
      <c r="EY138" s="27"/>
      <c r="EZ138" s="27"/>
      <c r="FA138" s="29">
        <f>FA136/FA135*100-100</f>
        <v>14.941454907822617</v>
      </c>
      <c r="FB138" s="67">
        <f>FB136/FB135*100-100</f>
        <v>3.8998835855646092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4331</v>
      </c>
      <c r="FH138" s="28">
        <f>((FG138+FI138)/7)/FE137</f>
        <v>0.72982804232804233</v>
      </c>
      <c r="FI138" s="27">
        <f>SUM(FI131:FI137)</f>
        <v>83</v>
      </c>
      <c r="FJ138" s="28">
        <f>(FI138/(FI138+FG138))</f>
        <v>1.8803806071590393E-2</v>
      </c>
      <c r="FK138" s="27"/>
      <c r="FL138" s="27"/>
      <c r="FM138" s="29">
        <f>FM136/FM135*100-100</f>
        <v>13.978574987543595</v>
      </c>
      <c r="FN138" s="67">
        <f>FN136/FN135*100-100</f>
        <v>10.142025611175782</v>
      </c>
      <c r="FO138" s="26">
        <f>SUM(FO131:FO137)</f>
        <v>1</v>
      </c>
      <c r="FP138" s="27">
        <f>SUM(FP131:FP137)</f>
        <v>0</v>
      </c>
      <c r="FQ138" s="27"/>
      <c r="FR138" s="27"/>
      <c r="FS138" s="27">
        <f>SUM(FS131:FS137)</f>
        <v>4165</v>
      </c>
      <c r="FT138" s="28">
        <f>((FS138+FU138)/7)/FQ137</f>
        <v>0.6846631629240324</v>
      </c>
      <c r="FU138" s="27">
        <f>SUM(FU131:FU137)</f>
        <v>134</v>
      </c>
      <c r="FV138" s="28">
        <f>(FU138/(FU138+FS138))</f>
        <v>3.1170039544080017E-2</v>
      </c>
      <c r="FW138" s="27"/>
      <c r="FX138" s="27"/>
      <c r="FY138" s="29">
        <f>FY136/FY135*100-100</f>
        <v>17.134778276033884</v>
      </c>
      <c r="FZ138" s="67">
        <f>FZ136/FZ135*100-100</f>
        <v>5.995343422584412</v>
      </c>
      <c r="GA138" s="26">
        <f>SUM(GA131:GA137)</f>
        <v>1</v>
      </c>
      <c r="GB138" s="27">
        <f>SUM(GB131:GB137)</f>
        <v>0</v>
      </c>
      <c r="GC138" s="27"/>
      <c r="GD138" s="27"/>
      <c r="GE138" s="27">
        <f>SUM(GE131:GE137)</f>
        <v>4229</v>
      </c>
      <c r="GF138" s="28">
        <f>((GE138+GG138)/7)/GC137</f>
        <v>0.69502407704654889</v>
      </c>
      <c r="GG138" s="27">
        <f>SUM(GG131:GG137)</f>
        <v>101</v>
      </c>
      <c r="GH138" s="28">
        <f>(GG138/(GG138+GE138))</f>
        <v>2.3325635103926098E-2</v>
      </c>
      <c r="GI138" s="27"/>
      <c r="GJ138" s="27"/>
      <c r="GK138" s="29">
        <f>GK136/GK135*100-100</f>
        <v>15.64025909317391</v>
      </c>
      <c r="GL138" s="67">
        <f>GL136/GL135*100-100</f>
        <v>6.854481955762509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850</v>
      </c>
      <c r="GR138" s="28">
        <f>((GQ138+GS138)/7)/GO137</f>
        <v>0.7038523274478331</v>
      </c>
      <c r="GS138" s="27">
        <f>SUM(GS131:GS137)</f>
        <v>27</v>
      </c>
      <c r="GT138" s="28">
        <f>(GS138/(GS138+GQ138))</f>
        <v>3.0786773090079819E-2</v>
      </c>
      <c r="GU138" s="27"/>
      <c r="GV138" s="27"/>
      <c r="GW138" s="29">
        <f>GW136/GW135*100-100</f>
        <v>5.5680119581464851</v>
      </c>
      <c r="GX138" s="67">
        <f>GX136/GX135*100-100</f>
        <v>-5.9371362048893985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4414</v>
      </c>
      <c r="HD138" s="28">
        <f>((HC138+HE138)/7)/HA137</f>
        <v>0.70752045311516676</v>
      </c>
      <c r="HE138" s="27">
        <f>SUM(HE131:HE137)</f>
        <v>83</v>
      </c>
      <c r="HF138" s="28">
        <f>(HE138/(HE138+HC138))</f>
        <v>1.8456748943740272E-2</v>
      </c>
      <c r="HG138" s="27"/>
      <c r="HH138" s="27"/>
      <c r="HI138" s="29">
        <f>HI136/HI135*100-100</f>
        <v>14.20029895366217</v>
      </c>
      <c r="HJ138" s="67">
        <f>HJ136/HJ135*100-100</f>
        <v>10.593713620488927</v>
      </c>
      <c r="HK138" s="26">
        <f t="shared" si="1166"/>
        <v>20</v>
      </c>
      <c r="HL138" s="27">
        <f t="shared" si="1167"/>
        <v>0</v>
      </c>
      <c r="HM138" s="27">
        <f t="shared" si="1168"/>
        <v>0</v>
      </c>
      <c r="HN138" s="27">
        <f t="shared" si="1169"/>
        <v>0</v>
      </c>
      <c r="HO138" s="27">
        <f t="shared" si="1170"/>
        <v>60535</v>
      </c>
      <c r="HP138" s="96">
        <f>+((HO138)/HM137)/7</f>
        <v>0.70895697186892459</v>
      </c>
      <c r="HQ138" s="62">
        <f t="shared" si="1172"/>
        <v>1236</v>
      </c>
      <c r="HR138" s="52">
        <f t="shared" si="1173"/>
        <v>2.0417940034690676E-2</v>
      </c>
      <c r="HS138" s="53">
        <f>SUM(HS131:HS137)/7</f>
        <v>62.442857142857136</v>
      </c>
      <c r="HT138" s="54">
        <f>SUM(HT131:HT137)</f>
        <v>58214</v>
      </c>
      <c r="HU138" s="53">
        <f>AVERAGE(HU131:HU137)</f>
        <v>96.165172042880982</v>
      </c>
      <c r="HV138" s="63">
        <f>HV136/HV135*100-100</f>
        <v>15.559790732436468</v>
      </c>
      <c r="HW138" s="67">
        <f>HW136/HW135*100-100</f>
        <v>7.7678696158323532</v>
      </c>
      <c r="HX138" s="73">
        <f>SUM(G138,I138,S138,U138,AE138,AG138,AQ138,AS138,BC138,BE138)/7/SUM(E137,Q137,AC137,AO137,BA137)</f>
        <v>0.70923455510944178</v>
      </c>
      <c r="HY138" s="73">
        <f>SUM(BO138,BQ138,CA138,CC138,CM138,CO138,CY138,DA138,DK138,DM138)/7/SUM(BM137,BY137,CK137,CW137,DI137)</f>
        <v>0.71183323114653585</v>
      </c>
      <c r="HZ138" s="73">
        <f>SUM(DW138,DY138,EI138,EK138,EU138,EW138,FG138,FI138)/7/SUM(DU137,EG137,ES137,FE137)</f>
        <v>0.71843552235709107</v>
      </c>
      <c r="IA138" s="73">
        <f>SUM(FS138,FU138,GE138,GG138,GQ138,GS138,HC138,HE138)/7/SUM(FQ137,GC137,GO137,HA137)</f>
        <v>0.69628561483765106</v>
      </c>
      <c r="IB138" s="84">
        <f>SUM(I138,U138,AG138,AS138,BE138)/SUM(G138,I138,S138,U138,AE138,AG138,AQ138,AS138,BC138,BE138)</f>
        <v>1.5522279035792549E-2</v>
      </c>
      <c r="IC138" s="84">
        <f>SUM(BQ138,CC138,CO138,DA138,DM138)/SUM(BO138,BQ138,CA138,CC138,CM138,CO138,CY138,DA138,DK138,DM138)</f>
        <v>1.704195890242402E-2</v>
      </c>
      <c r="ID138" s="84">
        <f>SUM(DY138,EK138,EW138,FI138)/SUM(DW138,DY138,EI138,EK138,EU138,EW138,FG138,FI138)</f>
        <v>2.5920577617328518E-2</v>
      </c>
      <c r="IE138" s="84">
        <f>SUM(FU138,GG138,GS138,HE138)/SUM(FS138,FU138,GE138,GG138,GQ138,GS138,HC138,HE138)</f>
        <v>2.4637577661929585E-2</v>
      </c>
      <c r="IF138" s="86">
        <f>SUM(C138,O138,AA138,AM138,AY138)</f>
        <v>5</v>
      </c>
      <c r="IG138" s="86">
        <f>SUM(BK138,BW138,CI138,CU138,DG138)</f>
        <v>10</v>
      </c>
      <c r="IH138" s="86">
        <f>SUM(DS138,EE138,EQ138,FC138)</f>
        <v>2</v>
      </c>
      <c r="II138" s="86">
        <f>SUM(FO138,GA138,GM138,GY138)</f>
        <v>3</v>
      </c>
      <c r="IJ138" s="88" t="s">
        <v>89</v>
      </c>
    </row>
    <row r="139" spans="1:244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HK138/HM131</f>
        <v>1.6377333770062235E-3</v>
      </c>
      <c r="HL139" s="66">
        <f>HL138/HN131</f>
        <v>0</v>
      </c>
      <c r="HM139" s="45"/>
      <c r="HN139" s="45"/>
      <c r="HO139" s="45"/>
      <c r="HP139" s="98"/>
      <c r="HQ139" s="45"/>
      <c r="HR139" s="45"/>
      <c r="HS139" s="45"/>
      <c r="HT139" s="55"/>
      <c r="HU139" s="45"/>
      <c r="HV139" s="45"/>
      <c r="HW139" s="46"/>
      <c r="HY139" s="72"/>
      <c r="HZ139" s="72"/>
      <c r="IA139" s="72"/>
      <c r="IF139" s="86">
        <f>SUM(E128,Q128,AC128,AO128,BA128)</f>
        <v>3314</v>
      </c>
      <c r="IG139" s="86">
        <f>SUM(BM128,BY128,CK128,CW128,DI128)</f>
        <v>3272</v>
      </c>
      <c r="IH139" s="86">
        <f>SUM(DU128,EG128,ES128,FE128)</f>
        <v>2756</v>
      </c>
      <c r="II139" s="86">
        <f>SUM(FQ128,GC128,GO128,HA128)</f>
        <v>2876</v>
      </c>
      <c r="IJ139" s="88" t="s">
        <v>84</v>
      </c>
    </row>
    <row r="140" spans="1:244" x14ac:dyDescent="0.25">
      <c r="A140" s="373">
        <v>40</v>
      </c>
      <c r="B140" s="68">
        <f>B137+1</f>
        <v>45046</v>
      </c>
      <c r="C140" s="33"/>
      <c r="D140" s="34"/>
      <c r="E140" s="34">
        <f>E137-C140</f>
        <v>836</v>
      </c>
      <c r="F140" s="34">
        <f>F137-D140</f>
        <v>72</v>
      </c>
      <c r="G140" s="34">
        <v>582</v>
      </c>
      <c r="H140" s="35">
        <f t="shared" ref="H140:H146" si="1216">((G140+I140)/E140)</f>
        <v>0.71531100478468901</v>
      </c>
      <c r="I140" s="34">
        <v>16</v>
      </c>
      <c r="J140" s="35">
        <f t="shared" ref="J140:J146" si="1217">I140/(G140+I140)</f>
        <v>2.6755852842809364E-2</v>
      </c>
      <c r="K140" s="36"/>
      <c r="L140" s="34"/>
      <c r="M140" s="34"/>
      <c r="N140" s="37"/>
      <c r="O140" s="33"/>
      <c r="P140" s="34">
        <v>1</v>
      </c>
      <c r="Q140" s="34">
        <f>Q137-O140</f>
        <v>759</v>
      </c>
      <c r="R140" s="34">
        <f>R137-P140</f>
        <v>64</v>
      </c>
      <c r="S140" s="34">
        <v>531</v>
      </c>
      <c r="T140" s="35">
        <f t="shared" ref="T140:T146" si="1218">((S140+U140)/Q140)</f>
        <v>0.70487483530961792</v>
      </c>
      <c r="U140" s="34">
        <v>4</v>
      </c>
      <c r="V140" s="35">
        <f t="shared" ref="V140:V146" si="1219">U140/(S140+U140)</f>
        <v>7.4766355140186919E-3</v>
      </c>
      <c r="W140" s="36"/>
      <c r="X140" s="34"/>
      <c r="Y140" s="34"/>
      <c r="Z140" s="37"/>
      <c r="AA140" s="33"/>
      <c r="AB140" s="34"/>
      <c r="AC140" s="34">
        <f>AC137-AA140</f>
        <v>176</v>
      </c>
      <c r="AD140" s="34">
        <f>AD137-AB140</f>
        <v>13</v>
      </c>
      <c r="AE140" s="34">
        <v>122</v>
      </c>
      <c r="AF140" s="35">
        <f t="shared" ref="AF140:AF146" si="1220">((AE140+AG140)/AC140)</f>
        <v>0.71590909090909094</v>
      </c>
      <c r="AG140" s="34">
        <v>4</v>
      </c>
      <c r="AH140" s="35">
        <f t="shared" ref="AH140:AH146" si="1221">AG140/(AE140+AG140)</f>
        <v>3.1746031746031744E-2</v>
      </c>
      <c r="AI140" s="36"/>
      <c r="AJ140" s="34"/>
      <c r="AK140" s="34"/>
      <c r="AL140" s="37"/>
      <c r="AM140" s="33"/>
      <c r="AN140" s="34"/>
      <c r="AO140" s="34">
        <f>AO137-AM140</f>
        <v>773</v>
      </c>
      <c r="AP140" s="34">
        <f>AP137-AN140</f>
        <v>65</v>
      </c>
      <c r="AQ140" s="34">
        <v>522</v>
      </c>
      <c r="AR140" s="35">
        <f t="shared" ref="AR140:AR146" si="1222">((AQ140+AS140)/AO140)</f>
        <v>0.68822768434670112</v>
      </c>
      <c r="AS140" s="34">
        <v>10</v>
      </c>
      <c r="AT140" s="35">
        <f t="shared" ref="AT140:AT146" si="1223">AS140/(AQ140+AS140)</f>
        <v>1.8796992481203006E-2</v>
      </c>
      <c r="AU140" s="36"/>
      <c r="AV140" s="34"/>
      <c r="AW140" s="34"/>
      <c r="AX140" s="37"/>
      <c r="AY140" s="33"/>
      <c r="AZ140" s="34"/>
      <c r="BA140" s="34">
        <f>BA137-AY140</f>
        <v>765</v>
      </c>
      <c r="BB140" s="34">
        <f>BB137-AZ140</f>
        <v>67</v>
      </c>
      <c r="BC140" s="34">
        <v>531</v>
      </c>
      <c r="BD140" s="35">
        <f t="shared" ref="BD140:BD146" si="1224">((BC140+BE140)/BA140)</f>
        <v>0.71372549019607845</v>
      </c>
      <c r="BE140" s="34">
        <v>15</v>
      </c>
      <c r="BF140" s="35">
        <f t="shared" ref="BF140:BF146" si="1225">BE140/(BC140+BE140)</f>
        <v>2.7472527472527472E-2</v>
      </c>
      <c r="BG140" s="36"/>
      <c r="BH140" s="34"/>
      <c r="BI140" s="34"/>
      <c r="BJ140" s="37"/>
      <c r="BK140" s="33"/>
      <c r="BL140" s="34"/>
      <c r="BM140" s="34">
        <f>BM137-BK140</f>
        <v>830</v>
      </c>
      <c r="BN140" s="34">
        <f>BN137-BL140</f>
        <v>72</v>
      </c>
      <c r="BO140" s="34">
        <v>575</v>
      </c>
      <c r="BP140" s="35">
        <f t="shared" ref="BP140:BP146" si="1226">((BO140+BQ140)/BM140)</f>
        <v>0.7132530120481928</v>
      </c>
      <c r="BQ140" s="34">
        <v>17</v>
      </c>
      <c r="BR140" s="35">
        <f t="shared" ref="BR140:BR146" si="1227">BQ140/(BO140+BQ140)</f>
        <v>2.8716216216216218E-2</v>
      </c>
      <c r="BS140" s="36"/>
      <c r="BT140" s="34"/>
      <c r="BU140" s="34"/>
      <c r="BV140" s="37"/>
      <c r="BW140" s="33"/>
      <c r="BX140" s="34"/>
      <c r="BY140" s="34">
        <f>BY137-BW140</f>
        <v>754</v>
      </c>
      <c r="BZ140" s="34">
        <f>BZ137-BX140</f>
        <v>63</v>
      </c>
      <c r="CA140" s="34">
        <v>493</v>
      </c>
      <c r="CB140" s="35">
        <f t="shared" ref="CB140:CB146" si="1228">((CA140+CC140)/BY140)</f>
        <v>0.6618037135278515</v>
      </c>
      <c r="CC140" s="34">
        <v>6</v>
      </c>
      <c r="CD140" s="35">
        <f t="shared" ref="CD140:CD146" si="1229">CC140/(CA140+CC140)</f>
        <v>1.2024048096192385E-2</v>
      </c>
      <c r="CE140" s="36"/>
      <c r="CF140" s="34"/>
      <c r="CG140" s="34"/>
      <c r="CH140" s="37"/>
      <c r="CI140" s="33"/>
      <c r="CJ140" s="34"/>
      <c r="CK140" s="34">
        <f>CK137-CI140</f>
        <v>174</v>
      </c>
      <c r="CL140" s="34">
        <f>CL137-CJ140</f>
        <v>14</v>
      </c>
      <c r="CM140" s="34">
        <v>127</v>
      </c>
      <c r="CN140" s="35">
        <f t="shared" ref="CN140:CN146" si="1230">((CM140+CO140)/CK140)</f>
        <v>0.74712643678160917</v>
      </c>
      <c r="CO140" s="34">
        <v>3</v>
      </c>
      <c r="CP140" s="35">
        <f t="shared" ref="CP140:CP146" si="1231">CO140/(CM140+CO140)</f>
        <v>2.3076923076923078E-2</v>
      </c>
      <c r="CQ140" s="36"/>
      <c r="CR140" s="34"/>
      <c r="CS140" s="34"/>
      <c r="CT140" s="37"/>
      <c r="CU140" s="33"/>
      <c r="CV140" s="34"/>
      <c r="CW140" s="34">
        <f>CW137-CU140</f>
        <v>747</v>
      </c>
      <c r="CX140" s="34">
        <f>CX137-CV140</f>
        <v>65</v>
      </c>
      <c r="CY140" s="34">
        <v>512</v>
      </c>
      <c r="CZ140" s="35">
        <f t="shared" ref="CZ140:CZ146" si="1232">((CY140+DA140)/CW140)</f>
        <v>0.69477911646586343</v>
      </c>
      <c r="DA140" s="34">
        <v>7</v>
      </c>
      <c r="DB140" s="35">
        <f t="shared" ref="DB140:DB146" si="1233">DA140/(CY140+DA140)</f>
        <v>1.348747591522158E-2</v>
      </c>
      <c r="DC140" s="36"/>
      <c r="DD140" s="34"/>
      <c r="DE140" s="34"/>
      <c r="DF140" s="37"/>
      <c r="DG140" s="33">
        <v>1</v>
      </c>
      <c r="DH140" s="34"/>
      <c r="DI140" s="34">
        <f>DI137-DG140</f>
        <v>756</v>
      </c>
      <c r="DJ140" s="34">
        <f>DJ137-DH140</f>
        <v>67</v>
      </c>
      <c r="DK140" s="34">
        <v>542</v>
      </c>
      <c r="DL140" s="35">
        <f t="shared" ref="DL140:DL146" si="1234">((DK140+DM140)/DI140)</f>
        <v>0.72883597883597884</v>
      </c>
      <c r="DM140" s="34">
        <v>9</v>
      </c>
      <c r="DN140" s="35">
        <f t="shared" ref="DN140:DN146" si="1235">DM140/(DK140+DM140)</f>
        <v>1.6333938294010888E-2</v>
      </c>
      <c r="DO140" s="36"/>
      <c r="DP140" s="34"/>
      <c r="DQ140" s="34"/>
      <c r="DR140" s="37"/>
      <c r="DS140" s="33">
        <v>2</v>
      </c>
      <c r="DT140" s="34"/>
      <c r="DU140" s="34">
        <f>DU137-DS140</f>
        <v>842</v>
      </c>
      <c r="DV140" s="34">
        <f>DV137-DT140</f>
        <v>71</v>
      </c>
      <c r="DW140" s="34">
        <v>581</v>
      </c>
      <c r="DX140" s="35">
        <f t="shared" ref="DX140:DX146" si="1236">((DW140+DY140)/DU140)</f>
        <v>0.71377672209026133</v>
      </c>
      <c r="DY140" s="34">
        <v>20</v>
      </c>
      <c r="DZ140" s="35">
        <f t="shared" ref="DZ140:DZ146" si="1237">DY140/(DW140+DY140)</f>
        <v>3.3277870216306155E-2</v>
      </c>
      <c r="EA140" s="36"/>
      <c r="EB140" s="34"/>
      <c r="EC140" s="34"/>
      <c r="ED140" s="37"/>
      <c r="EE140" s="33">
        <v>1</v>
      </c>
      <c r="EF140" s="34"/>
      <c r="EG140" s="34">
        <f>EG137-EE140</f>
        <v>853</v>
      </c>
      <c r="EH140" s="34">
        <f>EH137-EF140</f>
        <v>74</v>
      </c>
      <c r="EI140" s="34">
        <v>584</v>
      </c>
      <c r="EJ140" s="35">
        <f t="shared" ref="EJ140:EJ146" si="1238">((EI140+EK140)/EG140)</f>
        <v>0.7174677608440797</v>
      </c>
      <c r="EK140" s="34">
        <v>28</v>
      </c>
      <c r="EL140" s="35">
        <f t="shared" ref="EL140:EL146" si="1239">EK140/(EI140+EK140)</f>
        <v>4.5751633986928102E-2</v>
      </c>
      <c r="EM140" s="36"/>
      <c r="EN140" s="34"/>
      <c r="EO140" s="34"/>
      <c r="EP140" s="37"/>
      <c r="EQ140" s="33"/>
      <c r="ER140" s="34"/>
      <c r="ES140" s="34">
        <f>ES137-EQ140</f>
        <v>192</v>
      </c>
      <c r="ET140" s="34">
        <f>ET137-ER140</f>
        <v>16</v>
      </c>
      <c r="EU140" s="34">
        <v>115</v>
      </c>
      <c r="EV140" s="35">
        <f t="shared" ref="EV140:EV146" si="1240">((EU140+EW140)/ES140)</f>
        <v>0.63541666666666663</v>
      </c>
      <c r="EW140" s="34">
        <v>7</v>
      </c>
      <c r="EX140" s="35">
        <f t="shared" ref="EX140:EX146" si="1241">EW140/(EU140+EW140)</f>
        <v>5.737704918032787E-2</v>
      </c>
      <c r="EY140" s="36"/>
      <c r="EZ140" s="34"/>
      <c r="FA140" s="34"/>
      <c r="FB140" s="37"/>
      <c r="FC140" s="33"/>
      <c r="FD140" s="34"/>
      <c r="FE140" s="34">
        <f>FE137-FC140</f>
        <v>864</v>
      </c>
      <c r="FF140" s="34">
        <f>FF137-FD140</f>
        <v>75</v>
      </c>
      <c r="FG140" s="34">
        <v>617</v>
      </c>
      <c r="FH140" s="35">
        <f t="shared" ref="FH140:FH146" si="1242">((FG140+FI140)/FE140)</f>
        <v>0.72453703703703709</v>
      </c>
      <c r="FI140" s="34">
        <v>9</v>
      </c>
      <c r="FJ140" s="35">
        <f t="shared" ref="FJ140:FJ146" si="1243">FI140/(FG140+FI140)</f>
        <v>1.437699680511182E-2</v>
      </c>
      <c r="FK140" s="36"/>
      <c r="FL140" s="34"/>
      <c r="FM140" s="34"/>
      <c r="FN140" s="37"/>
      <c r="FO140" s="33"/>
      <c r="FP140" s="34"/>
      <c r="FQ140" s="34">
        <f>FQ137-FO140</f>
        <v>897</v>
      </c>
      <c r="FR140" s="34">
        <f>FR137-FP140</f>
        <v>75</v>
      </c>
      <c r="FS140" s="34">
        <v>621</v>
      </c>
      <c r="FT140" s="35">
        <f t="shared" ref="FT140:FT146" si="1244">((FS140+FU140)/FQ140)</f>
        <v>0.70791527313266445</v>
      </c>
      <c r="FU140" s="34">
        <v>14</v>
      </c>
      <c r="FV140" s="35">
        <f t="shared" ref="FV140:FV146" si="1245">FU140/(FS140+FU140)</f>
        <v>2.2047244094488189E-2</v>
      </c>
      <c r="FW140" s="36"/>
      <c r="FX140" s="34"/>
      <c r="FY140" s="34"/>
      <c r="FZ140" s="37"/>
      <c r="GA140" s="33"/>
      <c r="GB140" s="34"/>
      <c r="GC140" s="34">
        <f>GC137-GA140</f>
        <v>890</v>
      </c>
      <c r="GD140" s="34">
        <f>GD137-GB140</f>
        <v>76</v>
      </c>
      <c r="GE140" s="34">
        <v>617</v>
      </c>
      <c r="GF140" s="35">
        <f t="shared" ref="GF140:GF146" si="1246">((GE140+GG140)/GC140)</f>
        <v>0.70674157303370788</v>
      </c>
      <c r="GG140" s="34">
        <v>12</v>
      </c>
      <c r="GH140" s="35">
        <f t="shared" ref="GH140:GH146" si="1247">GG140/(GE140+GG140)</f>
        <v>1.9077901430842606E-2</v>
      </c>
      <c r="GI140" s="36"/>
      <c r="GJ140" s="34"/>
      <c r="GK140" s="34"/>
      <c r="GL140" s="37"/>
      <c r="GM140" s="33">
        <v>1</v>
      </c>
      <c r="GN140" s="34"/>
      <c r="GO140" s="34">
        <f>GO137-GM140</f>
        <v>177</v>
      </c>
      <c r="GP140" s="34">
        <f>GP137-GN140</f>
        <v>17</v>
      </c>
      <c r="GQ140" s="34">
        <v>136</v>
      </c>
      <c r="GR140" s="35">
        <f t="shared" ref="GR140:GR146" si="1248">((GQ140+GS140)/GO140)</f>
        <v>0.78531073446327682</v>
      </c>
      <c r="GS140" s="34">
        <v>3</v>
      </c>
      <c r="GT140" s="35">
        <f t="shared" ref="GT140:GT146" si="1249">GS140/(GQ140+GS140)</f>
        <v>2.1582733812949641E-2</v>
      </c>
      <c r="GU140" s="36"/>
      <c r="GV140" s="34"/>
      <c r="GW140" s="34"/>
      <c r="GX140" s="37"/>
      <c r="GY140" s="33"/>
      <c r="GZ140" s="34"/>
      <c r="HA140" s="34">
        <f>HA137-GY140</f>
        <v>908</v>
      </c>
      <c r="HB140" s="34">
        <f>HB137-GZ140</f>
        <v>78</v>
      </c>
      <c r="HC140" s="34">
        <v>613</v>
      </c>
      <c r="HD140" s="35">
        <f t="shared" ref="HD140:HD146" si="1250">((HC140+HE140)/HA140)</f>
        <v>0.68612334801762109</v>
      </c>
      <c r="HE140" s="34">
        <v>10</v>
      </c>
      <c r="HF140" s="35">
        <f t="shared" ref="HF140:HF146" si="1251">HE140/(HC140+HE140)</f>
        <v>1.6051364365971106E-2</v>
      </c>
      <c r="HG140" s="36"/>
      <c r="HH140" s="34"/>
      <c r="HI140" s="34"/>
      <c r="HJ140" s="37"/>
      <c r="HK140" s="33">
        <f t="shared" ref="HK140:HK147" si="1252">+C140+O140+AA140+AM140+AY140+BK140+BW140+CI140+CU140+DG140+DS140+EE140+EQ140+FC140+FO140+GA140+GM140+GY140</f>
        <v>5</v>
      </c>
      <c r="HL140" s="34">
        <f t="shared" ref="HL140:HL147" si="1253">+D140+P140+AB140+AN140+AZ140+BL140+BX140+CJ140+CV140+DH140+DT140+EF140+ER140+FD140+FP140+GB140+GN140+GZ140</f>
        <v>1</v>
      </c>
      <c r="HM140" s="34">
        <f t="shared" ref="HM140:HM147" si="1254">+E140+Q140+AC140+AO140+BA140+BM140+BY140+CK140+CW140+DI140+DU140+EG140+ES140+FE140+FQ140+GC140+GO140+HA140</f>
        <v>12193</v>
      </c>
      <c r="HN140" s="34">
        <f t="shared" ref="HN140:HN147" si="1255">+F140+R140+AD140+AP140+BB140+BN140+BZ140+CL140+CX140+DJ140+DV140+EH140+ET140+FF140+FR140+GD140+GP140+HB140</f>
        <v>1044</v>
      </c>
      <c r="HO140" s="34">
        <f t="shared" ref="HO140:HO147" si="1256">+G140+S140+AE140+AQ140+BC140+BO140+CA140+CM140+CY140+DK140+DW140+EI140+EU140+FG140+FS140+GE140+GQ140+HC140+I140+U140+AG140+AS140+BE140+BQ140+CC140+CO140+DA140+DM140+DY140+EK140+EW140+FI140+FU140+GG140+GS140+HE140</f>
        <v>8615</v>
      </c>
      <c r="HP140" s="94">
        <f t="shared" ref="HP140:HP146" si="1257">+(HO140)/HM140</f>
        <v>0.70655294021159687</v>
      </c>
      <c r="HQ140" s="48">
        <f t="shared" ref="HQ140:HQ147" si="1258">+I140+U140+AG140+AS140+BE140+BQ140+CC140+CO140+DA140+DM140+DY140+EK140+EW140+FI140+FU140+GG140+GS140+HE140</f>
        <v>194</v>
      </c>
      <c r="HR140" s="35">
        <f t="shared" ref="HR140:HR147" si="1259">+(HQ140/(HO140))</f>
        <v>2.2518862449216484E-2</v>
      </c>
      <c r="HS140" s="49">
        <v>62.9</v>
      </c>
      <c r="HT140" s="50">
        <v>8277</v>
      </c>
      <c r="HU140" s="49">
        <f t="shared" ref="HU140:HU146" si="1260">+HT140/HO140*100</f>
        <v>96.076610562971567</v>
      </c>
      <c r="HV140" s="48"/>
      <c r="HW140" s="37"/>
      <c r="HX140" s="73">
        <f t="shared" ref="HX140:HX146" si="1261">SUM(G140,I140,S140,U140,AE140,AG140,AQ140,AS140,BC140,BE140)/SUM(E140,Q140,AC140,AO140,BA140)</f>
        <v>0.70625566636446058</v>
      </c>
      <c r="HY140" s="73">
        <f t="shared" ref="HY140:HY146" si="1262">SUM(BO140,BQ140,CA140,CC140,CM140,CO140,CY140,DA140,DK140,DM140)/SUM(BM140,BY140,CK140,CW140,DI140)</f>
        <v>0.70254523152407233</v>
      </c>
      <c r="HZ140" s="73">
        <f t="shared" ref="HZ140:HZ146" si="1263">SUM(DW140,DY140,EI140,EK140,EU140,EW140,FG140,FI140)/SUM(DU140,EG140,ES140,FE140)</f>
        <v>0.71283169756452203</v>
      </c>
      <c r="IA140" s="73">
        <f t="shared" ref="IA140:IA146" si="1264">SUM(FS140,FU140,GE140,GG140,GQ140,GS140,HC140,HE140)/SUM(FQ140,GC140,GO140,HA140)</f>
        <v>0.70543175487465182</v>
      </c>
    </row>
    <row r="141" spans="1:244" ht="19.5" customHeight="1" x14ac:dyDescent="0.25">
      <c r="A141" s="374"/>
      <c r="B141" s="41">
        <f t="shared" ref="B141:B146" si="1265">+B140+1</f>
        <v>45047</v>
      </c>
      <c r="C141" s="10">
        <v>1</v>
      </c>
      <c r="D141" s="11"/>
      <c r="E141" s="69">
        <f t="shared" ref="E141:E146" si="1266">E140-C141</f>
        <v>835</v>
      </c>
      <c r="F141" s="69">
        <f t="shared" ref="F141:F146" si="1267">F140-D141</f>
        <v>72</v>
      </c>
      <c r="G141" s="11">
        <v>592</v>
      </c>
      <c r="H141" s="12">
        <f t="shared" si="1216"/>
        <v>0.73293413173652699</v>
      </c>
      <c r="I141" s="11">
        <v>20</v>
      </c>
      <c r="J141" s="12">
        <f t="shared" si="1217"/>
        <v>3.2679738562091505E-2</v>
      </c>
      <c r="K141" s="13"/>
      <c r="L141" s="11"/>
      <c r="M141" s="11"/>
      <c r="N141" s="14"/>
      <c r="O141" s="10"/>
      <c r="P141" s="11"/>
      <c r="Q141" s="69">
        <f t="shared" ref="Q141:Q146" si="1268">Q140-O141</f>
        <v>759</v>
      </c>
      <c r="R141" s="69">
        <f t="shared" ref="R141:R146" si="1269">R140-P141</f>
        <v>64</v>
      </c>
      <c r="S141" s="11">
        <v>534</v>
      </c>
      <c r="T141" s="12">
        <f t="shared" si="1218"/>
        <v>0.72332015810276684</v>
      </c>
      <c r="U141" s="11">
        <v>15</v>
      </c>
      <c r="V141" s="12">
        <f t="shared" si="1219"/>
        <v>2.7322404371584699E-2</v>
      </c>
      <c r="W141" s="13"/>
      <c r="X141" s="11"/>
      <c r="Y141" s="11"/>
      <c r="Z141" s="14"/>
      <c r="AA141" s="10"/>
      <c r="AB141" s="11"/>
      <c r="AC141" s="69">
        <f t="shared" ref="AC141:AC146" si="1270">AC140-AA141</f>
        <v>176</v>
      </c>
      <c r="AD141" s="69">
        <f t="shared" ref="AD141:AD146" si="1271">AD140-AB141</f>
        <v>13</v>
      </c>
      <c r="AE141" s="11">
        <v>114</v>
      </c>
      <c r="AF141" s="12">
        <f t="shared" si="1220"/>
        <v>0.65909090909090906</v>
      </c>
      <c r="AG141" s="11">
        <v>2</v>
      </c>
      <c r="AH141" s="12">
        <f t="shared" si="1221"/>
        <v>1.7241379310344827E-2</v>
      </c>
      <c r="AI141" s="13"/>
      <c r="AJ141" s="11"/>
      <c r="AK141" s="11"/>
      <c r="AL141" s="14"/>
      <c r="AM141" s="10"/>
      <c r="AN141" s="11"/>
      <c r="AO141" s="69">
        <f t="shared" ref="AO141:AO146" si="1272">AO140-AM141</f>
        <v>773</v>
      </c>
      <c r="AP141" s="69">
        <f t="shared" ref="AP141:AP146" si="1273">AP140-AN141</f>
        <v>65</v>
      </c>
      <c r="AQ141" s="11">
        <v>526</v>
      </c>
      <c r="AR141" s="12">
        <f t="shared" si="1222"/>
        <v>0.69210866752910738</v>
      </c>
      <c r="AS141" s="11">
        <v>9</v>
      </c>
      <c r="AT141" s="12">
        <f t="shared" si="1223"/>
        <v>1.6822429906542057E-2</v>
      </c>
      <c r="AU141" s="13"/>
      <c r="AV141" s="11"/>
      <c r="AW141" s="11"/>
      <c r="AX141" s="14"/>
      <c r="AY141" s="10">
        <v>2</v>
      </c>
      <c r="AZ141" s="11"/>
      <c r="BA141" s="69">
        <f t="shared" ref="BA141:BA146" si="1274">BA140-AY141</f>
        <v>763</v>
      </c>
      <c r="BB141" s="69">
        <f t="shared" ref="BB141:BB146" si="1275">BB140-AZ141</f>
        <v>67</v>
      </c>
      <c r="BC141" s="11">
        <v>543</v>
      </c>
      <c r="BD141" s="12">
        <f t="shared" si="1224"/>
        <v>0.72346002621231975</v>
      </c>
      <c r="BE141" s="11">
        <v>9</v>
      </c>
      <c r="BF141" s="12">
        <f t="shared" si="1225"/>
        <v>1.6304347826086956E-2</v>
      </c>
      <c r="BG141" s="13"/>
      <c r="BH141" s="11"/>
      <c r="BI141" s="11"/>
      <c r="BJ141" s="14"/>
      <c r="BK141" s="10">
        <v>1</v>
      </c>
      <c r="BL141" s="11"/>
      <c r="BM141" s="69">
        <f t="shared" ref="BM141:BM146" si="1276">BM140-BK141</f>
        <v>829</v>
      </c>
      <c r="BN141" s="69">
        <f t="shared" ref="BN141:BN146" si="1277">BN140-BL141</f>
        <v>72</v>
      </c>
      <c r="BO141" s="11">
        <v>561</v>
      </c>
      <c r="BP141" s="12">
        <f t="shared" si="1226"/>
        <v>0.69481302774427023</v>
      </c>
      <c r="BQ141" s="11">
        <v>15</v>
      </c>
      <c r="BR141" s="12">
        <f t="shared" si="1227"/>
        <v>2.6041666666666668E-2</v>
      </c>
      <c r="BS141" s="13"/>
      <c r="BT141" s="11"/>
      <c r="BU141" s="11"/>
      <c r="BV141" s="14"/>
      <c r="BW141" s="10">
        <v>1</v>
      </c>
      <c r="BX141" s="11"/>
      <c r="BY141" s="69">
        <f t="shared" ref="BY141:BY146" si="1278">BY140-BW141</f>
        <v>753</v>
      </c>
      <c r="BZ141" s="69">
        <f t="shared" ref="BZ141:BZ146" si="1279">BZ140-BX141</f>
        <v>63</v>
      </c>
      <c r="CA141" s="11">
        <v>507</v>
      </c>
      <c r="CB141" s="12">
        <f t="shared" si="1228"/>
        <v>0.68127490039840632</v>
      </c>
      <c r="CC141" s="11">
        <v>6</v>
      </c>
      <c r="CD141" s="12">
        <f t="shared" si="1229"/>
        <v>1.1695906432748537E-2</v>
      </c>
      <c r="CE141" s="13"/>
      <c r="CF141" s="11"/>
      <c r="CG141" s="11"/>
      <c r="CH141" s="14"/>
      <c r="CI141" s="10"/>
      <c r="CJ141" s="11"/>
      <c r="CK141" s="69">
        <f t="shared" ref="CK141:CK146" si="1280">CK140-CI141</f>
        <v>174</v>
      </c>
      <c r="CL141" s="69">
        <f t="shared" ref="CL141:CL146" si="1281">CL140-CJ141</f>
        <v>14</v>
      </c>
      <c r="CM141" s="11">
        <v>122</v>
      </c>
      <c r="CN141" s="12">
        <f t="shared" si="1230"/>
        <v>0.7068965517241379</v>
      </c>
      <c r="CO141" s="11">
        <v>1</v>
      </c>
      <c r="CP141" s="12">
        <f t="shared" si="1231"/>
        <v>8.130081300813009E-3</v>
      </c>
      <c r="CQ141" s="13"/>
      <c r="CR141" s="11"/>
      <c r="CS141" s="11"/>
      <c r="CT141" s="14"/>
      <c r="CU141" s="10"/>
      <c r="CV141" s="11"/>
      <c r="CW141" s="69">
        <f t="shared" ref="CW141:CW146" si="1282">CW140-CU141</f>
        <v>747</v>
      </c>
      <c r="CX141" s="69">
        <f t="shared" ref="CX141:CX146" si="1283">CX140-CV141</f>
        <v>65</v>
      </c>
      <c r="CY141" s="11">
        <v>518</v>
      </c>
      <c r="CZ141" s="12">
        <f t="shared" si="1232"/>
        <v>0.70816599732262386</v>
      </c>
      <c r="DA141" s="11">
        <v>11</v>
      </c>
      <c r="DB141" s="12">
        <f t="shared" si="1233"/>
        <v>2.0793950850661626E-2</v>
      </c>
      <c r="DC141" s="13"/>
      <c r="DD141" s="11"/>
      <c r="DE141" s="11"/>
      <c r="DF141" s="14"/>
      <c r="DG141" s="10">
        <v>1</v>
      </c>
      <c r="DH141" s="11"/>
      <c r="DI141" s="69">
        <f t="shared" ref="DI141:DI146" si="1284">DI140-DG141</f>
        <v>755</v>
      </c>
      <c r="DJ141" s="69">
        <f t="shared" ref="DJ141:DJ146" si="1285">DJ140-DH141</f>
        <v>67</v>
      </c>
      <c r="DK141" s="11">
        <v>527</v>
      </c>
      <c r="DL141" s="12">
        <f t="shared" si="1234"/>
        <v>0.71523178807947019</v>
      </c>
      <c r="DM141" s="11">
        <v>13</v>
      </c>
      <c r="DN141" s="12">
        <f t="shared" si="1235"/>
        <v>2.4074074074074074E-2</v>
      </c>
      <c r="DO141" s="13"/>
      <c r="DP141" s="11"/>
      <c r="DQ141" s="11"/>
      <c r="DR141" s="14"/>
      <c r="DS141" s="10"/>
      <c r="DT141" s="11"/>
      <c r="DU141" s="69">
        <f t="shared" ref="DU141:DU146" si="1286">DU140-DS141</f>
        <v>842</v>
      </c>
      <c r="DV141" s="69">
        <f t="shared" ref="DV141:DV146" si="1287">DV140-DT141</f>
        <v>71</v>
      </c>
      <c r="DW141" s="11">
        <v>542</v>
      </c>
      <c r="DX141" s="12">
        <f t="shared" si="1236"/>
        <v>0.66864608076009502</v>
      </c>
      <c r="DY141" s="11">
        <v>21</v>
      </c>
      <c r="DZ141" s="12">
        <f t="shared" si="1237"/>
        <v>3.7300177619893425E-2</v>
      </c>
      <c r="EA141" s="13"/>
      <c r="EB141" s="11"/>
      <c r="EC141" s="11"/>
      <c r="ED141" s="14"/>
      <c r="EE141" s="10">
        <v>1</v>
      </c>
      <c r="EF141" s="11"/>
      <c r="EG141" s="69">
        <f t="shared" ref="EG141:EG146" si="1288">EG140-EE141</f>
        <v>852</v>
      </c>
      <c r="EH141" s="69">
        <f t="shared" ref="EH141:EH146" si="1289">EH140-EF141</f>
        <v>74</v>
      </c>
      <c r="EI141" s="11">
        <v>556</v>
      </c>
      <c r="EJ141" s="12">
        <f t="shared" si="1238"/>
        <v>0.67488262910798125</v>
      </c>
      <c r="EK141" s="11">
        <v>19</v>
      </c>
      <c r="EL141" s="12">
        <f t="shared" si="1239"/>
        <v>3.3043478260869563E-2</v>
      </c>
      <c r="EM141" s="13"/>
      <c r="EN141" s="11"/>
      <c r="EO141" s="11"/>
      <c r="EP141" s="14"/>
      <c r="EQ141" s="10"/>
      <c r="ER141" s="11"/>
      <c r="ES141" s="69">
        <f t="shared" ref="ES141:ES146" si="1290">ES140-EQ141</f>
        <v>192</v>
      </c>
      <c r="ET141" s="69">
        <f t="shared" ref="ET141:ET146" si="1291">ET140-ER141</f>
        <v>16</v>
      </c>
      <c r="EU141" s="11">
        <v>119</v>
      </c>
      <c r="EV141" s="12">
        <f t="shared" si="1240"/>
        <v>0.64583333333333337</v>
      </c>
      <c r="EW141" s="11">
        <v>5</v>
      </c>
      <c r="EX141" s="12">
        <f t="shared" si="1241"/>
        <v>4.0322580645161289E-2</v>
      </c>
      <c r="EY141" s="13"/>
      <c r="EZ141" s="11"/>
      <c r="FA141" s="11"/>
      <c r="FB141" s="14"/>
      <c r="FC141" s="10"/>
      <c r="FD141" s="11"/>
      <c r="FE141" s="69">
        <f t="shared" ref="FE141:FE146" si="1292">FE140-FC141</f>
        <v>864</v>
      </c>
      <c r="FF141" s="69">
        <f t="shared" ref="FF141:FF146" si="1293">FF140-FD141</f>
        <v>75</v>
      </c>
      <c r="FG141" s="11">
        <v>606</v>
      </c>
      <c r="FH141" s="12">
        <f t="shared" si="1242"/>
        <v>0.71180555555555558</v>
      </c>
      <c r="FI141" s="11">
        <v>9</v>
      </c>
      <c r="FJ141" s="12">
        <f t="shared" si="1243"/>
        <v>1.4634146341463415E-2</v>
      </c>
      <c r="FK141" s="13"/>
      <c r="FL141" s="11"/>
      <c r="FM141" s="11"/>
      <c r="FN141" s="14"/>
      <c r="FO141" s="10">
        <v>2</v>
      </c>
      <c r="FP141" s="11"/>
      <c r="FQ141" s="69">
        <f t="shared" ref="FQ141:FQ146" si="1294">FQ140-FO141</f>
        <v>895</v>
      </c>
      <c r="FR141" s="69">
        <f t="shared" ref="FR141:FR146" si="1295">FR140-FP141</f>
        <v>75</v>
      </c>
      <c r="FS141" s="11">
        <v>581</v>
      </c>
      <c r="FT141" s="12">
        <f t="shared" si="1244"/>
        <v>0.66480446927374304</v>
      </c>
      <c r="FU141" s="11">
        <v>14</v>
      </c>
      <c r="FV141" s="12">
        <f t="shared" si="1245"/>
        <v>2.3529411764705882E-2</v>
      </c>
      <c r="FW141" s="13"/>
      <c r="FX141" s="11"/>
      <c r="FY141" s="11"/>
      <c r="FZ141" s="14"/>
      <c r="GA141" s="10"/>
      <c r="GB141" s="11"/>
      <c r="GC141" s="69">
        <f t="shared" ref="GC141:GC146" si="1296">GC140-GA141</f>
        <v>890</v>
      </c>
      <c r="GD141" s="69">
        <f t="shared" ref="GD141:GD146" si="1297">GD140-GB141</f>
        <v>76</v>
      </c>
      <c r="GE141" s="11">
        <v>624</v>
      </c>
      <c r="GF141" s="12">
        <f t="shared" si="1246"/>
        <v>0.7134831460674157</v>
      </c>
      <c r="GG141" s="11">
        <v>11</v>
      </c>
      <c r="GH141" s="12">
        <f t="shared" si="1247"/>
        <v>1.7322834645669291E-2</v>
      </c>
      <c r="GI141" s="13"/>
      <c r="GJ141" s="11"/>
      <c r="GK141" s="11"/>
      <c r="GL141" s="14"/>
      <c r="GM141" s="10"/>
      <c r="GN141" s="11"/>
      <c r="GO141" s="69">
        <f t="shared" ref="GO141:GO146" si="1298">GO140-GM141</f>
        <v>177</v>
      </c>
      <c r="GP141" s="69">
        <f t="shared" ref="GP141:GP146" si="1299">GP140-GN141</f>
        <v>17</v>
      </c>
      <c r="GQ141" s="11">
        <v>123</v>
      </c>
      <c r="GR141" s="12">
        <f t="shared" si="1248"/>
        <v>0.7344632768361582</v>
      </c>
      <c r="GS141" s="11">
        <v>7</v>
      </c>
      <c r="GT141" s="12">
        <f t="shared" si="1249"/>
        <v>5.3846153846153849E-2</v>
      </c>
      <c r="GU141" s="13"/>
      <c r="GV141" s="11"/>
      <c r="GW141" s="11"/>
      <c r="GX141" s="14"/>
      <c r="GY141" s="10"/>
      <c r="GZ141" s="11">
        <v>1</v>
      </c>
      <c r="HA141" s="69">
        <f t="shared" ref="HA141:HA146" si="1300">HA140-GY141</f>
        <v>908</v>
      </c>
      <c r="HB141" s="69">
        <f t="shared" ref="HB141:HB146" si="1301">HB140-GZ141</f>
        <v>77</v>
      </c>
      <c r="HC141" s="11">
        <v>620</v>
      </c>
      <c r="HD141" s="12">
        <f t="shared" si="1250"/>
        <v>0.69493392070484583</v>
      </c>
      <c r="HE141" s="11">
        <v>11</v>
      </c>
      <c r="HF141" s="12">
        <f t="shared" si="1251"/>
        <v>1.7432646592709985E-2</v>
      </c>
      <c r="HG141" s="13"/>
      <c r="HH141" s="11"/>
      <c r="HI141" s="11"/>
      <c r="HJ141" s="14"/>
      <c r="HK141" s="10">
        <f t="shared" si="1252"/>
        <v>9</v>
      </c>
      <c r="HL141" s="11">
        <f t="shared" si="1253"/>
        <v>1</v>
      </c>
      <c r="HM141" s="11">
        <f t="shared" si="1254"/>
        <v>12184</v>
      </c>
      <c r="HN141" s="11">
        <f t="shared" si="1255"/>
        <v>1043</v>
      </c>
      <c r="HO141" s="11">
        <f t="shared" si="1256"/>
        <v>8513</v>
      </c>
      <c r="HP141" s="95">
        <f t="shared" si="1257"/>
        <v>0.69870321733420881</v>
      </c>
      <c r="HQ141" s="15">
        <f t="shared" si="1258"/>
        <v>198</v>
      </c>
      <c r="HR141" s="12">
        <f t="shared" si="1259"/>
        <v>2.3258545753553388E-2</v>
      </c>
      <c r="HS141" s="16">
        <v>62.4</v>
      </c>
      <c r="HT141" s="17">
        <v>8148</v>
      </c>
      <c r="HU141" s="16">
        <f t="shared" si="1260"/>
        <v>95.71243979795608</v>
      </c>
      <c r="HV141" s="15"/>
      <c r="HW141" s="14"/>
      <c r="HX141" s="73">
        <f t="shared" si="1261"/>
        <v>0.71506352087114333</v>
      </c>
      <c r="HY141" s="73">
        <f t="shared" si="1262"/>
        <v>0.70012277470841011</v>
      </c>
      <c r="HZ141" s="73">
        <f t="shared" si="1263"/>
        <v>0.68254545454545457</v>
      </c>
      <c r="IA141" s="73">
        <f t="shared" si="1264"/>
        <v>0.69372822299651571</v>
      </c>
    </row>
    <row r="142" spans="1:244" x14ac:dyDescent="0.25">
      <c r="A142" s="374"/>
      <c r="B142" s="41">
        <f t="shared" si="1265"/>
        <v>45048</v>
      </c>
      <c r="C142" s="10"/>
      <c r="D142" s="11"/>
      <c r="E142" s="69">
        <f t="shared" si="1266"/>
        <v>835</v>
      </c>
      <c r="F142" s="69">
        <f t="shared" si="1267"/>
        <v>72</v>
      </c>
      <c r="G142" s="11">
        <v>553</v>
      </c>
      <c r="H142" s="12">
        <f t="shared" si="1216"/>
        <v>0.66946107784431141</v>
      </c>
      <c r="I142" s="11">
        <v>6</v>
      </c>
      <c r="J142" s="12">
        <f t="shared" si="1217"/>
        <v>1.0733452593917709E-2</v>
      </c>
      <c r="K142" s="13"/>
      <c r="L142" s="11"/>
      <c r="M142" s="11"/>
      <c r="N142" s="14"/>
      <c r="O142" s="10"/>
      <c r="P142" s="11"/>
      <c r="Q142" s="69">
        <f t="shared" si="1268"/>
        <v>759</v>
      </c>
      <c r="R142" s="69">
        <f t="shared" si="1269"/>
        <v>64</v>
      </c>
      <c r="S142" s="11">
        <v>515</v>
      </c>
      <c r="T142" s="12">
        <f t="shared" si="1218"/>
        <v>0.68774703557312256</v>
      </c>
      <c r="U142" s="11">
        <v>7</v>
      </c>
      <c r="V142" s="12">
        <f t="shared" si="1219"/>
        <v>1.3409961685823755E-2</v>
      </c>
      <c r="W142" s="13"/>
      <c r="X142" s="11"/>
      <c r="Y142" s="11"/>
      <c r="Z142" s="14"/>
      <c r="AA142" s="10"/>
      <c r="AB142" s="11"/>
      <c r="AC142" s="69">
        <f t="shared" si="1270"/>
        <v>176</v>
      </c>
      <c r="AD142" s="69">
        <f t="shared" si="1271"/>
        <v>13</v>
      </c>
      <c r="AE142" s="11">
        <v>125</v>
      </c>
      <c r="AF142" s="12">
        <f t="shared" si="1220"/>
        <v>0.71022727272727271</v>
      </c>
      <c r="AG142" s="11">
        <v>0</v>
      </c>
      <c r="AH142" s="12">
        <f t="shared" si="1221"/>
        <v>0</v>
      </c>
      <c r="AI142" s="13"/>
      <c r="AJ142" s="11"/>
      <c r="AK142" s="11"/>
      <c r="AL142" s="14"/>
      <c r="AM142" s="10"/>
      <c r="AN142" s="11"/>
      <c r="AO142" s="69">
        <f t="shared" si="1272"/>
        <v>773</v>
      </c>
      <c r="AP142" s="69">
        <f t="shared" si="1273"/>
        <v>65</v>
      </c>
      <c r="AQ142" s="11">
        <v>524</v>
      </c>
      <c r="AR142" s="12">
        <f t="shared" si="1222"/>
        <v>0.69210866752910738</v>
      </c>
      <c r="AS142" s="11">
        <v>11</v>
      </c>
      <c r="AT142" s="12">
        <f t="shared" si="1223"/>
        <v>2.0560747663551402E-2</v>
      </c>
      <c r="AU142" s="13"/>
      <c r="AV142" s="11"/>
      <c r="AW142" s="11"/>
      <c r="AX142" s="14"/>
      <c r="AY142" s="10"/>
      <c r="AZ142" s="11"/>
      <c r="BA142" s="69">
        <f t="shared" si="1274"/>
        <v>763</v>
      </c>
      <c r="BB142" s="69">
        <f t="shared" si="1275"/>
        <v>67</v>
      </c>
      <c r="BC142" s="11">
        <v>517</v>
      </c>
      <c r="BD142" s="12">
        <f t="shared" si="1224"/>
        <v>0.69200524246395811</v>
      </c>
      <c r="BE142" s="11">
        <v>11</v>
      </c>
      <c r="BF142" s="12">
        <f t="shared" si="1225"/>
        <v>2.0833333333333332E-2</v>
      </c>
      <c r="BG142" s="13"/>
      <c r="BH142" s="11"/>
      <c r="BI142" s="11"/>
      <c r="BJ142" s="14"/>
      <c r="BK142" s="10"/>
      <c r="BL142" s="11"/>
      <c r="BM142" s="69">
        <f t="shared" si="1276"/>
        <v>829</v>
      </c>
      <c r="BN142" s="69">
        <f t="shared" si="1277"/>
        <v>72</v>
      </c>
      <c r="BO142" s="11">
        <v>567</v>
      </c>
      <c r="BP142" s="12">
        <f t="shared" si="1226"/>
        <v>0.69963811821471655</v>
      </c>
      <c r="BQ142" s="11">
        <v>13</v>
      </c>
      <c r="BR142" s="12">
        <f t="shared" si="1227"/>
        <v>2.2413793103448276E-2</v>
      </c>
      <c r="BS142" s="13"/>
      <c r="BT142" s="11"/>
      <c r="BU142" s="11"/>
      <c r="BV142" s="14"/>
      <c r="BW142" s="10"/>
      <c r="BX142" s="11"/>
      <c r="BY142" s="69">
        <f t="shared" si="1278"/>
        <v>753</v>
      </c>
      <c r="BZ142" s="69">
        <f t="shared" si="1279"/>
        <v>63</v>
      </c>
      <c r="CA142" s="11">
        <v>519</v>
      </c>
      <c r="CB142" s="12">
        <f t="shared" si="1228"/>
        <v>0.70119521912350602</v>
      </c>
      <c r="CC142" s="11">
        <v>9</v>
      </c>
      <c r="CD142" s="12">
        <f t="shared" si="1229"/>
        <v>1.7045454545454544E-2</v>
      </c>
      <c r="CE142" s="13"/>
      <c r="CF142" s="11"/>
      <c r="CG142" s="11"/>
      <c r="CH142" s="14"/>
      <c r="CI142" s="10">
        <v>1</v>
      </c>
      <c r="CJ142" s="11"/>
      <c r="CK142" s="69">
        <f t="shared" si="1280"/>
        <v>173</v>
      </c>
      <c r="CL142" s="69">
        <f t="shared" si="1281"/>
        <v>14</v>
      </c>
      <c r="CM142" s="11">
        <v>109</v>
      </c>
      <c r="CN142" s="12">
        <f t="shared" si="1230"/>
        <v>0.63583815028901736</v>
      </c>
      <c r="CO142" s="11">
        <v>1</v>
      </c>
      <c r="CP142" s="12">
        <f t="shared" si="1231"/>
        <v>9.0909090909090905E-3</v>
      </c>
      <c r="CQ142" s="13"/>
      <c r="CR142" s="11"/>
      <c r="CS142" s="11"/>
      <c r="CT142" s="14"/>
      <c r="CU142" s="10"/>
      <c r="CV142" s="11"/>
      <c r="CW142" s="69">
        <f t="shared" si="1282"/>
        <v>747</v>
      </c>
      <c r="CX142" s="69">
        <f t="shared" si="1283"/>
        <v>65</v>
      </c>
      <c r="CY142" s="11">
        <v>521</v>
      </c>
      <c r="CZ142" s="12">
        <f t="shared" si="1232"/>
        <v>0.7041499330655957</v>
      </c>
      <c r="DA142" s="11">
        <v>5</v>
      </c>
      <c r="DB142" s="12">
        <f t="shared" si="1233"/>
        <v>9.5057034220532317E-3</v>
      </c>
      <c r="DC142" s="13"/>
      <c r="DD142" s="11"/>
      <c r="DE142" s="11"/>
      <c r="DF142" s="14"/>
      <c r="DG142" s="10"/>
      <c r="DH142" s="11"/>
      <c r="DI142" s="69">
        <f t="shared" si="1284"/>
        <v>755</v>
      </c>
      <c r="DJ142" s="69">
        <f t="shared" si="1285"/>
        <v>67</v>
      </c>
      <c r="DK142" s="11">
        <v>515</v>
      </c>
      <c r="DL142" s="12">
        <f t="shared" si="1234"/>
        <v>0.69139072847682115</v>
      </c>
      <c r="DM142" s="11">
        <v>7</v>
      </c>
      <c r="DN142" s="12">
        <f t="shared" si="1235"/>
        <v>1.3409961685823755E-2</v>
      </c>
      <c r="DO142" s="13"/>
      <c r="DP142" s="11"/>
      <c r="DQ142" s="11"/>
      <c r="DR142" s="14"/>
      <c r="DS142" s="10">
        <v>2</v>
      </c>
      <c r="DT142" s="11"/>
      <c r="DU142" s="69">
        <f t="shared" si="1286"/>
        <v>840</v>
      </c>
      <c r="DV142" s="69">
        <f t="shared" si="1287"/>
        <v>71</v>
      </c>
      <c r="DW142" s="11">
        <v>593</v>
      </c>
      <c r="DX142" s="12">
        <f t="shared" si="1236"/>
        <v>0.72738095238095235</v>
      </c>
      <c r="DY142" s="11">
        <v>18</v>
      </c>
      <c r="DZ142" s="12">
        <f t="shared" si="1237"/>
        <v>2.9459901800327332E-2</v>
      </c>
      <c r="EA142" s="13"/>
      <c r="EB142" s="11"/>
      <c r="EC142" s="11"/>
      <c r="ED142" s="14"/>
      <c r="EE142" s="10"/>
      <c r="EF142" s="11"/>
      <c r="EG142" s="69">
        <f t="shared" si="1288"/>
        <v>852</v>
      </c>
      <c r="EH142" s="69">
        <f t="shared" si="1289"/>
        <v>74</v>
      </c>
      <c r="EI142" s="11">
        <v>583</v>
      </c>
      <c r="EJ142" s="12">
        <f t="shared" si="1238"/>
        <v>0.70892018779342725</v>
      </c>
      <c r="EK142" s="11">
        <v>21</v>
      </c>
      <c r="EL142" s="12">
        <f t="shared" si="1239"/>
        <v>3.4768211920529798E-2</v>
      </c>
      <c r="EM142" s="13"/>
      <c r="EN142" s="11"/>
      <c r="EO142" s="11"/>
      <c r="EP142" s="14"/>
      <c r="EQ142" s="10"/>
      <c r="ER142" s="11"/>
      <c r="ES142" s="69">
        <f t="shared" si="1290"/>
        <v>192</v>
      </c>
      <c r="ET142" s="69">
        <f t="shared" si="1291"/>
        <v>16</v>
      </c>
      <c r="EU142" s="11">
        <v>140</v>
      </c>
      <c r="EV142" s="12">
        <f t="shared" si="1240"/>
        <v>0.76041666666666663</v>
      </c>
      <c r="EW142" s="11">
        <v>6</v>
      </c>
      <c r="EX142" s="12">
        <f t="shared" si="1241"/>
        <v>4.1095890410958902E-2</v>
      </c>
      <c r="EY142" s="13"/>
      <c r="EZ142" s="11"/>
      <c r="FA142" s="11"/>
      <c r="FB142" s="14"/>
      <c r="FC142" s="10"/>
      <c r="FD142" s="11"/>
      <c r="FE142" s="69">
        <f t="shared" si="1292"/>
        <v>864</v>
      </c>
      <c r="FF142" s="69">
        <f t="shared" si="1293"/>
        <v>75</v>
      </c>
      <c r="FG142" s="11">
        <v>645</v>
      </c>
      <c r="FH142" s="12">
        <f t="shared" si="1242"/>
        <v>0.7592592592592593</v>
      </c>
      <c r="FI142" s="11">
        <v>11</v>
      </c>
      <c r="FJ142" s="12">
        <f t="shared" si="1243"/>
        <v>1.676829268292683E-2</v>
      </c>
      <c r="FK142" s="13"/>
      <c r="FL142" s="11"/>
      <c r="FM142" s="11"/>
      <c r="FN142" s="14"/>
      <c r="FO142" s="10">
        <v>1</v>
      </c>
      <c r="FP142" s="11"/>
      <c r="FQ142" s="69">
        <f t="shared" si="1294"/>
        <v>894</v>
      </c>
      <c r="FR142" s="69">
        <f t="shared" si="1295"/>
        <v>75</v>
      </c>
      <c r="FS142" s="11">
        <v>600</v>
      </c>
      <c r="FT142" s="12">
        <f t="shared" si="1244"/>
        <v>0.69351230425055932</v>
      </c>
      <c r="FU142" s="11">
        <v>20</v>
      </c>
      <c r="FV142" s="12">
        <f t="shared" si="1245"/>
        <v>3.2258064516129031E-2</v>
      </c>
      <c r="FW142" s="13"/>
      <c r="FX142" s="11"/>
      <c r="FY142" s="11"/>
      <c r="FZ142" s="14"/>
      <c r="GA142" s="10"/>
      <c r="GB142" s="11"/>
      <c r="GC142" s="69">
        <f t="shared" si="1296"/>
        <v>890</v>
      </c>
      <c r="GD142" s="69">
        <f t="shared" si="1297"/>
        <v>76</v>
      </c>
      <c r="GE142" s="11">
        <v>598</v>
      </c>
      <c r="GF142" s="12">
        <f t="shared" si="1246"/>
        <v>0.69775280898876402</v>
      </c>
      <c r="GG142" s="11">
        <v>23</v>
      </c>
      <c r="GH142" s="12">
        <f t="shared" si="1247"/>
        <v>3.7037037037037035E-2</v>
      </c>
      <c r="GI142" s="13"/>
      <c r="GJ142" s="11"/>
      <c r="GK142" s="11"/>
      <c r="GL142" s="14"/>
      <c r="GM142" s="10">
        <v>1</v>
      </c>
      <c r="GN142" s="11"/>
      <c r="GO142" s="69">
        <f t="shared" si="1298"/>
        <v>176</v>
      </c>
      <c r="GP142" s="69">
        <f t="shared" si="1299"/>
        <v>17</v>
      </c>
      <c r="GQ142" s="11">
        <v>106</v>
      </c>
      <c r="GR142" s="12">
        <f t="shared" si="1248"/>
        <v>0.63636363636363635</v>
      </c>
      <c r="GS142" s="11">
        <v>6</v>
      </c>
      <c r="GT142" s="12">
        <f t="shared" si="1249"/>
        <v>5.3571428571428568E-2</v>
      </c>
      <c r="GU142" s="13"/>
      <c r="GV142" s="11"/>
      <c r="GW142" s="11"/>
      <c r="GX142" s="14"/>
      <c r="GY142" s="10"/>
      <c r="GZ142" s="11"/>
      <c r="HA142" s="69">
        <f t="shared" si="1300"/>
        <v>908</v>
      </c>
      <c r="HB142" s="69">
        <f t="shared" si="1301"/>
        <v>77</v>
      </c>
      <c r="HC142" s="11">
        <v>645</v>
      </c>
      <c r="HD142" s="12">
        <f t="shared" si="1250"/>
        <v>0.72136563876651982</v>
      </c>
      <c r="HE142" s="11">
        <v>10</v>
      </c>
      <c r="HF142" s="12">
        <f t="shared" si="1251"/>
        <v>1.5267175572519083E-2</v>
      </c>
      <c r="HG142" s="13"/>
      <c r="HH142" s="11"/>
      <c r="HI142" s="11"/>
      <c r="HJ142" s="14"/>
      <c r="HK142" s="10">
        <f t="shared" si="1252"/>
        <v>5</v>
      </c>
      <c r="HL142" s="11">
        <f t="shared" si="1253"/>
        <v>0</v>
      </c>
      <c r="HM142" s="11">
        <f t="shared" si="1254"/>
        <v>12179</v>
      </c>
      <c r="HN142" s="11">
        <f t="shared" si="1255"/>
        <v>1043</v>
      </c>
      <c r="HO142" s="11">
        <f t="shared" si="1256"/>
        <v>8560</v>
      </c>
      <c r="HP142" s="95">
        <f t="shared" si="1257"/>
        <v>0.70284916659824292</v>
      </c>
      <c r="HQ142" s="15">
        <f t="shared" si="1258"/>
        <v>185</v>
      </c>
      <c r="HR142" s="12">
        <f t="shared" si="1259"/>
        <v>2.1612149532710279E-2</v>
      </c>
      <c r="HS142" s="16">
        <v>62.7</v>
      </c>
      <c r="HT142" s="17">
        <v>8218</v>
      </c>
      <c r="HU142" s="16">
        <f t="shared" si="1260"/>
        <v>96.004672897196258</v>
      </c>
      <c r="HV142" s="15"/>
      <c r="HW142" s="14"/>
      <c r="HX142" s="73">
        <f t="shared" si="1261"/>
        <v>0.68632788868723538</v>
      </c>
      <c r="HY142" s="73">
        <f t="shared" si="1262"/>
        <v>0.69573226895916485</v>
      </c>
      <c r="HZ142" s="73">
        <f t="shared" si="1263"/>
        <v>0.73398835516739447</v>
      </c>
      <c r="IA142" s="73">
        <f t="shared" si="1264"/>
        <v>0.70013947001394705</v>
      </c>
    </row>
    <row r="143" spans="1:244" x14ac:dyDescent="0.25">
      <c r="A143" s="374"/>
      <c r="B143" s="41">
        <f t="shared" si="1265"/>
        <v>45049</v>
      </c>
      <c r="C143" s="10"/>
      <c r="D143" s="11"/>
      <c r="E143" s="69">
        <f t="shared" si="1266"/>
        <v>835</v>
      </c>
      <c r="F143" s="69">
        <f t="shared" si="1267"/>
        <v>72</v>
      </c>
      <c r="G143" s="11">
        <v>543</v>
      </c>
      <c r="H143" s="12">
        <f t="shared" si="1216"/>
        <v>0.67664670658682635</v>
      </c>
      <c r="I143" s="11">
        <v>22</v>
      </c>
      <c r="J143" s="12">
        <f t="shared" si="1217"/>
        <v>3.8938053097345132E-2</v>
      </c>
      <c r="K143" s="11"/>
      <c r="L143" s="11"/>
      <c r="M143" s="18"/>
      <c r="N143" s="20"/>
      <c r="O143" s="10"/>
      <c r="P143" s="11"/>
      <c r="Q143" s="69">
        <f t="shared" si="1268"/>
        <v>759</v>
      </c>
      <c r="R143" s="69">
        <f t="shared" si="1269"/>
        <v>64</v>
      </c>
      <c r="S143" s="11">
        <v>463</v>
      </c>
      <c r="T143" s="12">
        <f t="shared" si="1218"/>
        <v>0.62318840579710144</v>
      </c>
      <c r="U143" s="11">
        <v>10</v>
      </c>
      <c r="V143" s="12">
        <f t="shared" si="1219"/>
        <v>2.1141649048625793E-2</v>
      </c>
      <c r="W143" s="11"/>
      <c r="X143" s="11"/>
      <c r="Y143" s="18"/>
      <c r="Z143" s="20"/>
      <c r="AA143" s="10">
        <v>1</v>
      </c>
      <c r="AB143" s="11"/>
      <c r="AC143" s="69">
        <f t="shared" si="1270"/>
        <v>175</v>
      </c>
      <c r="AD143" s="69">
        <f t="shared" si="1271"/>
        <v>13</v>
      </c>
      <c r="AE143" s="11">
        <v>116</v>
      </c>
      <c r="AF143" s="12">
        <f t="shared" si="1220"/>
        <v>0.68</v>
      </c>
      <c r="AG143" s="11">
        <v>3</v>
      </c>
      <c r="AH143" s="12">
        <f t="shared" si="1221"/>
        <v>2.5210084033613446E-2</v>
      </c>
      <c r="AI143" s="11"/>
      <c r="AJ143" s="11"/>
      <c r="AK143" s="18"/>
      <c r="AL143" s="20"/>
      <c r="AM143" s="10"/>
      <c r="AN143" s="11"/>
      <c r="AO143" s="69">
        <f t="shared" si="1272"/>
        <v>773</v>
      </c>
      <c r="AP143" s="69">
        <f t="shared" si="1273"/>
        <v>65</v>
      </c>
      <c r="AQ143" s="11">
        <v>508</v>
      </c>
      <c r="AR143" s="12">
        <f t="shared" si="1222"/>
        <v>0.66882276843467015</v>
      </c>
      <c r="AS143" s="11">
        <v>9</v>
      </c>
      <c r="AT143" s="12">
        <f t="shared" si="1223"/>
        <v>1.7408123791102514E-2</v>
      </c>
      <c r="AU143" s="11"/>
      <c r="AV143" s="11"/>
      <c r="AW143" s="18"/>
      <c r="AX143" s="20"/>
      <c r="AY143" s="10"/>
      <c r="AZ143" s="11"/>
      <c r="BA143" s="69">
        <f t="shared" si="1274"/>
        <v>763</v>
      </c>
      <c r="BB143" s="69">
        <f t="shared" si="1275"/>
        <v>67</v>
      </c>
      <c r="BC143" s="11">
        <v>524</v>
      </c>
      <c r="BD143" s="12">
        <f t="shared" si="1224"/>
        <v>0.69986893840104847</v>
      </c>
      <c r="BE143" s="11">
        <v>10</v>
      </c>
      <c r="BF143" s="12">
        <f t="shared" si="1225"/>
        <v>1.8726591760299626E-2</v>
      </c>
      <c r="BG143" s="11"/>
      <c r="BH143" s="11"/>
      <c r="BI143" s="18"/>
      <c r="BJ143" s="20"/>
      <c r="BK143" s="10"/>
      <c r="BL143" s="11"/>
      <c r="BM143" s="69">
        <f t="shared" si="1276"/>
        <v>829</v>
      </c>
      <c r="BN143" s="69">
        <f t="shared" si="1277"/>
        <v>72</v>
      </c>
      <c r="BO143" s="11">
        <v>566</v>
      </c>
      <c r="BP143" s="12">
        <f t="shared" si="1226"/>
        <v>0.70205066344993972</v>
      </c>
      <c r="BQ143" s="11">
        <v>16</v>
      </c>
      <c r="BR143" s="12">
        <f t="shared" si="1227"/>
        <v>2.7491408934707903E-2</v>
      </c>
      <c r="BS143" s="11"/>
      <c r="BT143" s="11"/>
      <c r="BU143" s="18"/>
      <c r="BV143" s="20"/>
      <c r="BW143" s="10"/>
      <c r="BX143" s="11"/>
      <c r="BY143" s="69">
        <f t="shared" si="1278"/>
        <v>753</v>
      </c>
      <c r="BZ143" s="69">
        <f t="shared" si="1279"/>
        <v>63</v>
      </c>
      <c r="CA143" s="11">
        <v>472</v>
      </c>
      <c r="CB143" s="12">
        <f t="shared" si="1228"/>
        <v>0.64276228419654713</v>
      </c>
      <c r="CC143" s="11">
        <v>12</v>
      </c>
      <c r="CD143" s="12">
        <f t="shared" si="1229"/>
        <v>2.4793388429752067E-2</v>
      </c>
      <c r="CE143" s="11"/>
      <c r="CF143" s="11"/>
      <c r="CG143" s="18"/>
      <c r="CH143" s="20"/>
      <c r="CI143" s="10"/>
      <c r="CJ143" s="11"/>
      <c r="CK143" s="69">
        <f t="shared" si="1280"/>
        <v>173</v>
      </c>
      <c r="CL143" s="69">
        <f t="shared" si="1281"/>
        <v>14</v>
      </c>
      <c r="CM143" s="11">
        <v>108</v>
      </c>
      <c r="CN143" s="12">
        <f t="shared" si="1230"/>
        <v>0.64161849710982655</v>
      </c>
      <c r="CO143" s="11">
        <v>3</v>
      </c>
      <c r="CP143" s="12">
        <f t="shared" si="1231"/>
        <v>2.7027027027027029E-2</v>
      </c>
      <c r="CQ143" s="11"/>
      <c r="CR143" s="11"/>
      <c r="CS143" s="18"/>
      <c r="CT143" s="20"/>
      <c r="CU143" s="10"/>
      <c r="CV143" s="11"/>
      <c r="CW143" s="69">
        <f t="shared" si="1282"/>
        <v>747</v>
      </c>
      <c r="CX143" s="69">
        <f t="shared" si="1283"/>
        <v>65</v>
      </c>
      <c r="CY143" s="11">
        <v>498</v>
      </c>
      <c r="CZ143" s="12">
        <f t="shared" si="1232"/>
        <v>0.67871485943775101</v>
      </c>
      <c r="DA143" s="11">
        <v>9</v>
      </c>
      <c r="DB143" s="12">
        <f t="shared" si="1233"/>
        <v>1.7751479289940829E-2</v>
      </c>
      <c r="DC143" s="11"/>
      <c r="DD143" s="11"/>
      <c r="DE143" s="18"/>
      <c r="DF143" s="20"/>
      <c r="DG143" s="10"/>
      <c r="DH143" s="11"/>
      <c r="DI143" s="69">
        <f t="shared" si="1284"/>
        <v>755</v>
      </c>
      <c r="DJ143" s="69">
        <f t="shared" si="1285"/>
        <v>67</v>
      </c>
      <c r="DK143" s="11">
        <v>514</v>
      </c>
      <c r="DL143" s="12">
        <f t="shared" si="1234"/>
        <v>0.6993377483443709</v>
      </c>
      <c r="DM143" s="11">
        <v>14</v>
      </c>
      <c r="DN143" s="12">
        <f t="shared" si="1235"/>
        <v>2.6515151515151516E-2</v>
      </c>
      <c r="DO143" s="11"/>
      <c r="DP143" s="11"/>
      <c r="DQ143" s="18"/>
      <c r="DR143" s="20"/>
      <c r="DS143" s="10"/>
      <c r="DT143" s="11"/>
      <c r="DU143" s="69">
        <f t="shared" si="1286"/>
        <v>840</v>
      </c>
      <c r="DV143" s="69">
        <f t="shared" si="1287"/>
        <v>71</v>
      </c>
      <c r="DW143" s="11">
        <v>536</v>
      </c>
      <c r="DX143" s="12">
        <f t="shared" si="1236"/>
        <v>0.65952380952380951</v>
      </c>
      <c r="DY143" s="11">
        <v>18</v>
      </c>
      <c r="DZ143" s="12">
        <f t="shared" si="1237"/>
        <v>3.2490974729241874E-2</v>
      </c>
      <c r="EA143" s="11"/>
      <c r="EB143" s="11"/>
      <c r="EC143" s="18"/>
      <c r="ED143" s="20"/>
      <c r="EE143" s="10"/>
      <c r="EF143" s="11"/>
      <c r="EG143" s="69">
        <f t="shared" si="1288"/>
        <v>852</v>
      </c>
      <c r="EH143" s="69">
        <f t="shared" si="1289"/>
        <v>74</v>
      </c>
      <c r="EI143" s="11">
        <v>533</v>
      </c>
      <c r="EJ143" s="12">
        <f t="shared" si="1238"/>
        <v>0.64084507042253525</v>
      </c>
      <c r="EK143" s="11">
        <v>13</v>
      </c>
      <c r="EL143" s="12">
        <f t="shared" si="1239"/>
        <v>2.3809523809523808E-2</v>
      </c>
      <c r="EM143" s="11"/>
      <c r="EN143" s="11"/>
      <c r="EO143" s="18"/>
      <c r="EP143" s="20"/>
      <c r="EQ143" s="10"/>
      <c r="ER143" s="11"/>
      <c r="ES143" s="69">
        <f t="shared" si="1290"/>
        <v>192</v>
      </c>
      <c r="ET143" s="69">
        <f t="shared" si="1291"/>
        <v>16</v>
      </c>
      <c r="EU143" s="11">
        <v>125</v>
      </c>
      <c r="EV143" s="12">
        <f t="shared" si="1240"/>
        <v>0.68229166666666663</v>
      </c>
      <c r="EW143" s="11">
        <v>6</v>
      </c>
      <c r="EX143" s="12">
        <f t="shared" si="1241"/>
        <v>4.5801526717557252E-2</v>
      </c>
      <c r="EY143" s="11"/>
      <c r="EZ143" s="11"/>
      <c r="FA143" s="18"/>
      <c r="FB143" s="20"/>
      <c r="FC143" s="10">
        <v>2</v>
      </c>
      <c r="FD143" s="11"/>
      <c r="FE143" s="69">
        <f t="shared" si="1292"/>
        <v>862</v>
      </c>
      <c r="FF143" s="69">
        <f t="shared" si="1293"/>
        <v>75</v>
      </c>
      <c r="FG143" s="11">
        <v>583</v>
      </c>
      <c r="FH143" s="12">
        <f t="shared" si="1242"/>
        <v>0.691415313225058</v>
      </c>
      <c r="FI143" s="11">
        <v>13</v>
      </c>
      <c r="FJ143" s="12">
        <f t="shared" si="1243"/>
        <v>2.1812080536912751E-2</v>
      </c>
      <c r="FK143" s="11"/>
      <c r="FL143" s="11"/>
      <c r="FM143" s="18"/>
      <c r="FN143" s="20"/>
      <c r="FO143" s="10"/>
      <c r="FP143" s="11"/>
      <c r="FQ143" s="69">
        <f t="shared" si="1294"/>
        <v>894</v>
      </c>
      <c r="FR143" s="69">
        <f t="shared" si="1295"/>
        <v>75</v>
      </c>
      <c r="FS143" s="11">
        <v>544</v>
      </c>
      <c r="FT143" s="12">
        <f t="shared" si="1244"/>
        <v>0.62527964205816555</v>
      </c>
      <c r="FU143" s="11">
        <v>15</v>
      </c>
      <c r="FV143" s="12">
        <f t="shared" si="1245"/>
        <v>2.6833631484794274E-2</v>
      </c>
      <c r="FW143" s="11"/>
      <c r="FX143" s="11"/>
      <c r="FY143" s="18"/>
      <c r="FZ143" s="20"/>
      <c r="GA143" s="10"/>
      <c r="GB143" s="11"/>
      <c r="GC143" s="69">
        <f t="shared" si="1296"/>
        <v>890</v>
      </c>
      <c r="GD143" s="69">
        <f t="shared" si="1297"/>
        <v>76</v>
      </c>
      <c r="GE143" s="11">
        <v>546</v>
      </c>
      <c r="GF143" s="12">
        <f t="shared" si="1246"/>
        <v>0.6404494382022472</v>
      </c>
      <c r="GG143" s="11">
        <v>24</v>
      </c>
      <c r="GH143" s="12">
        <f t="shared" si="1247"/>
        <v>4.2105263157894736E-2</v>
      </c>
      <c r="GI143" s="11"/>
      <c r="GJ143" s="11"/>
      <c r="GK143" s="18"/>
      <c r="GL143" s="20"/>
      <c r="GM143" s="10"/>
      <c r="GN143" s="11"/>
      <c r="GO143" s="69">
        <f t="shared" si="1298"/>
        <v>176</v>
      </c>
      <c r="GP143" s="69">
        <f t="shared" si="1299"/>
        <v>17</v>
      </c>
      <c r="GQ143" s="11">
        <v>120</v>
      </c>
      <c r="GR143" s="12">
        <f t="shared" si="1248"/>
        <v>0.69886363636363635</v>
      </c>
      <c r="GS143" s="11">
        <v>3</v>
      </c>
      <c r="GT143" s="12">
        <f t="shared" si="1249"/>
        <v>2.4390243902439025E-2</v>
      </c>
      <c r="GU143" s="11"/>
      <c r="GV143" s="11"/>
      <c r="GW143" s="18"/>
      <c r="GX143" s="20"/>
      <c r="GY143" s="10">
        <v>1</v>
      </c>
      <c r="GZ143" s="11"/>
      <c r="HA143" s="69">
        <f t="shared" si="1300"/>
        <v>907</v>
      </c>
      <c r="HB143" s="69">
        <f t="shared" si="1301"/>
        <v>77</v>
      </c>
      <c r="HC143" s="11">
        <v>589</v>
      </c>
      <c r="HD143" s="12">
        <f t="shared" si="1250"/>
        <v>0.66813671444321943</v>
      </c>
      <c r="HE143" s="11">
        <v>17</v>
      </c>
      <c r="HF143" s="12">
        <f t="shared" si="1251"/>
        <v>2.8052805280528052E-2</v>
      </c>
      <c r="HG143" s="11"/>
      <c r="HH143" s="11"/>
      <c r="HI143" s="18"/>
      <c r="HJ143" s="20"/>
      <c r="HK143" s="10">
        <f t="shared" si="1252"/>
        <v>4</v>
      </c>
      <c r="HL143" s="11">
        <f t="shared" si="1253"/>
        <v>0</v>
      </c>
      <c r="HM143" s="11">
        <f t="shared" si="1254"/>
        <v>12175</v>
      </c>
      <c r="HN143" s="11">
        <f t="shared" si="1255"/>
        <v>1043</v>
      </c>
      <c r="HO143" s="11">
        <f t="shared" si="1256"/>
        <v>8105</v>
      </c>
      <c r="HP143" s="95">
        <f t="shared" si="1257"/>
        <v>0.66570841889117038</v>
      </c>
      <c r="HQ143" s="15">
        <f t="shared" si="1258"/>
        <v>217</v>
      </c>
      <c r="HR143" s="12">
        <f t="shared" si="1259"/>
        <v>2.6773596545342383E-2</v>
      </c>
      <c r="HS143" s="16">
        <v>62.9</v>
      </c>
      <c r="HT143" s="17">
        <v>7716</v>
      </c>
      <c r="HU143" s="16">
        <f t="shared" si="1260"/>
        <v>95.200493522516965</v>
      </c>
      <c r="HV143" s="18"/>
      <c r="HW143" s="20"/>
      <c r="HX143" s="73">
        <f t="shared" si="1261"/>
        <v>0.66807866868381238</v>
      </c>
      <c r="HY143" s="73">
        <f t="shared" si="1262"/>
        <v>0.67915259441203557</v>
      </c>
      <c r="HZ143" s="73">
        <f t="shared" si="1263"/>
        <v>0.66533139111434814</v>
      </c>
      <c r="IA143" s="73">
        <f t="shared" si="1264"/>
        <v>0.64806417858388554</v>
      </c>
    </row>
    <row r="144" spans="1:244" x14ac:dyDescent="0.25">
      <c r="A144" s="374"/>
      <c r="B144" s="41">
        <f>+B143+1</f>
        <v>45050</v>
      </c>
      <c r="C144" s="10"/>
      <c r="D144" s="11"/>
      <c r="E144" s="69">
        <f t="shared" si="1266"/>
        <v>835</v>
      </c>
      <c r="F144" s="69">
        <f t="shared" si="1267"/>
        <v>72</v>
      </c>
      <c r="G144" s="11">
        <v>585</v>
      </c>
      <c r="H144" s="12">
        <f t="shared" si="1216"/>
        <v>0.71616766467065873</v>
      </c>
      <c r="I144" s="11">
        <v>13</v>
      </c>
      <c r="J144" s="12">
        <f t="shared" si="1217"/>
        <v>2.1739130434782608E-2</v>
      </c>
      <c r="K144" s="13"/>
      <c r="L144" s="13"/>
      <c r="M144" s="25">
        <v>4032</v>
      </c>
      <c r="N144" s="38">
        <v>4310</v>
      </c>
      <c r="O144" s="10"/>
      <c r="P144" s="11"/>
      <c r="Q144" s="69">
        <f t="shared" si="1268"/>
        <v>759</v>
      </c>
      <c r="R144" s="69">
        <f t="shared" si="1269"/>
        <v>64</v>
      </c>
      <c r="S144" s="11">
        <v>503</v>
      </c>
      <c r="T144" s="12">
        <f t="shared" si="1218"/>
        <v>0.68511198945981555</v>
      </c>
      <c r="U144" s="11">
        <v>17</v>
      </c>
      <c r="V144" s="12">
        <f t="shared" si="1219"/>
        <v>3.2692307692307694E-2</v>
      </c>
      <c r="W144" s="13"/>
      <c r="X144" s="13"/>
      <c r="Y144" s="25">
        <v>4032</v>
      </c>
      <c r="Z144" s="38">
        <v>4310</v>
      </c>
      <c r="AA144" s="10"/>
      <c r="AB144" s="11"/>
      <c r="AC144" s="69">
        <f t="shared" si="1270"/>
        <v>175</v>
      </c>
      <c r="AD144" s="69">
        <f t="shared" si="1271"/>
        <v>13</v>
      </c>
      <c r="AE144" s="11">
        <v>120</v>
      </c>
      <c r="AF144" s="12">
        <f t="shared" si="1220"/>
        <v>0.69714285714285718</v>
      </c>
      <c r="AG144" s="11">
        <v>2</v>
      </c>
      <c r="AH144" s="12">
        <f t="shared" si="1221"/>
        <v>1.6393442622950821E-2</v>
      </c>
      <c r="AI144" s="13"/>
      <c r="AJ144" s="13"/>
      <c r="AK144" s="25">
        <v>4032</v>
      </c>
      <c r="AL144" s="38">
        <v>4310</v>
      </c>
      <c r="AM144" s="10"/>
      <c r="AN144" s="11">
        <v>1</v>
      </c>
      <c r="AO144" s="69">
        <f t="shared" si="1272"/>
        <v>773</v>
      </c>
      <c r="AP144" s="69">
        <f t="shared" si="1273"/>
        <v>64</v>
      </c>
      <c r="AQ144" s="11">
        <v>545</v>
      </c>
      <c r="AR144" s="12">
        <f t="shared" si="1222"/>
        <v>0.72056921086675296</v>
      </c>
      <c r="AS144" s="11">
        <v>12</v>
      </c>
      <c r="AT144" s="12">
        <f t="shared" si="1223"/>
        <v>2.1543985637342909E-2</v>
      </c>
      <c r="AU144" s="13"/>
      <c r="AV144" s="13"/>
      <c r="AW144" s="25">
        <v>4032</v>
      </c>
      <c r="AX144" s="38">
        <v>4310</v>
      </c>
      <c r="AY144" s="10"/>
      <c r="AZ144" s="11"/>
      <c r="BA144" s="69">
        <f t="shared" si="1274"/>
        <v>763</v>
      </c>
      <c r="BB144" s="69">
        <f t="shared" si="1275"/>
        <v>67</v>
      </c>
      <c r="BC144" s="11">
        <v>571</v>
      </c>
      <c r="BD144" s="12">
        <f t="shared" si="1224"/>
        <v>0.76408912188728706</v>
      </c>
      <c r="BE144" s="11">
        <v>12</v>
      </c>
      <c r="BF144" s="12">
        <f t="shared" si="1225"/>
        <v>2.0583190394511151E-2</v>
      </c>
      <c r="BG144" s="13"/>
      <c r="BH144" s="13"/>
      <c r="BI144" s="25">
        <v>4032</v>
      </c>
      <c r="BJ144" s="38">
        <v>4310</v>
      </c>
      <c r="BK144" s="10"/>
      <c r="BL144" s="11"/>
      <c r="BM144" s="69">
        <f t="shared" si="1276"/>
        <v>829</v>
      </c>
      <c r="BN144" s="69">
        <f t="shared" si="1277"/>
        <v>72</v>
      </c>
      <c r="BO144" s="11">
        <v>596</v>
      </c>
      <c r="BP144" s="12">
        <f t="shared" si="1226"/>
        <v>0.73582629674306388</v>
      </c>
      <c r="BQ144" s="11">
        <v>14</v>
      </c>
      <c r="BR144" s="12">
        <f t="shared" si="1227"/>
        <v>2.2950819672131147E-2</v>
      </c>
      <c r="BS144" s="13"/>
      <c r="BT144" s="13"/>
      <c r="BU144" s="25">
        <v>4032</v>
      </c>
      <c r="BV144" s="38">
        <v>4310</v>
      </c>
      <c r="BW144" s="10"/>
      <c r="BX144" s="11"/>
      <c r="BY144" s="69">
        <f t="shared" si="1278"/>
        <v>753</v>
      </c>
      <c r="BZ144" s="69">
        <f t="shared" si="1279"/>
        <v>63</v>
      </c>
      <c r="CA144" s="11">
        <v>515</v>
      </c>
      <c r="CB144" s="12">
        <f t="shared" si="1228"/>
        <v>0.6972111553784861</v>
      </c>
      <c r="CC144" s="11">
        <v>10</v>
      </c>
      <c r="CD144" s="12">
        <f t="shared" si="1229"/>
        <v>1.9047619047619049E-2</v>
      </c>
      <c r="CE144" s="13"/>
      <c r="CF144" s="13"/>
      <c r="CG144" s="25">
        <v>4032</v>
      </c>
      <c r="CH144" s="38">
        <v>4310</v>
      </c>
      <c r="CI144" s="10">
        <v>2</v>
      </c>
      <c r="CJ144" s="11"/>
      <c r="CK144" s="69">
        <f t="shared" si="1280"/>
        <v>171</v>
      </c>
      <c r="CL144" s="69">
        <f t="shared" si="1281"/>
        <v>14</v>
      </c>
      <c r="CM144" s="11">
        <v>99</v>
      </c>
      <c r="CN144" s="12">
        <f t="shared" si="1230"/>
        <v>0.59064327485380119</v>
      </c>
      <c r="CO144" s="11">
        <v>2</v>
      </c>
      <c r="CP144" s="12">
        <f t="shared" si="1231"/>
        <v>1.9801980198019802E-2</v>
      </c>
      <c r="CQ144" s="13"/>
      <c r="CR144" s="13"/>
      <c r="CS144" s="25">
        <v>4032</v>
      </c>
      <c r="CT144" s="38">
        <v>4310</v>
      </c>
      <c r="CU144" s="10"/>
      <c r="CV144" s="11"/>
      <c r="CW144" s="69">
        <f t="shared" si="1282"/>
        <v>747</v>
      </c>
      <c r="CX144" s="69">
        <f t="shared" si="1283"/>
        <v>65</v>
      </c>
      <c r="CY144" s="11">
        <v>511</v>
      </c>
      <c r="CZ144" s="12">
        <f t="shared" si="1232"/>
        <v>0.69076305220883538</v>
      </c>
      <c r="DA144" s="11">
        <v>5</v>
      </c>
      <c r="DB144" s="12">
        <f t="shared" si="1233"/>
        <v>9.6899224806201549E-3</v>
      </c>
      <c r="DC144" s="13"/>
      <c r="DD144" s="13"/>
      <c r="DE144" s="25">
        <v>4032</v>
      </c>
      <c r="DF144" s="38">
        <v>4310</v>
      </c>
      <c r="DG144" s="10"/>
      <c r="DH144" s="11">
        <v>1</v>
      </c>
      <c r="DI144" s="69">
        <f t="shared" si="1284"/>
        <v>755</v>
      </c>
      <c r="DJ144" s="69">
        <f t="shared" si="1285"/>
        <v>66</v>
      </c>
      <c r="DK144" s="11">
        <v>563</v>
      </c>
      <c r="DL144" s="12">
        <f t="shared" si="1234"/>
        <v>0.74966887417218542</v>
      </c>
      <c r="DM144" s="11">
        <v>3</v>
      </c>
      <c r="DN144" s="12">
        <f t="shared" si="1235"/>
        <v>5.3003533568904597E-3</v>
      </c>
      <c r="DO144" s="13"/>
      <c r="DP144" s="13"/>
      <c r="DQ144" s="25">
        <v>4032</v>
      </c>
      <c r="DR144" s="38">
        <v>4310</v>
      </c>
      <c r="DS144" s="10">
        <v>1</v>
      </c>
      <c r="DT144" s="11"/>
      <c r="DU144" s="69">
        <f t="shared" si="1286"/>
        <v>839</v>
      </c>
      <c r="DV144" s="69">
        <f t="shared" si="1287"/>
        <v>71</v>
      </c>
      <c r="DW144" s="11">
        <v>588</v>
      </c>
      <c r="DX144" s="12">
        <f t="shared" si="1236"/>
        <v>0.73063170441001191</v>
      </c>
      <c r="DY144" s="11">
        <v>25</v>
      </c>
      <c r="DZ144" s="12">
        <f t="shared" si="1237"/>
        <v>4.0783034257748776E-2</v>
      </c>
      <c r="EA144" s="13"/>
      <c r="EB144" s="13"/>
      <c r="EC144" s="25">
        <v>4032</v>
      </c>
      <c r="ED144" s="38">
        <v>4310</v>
      </c>
      <c r="EE144" s="10"/>
      <c r="EF144" s="11"/>
      <c r="EG144" s="69">
        <f t="shared" si="1288"/>
        <v>852</v>
      </c>
      <c r="EH144" s="69">
        <f t="shared" si="1289"/>
        <v>74</v>
      </c>
      <c r="EI144" s="11">
        <v>593</v>
      </c>
      <c r="EJ144" s="12">
        <f t="shared" si="1238"/>
        <v>0.72652582159624413</v>
      </c>
      <c r="EK144" s="11">
        <v>26</v>
      </c>
      <c r="EL144" s="12">
        <f t="shared" si="1239"/>
        <v>4.2003231017770599E-2</v>
      </c>
      <c r="EM144" s="13"/>
      <c r="EN144" s="13"/>
      <c r="EO144" s="25">
        <v>4032</v>
      </c>
      <c r="EP144" s="38">
        <v>4310</v>
      </c>
      <c r="EQ144" s="10">
        <v>1</v>
      </c>
      <c r="ER144" s="11"/>
      <c r="ES144" s="69">
        <f t="shared" si="1290"/>
        <v>191</v>
      </c>
      <c r="ET144" s="69">
        <f t="shared" si="1291"/>
        <v>16</v>
      </c>
      <c r="EU144" s="11">
        <v>127</v>
      </c>
      <c r="EV144" s="12">
        <f t="shared" si="1240"/>
        <v>0.70680628272251311</v>
      </c>
      <c r="EW144" s="11">
        <v>8</v>
      </c>
      <c r="EX144" s="12">
        <f t="shared" si="1241"/>
        <v>5.9259259259259262E-2</v>
      </c>
      <c r="EY144" s="13"/>
      <c r="EZ144" s="13"/>
      <c r="FA144" s="25">
        <v>4032</v>
      </c>
      <c r="FB144" s="38">
        <v>4310</v>
      </c>
      <c r="FC144" s="10"/>
      <c r="FD144" s="11"/>
      <c r="FE144" s="69">
        <f t="shared" si="1292"/>
        <v>862</v>
      </c>
      <c r="FF144" s="69">
        <f t="shared" si="1293"/>
        <v>75</v>
      </c>
      <c r="FG144" s="11">
        <v>605</v>
      </c>
      <c r="FH144" s="12">
        <f t="shared" si="1242"/>
        <v>0.70997679814385151</v>
      </c>
      <c r="FI144" s="11">
        <v>7</v>
      </c>
      <c r="FJ144" s="12">
        <f t="shared" si="1243"/>
        <v>1.1437908496732025E-2</v>
      </c>
      <c r="FK144" s="13"/>
      <c r="FL144" s="13"/>
      <c r="FM144" s="25">
        <v>4032</v>
      </c>
      <c r="FN144" s="38">
        <v>4310</v>
      </c>
      <c r="FO144" s="10">
        <v>1</v>
      </c>
      <c r="FP144" s="11"/>
      <c r="FQ144" s="69">
        <f t="shared" si="1294"/>
        <v>893</v>
      </c>
      <c r="FR144" s="69">
        <f t="shared" si="1295"/>
        <v>75</v>
      </c>
      <c r="FS144" s="11">
        <v>620</v>
      </c>
      <c r="FT144" s="12">
        <f t="shared" si="1244"/>
        <v>0.71556550951847708</v>
      </c>
      <c r="FU144" s="11">
        <v>19</v>
      </c>
      <c r="FV144" s="12">
        <f t="shared" si="1245"/>
        <v>2.9733959311424099E-2</v>
      </c>
      <c r="FW144" s="13"/>
      <c r="FX144" s="13"/>
      <c r="FY144" s="25">
        <v>4032</v>
      </c>
      <c r="FZ144" s="38">
        <v>4310</v>
      </c>
      <c r="GA144" s="10"/>
      <c r="GB144" s="11"/>
      <c r="GC144" s="69">
        <f t="shared" si="1296"/>
        <v>890</v>
      </c>
      <c r="GD144" s="69">
        <f t="shared" si="1297"/>
        <v>76</v>
      </c>
      <c r="GE144" s="11">
        <v>606</v>
      </c>
      <c r="GF144" s="12">
        <f t="shared" si="1246"/>
        <v>0.70674157303370788</v>
      </c>
      <c r="GG144" s="11">
        <v>23</v>
      </c>
      <c r="GH144" s="12">
        <f t="shared" si="1247"/>
        <v>3.6565977742448331E-2</v>
      </c>
      <c r="GI144" s="13"/>
      <c r="GJ144" s="13"/>
      <c r="GK144" s="25">
        <v>4032</v>
      </c>
      <c r="GL144" s="38">
        <v>4310</v>
      </c>
      <c r="GM144" s="10">
        <v>2</v>
      </c>
      <c r="GN144" s="11"/>
      <c r="GO144" s="69">
        <f t="shared" si="1298"/>
        <v>174</v>
      </c>
      <c r="GP144" s="69">
        <f t="shared" si="1299"/>
        <v>17</v>
      </c>
      <c r="GQ144" s="11">
        <v>118</v>
      </c>
      <c r="GR144" s="12">
        <f t="shared" si="1248"/>
        <v>0.71264367816091956</v>
      </c>
      <c r="GS144" s="11">
        <v>6</v>
      </c>
      <c r="GT144" s="12">
        <f t="shared" si="1249"/>
        <v>4.8387096774193547E-2</v>
      </c>
      <c r="GU144" s="13"/>
      <c r="GV144" s="13"/>
      <c r="GW144" s="25">
        <v>4032</v>
      </c>
      <c r="GX144" s="38">
        <v>4310</v>
      </c>
      <c r="GY144" s="10"/>
      <c r="GZ144" s="11"/>
      <c r="HA144" s="69">
        <f t="shared" si="1300"/>
        <v>907</v>
      </c>
      <c r="HB144" s="69">
        <f t="shared" si="1301"/>
        <v>77</v>
      </c>
      <c r="HC144" s="11">
        <v>636</v>
      </c>
      <c r="HD144" s="12">
        <f t="shared" si="1250"/>
        <v>0.72216097023153247</v>
      </c>
      <c r="HE144" s="11">
        <v>19</v>
      </c>
      <c r="HF144" s="12">
        <f t="shared" si="1251"/>
        <v>2.9007633587786259E-2</v>
      </c>
      <c r="HG144" s="13"/>
      <c r="HH144" s="13"/>
      <c r="HI144" s="25">
        <v>4032</v>
      </c>
      <c r="HJ144" s="38">
        <v>4310</v>
      </c>
      <c r="HK144" s="10">
        <f t="shared" si="1252"/>
        <v>7</v>
      </c>
      <c r="HL144" s="11">
        <f t="shared" si="1253"/>
        <v>2</v>
      </c>
      <c r="HM144" s="11">
        <f t="shared" si="1254"/>
        <v>12168</v>
      </c>
      <c r="HN144" s="11">
        <f t="shared" si="1255"/>
        <v>1041</v>
      </c>
      <c r="HO144" s="11">
        <f t="shared" si="1256"/>
        <v>8724</v>
      </c>
      <c r="HP144" s="95">
        <f t="shared" si="1257"/>
        <v>0.71696252465483234</v>
      </c>
      <c r="HQ144" s="15">
        <f t="shared" si="1258"/>
        <v>223</v>
      </c>
      <c r="HR144" s="12">
        <f t="shared" si="1259"/>
        <v>2.556166895919303E-2</v>
      </c>
      <c r="HS144" s="16">
        <v>62.8</v>
      </c>
      <c r="HT144" s="17">
        <v>8331</v>
      </c>
      <c r="HU144" s="16">
        <f t="shared" si="1260"/>
        <v>95.495185694635481</v>
      </c>
      <c r="HV144" s="23">
        <v>4032</v>
      </c>
      <c r="HW144" s="22">
        <v>4310</v>
      </c>
      <c r="HX144" s="73">
        <f t="shared" si="1261"/>
        <v>0.72012102874432682</v>
      </c>
      <c r="HY144" s="73">
        <f t="shared" si="1262"/>
        <v>0.71213517665130566</v>
      </c>
      <c r="HZ144" s="73">
        <f t="shared" si="1263"/>
        <v>0.72120991253644318</v>
      </c>
      <c r="IA144" s="73">
        <f t="shared" si="1264"/>
        <v>0.7147346368715084</v>
      </c>
    </row>
    <row r="145" spans="1:244" x14ac:dyDescent="0.25">
      <c r="A145" s="374"/>
      <c r="B145" s="41">
        <f t="shared" si="1265"/>
        <v>45051</v>
      </c>
      <c r="C145" s="10"/>
      <c r="D145" s="11"/>
      <c r="E145" s="69">
        <f t="shared" si="1266"/>
        <v>835</v>
      </c>
      <c r="F145" s="69">
        <f t="shared" si="1267"/>
        <v>72</v>
      </c>
      <c r="G145" s="11">
        <v>571</v>
      </c>
      <c r="H145" s="12">
        <f t="shared" si="1216"/>
        <v>0.70179640718562875</v>
      </c>
      <c r="I145" s="11">
        <v>15</v>
      </c>
      <c r="J145" s="12">
        <f t="shared" si="1217"/>
        <v>2.5597269624573378E-2</v>
      </c>
      <c r="K145" s="13"/>
      <c r="L145" s="11"/>
      <c r="M145" s="25">
        <v>4638.5365853658541</v>
      </c>
      <c r="N145" s="38">
        <v>4559.333333333333</v>
      </c>
      <c r="O145" s="10"/>
      <c r="P145" s="11"/>
      <c r="Q145" s="69">
        <f t="shared" si="1268"/>
        <v>759</v>
      </c>
      <c r="R145" s="69">
        <f t="shared" si="1269"/>
        <v>64</v>
      </c>
      <c r="S145" s="11">
        <v>513</v>
      </c>
      <c r="T145" s="12">
        <f t="shared" si="1218"/>
        <v>0.69038208168642956</v>
      </c>
      <c r="U145" s="11">
        <v>11</v>
      </c>
      <c r="V145" s="12">
        <f t="shared" si="1219"/>
        <v>2.0992366412213741E-2</v>
      </c>
      <c r="W145" s="13"/>
      <c r="X145" s="11"/>
      <c r="Y145" s="25">
        <v>4663.0555555555557</v>
      </c>
      <c r="Z145" s="38">
        <v>4795.3846153846152</v>
      </c>
      <c r="AA145" s="10"/>
      <c r="AB145" s="11"/>
      <c r="AC145" s="69">
        <f t="shared" si="1270"/>
        <v>175</v>
      </c>
      <c r="AD145" s="69">
        <f t="shared" si="1271"/>
        <v>13</v>
      </c>
      <c r="AE145" s="11">
        <v>124</v>
      </c>
      <c r="AF145" s="12">
        <f t="shared" si="1220"/>
        <v>0.73142857142857143</v>
      </c>
      <c r="AG145" s="11">
        <v>4</v>
      </c>
      <c r="AH145" s="12">
        <f t="shared" si="1221"/>
        <v>3.125E-2</v>
      </c>
      <c r="AI145" s="13"/>
      <c r="AJ145" s="11"/>
      <c r="AK145" s="25">
        <v>4553</v>
      </c>
      <c r="AL145" s="38">
        <v>4678</v>
      </c>
      <c r="AM145" s="10"/>
      <c r="AN145" s="11"/>
      <c r="AO145" s="69">
        <f t="shared" si="1272"/>
        <v>773</v>
      </c>
      <c r="AP145" s="69">
        <f t="shared" si="1273"/>
        <v>64</v>
      </c>
      <c r="AQ145" s="11">
        <v>516</v>
      </c>
      <c r="AR145" s="12">
        <f t="shared" si="1222"/>
        <v>0.67658473479948256</v>
      </c>
      <c r="AS145" s="11">
        <v>7</v>
      </c>
      <c r="AT145" s="12">
        <f t="shared" si="1223"/>
        <v>1.338432122370937E-2</v>
      </c>
      <c r="AU145" s="13"/>
      <c r="AV145" s="11"/>
      <c r="AW145" s="25">
        <v>4708.484848484848</v>
      </c>
      <c r="AX145" s="38">
        <v>4715.3846153846152</v>
      </c>
      <c r="AY145" s="10"/>
      <c r="AZ145" s="11"/>
      <c r="BA145" s="69">
        <f t="shared" si="1274"/>
        <v>763</v>
      </c>
      <c r="BB145" s="69">
        <f t="shared" si="1275"/>
        <v>67</v>
      </c>
      <c r="BC145" s="11">
        <v>499</v>
      </c>
      <c r="BD145" s="12">
        <f t="shared" si="1224"/>
        <v>0.66579292267365664</v>
      </c>
      <c r="BE145" s="11">
        <v>9</v>
      </c>
      <c r="BF145" s="12">
        <f t="shared" si="1225"/>
        <v>1.7716535433070866E-2</v>
      </c>
      <c r="BG145" s="13"/>
      <c r="BH145" s="11"/>
      <c r="BI145" s="25">
        <v>4583.4210526315792</v>
      </c>
      <c r="BJ145" s="38">
        <v>4899.166666666667</v>
      </c>
      <c r="BK145" s="10"/>
      <c r="BL145" s="11"/>
      <c r="BM145" s="69">
        <f t="shared" si="1276"/>
        <v>829</v>
      </c>
      <c r="BN145" s="69">
        <f t="shared" si="1277"/>
        <v>72</v>
      </c>
      <c r="BO145" s="11">
        <v>548</v>
      </c>
      <c r="BP145" s="12">
        <f t="shared" si="1226"/>
        <v>0.67671893848009645</v>
      </c>
      <c r="BQ145" s="11">
        <v>13</v>
      </c>
      <c r="BR145" s="12">
        <f t="shared" si="1227"/>
        <v>2.3172905525846704E-2</v>
      </c>
      <c r="BS145" s="13"/>
      <c r="BT145" s="11"/>
      <c r="BU145" s="25">
        <v>4533.6585365853662</v>
      </c>
      <c r="BV145" s="38">
        <v>4475.3846153846152</v>
      </c>
      <c r="BW145" s="10"/>
      <c r="BX145" s="11"/>
      <c r="BY145" s="69">
        <f t="shared" si="1278"/>
        <v>753</v>
      </c>
      <c r="BZ145" s="69">
        <f t="shared" si="1279"/>
        <v>63</v>
      </c>
      <c r="CA145" s="11">
        <v>486</v>
      </c>
      <c r="CB145" s="12">
        <f t="shared" si="1228"/>
        <v>0.6586985391766268</v>
      </c>
      <c r="CC145" s="11">
        <v>10</v>
      </c>
      <c r="CD145" s="12">
        <f t="shared" si="1229"/>
        <v>2.0161290322580645E-2</v>
      </c>
      <c r="CE145" s="13"/>
      <c r="CF145" s="11"/>
      <c r="CG145" s="25">
        <v>4661.8918918918916</v>
      </c>
      <c r="CH145" s="38">
        <v>4636.1538461538457</v>
      </c>
      <c r="CI145" s="10">
        <v>2</v>
      </c>
      <c r="CJ145" s="11"/>
      <c r="CK145" s="69">
        <f t="shared" si="1280"/>
        <v>169</v>
      </c>
      <c r="CL145" s="69">
        <f t="shared" si="1281"/>
        <v>14</v>
      </c>
      <c r="CM145" s="11">
        <v>101</v>
      </c>
      <c r="CN145" s="12">
        <f t="shared" si="1230"/>
        <v>0.60355029585798814</v>
      </c>
      <c r="CO145" s="11">
        <v>1</v>
      </c>
      <c r="CP145" s="12">
        <f t="shared" si="1231"/>
        <v>9.8039215686274508E-3</v>
      </c>
      <c r="CQ145" s="13"/>
      <c r="CR145" s="11"/>
      <c r="CS145" s="25">
        <v>4458</v>
      </c>
      <c r="CT145" s="38">
        <v>4390</v>
      </c>
      <c r="CU145" s="10"/>
      <c r="CV145" s="11"/>
      <c r="CW145" s="69">
        <f t="shared" si="1282"/>
        <v>747</v>
      </c>
      <c r="CX145" s="69">
        <f t="shared" si="1283"/>
        <v>65</v>
      </c>
      <c r="CY145" s="11">
        <v>486</v>
      </c>
      <c r="CZ145" s="12">
        <f t="shared" si="1232"/>
        <v>0.65863453815261042</v>
      </c>
      <c r="DA145" s="11">
        <v>6</v>
      </c>
      <c r="DB145" s="12">
        <f t="shared" si="1233"/>
        <v>1.2195121951219513E-2</v>
      </c>
      <c r="DC145" s="13"/>
      <c r="DD145" s="11"/>
      <c r="DE145" s="25">
        <v>4725.1282051282051</v>
      </c>
      <c r="DF145" s="38">
        <v>4766.9230769230771</v>
      </c>
      <c r="DG145" s="10">
        <v>2</v>
      </c>
      <c r="DH145" s="11"/>
      <c r="DI145" s="69">
        <f t="shared" si="1284"/>
        <v>753</v>
      </c>
      <c r="DJ145" s="69">
        <f t="shared" si="1285"/>
        <v>66</v>
      </c>
      <c r="DK145" s="11">
        <v>483</v>
      </c>
      <c r="DL145" s="12">
        <f t="shared" si="1234"/>
        <v>0.65338645418326691</v>
      </c>
      <c r="DM145" s="11">
        <v>9</v>
      </c>
      <c r="DN145" s="12">
        <f t="shared" si="1235"/>
        <v>1.8292682926829267E-2</v>
      </c>
      <c r="DO145" s="13"/>
      <c r="DP145" s="11"/>
      <c r="DQ145" s="25">
        <v>4713.6842105263158</v>
      </c>
      <c r="DR145" s="38">
        <v>5072.8571428571431</v>
      </c>
      <c r="DS145" s="10"/>
      <c r="DT145" s="11"/>
      <c r="DU145" s="69">
        <f t="shared" si="1286"/>
        <v>839</v>
      </c>
      <c r="DV145" s="69">
        <f t="shared" si="1287"/>
        <v>71</v>
      </c>
      <c r="DW145" s="11">
        <v>525</v>
      </c>
      <c r="DX145" s="12">
        <f t="shared" si="1236"/>
        <v>0.64958283671036954</v>
      </c>
      <c r="DY145" s="11">
        <v>20</v>
      </c>
      <c r="DZ145" s="12">
        <f t="shared" si="1237"/>
        <v>3.669724770642202E-2</v>
      </c>
      <c r="EA145" s="13"/>
      <c r="EB145" s="11"/>
      <c r="EC145" s="25">
        <v>4553.4042553191493</v>
      </c>
      <c r="ED145" s="38">
        <v>4370.625</v>
      </c>
      <c r="EE145" s="10"/>
      <c r="EF145" s="11"/>
      <c r="EG145" s="69">
        <f t="shared" si="1288"/>
        <v>852</v>
      </c>
      <c r="EH145" s="69">
        <f t="shared" si="1289"/>
        <v>74</v>
      </c>
      <c r="EI145" s="11">
        <v>576</v>
      </c>
      <c r="EJ145" s="12">
        <f t="shared" si="1238"/>
        <v>0.69953051643192488</v>
      </c>
      <c r="EK145" s="11">
        <v>20</v>
      </c>
      <c r="EL145" s="12">
        <f t="shared" si="1239"/>
        <v>3.3557046979865772E-2</v>
      </c>
      <c r="EM145" s="13"/>
      <c r="EN145" s="11"/>
      <c r="EO145" s="25">
        <v>4733.2558139534885</v>
      </c>
      <c r="EP145" s="38">
        <v>4589.2857142857147</v>
      </c>
      <c r="EQ145" s="10"/>
      <c r="ER145" s="11"/>
      <c r="ES145" s="69">
        <f t="shared" si="1290"/>
        <v>191</v>
      </c>
      <c r="ET145" s="69">
        <f t="shared" si="1291"/>
        <v>16</v>
      </c>
      <c r="EU145" s="11">
        <v>126</v>
      </c>
      <c r="EV145" s="12">
        <f t="shared" si="1240"/>
        <v>0.67015706806282727</v>
      </c>
      <c r="EW145" s="11">
        <v>2</v>
      </c>
      <c r="EX145" s="12">
        <f t="shared" si="1241"/>
        <v>1.5625E-2</v>
      </c>
      <c r="EY145" s="13"/>
      <c r="EZ145" s="11"/>
      <c r="FA145" s="25">
        <v>4480</v>
      </c>
      <c r="FB145" s="38">
        <v>4305</v>
      </c>
      <c r="FC145" s="10"/>
      <c r="FD145" s="11"/>
      <c r="FE145" s="69">
        <f t="shared" si="1292"/>
        <v>862</v>
      </c>
      <c r="FF145" s="69">
        <f t="shared" si="1293"/>
        <v>75</v>
      </c>
      <c r="FG145" s="11">
        <v>622</v>
      </c>
      <c r="FH145" s="12">
        <f t="shared" si="1242"/>
        <v>0.74129930394431554</v>
      </c>
      <c r="FI145" s="11">
        <v>17</v>
      </c>
      <c r="FJ145" s="12">
        <f t="shared" si="1243"/>
        <v>2.6604068857589983E-2</v>
      </c>
      <c r="FK145" s="13"/>
      <c r="FL145" s="11"/>
      <c r="FM145" s="25">
        <v>4642.0930232558139</v>
      </c>
      <c r="FN145" s="38">
        <v>4741.25</v>
      </c>
      <c r="FO145" s="10">
        <v>1</v>
      </c>
      <c r="FP145" s="11"/>
      <c r="FQ145" s="69">
        <f t="shared" si="1294"/>
        <v>892</v>
      </c>
      <c r="FR145" s="69">
        <f t="shared" si="1295"/>
        <v>75</v>
      </c>
      <c r="FS145" s="11">
        <v>611</v>
      </c>
      <c r="FT145" s="12">
        <f t="shared" si="1244"/>
        <v>0.70627802690582964</v>
      </c>
      <c r="FU145" s="11">
        <v>19</v>
      </c>
      <c r="FV145" s="12">
        <f t="shared" si="1245"/>
        <v>3.0158730158730159E-2</v>
      </c>
      <c r="FW145" s="13"/>
      <c r="FX145" s="11"/>
      <c r="FY145" s="25">
        <v>4736.875</v>
      </c>
      <c r="FZ145" s="38">
        <v>4621.7647058823532</v>
      </c>
      <c r="GA145" s="10"/>
      <c r="GB145" s="11"/>
      <c r="GC145" s="69">
        <f t="shared" si="1296"/>
        <v>890</v>
      </c>
      <c r="GD145" s="69">
        <f t="shared" si="1297"/>
        <v>76</v>
      </c>
      <c r="GE145" s="11">
        <v>603</v>
      </c>
      <c r="GF145" s="12">
        <f t="shared" si="1246"/>
        <v>0.7</v>
      </c>
      <c r="GG145" s="11">
        <v>20</v>
      </c>
      <c r="GH145" s="12">
        <f t="shared" si="1247"/>
        <v>3.2102728731942212E-2</v>
      </c>
      <c r="GI145" s="13"/>
      <c r="GJ145" s="11"/>
      <c r="GK145" s="25">
        <v>4487.6190476190477</v>
      </c>
      <c r="GL145" s="38">
        <v>4678.5714285714284</v>
      </c>
      <c r="GM145" s="10"/>
      <c r="GN145" s="11"/>
      <c r="GO145" s="69">
        <f t="shared" si="1298"/>
        <v>174</v>
      </c>
      <c r="GP145" s="69">
        <f t="shared" si="1299"/>
        <v>17</v>
      </c>
      <c r="GQ145" s="11">
        <v>118</v>
      </c>
      <c r="GR145" s="12">
        <f t="shared" si="1248"/>
        <v>0.68965517241379315</v>
      </c>
      <c r="GS145" s="11">
        <v>2</v>
      </c>
      <c r="GT145" s="12">
        <f t="shared" si="1249"/>
        <v>1.6666666666666666E-2</v>
      </c>
      <c r="GU145" s="13"/>
      <c r="GV145" s="11"/>
      <c r="GW145" s="25">
        <v>4352.3076923076924</v>
      </c>
      <c r="GX145" s="38">
        <v>4387.5</v>
      </c>
      <c r="GY145" s="10"/>
      <c r="GZ145" s="11"/>
      <c r="HA145" s="69">
        <f t="shared" si="1300"/>
        <v>907</v>
      </c>
      <c r="HB145" s="69">
        <f t="shared" si="1301"/>
        <v>77</v>
      </c>
      <c r="HC145" s="11">
        <v>620</v>
      </c>
      <c r="HD145" s="12">
        <f t="shared" si="1250"/>
        <v>0.70121278941565601</v>
      </c>
      <c r="HE145" s="11">
        <v>16</v>
      </c>
      <c r="HF145" s="12">
        <f t="shared" si="1251"/>
        <v>2.5157232704402517E-2</v>
      </c>
      <c r="HG145" s="13"/>
      <c r="HH145" s="11"/>
      <c r="HI145" s="25">
        <v>4686.0465116279074</v>
      </c>
      <c r="HJ145" s="38">
        <v>4682.666666666667</v>
      </c>
      <c r="HK145" s="10">
        <f t="shared" si="1252"/>
        <v>5</v>
      </c>
      <c r="HL145" s="11">
        <f t="shared" si="1253"/>
        <v>0</v>
      </c>
      <c r="HM145" s="11">
        <f t="shared" si="1254"/>
        <v>12163</v>
      </c>
      <c r="HN145" s="11">
        <f t="shared" si="1255"/>
        <v>1041</v>
      </c>
      <c r="HO145" s="11">
        <f t="shared" si="1256"/>
        <v>8329</v>
      </c>
      <c r="HP145" s="95">
        <f t="shared" si="1257"/>
        <v>0.68478171503740859</v>
      </c>
      <c r="HQ145" s="15">
        <f t="shared" si="1258"/>
        <v>201</v>
      </c>
      <c r="HR145" s="12">
        <f t="shared" si="1259"/>
        <v>2.4132548925441231E-2</v>
      </c>
      <c r="HS145" s="16">
        <v>63</v>
      </c>
      <c r="HT145" s="17">
        <v>7957</v>
      </c>
      <c r="HU145" s="16">
        <f t="shared" si="1260"/>
        <v>95.533677512306397</v>
      </c>
      <c r="HV145" s="23">
        <v>4632.4429967426713</v>
      </c>
      <c r="HW145" s="22">
        <v>4660.7407407407409</v>
      </c>
      <c r="HX145" s="73">
        <f t="shared" si="1261"/>
        <v>0.68653555219364604</v>
      </c>
      <c r="HY145" s="73">
        <f t="shared" si="1262"/>
        <v>0.65918179021839429</v>
      </c>
      <c r="HZ145" s="73">
        <f t="shared" si="1263"/>
        <v>0.69533527696793007</v>
      </c>
      <c r="IA145" s="73">
        <f t="shared" si="1264"/>
        <v>0.70171149144254275</v>
      </c>
    </row>
    <row r="146" spans="1:244" x14ac:dyDescent="0.25">
      <c r="A146" s="374"/>
      <c r="B146" s="41">
        <f t="shared" si="1265"/>
        <v>45052</v>
      </c>
      <c r="C146" s="10"/>
      <c r="D146" s="11"/>
      <c r="E146" s="69">
        <f t="shared" si="1266"/>
        <v>835</v>
      </c>
      <c r="F146" s="69">
        <f t="shared" si="1267"/>
        <v>72</v>
      </c>
      <c r="G146" s="11">
        <v>598</v>
      </c>
      <c r="H146" s="12">
        <f t="shared" si="1216"/>
        <v>0.73053892215568861</v>
      </c>
      <c r="I146" s="11">
        <v>12</v>
      </c>
      <c r="J146" s="12">
        <f t="shared" si="1217"/>
        <v>1.9672131147540985E-2</v>
      </c>
      <c r="K146" s="13"/>
      <c r="L146" s="11"/>
      <c r="M146" s="39">
        <v>100</v>
      </c>
      <c r="N146" s="43">
        <v>100</v>
      </c>
      <c r="O146" s="10">
        <v>1</v>
      </c>
      <c r="P146" s="11"/>
      <c r="Q146" s="69">
        <f t="shared" si="1268"/>
        <v>758</v>
      </c>
      <c r="R146" s="69">
        <f t="shared" si="1269"/>
        <v>64</v>
      </c>
      <c r="S146" s="11">
        <v>503</v>
      </c>
      <c r="T146" s="12">
        <f t="shared" si="1218"/>
        <v>0.67941952506596304</v>
      </c>
      <c r="U146" s="11">
        <v>12</v>
      </c>
      <c r="V146" s="12">
        <f t="shared" si="1219"/>
        <v>2.3300970873786409E-2</v>
      </c>
      <c r="W146" s="13"/>
      <c r="X146" s="11"/>
      <c r="Y146" s="39">
        <v>97.222222222222229</v>
      </c>
      <c r="Z146" s="43">
        <v>100</v>
      </c>
      <c r="AA146" s="10">
        <v>1</v>
      </c>
      <c r="AB146" s="11"/>
      <c r="AC146" s="69">
        <f t="shared" si="1270"/>
        <v>174</v>
      </c>
      <c r="AD146" s="69">
        <f t="shared" si="1271"/>
        <v>13</v>
      </c>
      <c r="AE146" s="11">
        <v>121</v>
      </c>
      <c r="AF146" s="12">
        <f t="shared" si="1220"/>
        <v>0.6954022988505747</v>
      </c>
      <c r="AG146" s="11">
        <v>0</v>
      </c>
      <c r="AH146" s="12">
        <f t="shared" si="1221"/>
        <v>0</v>
      </c>
      <c r="AI146" s="13"/>
      <c r="AJ146" s="11"/>
      <c r="AK146" s="39">
        <v>70</v>
      </c>
      <c r="AL146" s="43">
        <v>100</v>
      </c>
      <c r="AM146" s="10"/>
      <c r="AN146" s="11"/>
      <c r="AO146" s="69">
        <f t="shared" si="1272"/>
        <v>773</v>
      </c>
      <c r="AP146" s="69">
        <f t="shared" si="1273"/>
        <v>64</v>
      </c>
      <c r="AQ146" s="11">
        <v>514</v>
      </c>
      <c r="AR146" s="12">
        <f t="shared" si="1222"/>
        <v>0.67399741267787838</v>
      </c>
      <c r="AS146" s="11">
        <v>7</v>
      </c>
      <c r="AT146" s="12">
        <f t="shared" si="1223"/>
        <v>1.3435700575815739E-2</v>
      </c>
      <c r="AU146" s="13"/>
      <c r="AV146" s="11"/>
      <c r="AW146" s="39">
        <v>93.939393939393938</v>
      </c>
      <c r="AX146" s="43">
        <v>100</v>
      </c>
      <c r="AY146" s="10"/>
      <c r="AZ146" s="11"/>
      <c r="BA146" s="69">
        <f t="shared" si="1274"/>
        <v>763</v>
      </c>
      <c r="BB146" s="69">
        <f t="shared" si="1275"/>
        <v>67</v>
      </c>
      <c r="BC146" s="11">
        <v>519</v>
      </c>
      <c r="BD146" s="12">
        <f t="shared" si="1224"/>
        <v>0.70642201834862384</v>
      </c>
      <c r="BE146" s="11">
        <v>20</v>
      </c>
      <c r="BF146" s="12">
        <f t="shared" si="1225"/>
        <v>3.7105751391465679E-2</v>
      </c>
      <c r="BG146" s="13"/>
      <c r="BH146" s="11"/>
      <c r="BI146" s="39">
        <v>84.21052631578948</v>
      </c>
      <c r="BJ146" s="43">
        <v>100</v>
      </c>
      <c r="BK146" s="10">
        <v>1</v>
      </c>
      <c r="BL146" s="11"/>
      <c r="BM146" s="69">
        <f t="shared" si="1276"/>
        <v>828</v>
      </c>
      <c r="BN146" s="69">
        <f t="shared" si="1277"/>
        <v>72</v>
      </c>
      <c r="BO146" s="11">
        <v>553</v>
      </c>
      <c r="BP146" s="12">
        <f t="shared" si="1226"/>
        <v>0.68599033816425126</v>
      </c>
      <c r="BQ146" s="11">
        <v>15</v>
      </c>
      <c r="BR146" s="12">
        <f t="shared" si="1227"/>
        <v>2.6408450704225352E-2</v>
      </c>
      <c r="BS146" s="13"/>
      <c r="BT146" s="11"/>
      <c r="BU146" s="39">
        <v>87.804878048780495</v>
      </c>
      <c r="BV146" s="43">
        <v>84.615384615384613</v>
      </c>
      <c r="BW146" s="10">
        <v>1</v>
      </c>
      <c r="BX146" s="11"/>
      <c r="BY146" s="69">
        <f t="shared" si="1278"/>
        <v>752</v>
      </c>
      <c r="BZ146" s="69">
        <f t="shared" si="1279"/>
        <v>63</v>
      </c>
      <c r="CA146" s="11">
        <v>506</v>
      </c>
      <c r="CB146" s="12">
        <f t="shared" si="1228"/>
        <v>0.69547872340425532</v>
      </c>
      <c r="CC146" s="11">
        <v>17</v>
      </c>
      <c r="CD146" s="12">
        <f t="shared" si="1229"/>
        <v>3.2504780114722756E-2</v>
      </c>
      <c r="CE146" s="13"/>
      <c r="CF146" s="11"/>
      <c r="CG146" s="39">
        <v>89.189189189189193</v>
      </c>
      <c r="CH146" s="43">
        <v>100</v>
      </c>
      <c r="CI146" s="10">
        <v>1</v>
      </c>
      <c r="CJ146" s="11"/>
      <c r="CK146" s="69">
        <f t="shared" si="1280"/>
        <v>168</v>
      </c>
      <c r="CL146" s="69">
        <f t="shared" si="1281"/>
        <v>14</v>
      </c>
      <c r="CM146" s="11">
        <v>111</v>
      </c>
      <c r="CN146" s="12">
        <f t="shared" si="1230"/>
        <v>0.67261904761904767</v>
      </c>
      <c r="CO146" s="11">
        <v>2</v>
      </c>
      <c r="CP146" s="12">
        <f t="shared" si="1231"/>
        <v>1.7699115044247787E-2</v>
      </c>
      <c r="CQ146" s="13"/>
      <c r="CR146" s="11"/>
      <c r="CS146" s="39">
        <v>90</v>
      </c>
      <c r="CT146" s="43">
        <v>100</v>
      </c>
      <c r="CU146" s="10"/>
      <c r="CV146" s="11"/>
      <c r="CW146" s="69">
        <f t="shared" si="1282"/>
        <v>747</v>
      </c>
      <c r="CX146" s="69">
        <f t="shared" si="1283"/>
        <v>65</v>
      </c>
      <c r="CY146" s="11">
        <v>534</v>
      </c>
      <c r="CZ146" s="12">
        <f t="shared" si="1232"/>
        <v>0.72824631860776434</v>
      </c>
      <c r="DA146" s="11">
        <v>10</v>
      </c>
      <c r="DB146" s="12">
        <f t="shared" si="1233"/>
        <v>1.8382352941176471E-2</v>
      </c>
      <c r="DC146" s="13"/>
      <c r="DD146" s="11"/>
      <c r="DE146" s="39">
        <v>71.794871794871796</v>
      </c>
      <c r="DF146" s="43">
        <v>92.307692307692307</v>
      </c>
      <c r="DG146" s="10"/>
      <c r="DH146" s="11"/>
      <c r="DI146" s="69">
        <f t="shared" si="1284"/>
        <v>753</v>
      </c>
      <c r="DJ146" s="69">
        <f t="shared" si="1285"/>
        <v>66</v>
      </c>
      <c r="DK146" s="11">
        <v>545</v>
      </c>
      <c r="DL146" s="12">
        <f t="shared" si="1234"/>
        <v>0.7450199203187251</v>
      </c>
      <c r="DM146" s="11">
        <v>16</v>
      </c>
      <c r="DN146" s="12">
        <f t="shared" si="1235"/>
        <v>2.8520499108734401E-2</v>
      </c>
      <c r="DO146" s="13"/>
      <c r="DP146" s="11"/>
      <c r="DQ146" s="39">
        <v>94.736842105263165</v>
      </c>
      <c r="DR146" s="43">
        <v>100</v>
      </c>
      <c r="DS146" s="10"/>
      <c r="DT146" s="11"/>
      <c r="DU146" s="69">
        <f t="shared" si="1286"/>
        <v>839</v>
      </c>
      <c r="DV146" s="69">
        <f t="shared" si="1287"/>
        <v>71</v>
      </c>
      <c r="DW146" s="11">
        <v>559</v>
      </c>
      <c r="DX146" s="12">
        <f t="shared" si="1236"/>
        <v>0.68891537544696069</v>
      </c>
      <c r="DY146" s="11">
        <v>19</v>
      </c>
      <c r="DZ146" s="12">
        <f t="shared" si="1237"/>
        <v>3.2871972318339097E-2</v>
      </c>
      <c r="EA146" s="13"/>
      <c r="EB146" s="11"/>
      <c r="EC146" s="39">
        <v>78.723404255319153</v>
      </c>
      <c r="ED146" s="43">
        <v>100</v>
      </c>
      <c r="EE146" s="10">
        <v>1</v>
      </c>
      <c r="EF146" s="11"/>
      <c r="EG146" s="69">
        <f t="shared" si="1288"/>
        <v>851</v>
      </c>
      <c r="EH146" s="69">
        <f t="shared" si="1289"/>
        <v>74</v>
      </c>
      <c r="EI146" s="11">
        <v>578</v>
      </c>
      <c r="EJ146" s="12">
        <f t="shared" si="1238"/>
        <v>0.69917743830787304</v>
      </c>
      <c r="EK146" s="11">
        <v>17</v>
      </c>
      <c r="EL146" s="12">
        <f t="shared" si="1239"/>
        <v>2.8571428571428571E-2</v>
      </c>
      <c r="EM146" s="13"/>
      <c r="EN146" s="11"/>
      <c r="EO146" s="39">
        <v>86.04651162790698</v>
      </c>
      <c r="EP146" s="43">
        <v>100</v>
      </c>
      <c r="EQ146" s="10"/>
      <c r="ER146" s="11"/>
      <c r="ES146" s="69">
        <f t="shared" si="1290"/>
        <v>191</v>
      </c>
      <c r="ET146" s="69">
        <f t="shared" si="1291"/>
        <v>16</v>
      </c>
      <c r="EU146" s="11">
        <v>125</v>
      </c>
      <c r="EV146" s="12">
        <f t="shared" si="1240"/>
        <v>0.68062827225130895</v>
      </c>
      <c r="EW146" s="11">
        <v>5</v>
      </c>
      <c r="EX146" s="12">
        <f t="shared" si="1241"/>
        <v>3.8461538461538464E-2</v>
      </c>
      <c r="EY146" s="13"/>
      <c r="EZ146" s="11"/>
      <c r="FA146" s="39">
        <v>91.666666666666671</v>
      </c>
      <c r="FB146" s="43">
        <v>100</v>
      </c>
      <c r="FC146" s="10"/>
      <c r="FD146" s="11"/>
      <c r="FE146" s="69">
        <f t="shared" si="1292"/>
        <v>862</v>
      </c>
      <c r="FF146" s="69">
        <f t="shared" si="1293"/>
        <v>75</v>
      </c>
      <c r="FG146" s="11">
        <v>651</v>
      </c>
      <c r="FH146" s="12">
        <f t="shared" si="1242"/>
        <v>0.76334106728538287</v>
      </c>
      <c r="FI146" s="11">
        <v>7</v>
      </c>
      <c r="FJ146" s="12">
        <f t="shared" si="1243"/>
        <v>1.0638297872340425E-2</v>
      </c>
      <c r="FK146" s="13"/>
      <c r="FL146" s="11"/>
      <c r="FM146" s="39">
        <v>90.697674418604649</v>
      </c>
      <c r="FN146" s="43">
        <v>93.75</v>
      </c>
      <c r="FO146" s="10"/>
      <c r="FP146" s="11"/>
      <c r="FQ146" s="69">
        <f t="shared" si="1294"/>
        <v>892</v>
      </c>
      <c r="FR146" s="69">
        <f t="shared" si="1295"/>
        <v>75</v>
      </c>
      <c r="FS146" s="11">
        <v>592</v>
      </c>
      <c r="FT146" s="12">
        <f t="shared" si="1244"/>
        <v>0.679372197309417</v>
      </c>
      <c r="FU146" s="11">
        <v>14</v>
      </c>
      <c r="FV146" s="12">
        <f t="shared" si="1245"/>
        <v>2.3102310231023101E-2</v>
      </c>
      <c r="FW146" s="13"/>
      <c r="FX146" s="11"/>
      <c r="FY146" s="39">
        <v>87.5</v>
      </c>
      <c r="FZ146" s="43">
        <v>100</v>
      </c>
      <c r="GA146" s="10"/>
      <c r="GB146" s="11"/>
      <c r="GC146" s="69">
        <f t="shared" si="1296"/>
        <v>890</v>
      </c>
      <c r="GD146" s="69">
        <f t="shared" si="1297"/>
        <v>76</v>
      </c>
      <c r="GE146" s="11">
        <v>616</v>
      </c>
      <c r="GF146" s="12">
        <f t="shared" si="1246"/>
        <v>0.70561797752808986</v>
      </c>
      <c r="GG146" s="11">
        <v>12</v>
      </c>
      <c r="GH146" s="12">
        <f t="shared" si="1247"/>
        <v>1.9108280254777069E-2</v>
      </c>
      <c r="GI146" s="13"/>
      <c r="GJ146" s="11"/>
      <c r="GK146" s="39">
        <v>90.476190476190482</v>
      </c>
      <c r="GL146" s="43">
        <v>100</v>
      </c>
      <c r="GM146" s="10"/>
      <c r="GN146" s="11"/>
      <c r="GO146" s="69">
        <f t="shared" si="1298"/>
        <v>174</v>
      </c>
      <c r="GP146" s="69">
        <f t="shared" si="1299"/>
        <v>17</v>
      </c>
      <c r="GQ146" s="11">
        <v>112</v>
      </c>
      <c r="GR146" s="12">
        <f t="shared" si="1248"/>
        <v>0.66666666666666663</v>
      </c>
      <c r="GS146" s="11">
        <v>4</v>
      </c>
      <c r="GT146" s="12">
        <f t="shared" si="1249"/>
        <v>3.4482758620689655E-2</v>
      </c>
      <c r="GU146" s="13"/>
      <c r="GV146" s="11"/>
      <c r="GW146" s="39">
        <v>92.307692307692307</v>
      </c>
      <c r="GX146" s="43">
        <v>100</v>
      </c>
      <c r="GY146" s="10"/>
      <c r="GZ146" s="11"/>
      <c r="HA146" s="69">
        <f t="shared" si="1300"/>
        <v>907</v>
      </c>
      <c r="HB146" s="69">
        <f t="shared" si="1301"/>
        <v>77</v>
      </c>
      <c r="HC146" s="11">
        <v>629</v>
      </c>
      <c r="HD146" s="12">
        <f t="shared" si="1250"/>
        <v>0.70672546857772878</v>
      </c>
      <c r="HE146" s="11">
        <v>12</v>
      </c>
      <c r="HF146" s="12">
        <f t="shared" si="1251"/>
        <v>1.8720748829953199E-2</v>
      </c>
      <c r="HG146" s="13"/>
      <c r="HH146" s="11"/>
      <c r="HI146" s="39">
        <v>81.395348837209298</v>
      </c>
      <c r="HJ146" s="43">
        <v>93.333333333333329</v>
      </c>
      <c r="HK146" s="10">
        <f t="shared" si="1252"/>
        <v>6</v>
      </c>
      <c r="HL146" s="11">
        <f t="shared" si="1253"/>
        <v>0</v>
      </c>
      <c r="HM146" s="11">
        <f t="shared" si="1254"/>
        <v>12157</v>
      </c>
      <c r="HN146" s="11">
        <f t="shared" si="1255"/>
        <v>1041</v>
      </c>
      <c r="HO146" s="11">
        <f t="shared" si="1256"/>
        <v>8567</v>
      </c>
      <c r="HP146" s="95">
        <f t="shared" si="1257"/>
        <v>0.70469688245455298</v>
      </c>
      <c r="HQ146" s="15">
        <f t="shared" si="1258"/>
        <v>201</v>
      </c>
      <c r="HR146" s="12">
        <f t="shared" si="1259"/>
        <v>2.3462122096416481E-2</v>
      </c>
      <c r="HS146" s="16">
        <v>63.2</v>
      </c>
      <c r="HT146" s="17">
        <v>8166</v>
      </c>
      <c r="HU146" s="16">
        <f t="shared" si="1260"/>
        <v>95.319248278277115</v>
      </c>
      <c r="HV146" s="23">
        <v>88.273615635179155</v>
      </c>
      <c r="HW146" s="22">
        <v>90.277777777777771</v>
      </c>
      <c r="HX146" s="73">
        <f t="shared" si="1261"/>
        <v>0.69815319406600063</v>
      </c>
      <c r="HY146" s="73">
        <f t="shared" si="1262"/>
        <v>0.71089901477832518</v>
      </c>
      <c r="HZ146" s="73">
        <f t="shared" si="1263"/>
        <v>0.71491068173532624</v>
      </c>
      <c r="IA146" s="73">
        <f t="shared" si="1264"/>
        <v>0.69542438002095708</v>
      </c>
      <c r="IF146" s="85">
        <f>IF147/IF148</f>
        <v>1.8132366273798731E-3</v>
      </c>
      <c r="IG146" s="85">
        <f>IG147/IG148</f>
        <v>4.2918454935622317E-3</v>
      </c>
      <c r="IH146" s="85">
        <f>IH147/IH148</f>
        <v>3.9941902687000725E-3</v>
      </c>
      <c r="II146" s="85">
        <f>II147/II148</f>
        <v>3.4806822137138879E-3</v>
      </c>
      <c r="IJ146" s="88" t="s">
        <v>90</v>
      </c>
    </row>
    <row r="147" spans="1:244" ht="19.5" thickBot="1" x14ac:dyDescent="0.3">
      <c r="A147" s="374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4024</v>
      </c>
      <c r="H147" s="28">
        <f>((G147+I147)/7)/E146</f>
        <v>0.70624465355004273</v>
      </c>
      <c r="I147" s="27">
        <f>SUM(I140:I146)</f>
        <v>104</v>
      </c>
      <c r="J147" s="28">
        <f>(I147/(I147+G147))</f>
        <v>2.5193798449612403E-2</v>
      </c>
      <c r="K147" s="27"/>
      <c r="L147" s="27"/>
      <c r="M147" s="29">
        <f>M145/M144*100-100</f>
        <v>15.043070073557899</v>
      </c>
      <c r="N147" s="67">
        <f>N145/N144*100-100</f>
        <v>5.7849961330239665</v>
      </c>
      <c r="O147" s="26">
        <f>SUM(O140:O146)</f>
        <v>1</v>
      </c>
      <c r="P147" s="27">
        <f>SUM(P140:P146)</f>
        <v>1</v>
      </c>
      <c r="Q147" s="27"/>
      <c r="R147" s="27"/>
      <c r="S147" s="27">
        <f>SUM(S140:S146)</f>
        <v>3562</v>
      </c>
      <c r="T147" s="28">
        <f>((S147+U147)/7)/Q146</f>
        <v>0.68563889935921596</v>
      </c>
      <c r="U147" s="27">
        <f>SUM(U140:U146)</f>
        <v>76</v>
      </c>
      <c r="V147" s="28">
        <f>(U147/(U147+S147))</f>
        <v>2.0890599230346345E-2</v>
      </c>
      <c r="W147" s="27"/>
      <c r="X147" s="27"/>
      <c r="Y147" s="29">
        <f>Y145/Y144*100-100</f>
        <v>15.651179453262799</v>
      </c>
      <c r="Z147" s="67">
        <f>Z145/Z144*100-100</f>
        <v>11.261824022844905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842</v>
      </c>
      <c r="AF147" s="28">
        <f>((AE147+AG147)/7)/AC146</f>
        <v>0.70361247947454841</v>
      </c>
      <c r="AG147" s="27">
        <f>SUM(AG140:AG146)</f>
        <v>15</v>
      </c>
      <c r="AH147" s="28">
        <f>(AG147/(AG147+AE147))</f>
        <v>1.7502917152858809E-2</v>
      </c>
      <c r="AI147" s="27"/>
      <c r="AJ147" s="27"/>
      <c r="AK147" s="29">
        <f>AK145/AK144*100-100</f>
        <v>12.921626984126974</v>
      </c>
      <c r="AL147" s="67">
        <f>AL145/AL144*100-100</f>
        <v>8.5382830626450072</v>
      </c>
      <c r="AM147" s="26">
        <f>SUM(AM140:AM146)</f>
        <v>0</v>
      </c>
      <c r="AN147" s="27">
        <f>SUM(AN140:AN146)</f>
        <v>1</v>
      </c>
      <c r="AO147" s="27"/>
      <c r="AP147" s="27"/>
      <c r="AQ147" s="27">
        <f>SUM(AQ140:AQ146)</f>
        <v>3655</v>
      </c>
      <c r="AR147" s="28">
        <f>((AQ147+AS147)/7)/AO146</f>
        <v>0.68748844945481424</v>
      </c>
      <c r="AS147" s="27">
        <f>SUM(AS140:AS146)</f>
        <v>65</v>
      </c>
      <c r="AT147" s="28">
        <f>(AS147/(AS147+AQ147))</f>
        <v>1.7473118279569891E-2</v>
      </c>
      <c r="AU147" s="27"/>
      <c r="AV147" s="27"/>
      <c r="AW147" s="29">
        <f>AW145/AW144*100-100</f>
        <v>16.777898027898019</v>
      </c>
      <c r="AX147" s="67">
        <f>AX145/AX144*100-100</f>
        <v>9.4056755309655387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3704</v>
      </c>
      <c r="BD147" s="28">
        <f>((BC147+BE147)/7)/BA146</f>
        <v>0.70960494289458909</v>
      </c>
      <c r="BE147" s="27">
        <f>SUM(BE140:BE146)</f>
        <v>86</v>
      </c>
      <c r="BF147" s="28">
        <f>(BE147/(BE147+BC147))</f>
        <v>2.2691292875989446E-2</v>
      </c>
      <c r="BG147" s="27"/>
      <c r="BH147" s="27"/>
      <c r="BI147" s="29">
        <f>BI145/BI144*100-100</f>
        <v>13.676117376775281</v>
      </c>
      <c r="BJ147" s="67">
        <f>BJ145/BJ144*100-100</f>
        <v>13.669760247486479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3966</v>
      </c>
      <c r="BP147" s="28">
        <f>((BO147+BQ147)/7)/BM146</f>
        <v>0.7020358868184956</v>
      </c>
      <c r="BQ147" s="27">
        <f>SUM(BQ140:BQ146)</f>
        <v>103</v>
      </c>
      <c r="BR147" s="28">
        <f>(BQ147/(BQ147+BO147))</f>
        <v>2.5313344802162692E-2</v>
      </c>
      <c r="BS147" s="27"/>
      <c r="BT147" s="27"/>
      <c r="BU147" s="29">
        <f>BU145/BU144*100-100</f>
        <v>12.441927990708493</v>
      </c>
      <c r="BV147" s="67">
        <f>BV145/BV144*100-100</f>
        <v>3.8372300553274954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3498</v>
      </c>
      <c r="CB147" s="28">
        <f>((CA147+CC147)/7)/BY146</f>
        <v>0.67781155015197569</v>
      </c>
      <c r="CC147" s="27">
        <f>SUM(CC140:CC146)</f>
        <v>70</v>
      </c>
      <c r="CD147" s="28">
        <f>(CC147/(CC147+CA147))</f>
        <v>1.961883408071749E-2</v>
      </c>
      <c r="CE147" s="27"/>
      <c r="CF147" s="27"/>
      <c r="CG147" s="29">
        <f>CG145/CG144*100-100</f>
        <v>15.622318747318744</v>
      </c>
      <c r="CH147" s="67">
        <f>CH145/CH144*100-100</f>
        <v>7.5673746207388888</v>
      </c>
      <c r="CI147" s="26">
        <f>SUM(CI140:CI146)</f>
        <v>6</v>
      </c>
      <c r="CJ147" s="27">
        <f>SUM(CJ140:CJ146)</f>
        <v>0</v>
      </c>
      <c r="CK147" s="27"/>
      <c r="CL147" s="27"/>
      <c r="CM147" s="27">
        <f>SUM(CM140:CM146)</f>
        <v>777</v>
      </c>
      <c r="CN147" s="28">
        <f>((CM147+CO147)/7)/CK146</f>
        <v>0.67176870748299322</v>
      </c>
      <c r="CO147" s="27">
        <f>SUM(CO140:CO146)</f>
        <v>13</v>
      </c>
      <c r="CP147" s="28">
        <f>(CO147/(CO147+CM147))</f>
        <v>1.6455696202531647E-2</v>
      </c>
      <c r="CQ147" s="27"/>
      <c r="CR147" s="27"/>
      <c r="CS147" s="29">
        <f>CS145/CS144*100-100</f>
        <v>10.56547619047619</v>
      </c>
      <c r="CT147" s="67">
        <f>CT145/CT144*100-100</f>
        <v>1.8561484918793667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3580</v>
      </c>
      <c r="CZ147" s="28">
        <f>((CY147+DA147)/7)/CW146</f>
        <v>0.69477911646586343</v>
      </c>
      <c r="DA147" s="27">
        <f>SUM(DA140:DA146)</f>
        <v>53</v>
      </c>
      <c r="DB147" s="28">
        <f>(DA147/(DA147+CY147))</f>
        <v>1.4588494357280485E-2</v>
      </c>
      <c r="DC147" s="27"/>
      <c r="DD147" s="27"/>
      <c r="DE147" s="29">
        <f>DE145/DE144*100-100</f>
        <v>17.190679690679687</v>
      </c>
      <c r="DF147" s="67">
        <f>DF145/DF144*100-100</f>
        <v>10.601463501695534</v>
      </c>
      <c r="DG147" s="26">
        <f>SUM(DG140:DG146)</f>
        <v>4</v>
      </c>
      <c r="DH147" s="27">
        <f>SUM(DH140:DH146)</f>
        <v>1</v>
      </c>
      <c r="DI147" s="27"/>
      <c r="DJ147" s="27"/>
      <c r="DK147" s="27">
        <f>SUM(DK140:DK146)</f>
        <v>3689</v>
      </c>
      <c r="DL147" s="28">
        <f>((DK147+DM147)/7)/DI146</f>
        <v>0.7133371276797571</v>
      </c>
      <c r="DM147" s="27">
        <f>SUM(DM140:DM146)</f>
        <v>71</v>
      </c>
      <c r="DN147" s="28">
        <f>(DM147/(DM147+DK147))</f>
        <v>1.8882978723404255E-2</v>
      </c>
      <c r="DO147" s="27"/>
      <c r="DP147" s="27"/>
      <c r="DQ147" s="29">
        <f>DQ145/DQ144*100-100</f>
        <v>16.90685045948203</v>
      </c>
      <c r="DR147" s="67">
        <f>DR145/DR144*100-100</f>
        <v>17.699701690420937</v>
      </c>
      <c r="DS147" s="26">
        <f>SUM(DS140:DS146)</f>
        <v>5</v>
      </c>
      <c r="DT147" s="27">
        <f>SUM(DT140:DT146)</f>
        <v>0</v>
      </c>
      <c r="DU147" s="27"/>
      <c r="DV147" s="27"/>
      <c r="DW147" s="27">
        <f>SUM(DW140:DW146)</f>
        <v>3924</v>
      </c>
      <c r="DX147" s="28">
        <f>((DW147+DY147)/7)/DU146</f>
        <v>0.6921505193257278</v>
      </c>
      <c r="DY147" s="27">
        <f>SUM(DY140:DY146)</f>
        <v>141</v>
      </c>
      <c r="DZ147" s="28">
        <f>(DY147/(DY147+DW147))</f>
        <v>3.4686346863468637E-2</v>
      </c>
      <c r="EA147" s="27"/>
      <c r="EB147" s="27"/>
      <c r="EC147" s="29">
        <f>EC145/EC144*100-100</f>
        <v>12.931653157717008</v>
      </c>
      <c r="ED147" s="67">
        <f>ED145/ED144*100-100</f>
        <v>1.4066125290023166</v>
      </c>
      <c r="EE147" s="26">
        <f>SUM(EE140:EE146)</f>
        <v>3</v>
      </c>
      <c r="EF147" s="27">
        <f>SUM(EF140:EF146)</f>
        <v>0</v>
      </c>
      <c r="EG147" s="27"/>
      <c r="EH147" s="27"/>
      <c r="EI147" s="27">
        <f>SUM(EI140:EI146)</f>
        <v>4003</v>
      </c>
      <c r="EJ147" s="28">
        <f>((EI147+EK147)/7)/EG146</f>
        <v>0.69615578311230486</v>
      </c>
      <c r="EK147" s="27">
        <f>SUM(EK140:EK146)</f>
        <v>144</v>
      </c>
      <c r="EL147" s="28">
        <f>(EK147/(EK147+EI147))</f>
        <v>3.4723896792862308E-2</v>
      </c>
      <c r="EM147" s="27"/>
      <c r="EN147" s="27"/>
      <c r="EO147" s="29">
        <f>EO145/EO144*100-100</f>
        <v>17.392257290513101</v>
      </c>
      <c r="EP147" s="67">
        <f>EP145/EP144*100-100</f>
        <v>6.4799469671859526</v>
      </c>
      <c r="EQ147" s="26">
        <f>SUM(EQ140:EQ146)</f>
        <v>1</v>
      </c>
      <c r="ER147" s="27">
        <f>SUM(ER140:ER146)</f>
        <v>0</v>
      </c>
      <c r="ES147" s="27"/>
      <c r="ET147" s="27"/>
      <c r="EU147" s="27">
        <f>SUM(EU140:EU146)</f>
        <v>877</v>
      </c>
      <c r="EV147" s="28">
        <f>((EU147+EW147)/7)/ES146</f>
        <v>0.68511593118922964</v>
      </c>
      <c r="EW147" s="27">
        <f>SUM(EW140:EW146)</f>
        <v>39</v>
      </c>
      <c r="EX147" s="28">
        <f>(EW147/(EW147+EU147))</f>
        <v>4.2576419213973801E-2</v>
      </c>
      <c r="EY147" s="27"/>
      <c r="EZ147" s="27"/>
      <c r="FA147" s="29">
        <f>FA145/FA144*100-100</f>
        <v>11.111111111111114</v>
      </c>
      <c r="FB147" s="67">
        <f>FB145/FB144*100-100</f>
        <v>-0.11600928074246042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4329</v>
      </c>
      <c r="FH147" s="28">
        <f>((FG147+FI147)/7)/FE146</f>
        <v>0.72953264832615183</v>
      </c>
      <c r="FI147" s="27">
        <f>SUM(FI140:FI146)</f>
        <v>73</v>
      </c>
      <c r="FJ147" s="28">
        <f>(FI147/(FI147+FG147))</f>
        <v>1.6583371194911403E-2</v>
      </c>
      <c r="FK147" s="27"/>
      <c r="FL147" s="27"/>
      <c r="FM147" s="29">
        <f>FM145/FM144*100-100</f>
        <v>15.1312753783684</v>
      </c>
      <c r="FN147" s="67">
        <f>FN145/FN144*100-100</f>
        <v>10.005800464037122</v>
      </c>
      <c r="FO147" s="26">
        <f>SUM(FO140:FO146)</f>
        <v>5</v>
      </c>
      <c r="FP147" s="27">
        <f>SUM(FP140:FP146)</f>
        <v>0</v>
      </c>
      <c r="FQ147" s="27"/>
      <c r="FR147" s="27"/>
      <c r="FS147" s="27">
        <f>SUM(FS140:FS146)</f>
        <v>4169</v>
      </c>
      <c r="FT147" s="28">
        <f>((FS147+FU147)/7)/FQ146</f>
        <v>0.68609865470852016</v>
      </c>
      <c r="FU147" s="27">
        <f>SUM(FU140:FU146)</f>
        <v>115</v>
      </c>
      <c r="FV147" s="28">
        <f>(FU147/(FU147+FS147))</f>
        <v>2.6844070961718019E-2</v>
      </c>
      <c r="FW147" s="27"/>
      <c r="FX147" s="27"/>
      <c r="FY147" s="29">
        <f>FY145/FY144*100-100</f>
        <v>17.482018849206355</v>
      </c>
      <c r="FZ147" s="67">
        <f>FZ145/FZ144*100-100</f>
        <v>7.233519858059239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4210</v>
      </c>
      <c r="GF147" s="28">
        <f>((GE147+GG147)/7)/GC146</f>
        <v>0.69582664526484761</v>
      </c>
      <c r="GG147" s="27">
        <f>SUM(GG140:GG146)</f>
        <v>125</v>
      </c>
      <c r="GH147" s="28">
        <f>(GG147/(GG147+GE147))</f>
        <v>2.8835063437139562E-2</v>
      </c>
      <c r="GI147" s="27"/>
      <c r="GJ147" s="27"/>
      <c r="GK147" s="29">
        <f>GK145/GK144*100-100</f>
        <v>11.30007558578987</v>
      </c>
      <c r="GL147" s="67">
        <f>GL145/GL144*100-100</f>
        <v>8.5515412661584236</v>
      </c>
      <c r="GM147" s="26">
        <f>SUM(GM140:GM146)</f>
        <v>4</v>
      </c>
      <c r="GN147" s="27">
        <f>SUM(GN140:GN146)</f>
        <v>0</v>
      </c>
      <c r="GO147" s="27"/>
      <c r="GP147" s="27"/>
      <c r="GQ147" s="27">
        <f>SUM(GQ140:GQ146)</f>
        <v>833</v>
      </c>
      <c r="GR147" s="28">
        <f>((GQ147+GS147)/7)/GO146</f>
        <v>0.70935960591133007</v>
      </c>
      <c r="GS147" s="27">
        <f>SUM(GS140:GS146)</f>
        <v>31</v>
      </c>
      <c r="GT147" s="28">
        <f>(GS147/(GS147+GQ147))</f>
        <v>3.5879629629629629E-2</v>
      </c>
      <c r="GU147" s="27"/>
      <c r="GV147" s="27"/>
      <c r="GW147" s="29">
        <f>GW145/GW144*100-100</f>
        <v>7.9441391941391828</v>
      </c>
      <c r="GX147" s="67">
        <f>GX145/GX144*100-100</f>
        <v>1.7981438515081152</v>
      </c>
      <c r="GY147" s="26">
        <f>SUM(GY140:GY146)</f>
        <v>1</v>
      </c>
      <c r="GZ147" s="27">
        <f>SUM(GZ140:GZ146)</f>
        <v>1</v>
      </c>
      <c r="HA147" s="27"/>
      <c r="HB147" s="27"/>
      <c r="HC147" s="27">
        <f>SUM(HC140:HC146)</f>
        <v>4352</v>
      </c>
      <c r="HD147" s="28">
        <f>((HC147+HE147)/7)/HA146</f>
        <v>0.70042526382107428</v>
      </c>
      <c r="HE147" s="27">
        <f>SUM(HE140:HE146)</f>
        <v>95</v>
      </c>
      <c r="HF147" s="28">
        <f>(HE147/(HE147+HC147))</f>
        <v>2.1362716438048122E-2</v>
      </c>
      <c r="HG147" s="27"/>
      <c r="HH147" s="27"/>
      <c r="HI147" s="29">
        <f>HI145/HI144*100-100</f>
        <v>16.22139165743819</v>
      </c>
      <c r="HJ147" s="67">
        <f>HJ145/HJ144*100-100</f>
        <v>8.6465583913379902</v>
      </c>
      <c r="HK147" s="26">
        <f t="shared" si="1252"/>
        <v>41</v>
      </c>
      <c r="HL147" s="27">
        <f t="shared" si="1253"/>
        <v>4</v>
      </c>
      <c r="HM147" s="27">
        <f t="shared" si="1254"/>
        <v>0</v>
      </c>
      <c r="HN147" s="27">
        <f t="shared" si="1255"/>
        <v>0</v>
      </c>
      <c r="HO147" s="27">
        <f t="shared" si="1256"/>
        <v>59413</v>
      </c>
      <c r="HP147" s="96">
        <f>+((HO147)/HM146)/7</f>
        <v>0.69816331566763423</v>
      </c>
      <c r="HQ147" s="62">
        <f t="shared" si="1258"/>
        <v>1419</v>
      </c>
      <c r="HR147" s="52">
        <f t="shared" si="1259"/>
        <v>2.3883661824853148E-2</v>
      </c>
      <c r="HS147" s="53">
        <f>SUM(HS140:HS146)/7</f>
        <v>62.842857142857142</v>
      </c>
      <c r="HT147" s="54">
        <f>SUM(HT140:HT146)</f>
        <v>56813</v>
      </c>
      <c r="HU147" s="53">
        <f>AVERAGE(HU140:HU146)</f>
        <v>95.620332609408564</v>
      </c>
      <c r="HV147" s="63">
        <f>HV145/HV144*100-100</f>
        <v>14.891939403340061</v>
      </c>
      <c r="HW147" s="67">
        <f>HW145/HW144*100-100</f>
        <v>8.1378362120821492</v>
      </c>
      <c r="HX147" s="73">
        <f>SUM(G147,I147,S147,U147,AE147,AG147,AQ147,AS147,BC147,BE147)/7/SUM(E146,Q146,AC146,AO146,BA146)</f>
        <v>0.69776393754595389</v>
      </c>
      <c r="HY147" s="73">
        <f>SUM(BO147,BQ147,CA147,CC147,CM147,CO147,CY147,DA147,DK147,DM147)/7/SUM(BM146,BY146,CK146,CW146,DI146)</f>
        <v>0.69581280788177335</v>
      </c>
      <c r="HZ147" s="73">
        <f>SUM(DW147,DY147,EI147,EK147,EU147,EW147,FG147,FI147)/7/SUM(DU146,EG146,ES146,FE146)</f>
        <v>0.70465079943752928</v>
      </c>
      <c r="IA147" s="73">
        <f>SUM(FS147,FU147,GE147,GG147,GQ147,GS147,HC147,HE147)/7/SUM(FQ146,GC146,GO146,HA146)</f>
        <v>0.69507509605309115</v>
      </c>
      <c r="IB147" s="84">
        <f>SUM(I147,U147,AG147,AS147,BE147)/SUM(G147,I147,S147,U147,AE147,AG147,AQ147,AS147,BC147,BE147)</f>
        <v>2.1446724105869956E-2</v>
      </c>
      <c r="IC147" s="84">
        <f>SUM(BQ147,CC147,CO147,DA147,DM147)/SUM(BO147,BQ147,CA147,CC147,CM147,CO147,CY147,DA147,DK147,DM147)</f>
        <v>1.9595448798988623E-2</v>
      </c>
      <c r="ID147" s="84">
        <f>SUM(DY147,EK147,EW147,FI147)/SUM(DW147,DY147,EI147,EK147,EU147,EW147,FG147,FI147)</f>
        <v>2.9342202512934221E-2</v>
      </c>
      <c r="IE147" s="84">
        <f>SUM(FU147,GG147,GS147,HE147)/SUM(FS147,FU147,GE147,GG147,GQ147,GS147,HC147,HE147)</f>
        <v>2.6274228284278535E-2</v>
      </c>
      <c r="IF147" s="86">
        <f>SUM(C147,O147,AA147,AM147,AY147)</f>
        <v>6</v>
      </c>
      <c r="IG147" s="86">
        <f>SUM(BK147,BW147,CI147,CU147,DG147)</f>
        <v>14</v>
      </c>
      <c r="IH147" s="86">
        <f>SUM(DS147,EE147,EQ147,FC147)</f>
        <v>11</v>
      </c>
      <c r="II147" s="86">
        <f>SUM(FO147,GA147,GM147,GY147)</f>
        <v>10</v>
      </c>
      <c r="IJ147" s="88" t="s">
        <v>89</v>
      </c>
    </row>
    <row r="148" spans="1:244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HK147/HM140</f>
        <v>3.362585089805626E-3</v>
      </c>
      <c r="HL148" s="66">
        <f>HL147/HN140</f>
        <v>3.8314176245210726E-3</v>
      </c>
      <c r="HM148" s="45"/>
      <c r="HN148" s="45"/>
      <c r="HO148" s="45"/>
      <c r="HP148" s="98"/>
      <c r="HQ148" s="45"/>
      <c r="HR148" s="45"/>
      <c r="HS148" s="45"/>
      <c r="HT148" s="55"/>
      <c r="HU148" s="45"/>
      <c r="HV148" s="45"/>
      <c r="HW148" s="46"/>
      <c r="HY148" s="72"/>
      <c r="HZ148" s="72"/>
      <c r="IA148" s="72"/>
      <c r="IF148" s="86">
        <f>SUM(E137,Q137,AC137,AO137,BA137)</f>
        <v>3309</v>
      </c>
      <c r="IG148" s="86">
        <f>SUM(BM137,BY137,CK137,CW137,DI137)</f>
        <v>3262</v>
      </c>
      <c r="IH148" s="86">
        <f>SUM(DU137,EG137,ES137,FE137)</f>
        <v>2754</v>
      </c>
      <c r="II148" s="86">
        <f>SUM(FQ137,GC137,GO137,HA137)</f>
        <v>2873</v>
      </c>
      <c r="IJ148" s="88" t="s">
        <v>84</v>
      </c>
    </row>
    <row r="149" spans="1:244" x14ac:dyDescent="0.25">
      <c r="A149" s="373">
        <v>41</v>
      </c>
      <c r="B149" s="68">
        <f>B146+1</f>
        <v>45053</v>
      </c>
      <c r="C149" s="33">
        <v>1</v>
      </c>
      <c r="D149" s="34"/>
      <c r="E149" s="34">
        <f>E146-C149</f>
        <v>834</v>
      </c>
      <c r="F149" s="34">
        <f>F146-D149</f>
        <v>72</v>
      </c>
      <c r="G149" s="34">
        <v>573</v>
      </c>
      <c r="H149" s="35">
        <f t="shared" ref="H149:H155" si="1302">((G149+I149)/E149)</f>
        <v>0.70503597122302153</v>
      </c>
      <c r="I149" s="34">
        <v>15</v>
      </c>
      <c r="J149" s="35">
        <f t="shared" ref="J149:J155" si="1303">I149/(G149+I149)</f>
        <v>2.5510204081632654E-2</v>
      </c>
      <c r="K149" s="36"/>
      <c r="L149" s="34"/>
      <c r="M149" s="34"/>
      <c r="N149" s="37"/>
      <c r="O149" s="33"/>
      <c r="P149" s="34"/>
      <c r="Q149" s="34">
        <f>Q146-O149</f>
        <v>758</v>
      </c>
      <c r="R149" s="34">
        <f>R146-P149</f>
        <v>64</v>
      </c>
      <c r="S149" s="34">
        <v>514</v>
      </c>
      <c r="T149" s="35">
        <f t="shared" ref="T149:T155" si="1304">((S149+U149)/Q149)</f>
        <v>0.69393139841688656</v>
      </c>
      <c r="U149" s="34">
        <v>12</v>
      </c>
      <c r="V149" s="35">
        <f t="shared" ref="V149:V155" si="1305">U149/(S149+U149)</f>
        <v>2.2813688212927757E-2</v>
      </c>
      <c r="W149" s="36"/>
      <c r="X149" s="34"/>
      <c r="Y149" s="34"/>
      <c r="Z149" s="37"/>
      <c r="AA149" s="33"/>
      <c r="AB149" s="34"/>
      <c r="AC149" s="34">
        <f>AC146-AA149</f>
        <v>174</v>
      </c>
      <c r="AD149" s="34">
        <f>AD146-AB149</f>
        <v>13</v>
      </c>
      <c r="AE149" s="34">
        <v>123</v>
      </c>
      <c r="AF149" s="35">
        <f t="shared" ref="AF149:AF155" si="1306">((AE149+AG149)/AC149)</f>
        <v>0.7183908045977011</v>
      </c>
      <c r="AG149" s="34">
        <v>2</v>
      </c>
      <c r="AH149" s="35">
        <f t="shared" ref="AH149:AH155" si="1307">AG149/(AE149+AG149)</f>
        <v>1.6E-2</v>
      </c>
      <c r="AI149" s="36"/>
      <c r="AJ149" s="34"/>
      <c r="AK149" s="34"/>
      <c r="AL149" s="37"/>
      <c r="AM149" s="33"/>
      <c r="AN149" s="34"/>
      <c r="AO149" s="34">
        <f>AO146-AM149</f>
        <v>773</v>
      </c>
      <c r="AP149" s="34">
        <f>AP146-AN149</f>
        <v>64</v>
      </c>
      <c r="AQ149" s="34">
        <v>512</v>
      </c>
      <c r="AR149" s="35">
        <f t="shared" ref="AR149:AR155" si="1308">((AQ149+AS149)/AO149)</f>
        <v>0.67917205692108662</v>
      </c>
      <c r="AS149" s="34">
        <v>13</v>
      </c>
      <c r="AT149" s="35">
        <f t="shared" ref="AT149:AT155" si="1309">AS149/(AQ149+AS149)</f>
        <v>2.4761904761904763E-2</v>
      </c>
      <c r="AU149" s="36"/>
      <c r="AV149" s="34"/>
      <c r="AW149" s="34"/>
      <c r="AX149" s="37"/>
      <c r="AY149" s="33"/>
      <c r="AZ149" s="34"/>
      <c r="BA149" s="34">
        <f>BA146-AY149</f>
        <v>763</v>
      </c>
      <c r="BB149" s="34">
        <f>BB146-AZ149</f>
        <v>67</v>
      </c>
      <c r="BC149" s="34">
        <v>504</v>
      </c>
      <c r="BD149" s="35">
        <f t="shared" ref="BD149:BD155" si="1310">((BC149+BE149)/BA149)</f>
        <v>0.67103538663171691</v>
      </c>
      <c r="BE149" s="34">
        <v>8</v>
      </c>
      <c r="BF149" s="35">
        <f t="shared" ref="BF149:BF155" si="1311">BE149/(BC149+BE149)</f>
        <v>1.5625E-2</v>
      </c>
      <c r="BG149" s="36"/>
      <c r="BH149" s="34"/>
      <c r="BI149" s="34"/>
      <c r="BJ149" s="37"/>
      <c r="BK149" s="33"/>
      <c r="BL149" s="34"/>
      <c r="BM149" s="34">
        <f>BM146-BK149</f>
        <v>828</v>
      </c>
      <c r="BN149" s="34">
        <f>BN146-BL149</f>
        <v>72</v>
      </c>
      <c r="BO149" s="34">
        <v>562</v>
      </c>
      <c r="BP149" s="35">
        <f t="shared" ref="BP149:BP155" si="1312">((BO149+BQ149)/BM149)</f>
        <v>0.69806763285024154</v>
      </c>
      <c r="BQ149" s="34">
        <v>16</v>
      </c>
      <c r="BR149" s="35">
        <f t="shared" ref="BR149:BR155" si="1313">BQ149/(BO149+BQ149)</f>
        <v>2.768166089965398E-2</v>
      </c>
      <c r="BS149" s="36"/>
      <c r="BT149" s="34"/>
      <c r="BU149" s="34"/>
      <c r="BV149" s="37"/>
      <c r="BW149" s="33"/>
      <c r="BX149" s="34"/>
      <c r="BY149" s="34">
        <f>BY146-BW149</f>
        <v>752</v>
      </c>
      <c r="BZ149" s="34">
        <f>BZ146-BX149</f>
        <v>63</v>
      </c>
      <c r="CA149" s="34">
        <v>502</v>
      </c>
      <c r="CB149" s="35">
        <f t="shared" ref="CB149:CB155" si="1314">((CA149+CC149)/BY149)</f>
        <v>0.68085106382978722</v>
      </c>
      <c r="CC149" s="34">
        <v>10</v>
      </c>
      <c r="CD149" s="35">
        <f t="shared" ref="CD149:CD155" si="1315">CC149/(CA149+CC149)</f>
        <v>1.953125E-2</v>
      </c>
      <c r="CE149" s="36"/>
      <c r="CF149" s="34"/>
      <c r="CG149" s="34"/>
      <c r="CH149" s="37"/>
      <c r="CI149" s="33"/>
      <c r="CJ149" s="34"/>
      <c r="CK149" s="34">
        <f>CK146-CI149</f>
        <v>168</v>
      </c>
      <c r="CL149" s="34">
        <f>CL146-CJ149</f>
        <v>14</v>
      </c>
      <c r="CM149" s="34">
        <v>108</v>
      </c>
      <c r="CN149" s="35">
        <f t="shared" ref="CN149:CN155" si="1316">((CM149+CO149)/CK149)</f>
        <v>0.64880952380952384</v>
      </c>
      <c r="CO149" s="34">
        <v>1</v>
      </c>
      <c r="CP149" s="35">
        <f t="shared" ref="CP149:CP155" si="1317">CO149/(CM149+CO149)</f>
        <v>9.1743119266055051E-3</v>
      </c>
      <c r="CQ149" s="36"/>
      <c r="CR149" s="34"/>
      <c r="CS149" s="34"/>
      <c r="CT149" s="37"/>
      <c r="CU149" s="33"/>
      <c r="CV149" s="34"/>
      <c r="CW149" s="34">
        <f>CW146-CU149</f>
        <v>747</v>
      </c>
      <c r="CX149" s="34">
        <f>CX146-CV149</f>
        <v>65</v>
      </c>
      <c r="CY149" s="34">
        <v>509</v>
      </c>
      <c r="CZ149" s="35">
        <f t="shared" ref="CZ149:CZ155" si="1318">((CY149+DA149)/CW149)</f>
        <v>0.68540829986613117</v>
      </c>
      <c r="DA149" s="34">
        <v>3</v>
      </c>
      <c r="DB149" s="35">
        <f t="shared" ref="DB149:DB155" si="1319">DA149/(CY149+DA149)</f>
        <v>5.859375E-3</v>
      </c>
      <c r="DC149" s="36"/>
      <c r="DD149" s="34"/>
      <c r="DE149" s="34"/>
      <c r="DF149" s="37"/>
      <c r="DG149" s="33"/>
      <c r="DH149" s="34"/>
      <c r="DI149" s="34">
        <f>DI146-DG149</f>
        <v>753</v>
      </c>
      <c r="DJ149" s="34">
        <f>DJ146-DH149</f>
        <v>66</v>
      </c>
      <c r="DK149" s="34">
        <v>522</v>
      </c>
      <c r="DL149" s="35">
        <f t="shared" ref="DL149:DL155" si="1320">((DK149+DM149)/DI149)</f>
        <v>0.70650730411686591</v>
      </c>
      <c r="DM149" s="34">
        <v>10</v>
      </c>
      <c r="DN149" s="35">
        <f t="shared" ref="DN149:DN155" si="1321">DM149/(DK149+DM149)</f>
        <v>1.8796992481203006E-2</v>
      </c>
      <c r="DO149" s="36"/>
      <c r="DP149" s="34"/>
      <c r="DQ149" s="34"/>
      <c r="DR149" s="37"/>
      <c r="DS149" s="33">
        <v>1</v>
      </c>
      <c r="DT149" s="34"/>
      <c r="DU149" s="34">
        <f>DU146-DS149</f>
        <v>838</v>
      </c>
      <c r="DV149" s="34">
        <f>DV146-DT149</f>
        <v>71</v>
      </c>
      <c r="DW149" s="34">
        <v>595</v>
      </c>
      <c r="DX149" s="35">
        <f t="shared" ref="DX149:DX155" si="1322">((DW149+DY149)/DU149)</f>
        <v>0.72792362768496421</v>
      </c>
      <c r="DY149" s="34">
        <v>15</v>
      </c>
      <c r="DZ149" s="35">
        <f t="shared" ref="DZ149:DZ155" si="1323">DY149/(DW149+DY149)</f>
        <v>2.4590163934426229E-2</v>
      </c>
      <c r="EA149" s="36"/>
      <c r="EB149" s="34"/>
      <c r="EC149" s="34"/>
      <c r="ED149" s="37"/>
      <c r="EE149" s="33"/>
      <c r="EF149" s="34"/>
      <c r="EG149" s="34">
        <f>EG146-EE149</f>
        <v>851</v>
      </c>
      <c r="EH149" s="34">
        <f>EH146-EF149</f>
        <v>74</v>
      </c>
      <c r="EI149" s="34">
        <v>586</v>
      </c>
      <c r="EJ149" s="35">
        <f t="shared" ref="EJ149:EJ155" si="1324">((EI149+EK149)/EG149)</f>
        <v>0.70387779083431257</v>
      </c>
      <c r="EK149" s="34">
        <v>13</v>
      </c>
      <c r="EL149" s="35">
        <f t="shared" ref="EL149:EL155" si="1325">EK149/(EI149+EK149)</f>
        <v>2.1702838063439065E-2</v>
      </c>
      <c r="EM149" s="36"/>
      <c r="EN149" s="34"/>
      <c r="EO149" s="34"/>
      <c r="EP149" s="37"/>
      <c r="EQ149" s="33">
        <v>1</v>
      </c>
      <c r="ER149" s="34"/>
      <c r="ES149" s="34">
        <f>ES146-EQ149</f>
        <v>190</v>
      </c>
      <c r="ET149" s="34">
        <f>ET146-ER149</f>
        <v>16</v>
      </c>
      <c r="EU149" s="34">
        <v>134</v>
      </c>
      <c r="EV149" s="35">
        <f t="shared" ref="EV149:EV155" si="1326">((EU149+EW149)/ES149)</f>
        <v>0.74210526315789471</v>
      </c>
      <c r="EW149" s="34">
        <v>7</v>
      </c>
      <c r="EX149" s="35">
        <f t="shared" ref="EX149:EX155" si="1327">EW149/(EU149+EW149)</f>
        <v>4.9645390070921988E-2</v>
      </c>
      <c r="EY149" s="36"/>
      <c r="EZ149" s="34"/>
      <c r="FA149" s="34"/>
      <c r="FB149" s="37"/>
      <c r="FC149" s="33"/>
      <c r="FD149" s="34"/>
      <c r="FE149" s="34">
        <f>FE146-FC149</f>
        <v>862</v>
      </c>
      <c r="FF149" s="34">
        <f>FF146-FD149</f>
        <v>75</v>
      </c>
      <c r="FG149" s="34">
        <v>618</v>
      </c>
      <c r="FH149" s="35">
        <f t="shared" ref="FH149:FH155" si="1328">((FG149+FI149)/FE149)</f>
        <v>0.72737819025522044</v>
      </c>
      <c r="FI149" s="34">
        <v>9</v>
      </c>
      <c r="FJ149" s="35">
        <f t="shared" ref="FJ149:FJ155" si="1329">FI149/(FG149+FI149)</f>
        <v>1.4354066985645933E-2</v>
      </c>
      <c r="FK149" s="36"/>
      <c r="FL149" s="34"/>
      <c r="FM149" s="34"/>
      <c r="FN149" s="37"/>
      <c r="FO149" s="33"/>
      <c r="FP149" s="34"/>
      <c r="FQ149" s="34">
        <f>FQ146-FO149</f>
        <v>892</v>
      </c>
      <c r="FR149" s="34">
        <f>FR146-FP149</f>
        <v>75</v>
      </c>
      <c r="FS149" s="34">
        <v>591</v>
      </c>
      <c r="FT149" s="35">
        <f t="shared" ref="FT149:FT155" si="1330">((FS149+FU149)/FQ149)</f>
        <v>0.69282511210762332</v>
      </c>
      <c r="FU149" s="34">
        <v>27</v>
      </c>
      <c r="FV149" s="35">
        <f t="shared" ref="FV149:FV155" si="1331">FU149/(FS149+FU149)</f>
        <v>4.3689320388349516E-2</v>
      </c>
      <c r="FW149" s="36"/>
      <c r="FX149" s="34"/>
      <c r="FY149" s="34"/>
      <c r="FZ149" s="37"/>
      <c r="GA149" s="33"/>
      <c r="GB149" s="34"/>
      <c r="GC149" s="34">
        <f>GC146-GA149</f>
        <v>890</v>
      </c>
      <c r="GD149" s="34">
        <f>GD146-GB149</f>
        <v>76</v>
      </c>
      <c r="GE149" s="34">
        <v>598</v>
      </c>
      <c r="GF149" s="35">
        <f t="shared" ref="GF149:GF155" si="1332">((GE149+GG149)/GC149)</f>
        <v>0.68651685393258421</v>
      </c>
      <c r="GG149" s="34">
        <v>13</v>
      </c>
      <c r="GH149" s="35">
        <f t="shared" ref="GH149:GH155" si="1333">GG149/(GE149+GG149)</f>
        <v>2.1276595744680851E-2</v>
      </c>
      <c r="GI149" s="36"/>
      <c r="GJ149" s="34"/>
      <c r="GK149" s="34"/>
      <c r="GL149" s="37"/>
      <c r="GM149" s="33"/>
      <c r="GN149" s="34"/>
      <c r="GO149" s="34">
        <f>GO146-GM149</f>
        <v>174</v>
      </c>
      <c r="GP149" s="34">
        <f>GP146-GN149</f>
        <v>17</v>
      </c>
      <c r="GQ149" s="34">
        <v>109</v>
      </c>
      <c r="GR149" s="35">
        <f t="shared" ref="GR149:GR155" si="1334">((GQ149+GS149)/GO149)</f>
        <v>0.66666666666666663</v>
      </c>
      <c r="GS149" s="34">
        <v>7</v>
      </c>
      <c r="GT149" s="35">
        <f t="shared" ref="GT149:GT155" si="1335">GS149/(GQ149+GS149)</f>
        <v>6.0344827586206899E-2</v>
      </c>
      <c r="GU149" s="36"/>
      <c r="GV149" s="34"/>
      <c r="GW149" s="34"/>
      <c r="GX149" s="37"/>
      <c r="GY149" s="33"/>
      <c r="GZ149" s="34"/>
      <c r="HA149" s="34">
        <f>HA146-GY149</f>
        <v>907</v>
      </c>
      <c r="HB149" s="34">
        <f>HB146-GZ149</f>
        <v>77</v>
      </c>
      <c r="HC149" s="34">
        <v>597</v>
      </c>
      <c r="HD149" s="35">
        <f t="shared" ref="HD149:HD155" si="1336">((HC149+HE149)/HA149)</f>
        <v>0.67364939360529219</v>
      </c>
      <c r="HE149" s="34">
        <v>14</v>
      </c>
      <c r="HF149" s="35">
        <f t="shared" ref="HF149:HF155" si="1337">HE149/(HC149+HE149)</f>
        <v>2.2913256955810146E-2</v>
      </c>
      <c r="HG149" s="36"/>
      <c r="HH149" s="34"/>
      <c r="HI149" s="34"/>
      <c r="HJ149" s="37"/>
      <c r="HK149" s="33">
        <f t="shared" ref="HK149:HK156" si="1338">+C149+O149+AA149+AM149+AY149+BK149+BW149+CI149+CU149+DG149+DS149+EE149+EQ149+FC149+FO149+GA149+GM149+GY149</f>
        <v>3</v>
      </c>
      <c r="HL149" s="34">
        <f t="shared" ref="HL149:HL156" si="1339">+D149+P149+AB149+AN149+AZ149+BL149+BX149+CJ149+CV149+DH149+DT149+EF149+ER149+FD149+FP149+GB149+GN149+GZ149</f>
        <v>0</v>
      </c>
      <c r="HM149" s="34">
        <f t="shared" ref="HM149:HM156" si="1340">+E149+Q149+AC149+AO149+BA149+BM149+BY149+CK149+CW149+DI149+DU149+EG149+ES149+FE149+FQ149+GC149+GO149+HA149</f>
        <v>12154</v>
      </c>
      <c r="HN149" s="34">
        <f t="shared" ref="HN149:HN156" si="1341">+F149+R149+AD149+AP149+BB149+BN149+BZ149+CL149+CX149+DJ149+DV149+EH149+ET149+FF149+FR149+GD149+GP149+HB149</f>
        <v>1041</v>
      </c>
      <c r="HO149" s="34">
        <f t="shared" ref="HO149:HO156" si="1342">+G149+S149+AE149+AQ149+BC149+BO149+CA149+CM149+CY149+DK149+DW149+EI149+EU149+FG149+FS149+GE149+GQ149+HC149+I149+U149+AG149+AS149+BE149+BQ149+CC149+CO149+DA149+DM149+DY149+EK149+EW149+FI149+FU149+GG149+GS149+HE149</f>
        <v>8452</v>
      </c>
      <c r="HP149" s="94">
        <f t="shared" ref="HP149:HP155" si="1343">+(HO149)/HM149</f>
        <v>0.69540891887444467</v>
      </c>
      <c r="HQ149" s="48">
        <f t="shared" ref="HQ149:HQ156" si="1344">+I149+U149+AG149+AS149+BE149+BQ149+CC149+CO149+DA149+DM149+DY149+EK149+EW149+FI149+FU149+GG149+GS149+HE149</f>
        <v>195</v>
      </c>
      <c r="HR149" s="35">
        <f t="shared" ref="HR149:HR156" si="1345">+(HQ149/(HO149))</f>
        <v>2.3071462375769049E-2</v>
      </c>
      <c r="HS149" s="49">
        <v>63.6</v>
      </c>
      <c r="HT149" s="50">
        <v>8081</v>
      </c>
      <c r="HU149" s="49">
        <f t="shared" ref="HU149:HU155" si="1346">+HT149/HO149*100</f>
        <v>95.610506389020358</v>
      </c>
      <c r="HV149" s="48"/>
      <c r="HW149" s="37"/>
      <c r="HX149" s="73">
        <f t="shared" ref="HX149:HX155" si="1347">SUM(G149,I149,S149,U149,AE149,AG149,AQ149,AS149,BC149,BE149)/SUM(E149,Q149,AC149,AO149,BA149)</f>
        <v>0.68927922471229552</v>
      </c>
      <c r="HY149" s="73">
        <f t="shared" ref="HY149:HY155" si="1348">SUM(BO149,BQ149,CA149,CC149,CM149,CO149,CY149,DA149,DK149,DM149)/SUM(BM149,BY149,CK149,CW149,DI149)</f>
        <v>0.6905788177339901</v>
      </c>
      <c r="HZ149" s="73">
        <f t="shared" ref="HZ149:HZ155" si="1349">SUM(DW149,DY149,EI149,EK149,EU149,EW149,FG149,FI149)/SUM(DU149,EG149,ES149,FE149)</f>
        <v>0.72126960963152131</v>
      </c>
      <c r="IA149" s="73">
        <f t="shared" ref="IA149:IA155" si="1350">SUM(FS149,FU149,GE149,GG149,GQ149,GS149,HC149,HE149)/SUM(FQ149,GC149,GO149,HA149)</f>
        <v>0.68319944114565145</v>
      </c>
    </row>
    <row r="150" spans="1:244" x14ac:dyDescent="0.25">
      <c r="A150" s="374"/>
      <c r="B150" s="41">
        <f t="shared" ref="B150:B155" si="1351">+B149+1</f>
        <v>45054</v>
      </c>
      <c r="C150" s="10"/>
      <c r="D150" s="11"/>
      <c r="E150" s="69">
        <f t="shared" ref="E150:E155" si="1352">E149-C150</f>
        <v>834</v>
      </c>
      <c r="F150" s="69">
        <f t="shared" ref="F150:F155" si="1353">F149-D150</f>
        <v>72</v>
      </c>
      <c r="G150" s="11">
        <v>588</v>
      </c>
      <c r="H150" s="12">
        <f t="shared" si="1302"/>
        <v>0.71462829736211031</v>
      </c>
      <c r="I150" s="11">
        <v>8</v>
      </c>
      <c r="J150" s="12">
        <f t="shared" si="1303"/>
        <v>1.3422818791946308E-2</v>
      </c>
      <c r="K150" s="13"/>
      <c r="L150" s="11"/>
      <c r="M150" s="11"/>
      <c r="N150" s="14"/>
      <c r="O150" s="10">
        <v>1</v>
      </c>
      <c r="P150" s="11"/>
      <c r="Q150" s="69">
        <f t="shared" ref="Q150:Q155" si="1354">Q149-O150</f>
        <v>757</v>
      </c>
      <c r="R150" s="69">
        <f t="shared" ref="R150:R155" si="1355">R149-P150</f>
        <v>64</v>
      </c>
      <c r="S150" s="11">
        <v>506</v>
      </c>
      <c r="T150" s="12">
        <f t="shared" si="1304"/>
        <v>0.68295904887714665</v>
      </c>
      <c r="U150" s="11">
        <v>11</v>
      </c>
      <c r="V150" s="12">
        <f t="shared" si="1305"/>
        <v>2.1276595744680851E-2</v>
      </c>
      <c r="W150" s="13"/>
      <c r="X150" s="11"/>
      <c r="Y150" s="11"/>
      <c r="Z150" s="14"/>
      <c r="AA150" s="10"/>
      <c r="AB150" s="11"/>
      <c r="AC150" s="69">
        <f t="shared" ref="AC150:AC155" si="1356">AC149-AA150</f>
        <v>174</v>
      </c>
      <c r="AD150" s="69">
        <f t="shared" ref="AD150:AD155" si="1357">AD149-AB150</f>
        <v>13</v>
      </c>
      <c r="AE150" s="11">
        <v>109</v>
      </c>
      <c r="AF150" s="12">
        <f t="shared" si="1306"/>
        <v>0.64942528735632188</v>
      </c>
      <c r="AG150" s="11">
        <v>4</v>
      </c>
      <c r="AH150" s="12">
        <f t="shared" si="1307"/>
        <v>3.5398230088495575E-2</v>
      </c>
      <c r="AI150" s="13"/>
      <c r="AJ150" s="11"/>
      <c r="AK150" s="11"/>
      <c r="AL150" s="14"/>
      <c r="AM150" s="10">
        <v>2</v>
      </c>
      <c r="AN150" s="11"/>
      <c r="AO150" s="69">
        <f t="shared" ref="AO150:AO155" si="1358">AO149-AM150</f>
        <v>771</v>
      </c>
      <c r="AP150" s="69">
        <f t="shared" ref="AP150:AP155" si="1359">AP149-AN150</f>
        <v>64</v>
      </c>
      <c r="AQ150" s="11">
        <v>519</v>
      </c>
      <c r="AR150" s="12">
        <f t="shared" si="1308"/>
        <v>0.67963683527885865</v>
      </c>
      <c r="AS150" s="11">
        <v>5</v>
      </c>
      <c r="AT150" s="12">
        <f t="shared" si="1309"/>
        <v>9.5419847328244278E-3</v>
      </c>
      <c r="AU150" s="13"/>
      <c r="AV150" s="11"/>
      <c r="AW150" s="11"/>
      <c r="AX150" s="14"/>
      <c r="AY150" s="10"/>
      <c r="AZ150" s="11"/>
      <c r="BA150" s="69">
        <f t="shared" ref="BA150:BA155" si="1360">BA149-AY150</f>
        <v>763</v>
      </c>
      <c r="BB150" s="69">
        <f t="shared" ref="BB150:BB155" si="1361">BB149-AZ150</f>
        <v>67</v>
      </c>
      <c r="BC150" s="11">
        <v>558</v>
      </c>
      <c r="BD150" s="12">
        <f t="shared" si="1310"/>
        <v>0.74574049803407605</v>
      </c>
      <c r="BE150" s="11">
        <v>11</v>
      </c>
      <c r="BF150" s="12">
        <f t="shared" si="1311"/>
        <v>1.9332161687170474E-2</v>
      </c>
      <c r="BG150" s="13"/>
      <c r="BH150" s="11"/>
      <c r="BI150" s="11"/>
      <c r="BJ150" s="14"/>
      <c r="BK150" s="10">
        <v>1</v>
      </c>
      <c r="BL150" s="11">
        <v>1</v>
      </c>
      <c r="BM150" s="69">
        <f t="shared" ref="BM150:BM155" si="1362">BM149-BK150</f>
        <v>827</v>
      </c>
      <c r="BN150" s="69">
        <f t="shared" ref="BN150:BN155" si="1363">BN149-BL150</f>
        <v>71</v>
      </c>
      <c r="BO150" s="11">
        <v>578</v>
      </c>
      <c r="BP150" s="12">
        <f t="shared" si="1312"/>
        <v>0.71463119709794443</v>
      </c>
      <c r="BQ150" s="11">
        <v>13</v>
      </c>
      <c r="BR150" s="12">
        <f t="shared" si="1313"/>
        <v>2.1996615905245348E-2</v>
      </c>
      <c r="BS150" s="13"/>
      <c r="BT150" s="11"/>
      <c r="BU150" s="11"/>
      <c r="BV150" s="14"/>
      <c r="BW150" s="10"/>
      <c r="BX150" s="11"/>
      <c r="BY150" s="69">
        <f t="shared" ref="BY150:BY155" si="1364">BY149-BW150</f>
        <v>752</v>
      </c>
      <c r="BZ150" s="69">
        <f t="shared" ref="BZ150:BZ155" si="1365">BZ149-BX150</f>
        <v>63</v>
      </c>
      <c r="CA150" s="11">
        <v>487</v>
      </c>
      <c r="CB150" s="12">
        <f t="shared" si="1314"/>
        <v>0.66755319148936165</v>
      </c>
      <c r="CC150" s="11">
        <v>15</v>
      </c>
      <c r="CD150" s="12">
        <f t="shared" si="1315"/>
        <v>2.9880478087649404E-2</v>
      </c>
      <c r="CE150" s="13"/>
      <c r="CF150" s="11"/>
      <c r="CG150" s="11"/>
      <c r="CH150" s="14"/>
      <c r="CI150" s="10">
        <v>1</v>
      </c>
      <c r="CJ150" s="11"/>
      <c r="CK150" s="69">
        <f t="shared" ref="CK150:CK155" si="1366">CK149-CI150</f>
        <v>167</v>
      </c>
      <c r="CL150" s="69">
        <f t="shared" ref="CL150:CL155" si="1367">CL149-CJ150</f>
        <v>14</v>
      </c>
      <c r="CM150" s="11">
        <v>98</v>
      </c>
      <c r="CN150" s="12">
        <f t="shared" si="1316"/>
        <v>0.60479041916167664</v>
      </c>
      <c r="CO150" s="11">
        <v>3</v>
      </c>
      <c r="CP150" s="12">
        <f t="shared" si="1317"/>
        <v>2.9702970297029702E-2</v>
      </c>
      <c r="CQ150" s="13"/>
      <c r="CR150" s="11"/>
      <c r="CS150" s="11"/>
      <c r="CT150" s="14"/>
      <c r="CU150" s="10"/>
      <c r="CV150" s="11"/>
      <c r="CW150" s="69">
        <f t="shared" ref="CW150:CW155" si="1368">CW149-CU150</f>
        <v>747</v>
      </c>
      <c r="CX150" s="69">
        <f t="shared" ref="CX150:CX155" si="1369">CX149-CV150</f>
        <v>65</v>
      </c>
      <c r="CY150" s="11">
        <v>502</v>
      </c>
      <c r="CZ150" s="12">
        <f t="shared" si="1318"/>
        <v>0.68540829986613117</v>
      </c>
      <c r="DA150" s="11">
        <v>10</v>
      </c>
      <c r="DB150" s="12">
        <f t="shared" si="1319"/>
        <v>1.953125E-2</v>
      </c>
      <c r="DC150" s="13"/>
      <c r="DD150" s="11"/>
      <c r="DE150" s="11"/>
      <c r="DF150" s="14"/>
      <c r="DG150" s="10"/>
      <c r="DH150" s="11"/>
      <c r="DI150" s="69">
        <f t="shared" ref="DI150:DI155" si="1370">DI149-DG150</f>
        <v>753</v>
      </c>
      <c r="DJ150" s="69">
        <f t="shared" ref="DJ150:DJ155" si="1371">DJ149-DH150</f>
        <v>66</v>
      </c>
      <c r="DK150" s="11">
        <v>563</v>
      </c>
      <c r="DL150" s="12">
        <f t="shared" si="1320"/>
        <v>0.76228419654714474</v>
      </c>
      <c r="DM150" s="11">
        <v>11</v>
      </c>
      <c r="DN150" s="12">
        <f t="shared" si="1321"/>
        <v>1.9163763066202089E-2</v>
      </c>
      <c r="DO150" s="13"/>
      <c r="DP150" s="11"/>
      <c r="DQ150" s="11"/>
      <c r="DR150" s="14"/>
      <c r="DS150" s="10">
        <v>1</v>
      </c>
      <c r="DT150" s="11"/>
      <c r="DU150" s="69">
        <f t="shared" ref="DU150:DU155" si="1372">DU149-DS150</f>
        <v>837</v>
      </c>
      <c r="DV150" s="69">
        <f t="shared" ref="DV150:DV155" si="1373">DV149-DT150</f>
        <v>71</v>
      </c>
      <c r="DW150" s="11">
        <v>562</v>
      </c>
      <c r="DX150" s="12">
        <f t="shared" si="1322"/>
        <v>0.69414575866188766</v>
      </c>
      <c r="DY150" s="11">
        <v>19</v>
      </c>
      <c r="DZ150" s="12">
        <f t="shared" si="1323"/>
        <v>3.2702237521514632E-2</v>
      </c>
      <c r="EA150" s="13"/>
      <c r="EB150" s="11"/>
      <c r="EC150" s="11"/>
      <c r="ED150" s="14"/>
      <c r="EE150" s="10"/>
      <c r="EF150" s="11"/>
      <c r="EG150" s="69">
        <f t="shared" ref="EG150:EG155" si="1374">EG149-EE150</f>
        <v>851</v>
      </c>
      <c r="EH150" s="69">
        <f t="shared" ref="EH150:EH155" si="1375">EH149-EF150</f>
        <v>74</v>
      </c>
      <c r="EI150" s="11">
        <v>571</v>
      </c>
      <c r="EJ150" s="12">
        <f t="shared" si="1324"/>
        <v>0.68390129259694477</v>
      </c>
      <c r="EK150" s="11">
        <v>11</v>
      </c>
      <c r="EL150" s="12">
        <f t="shared" si="1325"/>
        <v>1.8900343642611683E-2</v>
      </c>
      <c r="EM150" s="13"/>
      <c r="EN150" s="11"/>
      <c r="EO150" s="11"/>
      <c r="EP150" s="14"/>
      <c r="EQ150" s="10"/>
      <c r="ER150" s="11"/>
      <c r="ES150" s="69">
        <f t="shared" ref="ES150:ES155" si="1376">ES149-EQ150</f>
        <v>190</v>
      </c>
      <c r="ET150" s="69">
        <f t="shared" ref="ET150:ET155" si="1377">ET149-ER150</f>
        <v>16</v>
      </c>
      <c r="EU150" s="11">
        <v>120</v>
      </c>
      <c r="EV150" s="12">
        <f t="shared" si="1326"/>
        <v>0.64736842105263159</v>
      </c>
      <c r="EW150" s="11">
        <v>3</v>
      </c>
      <c r="EX150" s="12">
        <f t="shared" si="1327"/>
        <v>2.4390243902439025E-2</v>
      </c>
      <c r="EY150" s="13"/>
      <c r="EZ150" s="11"/>
      <c r="FA150" s="11"/>
      <c r="FB150" s="14"/>
      <c r="FC150" s="10">
        <v>1</v>
      </c>
      <c r="FD150" s="11">
        <v>1</v>
      </c>
      <c r="FE150" s="69">
        <f t="shared" ref="FE150:FE155" si="1378">FE149-FC150</f>
        <v>861</v>
      </c>
      <c r="FF150" s="69">
        <f t="shared" ref="FF150:FF155" si="1379">FF149-FD150</f>
        <v>74</v>
      </c>
      <c r="FG150" s="11">
        <v>576</v>
      </c>
      <c r="FH150" s="12">
        <f t="shared" si="1328"/>
        <v>0.6817653890824622</v>
      </c>
      <c r="FI150" s="11">
        <v>11</v>
      </c>
      <c r="FJ150" s="12">
        <f t="shared" si="1329"/>
        <v>1.8739352640545145E-2</v>
      </c>
      <c r="FK150" s="13"/>
      <c r="FL150" s="11"/>
      <c r="FM150" s="11"/>
      <c r="FN150" s="14"/>
      <c r="FO150" s="10"/>
      <c r="FP150" s="11"/>
      <c r="FQ150" s="69">
        <f t="shared" ref="FQ150:FQ155" si="1380">FQ149-FO150</f>
        <v>892</v>
      </c>
      <c r="FR150" s="69">
        <f t="shared" ref="FR150:FR155" si="1381">FR149-FP150</f>
        <v>75</v>
      </c>
      <c r="FS150" s="11">
        <v>595</v>
      </c>
      <c r="FT150" s="12">
        <f t="shared" si="1330"/>
        <v>0.68273542600896864</v>
      </c>
      <c r="FU150" s="11">
        <v>14</v>
      </c>
      <c r="FV150" s="12">
        <f t="shared" si="1331"/>
        <v>2.2988505747126436E-2</v>
      </c>
      <c r="FW150" s="13"/>
      <c r="FX150" s="11"/>
      <c r="FY150" s="11"/>
      <c r="FZ150" s="14"/>
      <c r="GA150" s="10">
        <v>1</v>
      </c>
      <c r="GB150" s="11"/>
      <c r="GC150" s="69">
        <f t="shared" ref="GC150:GC155" si="1382">GC149-GA150</f>
        <v>889</v>
      </c>
      <c r="GD150" s="69">
        <f t="shared" ref="GD150:GD155" si="1383">GD149-GB150</f>
        <v>76</v>
      </c>
      <c r="GE150" s="11">
        <v>546</v>
      </c>
      <c r="GF150" s="12">
        <f t="shared" si="1332"/>
        <v>0.63554555680539937</v>
      </c>
      <c r="GG150" s="11">
        <v>19</v>
      </c>
      <c r="GH150" s="12">
        <f t="shared" si="1333"/>
        <v>3.3628318584070796E-2</v>
      </c>
      <c r="GI150" s="13"/>
      <c r="GJ150" s="11"/>
      <c r="GK150" s="11"/>
      <c r="GL150" s="14"/>
      <c r="GM150" s="10">
        <v>2</v>
      </c>
      <c r="GN150" s="11"/>
      <c r="GO150" s="69">
        <f t="shared" ref="GO150:GO155" si="1384">GO149-GM150</f>
        <v>172</v>
      </c>
      <c r="GP150" s="69">
        <f t="shared" ref="GP150:GP155" si="1385">GP149-GN150</f>
        <v>17</v>
      </c>
      <c r="GQ150" s="11">
        <v>111</v>
      </c>
      <c r="GR150" s="12">
        <f t="shared" si="1334"/>
        <v>0.65697674418604646</v>
      </c>
      <c r="GS150" s="11">
        <v>2</v>
      </c>
      <c r="GT150" s="12">
        <f t="shared" si="1335"/>
        <v>1.7699115044247787E-2</v>
      </c>
      <c r="GU150" s="13"/>
      <c r="GV150" s="11"/>
      <c r="GW150" s="11"/>
      <c r="GX150" s="14"/>
      <c r="GY150" s="10">
        <v>1</v>
      </c>
      <c r="GZ150" s="11"/>
      <c r="HA150" s="69">
        <f t="shared" ref="HA150:HA155" si="1386">HA149-GY150</f>
        <v>906</v>
      </c>
      <c r="HB150" s="69">
        <f t="shared" ref="HB150:HB155" si="1387">HB149-GZ150</f>
        <v>77</v>
      </c>
      <c r="HC150" s="11">
        <v>569</v>
      </c>
      <c r="HD150" s="12">
        <f t="shared" si="1336"/>
        <v>0.64459161147902866</v>
      </c>
      <c r="HE150" s="11">
        <v>15</v>
      </c>
      <c r="HF150" s="12">
        <f t="shared" si="1337"/>
        <v>2.5684931506849314E-2</v>
      </c>
      <c r="HG150" s="13"/>
      <c r="HH150" s="11"/>
      <c r="HI150" s="11"/>
      <c r="HJ150" s="14"/>
      <c r="HK150" s="10">
        <f t="shared" si="1338"/>
        <v>11</v>
      </c>
      <c r="HL150" s="11">
        <f t="shared" si="1339"/>
        <v>2</v>
      </c>
      <c r="HM150" s="11">
        <f t="shared" si="1340"/>
        <v>12143</v>
      </c>
      <c r="HN150" s="11">
        <f t="shared" si="1341"/>
        <v>1039</v>
      </c>
      <c r="HO150" s="11">
        <f t="shared" si="1342"/>
        <v>8343</v>
      </c>
      <c r="HP150" s="95">
        <f t="shared" si="1343"/>
        <v>0.68706250514699829</v>
      </c>
      <c r="HQ150" s="15">
        <f t="shared" si="1344"/>
        <v>185</v>
      </c>
      <c r="HR150" s="12">
        <f t="shared" si="1345"/>
        <v>2.217427783770826E-2</v>
      </c>
      <c r="HS150" s="16">
        <v>63.6</v>
      </c>
      <c r="HT150" s="17">
        <v>8009</v>
      </c>
      <c r="HU150" s="16">
        <f t="shared" si="1346"/>
        <v>95.996643893084027</v>
      </c>
      <c r="HV150" s="15"/>
      <c r="HW150" s="14"/>
      <c r="HX150" s="73">
        <f t="shared" si="1347"/>
        <v>0.70294028493482874</v>
      </c>
      <c r="HY150" s="73">
        <f t="shared" si="1348"/>
        <v>0.70240295748613679</v>
      </c>
      <c r="HZ150" s="73">
        <f t="shared" si="1349"/>
        <v>0.68382621394669585</v>
      </c>
      <c r="IA150" s="73">
        <f t="shared" si="1350"/>
        <v>0.6544246239944036</v>
      </c>
    </row>
    <row r="151" spans="1:244" x14ac:dyDescent="0.25">
      <c r="A151" s="374"/>
      <c r="B151" s="41">
        <f t="shared" si="1351"/>
        <v>45055</v>
      </c>
      <c r="C151" s="10"/>
      <c r="D151" s="11"/>
      <c r="E151" s="69">
        <f t="shared" si="1352"/>
        <v>834</v>
      </c>
      <c r="F151" s="69">
        <f t="shared" si="1353"/>
        <v>72</v>
      </c>
      <c r="G151" s="11">
        <v>575</v>
      </c>
      <c r="H151" s="12">
        <f t="shared" si="1302"/>
        <v>0.71223021582733814</v>
      </c>
      <c r="I151" s="11">
        <v>19</v>
      </c>
      <c r="J151" s="12">
        <f t="shared" si="1303"/>
        <v>3.1986531986531987E-2</v>
      </c>
      <c r="K151" s="13"/>
      <c r="L151" s="11"/>
      <c r="M151" s="11"/>
      <c r="N151" s="14"/>
      <c r="O151" s="10"/>
      <c r="P151" s="11"/>
      <c r="Q151" s="69">
        <f t="shared" si="1354"/>
        <v>757</v>
      </c>
      <c r="R151" s="69">
        <f t="shared" si="1355"/>
        <v>64</v>
      </c>
      <c r="S151" s="11">
        <v>500</v>
      </c>
      <c r="T151" s="12">
        <f t="shared" si="1304"/>
        <v>0.6723910171730515</v>
      </c>
      <c r="U151" s="11">
        <v>9</v>
      </c>
      <c r="V151" s="12">
        <f t="shared" si="1305"/>
        <v>1.768172888015717E-2</v>
      </c>
      <c r="W151" s="13"/>
      <c r="X151" s="11"/>
      <c r="Y151" s="11"/>
      <c r="Z151" s="14"/>
      <c r="AA151" s="10"/>
      <c r="AB151" s="11"/>
      <c r="AC151" s="69">
        <f t="shared" si="1356"/>
        <v>174</v>
      </c>
      <c r="AD151" s="69">
        <f t="shared" si="1357"/>
        <v>13</v>
      </c>
      <c r="AE151" s="11">
        <v>116</v>
      </c>
      <c r="AF151" s="12">
        <f t="shared" si="1306"/>
        <v>0.70114942528735635</v>
      </c>
      <c r="AG151" s="11">
        <v>6</v>
      </c>
      <c r="AH151" s="12">
        <f t="shared" si="1307"/>
        <v>4.9180327868852458E-2</v>
      </c>
      <c r="AI151" s="13"/>
      <c r="AJ151" s="11"/>
      <c r="AK151" s="11"/>
      <c r="AL151" s="14"/>
      <c r="AM151" s="10"/>
      <c r="AN151" s="11"/>
      <c r="AO151" s="69">
        <f t="shared" si="1358"/>
        <v>771</v>
      </c>
      <c r="AP151" s="69">
        <f t="shared" si="1359"/>
        <v>64</v>
      </c>
      <c r="AQ151" s="11">
        <v>519</v>
      </c>
      <c r="AR151" s="12">
        <f t="shared" si="1308"/>
        <v>0.68482490272373542</v>
      </c>
      <c r="AS151" s="11">
        <v>9</v>
      </c>
      <c r="AT151" s="12">
        <f t="shared" si="1309"/>
        <v>1.7045454545454544E-2</v>
      </c>
      <c r="AU151" s="13"/>
      <c r="AV151" s="11"/>
      <c r="AW151" s="11"/>
      <c r="AX151" s="14"/>
      <c r="AY151" s="10"/>
      <c r="AZ151" s="11"/>
      <c r="BA151" s="69">
        <f t="shared" si="1360"/>
        <v>763</v>
      </c>
      <c r="BB151" s="69">
        <f t="shared" si="1361"/>
        <v>67</v>
      </c>
      <c r="BC151" s="11">
        <v>512</v>
      </c>
      <c r="BD151" s="12">
        <f t="shared" si="1310"/>
        <v>0.6933158584534731</v>
      </c>
      <c r="BE151" s="11">
        <v>17</v>
      </c>
      <c r="BF151" s="12">
        <f t="shared" si="1311"/>
        <v>3.2136105860113423E-2</v>
      </c>
      <c r="BG151" s="13"/>
      <c r="BH151" s="11"/>
      <c r="BI151" s="11"/>
      <c r="BJ151" s="14"/>
      <c r="BK151" s="10"/>
      <c r="BL151" s="11"/>
      <c r="BM151" s="69">
        <f t="shared" si="1362"/>
        <v>827</v>
      </c>
      <c r="BN151" s="69">
        <f t="shared" si="1363"/>
        <v>71</v>
      </c>
      <c r="BO151" s="11">
        <v>530</v>
      </c>
      <c r="BP151" s="12">
        <f t="shared" si="1312"/>
        <v>0.66384522370012089</v>
      </c>
      <c r="BQ151" s="11">
        <v>19</v>
      </c>
      <c r="BR151" s="12">
        <f t="shared" si="1313"/>
        <v>3.4608378870673952E-2</v>
      </c>
      <c r="BS151" s="13"/>
      <c r="BT151" s="11"/>
      <c r="BU151" s="11"/>
      <c r="BV151" s="14"/>
      <c r="BW151" s="10"/>
      <c r="BX151" s="11"/>
      <c r="BY151" s="69">
        <f t="shared" si="1364"/>
        <v>752</v>
      </c>
      <c r="BZ151" s="69">
        <f t="shared" si="1365"/>
        <v>63</v>
      </c>
      <c r="CA151" s="11">
        <v>469</v>
      </c>
      <c r="CB151" s="12">
        <f t="shared" si="1314"/>
        <v>0.63563829787234039</v>
      </c>
      <c r="CC151" s="11">
        <v>9</v>
      </c>
      <c r="CD151" s="12">
        <f t="shared" si="1315"/>
        <v>1.8828451882845189E-2</v>
      </c>
      <c r="CE151" s="13"/>
      <c r="CF151" s="11"/>
      <c r="CG151" s="11"/>
      <c r="CH151" s="14"/>
      <c r="CI151" s="10"/>
      <c r="CJ151" s="11"/>
      <c r="CK151" s="69">
        <f t="shared" si="1366"/>
        <v>167</v>
      </c>
      <c r="CL151" s="69">
        <f t="shared" si="1367"/>
        <v>14</v>
      </c>
      <c r="CM151" s="11">
        <v>87</v>
      </c>
      <c r="CN151" s="12">
        <f t="shared" si="1316"/>
        <v>0.53293413173652693</v>
      </c>
      <c r="CO151" s="11">
        <v>2</v>
      </c>
      <c r="CP151" s="12">
        <f t="shared" si="1317"/>
        <v>2.247191011235955E-2</v>
      </c>
      <c r="CQ151" s="13"/>
      <c r="CR151" s="11"/>
      <c r="CS151" s="11"/>
      <c r="CT151" s="14"/>
      <c r="CU151" s="10">
        <v>1</v>
      </c>
      <c r="CV151" s="11"/>
      <c r="CW151" s="69">
        <f t="shared" si="1368"/>
        <v>746</v>
      </c>
      <c r="CX151" s="69">
        <f t="shared" si="1369"/>
        <v>65</v>
      </c>
      <c r="CY151" s="11">
        <v>493</v>
      </c>
      <c r="CZ151" s="12">
        <f t="shared" si="1318"/>
        <v>0.67024128686327078</v>
      </c>
      <c r="DA151" s="11">
        <v>7</v>
      </c>
      <c r="DB151" s="12">
        <f t="shared" si="1319"/>
        <v>1.4E-2</v>
      </c>
      <c r="DC151" s="13"/>
      <c r="DD151" s="11"/>
      <c r="DE151" s="11"/>
      <c r="DF151" s="14"/>
      <c r="DG151" s="10"/>
      <c r="DH151" s="11"/>
      <c r="DI151" s="69">
        <f t="shared" si="1370"/>
        <v>753</v>
      </c>
      <c r="DJ151" s="69">
        <f t="shared" si="1371"/>
        <v>66</v>
      </c>
      <c r="DK151" s="11">
        <v>490</v>
      </c>
      <c r="DL151" s="12">
        <f t="shared" si="1320"/>
        <v>0.65737051792828682</v>
      </c>
      <c r="DM151" s="11">
        <v>5</v>
      </c>
      <c r="DN151" s="12">
        <f t="shared" si="1321"/>
        <v>1.0101010101010102E-2</v>
      </c>
      <c r="DO151" s="13"/>
      <c r="DP151" s="11"/>
      <c r="DQ151" s="11"/>
      <c r="DR151" s="14"/>
      <c r="DS151" s="10"/>
      <c r="DT151" s="11"/>
      <c r="DU151" s="69">
        <f t="shared" si="1372"/>
        <v>837</v>
      </c>
      <c r="DV151" s="69">
        <f t="shared" si="1373"/>
        <v>71</v>
      </c>
      <c r="DW151" s="11">
        <v>550</v>
      </c>
      <c r="DX151" s="12">
        <f t="shared" si="1322"/>
        <v>0.68936678614097968</v>
      </c>
      <c r="DY151" s="11">
        <v>27</v>
      </c>
      <c r="DZ151" s="12">
        <f t="shared" si="1323"/>
        <v>4.6793760831889082E-2</v>
      </c>
      <c r="EA151" s="13"/>
      <c r="EB151" s="11"/>
      <c r="EC151" s="11"/>
      <c r="ED151" s="14"/>
      <c r="EE151" s="10"/>
      <c r="EF151" s="11"/>
      <c r="EG151" s="69">
        <f t="shared" si="1374"/>
        <v>851</v>
      </c>
      <c r="EH151" s="69">
        <f t="shared" si="1375"/>
        <v>74</v>
      </c>
      <c r="EI151" s="11">
        <v>554</v>
      </c>
      <c r="EJ151" s="12">
        <f t="shared" si="1324"/>
        <v>0.67215041128084607</v>
      </c>
      <c r="EK151" s="11">
        <v>18</v>
      </c>
      <c r="EL151" s="12">
        <f t="shared" si="1325"/>
        <v>3.1468531468531472E-2</v>
      </c>
      <c r="EM151" s="13"/>
      <c r="EN151" s="11"/>
      <c r="EO151" s="11"/>
      <c r="EP151" s="14"/>
      <c r="EQ151" s="10"/>
      <c r="ER151" s="11"/>
      <c r="ES151" s="69">
        <f t="shared" si="1376"/>
        <v>190</v>
      </c>
      <c r="ET151" s="69">
        <f t="shared" si="1377"/>
        <v>16</v>
      </c>
      <c r="EU151" s="11">
        <v>119</v>
      </c>
      <c r="EV151" s="12">
        <f t="shared" si="1326"/>
        <v>0.66315789473684206</v>
      </c>
      <c r="EW151" s="11">
        <v>7</v>
      </c>
      <c r="EX151" s="12">
        <f t="shared" si="1327"/>
        <v>5.5555555555555552E-2</v>
      </c>
      <c r="EY151" s="13"/>
      <c r="EZ151" s="11"/>
      <c r="FA151" s="11"/>
      <c r="FB151" s="14"/>
      <c r="FC151" s="10"/>
      <c r="FD151" s="11"/>
      <c r="FE151" s="69">
        <f t="shared" si="1378"/>
        <v>861</v>
      </c>
      <c r="FF151" s="69">
        <f t="shared" si="1379"/>
        <v>74</v>
      </c>
      <c r="FG151" s="11">
        <v>590</v>
      </c>
      <c r="FH151" s="12">
        <f t="shared" si="1328"/>
        <v>0.69802555168408831</v>
      </c>
      <c r="FI151" s="11">
        <v>11</v>
      </c>
      <c r="FJ151" s="12">
        <f t="shared" si="1329"/>
        <v>1.8302828618968387E-2</v>
      </c>
      <c r="FK151" s="13"/>
      <c r="FL151" s="11"/>
      <c r="FM151" s="11"/>
      <c r="FN151" s="14"/>
      <c r="FO151" s="10"/>
      <c r="FP151" s="11"/>
      <c r="FQ151" s="69">
        <f t="shared" si="1380"/>
        <v>892</v>
      </c>
      <c r="FR151" s="69">
        <f t="shared" si="1381"/>
        <v>75</v>
      </c>
      <c r="FS151" s="11">
        <v>604</v>
      </c>
      <c r="FT151" s="12">
        <f t="shared" si="1330"/>
        <v>0.69730941704035876</v>
      </c>
      <c r="FU151" s="11">
        <v>18</v>
      </c>
      <c r="FV151" s="12">
        <f t="shared" si="1331"/>
        <v>2.8938906752411574E-2</v>
      </c>
      <c r="FW151" s="13"/>
      <c r="FX151" s="11"/>
      <c r="FY151" s="11"/>
      <c r="FZ151" s="14"/>
      <c r="GA151" s="10">
        <v>2</v>
      </c>
      <c r="GB151" s="11"/>
      <c r="GC151" s="69">
        <f t="shared" si="1382"/>
        <v>887</v>
      </c>
      <c r="GD151" s="69">
        <f t="shared" si="1383"/>
        <v>76</v>
      </c>
      <c r="GE151" s="11">
        <v>573</v>
      </c>
      <c r="GF151" s="12">
        <f t="shared" si="1332"/>
        <v>0.66403607666290865</v>
      </c>
      <c r="GG151" s="11">
        <v>16</v>
      </c>
      <c r="GH151" s="12">
        <f t="shared" si="1333"/>
        <v>2.7164685908319185E-2</v>
      </c>
      <c r="GI151" s="13"/>
      <c r="GJ151" s="11"/>
      <c r="GK151" s="11"/>
      <c r="GL151" s="14"/>
      <c r="GM151" s="10"/>
      <c r="GN151" s="11"/>
      <c r="GO151" s="69">
        <f t="shared" si="1384"/>
        <v>172</v>
      </c>
      <c r="GP151" s="69">
        <f t="shared" si="1385"/>
        <v>17</v>
      </c>
      <c r="GQ151" s="11">
        <v>109</v>
      </c>
      <c r="GR151" s="12">
        <f t="shared" si="1334"/>
        <v>0.65116279069767447</v>
      </c>
      <c r="GS151" s="11">
        <v>3</v>
      </c>
      <c r="GT151" s="12">
        <f t="shared" si="1335"/>
        <v>2.6785714285714284E-2</v>
      </c>
      <c r="GU151" s="13"/>
      <c r="GV151" s="11"/>
      <c r="GW151" s="11"/>
      <c r="GX151" s="14"/>
      <c r="GY151" s="10"/>
      <c r="GZ151" s="11"/>
      <c r="HA151" s="69">
        <f t="shared" si="1386"/>
        <v>906</v>
      </c>
      <c r="HB151" s="69">
        <f t="shared" si="1387"/>
        <v>77</v>
      </c>
      <c r="HC151" s="11">
        <v>650</v>
      </c>
      <c r="HD151" s="12">
        <f t="shared" si="1336"/>
        <v>0.73399558498896245</v>
      </c>
      <c r="HE151" s="11">
        <v>15</v>
      </c>
      <c r="HF151" s="12">
        <f t="shared" si="1337"/>
        <v>2.2556390977443608E-2</v>
      </c>
      <c r="HG151" s="13"/>
      <c r="HH151" s="11"/>
      <c r="HI151" s="11"/>
      <c r="HJ151" s="14"/>
      <c r="HK151" s="10">
        <f t="shared" si="1338"/>
        <v>3</v>
      </c>
      <c r="HL151" s="11">
        <f t="shared" si="1339"/>
        <v>0</v>
      </c>
      <c r="HM151" s="11">
        <f t="shared" si="1340"/>
        <v>12140</v>
      </c>
      <c r="HN151" s="11">
        <f t="shared" si="1341"/>
        <v>1039</v>
      </c>
      <c r="HO151" s="11">
        <f t="shared" si="1342"/>
        <v>8257</v>
      </c>
      <c r="HP151" s="95">
        <f t="shared" si="1343"/>
        <v>0.68014827018121915</v>
      </c>
      <c r="HQ151" s="15">
        <f t="shared" si="1344"/>
        <v>217</v>
      </c>
      <c r="HR151" s="12">
        <f t="shared" si="1345"/>
        <v>2.6280731500544992E-2</v>
      </c>
      <c r="HS151" s="16">
        <v>63.5</v>
      </c>
      <c r="HT151" s="17">
        <v>7870</v>
      </c>
      <c r="HU151" s="16">
        <f t="shared" si="1346"/>
        <v>95.313067700133232</v>
      </c>
      <c r="HV151" s="15"/>
      <c r="HW151" s="14"/>
      <c r="HX151" s="73">
        <f t="shared" si="1347"/>
        <v>0.69172476508032732</v>
      </c>
      <c r="HY151" s="73">
        <f t="shared" si="1348"/>
        <v>0.65053929121725729</v>
      </c>
      <c r="HZ151" s="73">
        <f t="shared" si="1349"/>
        <v>0.68492150419861264</v>
      </c>
      <c r="IA151" s="73">
        <f t="shared" si="1350"/>
        <v>0.69583479173958696</v>
      </c>
    </row>
    <row r="152" spans="1:244" x14ac:dyDescent="0.25">
      <c r="A152" s="374"/>
      <c r="B152" s="41">
        <f t="shared" si="1351"/>
        <v>45056</v>
      </c>
      <c r="C152" s="10">
        <v>1</v>
      </c>
      <c r="D152" s="11"/>
      <c r="E152" s="69">
        <f t="shared" si="1352"/>
        <v>833</v>
      </c>
      <c r="F152" s="69">
        <f t="shared" si="1353"/>
        <v>72</v>
      </c>
      <c r="G152" s="11">
        <v>530</v>
      </c>
      <c r="H152" s="12">
        <f t="shared" si="1302"/>
        <v>0.6494597839135654</v>
      </c>
      <c r="I152" s="11">
        <v>11</v>
      </c>
      <c r="J152" s="12">
        <f t="shared" si="1303"/>
        <v>2.0332717190388171E-2</v>
      </c>
      <c r="K152" s="11"/>
      <c r="L152" s="11"/>
      <c r="M152" s="18"/>
      <c r="N152" s="20"/>
      <c r="O152" s="10">
        <v>1</v>
      </c>
      <c r="P152" s="11"/>
      <c r="Q152" s="69">
        <f t="shared" si="1354"/>
        <v>756</v>
      </c>
      <c r="R152" s="69">
        <f t="shared" si="1355"/>
        <v>64</v>
      </c>
      <c r="S152" s="11">
        <v>469</v>
      </c>
      <c r="T152" s="12">
        <f t="shared" si="1304"/>
        <v>0.63227513227513232</v>
      </c>
      <c r="U152" s="11">
        <v>9</v>
      </c>
      <c r="V152" s="12">
        <f t="shared" si="1305"/>
        <v>1.8828451882845189E-2</v>
      </c>
      <c r="W152" s="11"/>
      <c r="X152" s="11"/>
      <c r="Y152" s="18"/>
      <c r="Z152" s="20"/>
      <c r="AA152" s="10"/>
      <c r="AB152" s="11"/>
      <c r="AC152" s="69">
        <f t="shared" si="1356"/>
        <v>174</v>
      </c>
      <c r="AD152" s="69">
        <f t="shared" si="1357"/>
        <v>13</v>
      </c>
      <c r="AE152" s="11">
        <v>113</v>
      </c>
      <c r="AF152" s="12">
        <f t="shared" si="1306"/>
        <v>0.67241379310344829</v>
      </c>
      <c r="AG152" s="11">
        <v>4</v>
      </c>
      <c r="AH152" s="12">
        <f t="shared" si="1307"/>
        <v>3.4188034188034191E-2</v>
      </c>
      <c r="AI152" s="11"/>
      <c r="AJ152" s="11"/>
      <c r="AK152" s="18"/>
      <c r="AL152" s="20"/>
      <c r="AM152" s="10"/>
      <c r="AN152" s="11"/>
      <c r="AO152" s="69">
        <f t="shared" si="1358"/>
        <v>771</v>
      </c>
      <c r="AP152" s="69">
        <f t="shared" si="1359"/>
        <v>64</v>
      </c>
      <c r="AQ152" s="11">
        <v>529</v>
      </c>
      <c r="AR152" s="12">
        <f t="shared" si="1308"/>
        <v>0.69649805447470814</v>
      </c>
      <c r="AS152" s="11">
        <v>8</v>
      </c>
      <c r="AT152" s="12">
        <f t="shared" si="1309"/>
        <v>1.4897579143389199E-2</v>
      </c>
      <c r="AU152" s="11"/>
      <c r="AV152" s="11"/>
      <c r="AW152" s="18"/>
      <c r="AX152" s="20"/>
      <c r="AY152" s="10"/>
      <c r="AZ152" s="11"/>
      <c r="BA152" s="69">
        <f t="shared" si="1360"/>
        <v>763</v>
      </c>
      <c r="BB152" s="69">
        <f t="shared" si="1361"/>
        <v>67</v>
      </c>
      <c r="BC152" s="11">
        <v>531</v>
      </c>
      <c r="BD152" s="12">
        <f t="shared" si="1310"/>
        <v>0.70773263433813893</v>
      </c>
      <c r="BE152" s="11">
        <v>9</v>
      </c>
      <c r="BF152" s="12">
        <f t="shared" si="1311"/>
        <v>1.6666666666666666E-2</v>
      </c>
      <c r="BG152" s="11"/>
      <c r="BH152" s="11"/>
      <c r="BI152" s="18"/>
      <c r="BJ152" s="20"/>
      <c r="BK152" s="10"/>
      <c r="BL152" s="11"/>
      <c r="BM152" s="69">
        <f t="shared" si="1362"/>
        <v>827</v>
      </c>
      <c r="BN152" s="69">
        <f t="shared" si="1363"/>
        <v>71</v>
      </c>
      <c r="BO152" s="11">
        <v>574</v>
      </c>
      <c r="BP152" s="12">
        <f t="shared" si="1312"/>
        <v>0.7061668681983071</v>
      </c>
      <c r="BQ152" s="11">
        <v>10</v>
      </c>
      <c r="BR152" s="12">
        <f t="shared" si="1313"/>
        <v>1.7123287671232876E-2</v>
      </c>
      <c r="BS152" s="11"/>
      <c r="BT152" s="11"/>
      <c r="BU152" s="18"/>
      <c r="BV152" s="20"/>
      <c r="BW152" s="10"/>
      <c r="BX152" s="11"/>
      <c r="BY152" s="69">
        <f t="shared" si="1364"/>
        <v>752</v>
      </c>
      <c r="BZ152" s="69">
        <f t="shared" si="1365"/>
        <v>63</v>
      </c>
      <c r="CA152" s="11">
        <v>484</v>
      </c>
      <c r="CB152" s="12">
        <f t="shared" si="1314"/>
        <v>0.6582446808510638</v>
      </c>
      <c r="CC152" s="11">
        <v>11</v>
      </c>
      <c r="CD152" s="12">
        <f t="shared" si="1315"/>
        <v>2.2222222222222223E-2</v>
      </c>
      <c r="CE152" s="11"/>
      <c r="CF152" s="11"/>
      <c r="CG152" s="18"/>
      <c r="CH152" s="20"/>
      <c r="CI152" s="10"/>
      <c r="CJ152" s="11"/>
      <c r="CK152" s="69">
        <f t="shared" si="1366"/>
        <v>167</v>
      </c>
      <c r="CL152" s="69">
        <f t="shared" si="1367"/>
        <v>14</v>
      </c>
      <c r="CM152" s="11">
        <v>93</v>
      </c>
      <c r="CN152" s="12">
        <f t="shared" si="1316"/>
        <v>0.56886227544910184</v>
      </c>
      <c r="CO152" s="11">
        <v>2</v>
      </c>
      <c r="CP152" s="12">
        <f t="shared" si="1317"/>
        <v>2.1052631578947368E-2</v>
      </c>
      <c r="CQ152" s="11"/>
      <c r="CR152" s="11"/>
      <c r="CS152" s="18"/>
      <c r="CT152" s="20"/>
      <c r="CU152" s="10"/>
      <c r="CV152" s="11"/>
      <c r="CW152" s="69">
        <f t="shared" si="1368"/>
        <v>746</v>
      </c>
      <c r="CX152" s="69">
        <f t="shared" si="1369"/>
        <v>65</v>
      </c>
      <c r="CY152" s="11">
        <v>497</v>
      </c>
      <c r="CZ152" s="12">
        <f t="shared" si="1318"/>
        <v>0.67158176943699732</v>
      </c>
      <c r="DA152" s="11">
        <v>4</v>
      </c>
      <c r="DB152" s="12">
        <f t="shared" si="1319"/>
        <v>7.9840319361277438E-3</v>
      </c>
      <c r="DC152" s="11"/>
      <c r="DD152" s="11"/>
      <c r="DE152" s="18"/>
      <c r="DF152" s="20"/>
      <c r="DG152" s="10"/>
      <c r="DH152" s="11"/>
      <c r="DI152" s="69">
        <f t="shared" si="1370"/>
        <v>753</v>
      </c>
      <c r="DJ152" s="69">
        <f t="shared" si="1371"/>
        <v>66</v>
      </c>
      <c r="DK152" s="11">
        <v>537</v>
      </c>
      <c r="DL152" s="12">
        <f t="shared" si="1320"/>
        <v>0.73306772908366535</v>
      </c>
      <c r="DM152" s="11">
        <v>15</v>
      </c>
      <c r="DN152" s="12">
        <f t="shared" si="1321"/>
        <v>2.717391304347826E-2</v>
      </c>
      <c r="DO152" s="11"/>
      <c r="DP152" s="11"/>
      <c r="DQ152" s="18"/>
      <c r="DR152" s="20"/>
      <c r="DS152" s="10"/>
      <c r="DT152" s="11"/>
      <c r="DU152" s="69">
        <f t="shared" si="1372"/>
        <v>837</v>
      </c>
      <c r="DV152" s="69">
        <f t="shared" si="1373"/>
        <v>71</v>
      </c>
      <c r="DW152" s="11">
        <v>571</v>
      </c>
      <c r="DX152" s="12">
        <f t="shared" si="1322"/>
        <v>0.70250896057347667</v>
      </c>
      <c r="DY152" s="11">
        <v>17</v>
      </c>
      <c r="DZ152" s="12">
        <f t="shared" si="1323"/>
        <v>2.8911564625850341E-2</v>
      </c>
      <c r="EA152" s="11"/>
      <c r="EB152" s="11"/>
      <c r="EC152" s="18"/>
      <c r="ED152" s="20"/>
      <c r="EE152" s="10">
        <v>1</v>
      </c>
      <c r="EF152" s="11"/>
      <c r="EG152" s="69">
        <f t="shared" si="1374"/>
        <v>850</v>
      </c>
      <c r="EH152" s="69">
        <f t="shared" si="1375"/>
        <v>74</v>
      </c>
      <c r="EI152" s="11">
        <v>541</v>
      </c>
      <c r="EJ152" s="12">
        <f t="shared" si="1324"/>
        <v>0.65764705882352936</v>
      </c>
      <c r="EK152" s="11">
        <v>18</v>
      </c>
      <c r="EL152" s="12">
        <f t="shared" si="1325"/>
        <v>3.2200357781753133E-2</v>
      </c>
      <c r="EM152" s="11"/>
      <c r="EN152" s="11"/>
      <c r="EO152" s="18"/>
      <c r="EP152" s="20"/>
      <c r="EQ152" s="10"/>
      <c r="ER152" s="11"/>
      <c r="ES152" s="69">
        <f t="shared" si="1376"/>
        <v>190</v>
      </c>
      <c r="ET152" s="69">
        <f t="shared" si="1377"/>
        <v>16</v>
      </c>
      <c r="EU152" s="11">
        <v>120</v>
      </c>
      <c r="EV152" s="12">
        <f t="shared" si="1326"/>
        <v>0.65789473684210531</v>
      </c>
      <c r="EW152" s="11">
        <v>5</v>
      </c>
      <c r="EX152" s="12">
        <f t="shared" si="1327"/>
        <v>0.04</v>
      </c>
      <c r="EY152" s="11"/>
      <c r="EZ152" s="11"/>
      <c r="FA152" s="18"/>
      <c r="FB152" s="20"/>
      <c r="FC152" s="10"/>
      <c r="FD152" s="11"/>
      <c r="FE152" s="69">
        <f t="shared" si="1378"/>
        <v>861</v>
      </c>
      <c r="FF152" s="69">
        <f t="shared" si="1379"/>
        <v>74</v>
      </c>
      <c r="FG152" s="11">
        <v>590</v>
      </c>
      <c r="FH152" s="12">
        <f t="shared" si="1328"/>
        <v>0.69686411149825789</v>
      </c>
      <c r="FI152" s="11">
        <v>10</v>
      </c>
      <c r="FJ152" s="12">
        <f t="shared" si="1329"/>
        <v>1.6666666666666666E-2</v>
      </c>
      <c r="FK152" s="11"/>
      <c r="FL152" s="11"/>
      <c r="FM152" s="18"/>
      <c r="FN152" s="20"/>
      <c r="FO152" s="10"/>
      <c r="FP152" s="11"/>
      <c r="FQ152" s="69">
        <f t="shared" si="1380"/>
        <v>892</v>
      </c>
      <c r="FR152" s="69">
        <f t="shared" si="1381"/>
        <v>75</v>
      </c>
      <c r="FS152" s="11">
        <v>558</v>
      </c>
      <c r="FT152" s="12">
        <f t="shared" si="1330"/>
        <v>0.64798206278026904</v>
      </c>
      <c r="FU152" s="11">
        <v>20</v>
      </c>
      <c r="FV152" s="12">
        <f t="shared" si="1331"/>
        <v>3.4602076124567477E-2</v>
      </c>
      <c r="FW152" s="11"/>
      <c r="FX152" s="11"/>
      <c r="FY152" s="18"/>
      <c r="FZ152" s="20"/>
      <c r="GA152" s="10"/>
      <c r="GB152" s="11"/>
      <c r="GC152" s="69">
        <f t="shared" si="1382"/>
        <v>887</v>
      </c>
      <c r="GD152" s="69">
        <f t="shared" si="1383"/>
        <v>76</v>
      </c>
      <c r="GE152" s="11">
        <v>563</v>
      </c>
      <c r="GF152" s="12">
        <f t="shared" si="1332"/>
        <v>0.65501691093573844</v>
      </c>
      <c r="GG152" s="11">
        <v>18</v>
      </c>
      <c r="GH152" s="12">
        <f t="shared" si="1333"/>
        <v>3.098106712564544E-2</v>
      </c>
      <c r="GI152" s="11"/>
      <c r="GJ152" s="11"/>
      <c r="GK152" s="18"/>
      <c r="GL152" s="20"/>
      <c r="GM152" s="10"/>
      <c r="GN152" s="11"/>
      <c r="GO152" s="69">
        <f t="shared" si="1384"/>
        <v>172</v>
      </c>
      <c r="GP152" s="69">
        <f t="shared" si="1385"/>
        <v>17</v>
      </c>
      <c r="GQ152" s="11">
        <v>109</v>
      </c>
      <c r="GR152" s="12">
        <f t="shared" si="1334"/>
        <v>0.68604651162790697</v>
      </c>
      <c r="GS152" s="11">
        <v>9</v>
      </c>
      <c r="GT152" s="12">
        <f t="shared" si="1335"/>
        <v>7.6271186440677971E-2</v>
      </c>
      <c r="GU152" s="11"/>
      <c r="GV152" s="11"/>
      <c r="GW152" s="18"/>
      <c r="GX152" s="20"/>
      <c r="GY152" s="10"/>
      <c r="GZ152" s="11"/>
      <c r="HA152" s="69">
        <f t="shared" si="1386"/>
        <v>906</v>
      </c>
      <c r="HB152" s="69">
        <f t="shared" si="1387"/>
        <v>77</v>
      </c>
      <c r="HC152" s="11">
        <v>565</v>
      </c>
      <c r="HD152" s="12">
        <f t="shared" si="1336"/>
        <v>0.64459161147902866</v>
      </c>
      <c r="HE152" s="11">
        <v>19</v>
      </c>
      <c r="HF152" s="12">
        <f t="shared" si="1337"/>
        <v>3.2534246575342464E-2</v>
      </c>
      <c r="HG152" s="11"/>
      <c r="HH152" s="11"/>
      <c r="HI152" s="18"/>
      <c r="HJ152" s="20"/>
      <c r="HK152" s="10">
        <f t="shared" si="1338"/>
        <v>3</v>
      </c>
      <c r="HL152" s="11">
        <f t="shared" si="1339"/>
        <v>0</v>
      </c>
      <c r="HM152" s="11">
        <f t="shared" si="1340"/>
        <v>12137</v>
      </c>
      <c r="HN152" s="11">
        <f t="shared" si="1341"/>
        <v>1039</v>
      </c>
      <c r="HO152" s="11">
        <f t="shared" si="1342"/>
        <v>8173</v>
      </c>
      <c r="HP152" s="95">
        <f t="shared" si="1343"/>
        <v>0.67339540248825902</v>
      </c>
      <c r="HQ152" s="15">
        <f t="shared" si="1344"/>
        <v>199</v>
      </c>
      <c r="HR152" s="12">
        <f t="shared" si="1345"/>
        <v>2.4348464456136056E-2</v>
      </c>
      <c r="HS152" s="16">
        <v>63</v>
      </c>
      <c r="HT152" s="17">
        <v>7797</v>
      </c>
      <c r="HU152" s="16">
        <f t="shared" si="1346"/>
        <v>95.399486112810479</v>
      </c>
      <c r="HV152" s="18"/>
      <c r="HW152" s="20"/>
      <c r="HX152" s="73">
        <f t="shared" si="1347"/>
        <v>0.6712162572035183</v>
      </c>
      <c r="HY152" s="73">
        <f t="shared" si="1348"/>
        <v>0.68628659476117104</v>
      </c>
      <c r="HZ152" s="73">
        <f t="shared" si="1349"/>
        <v>0.68371073776479185</v>
      </c>
      <c r="IA152" s="73">
        <f t="shared" si="1350"/>
        <v>0.65138256912845638</v>
      </c>
    </row>
    <row r="153" spans="1:244" x14ac:dyDescent="0.25">
      <c r="A153" s="374"/>
      <c r="B153" s="41">
        <f>+B152+1</f>
        <v>45057</v>
      </c>
      <c r="C153" s="10"/>
      <c r="D153" s="11"/>
      <c r="E153" s="69">
        <f t="shared" si="1352"/>
        <v>833</v>
      </c>
      <c r="F153" s="69">
        <f t="shared" si="1353"/>
        <v>72</v>
      </c>
      <c r="G153" s="11">
        <v>572</v>
      </c>
      <c r="H153" s="12">
        <f t="shared" si="1302"/>
        <v>0.70108043217286919</v>
      </c>
      <c r="I153" s="11">
        <v>12</v>
      </c>
      <c r="J153" s="12">
        <f t="shared" si="1303"/>
        <v>2.0547945205479451E-2</v>
      </c>
      <c r="K153" s="13"/>
      <c r="L153" s="13"/>
      <c r="M153" s="25"/>
      <c r="N153" s="38">
        <v>4325</v>
      </c>
      <c r="O153" s="10">
        <v>1</v>
      </c>
      <c r="P153" s="11"/>
      <c r="Q153" s="69">
        <f t="shared" si="1354"/>
        <v>755</v>
      </c>
      <c r="R153" s="69">
        <f t="shared" si="1355"/>
        <v>64</v>
      </c>
      <c r="S153" s="11">
        <v>499</v>
      </c>
      <c r="T153" s="12">
        <f t="shared" si="1304"/>
        <v>0.67682119205298008</v>
      </c>
      <c r="U153" s="11">
        <v>12</v>
      </c>
      <c r="V153" s="12">
        <f t="shared" si="1305"/>
        <v>2.3483365949119372E-2</v>
      </c>
      <c r="W153" s="13"/>
      <c r="X153" s="13"/>
      <c r="Y153" s="25"/>
      <c r="Z153" s="38">
        <v>4325</v>
      </c>
      <c r="AA153" s="10"/>
      <c r="AB153" s="11"/>
      <c r="AC153" s="69">
        <f t="shared" si="1356"/>
        <v>174</v>
      </c>
      <c r="AD153" s="69">
        <f t="shared" si="1357"/>
        <v>13</v>
      </c>
      <c r="AE153" s="11">
        <v>118</v>
      </c>
      <c r="AF153" s="12">
        <f t="shared" si="1306"/>
        <v>0.70114942528735635</v>
      </c>
      <c r="AG153" s="11">
        <v>4</v>
      </c>
      <c r="AH153" s="12">
        <f t="shared" si="1307"/>
        <v>3.2786885245901641E-2</v>
      </c>
      <c r="AI153" s="13"/>
      <c r="AJ153" s="13"/>
      <c r="AK153" s="25"/>
      <c r="AL153" s="38">
        <v>4325</v>
      </c>
      <c r="AM153" s="10"/>
      <c r="AN153" s="11"/>
      <c r="AO153" s="69">
        <f t="shared" si="1358"/>
        <v>771</v>
      </c>
      <c r="AP153" s="69">
        <f t="shared" si="1359"/>
        <v>64</v>
      </c>
      <c r="AQ153" s="11">
        <v>486</v>
      </c>
      <c r="AR153" s="12">
        <f t="shared" si="1308"/>
        <v>0.6394293125810635</v>
      </c>
      <c r="AS153" s="11">
        <v>7</v>
      </c>
      <c r="AT153" s="12">
        <f t="shared" si="1309"/>
        <v>1.4198782961460446E-2</v>
      </c>
      <c r="AU153" s="13"/>
      <c r="AV153" s="13"/>
      <c r="AW153" s="25"/>
      <c r="AX153" s="38">
        <v>4325</v>
      </c>
      <c r="AY153" s="10"/>
      <c r="AZ153" s="11"/>
      <c r="BA153" s="69">
        <f t="shared" si="1360"/>
        <v>763</v>
      </c>
      <c r="BB153" s="69">
        <f t="shared" si="1361"/>
        <v>67</v>
      </c>
      <c r="BC153" s="11">
        <v>485</v>
      </c>
      <c r="BD153" s="12">
        <f t="shared" si="1310"/>
        <v>0.65792922673656618</v>
      </c>
      <c r="BE153" s="11">
        <v>17</v>
      </c>
      <c r="BF153" s="12">
        <f t="shared" si="1311"/>
        <v>3.386454183266932E-2</v>
      </c>
      <c r="BG153" s="13"/>
      <c r="BH153" s="13"/>
      <c r="BI153" s="25"/>
      <c r="BJ153" s="38">
        <v>4325</v>
      </c>
      <c r="BK153" s="10"/>
      <c r="BL153" s="11"/>
      <c r="BM153" s="69">
        <f t="shared" si="1362"/>
        <v>827</v>
      </c>
      <c r="BN153" s="69">
        <f t="shared" si="1363"/>
        <v>71</v>
      </c>
      <c r="BO153" s="11">
        <v>558</v>
      </c>
      <c r="BP153" s="12">
        <f t="shared" si="1312"/>
        <v>0.69528415961305923</v>
      </c>
      <c r="BQ153" s="11">
        <v>17</v>
      </c>
      <c r="BR153" s="12">
        <f t="shared" si="1313"/>
        <v>2.9565217391304348E-2</v>
      </c>
      <c r="BS153" s="13"/>
      <c r="BT153" s="13"/>
      <c r="BU153" s="25"/>
      <c r="BV153" s="38">
        <v>4325</v>
      </c>
      <c r="BW153" s="10"/>
      <c r="BX153" s="11"/>
      <c r="BY153" s="69">
        <f t="shared" si="1364"/>
        <v>752</v>
      </c>
      <c r="BZ153" s="69">
        <f t="shared" si="1365"/>
        <v>63</v>
      </c>
      <c r="CA153" s="11">
        <v>498</v>
      </c>
      <c r="CB153" s="12">
        <f t="shared" si="1314"/>
        <v>0.68085106382978722</v>
      </c>
      <c r="CC153" s="11">
        <v>14</v>
      </c>
      <c r="CD153" s="12">
        <f t="shared" si="1315"/>
        <v>2.734375E-2</v>
      </c>
      <c r="CE153" s="13"/>
      <c r="CF153" s="13"/>
      <c r="CG153" s="25"/>
      <c r="CH153" s="38">
        <v>4325</v>
      </c>
      <c r="CI153" s="10"/>
      <c r="CJ153" s="11"/>
      <c r="CK153" s="69">
        <f t="shared" si="1366"/>
        <v>167</v>
      </c>
      <c r="CL153" s="69">
        <f t="shared" si="1367"/>
        <v>14</v>
      </c>
      <c r="CM153" s="11">
        <v>109</v>
      </c>
      <c r="CN153" s="12">
        <f t="shared" si="1316"/>
        <v>0.6706586826347305</v>
      </c>
      <c r="CO153" s="11">
        <v>3</v>
      </c>
      <c r="CP153" s="12">
        <f t="shared" si="1317"/>
        <v>2.6785714285714284E-2</v>
      </c>
      <c r="CQ153" s="13"/>
      <c r="CR153" s="13"/>
      <c r="CS153" s="25"/>
      <c r="CT153" s="38">
        <v>4325</v>
      </c>
      <c r="CU153" s="10"/>
      <c r="CV153" s="11"/>
      <c r="CW153" s="69">
        <f t="shared" si="1368"/>
        <v>746</v>
      </c>
      <c r="CX153" s="69">
        <f t="shared" si="1369"/>
        <v>65</v>
      </c>
      <c r="CY153" s="11">
        <v>463</v>
      </c>
      <c r="CZ153" s="12">
        <f t="shared" si="1318"/>
        <v>0.63538873994638068</v>
      </c>
      <c r="DA153" s="11">
        <v>11</v>
      </c>
      <c r="DB153" s="12">
        <f t="shared" si="1319"/>
        <v>2.3206751054852322E-2</v>
      </c>
      <c r="DC153" s="13"/>
      <c r="DD153" s="13"/>
      <c r="DE153" s="25"/>
      <c r="DF153" s="38">
        <v>4325</v>
      </c>
      <c r="DG153" s="10">
        <v>1</v>
      </c>
      <c r="DH153" s="11"/>
      <c r="DI153" s="69">
        <f t="shared" si="1370"/>
        <v>752</v>
      </c>
      <c r="DJ153" s="69">
        <f t="shared" si="1371"/>
        <v>66</v>
      </c>
      <c r="DK153" s="11">
        <v>531</v>
      </c>
      <c r="DL153" s="12">
        <f t="shared" si="1320"/>
        <v>0.71941489361702127</v>
      </c>
      <c r="DM153" s="11">
        <v>10</v>
      </c>
      <c r="DN153" s="12">
        <f t="shared" si="1321"/>
        <v>1.8484288354898338E-2</v>
      </c>
      <c r="DO153" s="13"/>
      <c r="DP153" s="13"/>
      <c r="DQ153" s="25"/>
      <c r="DR153" s="38">
        <v>4325</v>
      </c>
      <c r="DS153" s="10"/>
      <c r="DT153" s="11"/>
      <c r="DU153" s="69">
        <f t="shared" si="1372"/>
        <v>837</v>
      </c>
      <c r="DV153" s="69">
        <f t="shared" si="1373"/>
        <v>71</v>
      </c>
      <c r="DW153" s="11">
        <v>589</v>
      </c>
      <c r="DX153" s="12">
        <f t="shared" si="1322"/>
        <v>0.72401433691756267</v>
      </c>
      <c r="DY153" s="11">
        <v>17</v>
      </c>
      <c r="DZ153" s="12">
        <f t="shared" si="1323"/>
        <v>2.8052805280528052E-2</v>
      </c>
      <c r="EA153" s="13"/>
      <c r="EB153" s="13"/>
      <c r="EC153" s="25"/>
      <c r="ED153" s="38">
        <v>4325</v>
      </c>
      <c r="EE153" s="10"/>
      <c r="EF153" s="11"/>
      <c r="EG153" s="69">
        <f t="shared" si="1374"/>
        <v>850</v>
      </c>
      <c r="EH153" s="69">
        <f t="shared" si="1375"/>
        <v>74</v>
      </c>
      <c r="EI153" s="11">
        <v>548</v>
      </c>
      <c r="EJ153" s="12">
        <f t="shared" si="1324"/>
        <v>0.67647058823529416</v>
      </c>
      <c r="EK153" s="11">
        <v>27</v>
      </c>
      <c r="EL153" s="12">
        <f t="shared" si="1325"/>
        <v>4.6956521739130432E-2</v>
      </c>
      <c r="EM153" s="13"/>
      <c r="EN153" s="13"/>
      <c r="EO153" s="25"/>
      <c r="EP153" s="38">
        <v>4325</v>
      </c>
      <c r="EQ153" s="10"/>
      <c r="ER153" s="11"/>
      <c r="ES153" s="69">
        <f t="shared" si="1376"/>
        <v>190</v>
      </c>
      <c r="ET153" s="69">
        <f t="shared" si="1377"/>
        <v>16</v>
      </c>
      <c r="EU153" s="11">
        <v>120</v>
      </c>
      <c r="EV153" s="12">
        <f t="shared" si="1326"/>
        <v>0.66315789473684206</v>
      </c>
      <c r="EW153" s="11">
        <v>6</v>
      </c>
      <c r="EX153" s="12">
        <f t="shared" si="1327"/>
        <v>4.7619047619047616E-2</v>
      </c>
      <c r="EY153" s="13"/>
      <c r="EZ153" s="13"/>
      <c r="FA153" s="25"/>
      <c r="FB153" s="38">
        <v>4325</v>
      </c>
      <c r="FC153" s="10"/>
      <c r="FD153" s="11"/>
      <c r="FE153" s="69">
        <f t="shared" si="1378"/>
        <v>861</v>
      </c>
      <c r="FF153" s="69">
        <f t="shared" si="1379"/>
        <v>74</v>
      </c>
      <c r="FG153" s="11">
        <v>619</v>
      </c>
      <c r="FH153" s="12">
        <f t="shared" si="1328"/>
        <v>0.73519163763066198</v>
      </c>
      <c r="FI153" s="11">
        <v>14</v>
      </c>
      <c r="FJ153" s="12">
        <f t="shared" si="1329"/>
        <v>2.2116903633491312E-2</v>
      </c>
      <c r="FK153" s="13"/>
      <c r="FL153" s="13"/>
      <c r="FM153" s="25"/>
      <c r="FN153" s="38">
        <v>4325</v>
      </c>
      <c r="FO153" s="10">
        <v>2</v>
      </c>
      <c r="FP153" s="11"/>
      <c r="FQ153" s="69">
        <f t="shared" si="1380"/>
        <v>890</v>
      </c>
      <c r="FR153" s="69">
        <f t="shared" si="1381"/>
        <v>75</v>
      </c>
      <c r="FS153" s="11">
        <v>591</v>
      </c>
      <c r="FT153" s="12">
        <f t="shared" si="1330"/>
        <v>0.68764044943820224</v>
      </c>
      <c r="FU153" s="11">
        <v>21</v>
      </c>
      <c r="FV153" s="12">
        <f t="shared" si="1331"/>
        <v>3.4313725490196081E-2</v>
      </c>
      <c r="FW153" s="13"/>
      <c r="FX153" s="13"/>
      <c r="FY153" s="25"/>
      <c r="FZ153" s="38">
        <v>4325</v>
      </c>
      <c r="GA153" s="10"/>
      <c r="GB153" s="11"/>
      <c r="GC153" s="69">
        <f t="shared" si="1382"/>
        <v>887</v>
      </c>
      <c r="GD153" s="69">
        <f t="shared" si="1383"/>
        <v>76</v>
      </c>
      <c r="GE153" s="11">
        <v>579</v>
      </c>
      <c r="GF153" s="12">
        <f t="shared" si="1332"/>
        <v>0.67305524239007897</v>
      </c>
      <c r="GG153" s="11">
        <v>18</v>
      </c>
      <c r="GH153" s="12">
        <f t="shared" si="1333"/>
        <v>3.015075376884422E-2</v>
      </c>
      <c r="GI153" s="13"/>
      <c r="GJ153" s="13"/>
      <c r="GK153" s="25"/>
      <c r="GL153" s="38">
        <v>4325</v>
      </c>
      <c r="GM153" s="10"/>
      <c r="GN153" s="11"/>
      <c r="GO153" s="69">
        <f t="shared" si="1384"/>
        <v>172</v>
      </c>
      <c r="GP153" s="69">
        <f t="shared" si="1385"/>
        <v>17</v>
      </c>
      <c r="GQ153" s="11">
        <v>116</v>
      </c>
      <c r="GR153" s="12">
        <f t="shared" si="1334"/>
        <v>0.69186046511627908</v>
      </c>
      <c r="GS153" s="11">
        <v>3</v>
      </c>
      <c r="GT153" s="12">
        <f t="shared" si="1335"/>
        <v>2.5210084033613446E-2</v>
      </c>
      <c r="GU153" s="13"/>
      <c r="GV153" s="13"/>
      <c r="GW153" s="25"/>
      <c r="GX153" s="38">
        <v>4325</v>
      </c>
      <c r="GY153" s="10"/>
      <c r="GZ153" s="11"/>
      <c r="HA153" s="69">
        <f t="shared" si="1386"/>
        <v>906</v>
      </c>
      <c r="HB153" s="69">
        <f t="shared" si="1387"/>
        <v>77</v>
      </c>
      <c r="HC153" s="11">
        <v>631</v>
      </c>
      <c r="HD153" s="12">
        <f t="shared" si="1336"/>
        <v>0.70971302428256067</v>
      </c>
      <c r="HE153" s="11">
        <v>12</v>
      </c>
      <c r="HF153" s="12">
        <f t="shared" si="1337"/>
        <v>1.8662519440124418E-2</v>
      </c>
      <c r="HG153" s="13"/>
      <c r="HH153" s="13"/>
      <c r="HI153" s="25"/>
      <c r="HJ153" s="38">
        <v>4325</v>
      </c>
      <c r="HK153" s="10">
        <f t="shared" si="1338"/>
        <v>4</v>
      </c>
      <c r="HL153" s="11">
        <f t="shared" si="1339"/>
        <v>0</v>
      </c>
      <c r="HM153" s="11">
        <f t="shared" si="1340"/>
        <v>12133</v>
      </c>
      <c r="HN153" s="11">
        <f t="shared" si="1341"/>
        <v>1039</v>
      </c>
      <c r="HO153" s="11">
        <f t="shared" si="1342"/>
        <v>8337</v>
      </c>
      <c r="HP153" s="95">
        <f t="shared" si="1343"/>
        <v>0.68713426193027283</v>
      </c>
      <c r="HQ153" s="15">
        <f t="shared" si="1344"/>
        <v>225</v>
      </c>
      <c r="HR153" s="12">
        <f t="shared" si="1345"/>
        <v>2.6988125224901044E-2</v>
      </c>
      <c r="HS153" s="16">
        <v>63.7</v>
      </c>
      <c r="HT153" s="17">
        <v>7950</v>
      </c>
      <c r="HU153" s="16">
        <f t="shared" si="1346"/>
        <v>95.358042461317012</v>
      </c>
      <c r="HV153" s="23"/>
      <c r="HW153" s="22">
        <v>4325</v>
      </c>
      <c r="HX153" s="73">
        <f t="shared" si="1347"/>
        <v>0.67111650485436891</v>
      </c>
      <c r="HY153" s="73">
        <f t="shared" si="1348"/>
        <v>0.68249075215782984</v>
      </c>
      <c r="HZ153" s="73">
        <f t="shared" si="1349"/>
        <v>0.70854638422205984</v>
      </c>
      <c r="IA153" s="73">
        <f t="shared" si="1350"/>
        <v>0.69036777583187392</v>
      </c>
    </row>
    <row r="154" spans="1:244" x14ac:dyDescent="0.25">
      <c r="A154" s="374"/>
      <c r="B154" s="41">
        <f t="shared" si="1351"/>
        <v>45058</v>
      </c>
      <c r="C154" s="10"/>
      <c r="D154" s="11"/>
      <c r="E154" s="69">
        <f t="shared" si="1352"/>
        <v>833</v>
      </c>
      <c r="F154" s="69">
        <f t="shared" si="1353"/>
        <v>72</v>
      </c>
      <c r="G154" s="11">
        <v>580</v>
      </c>
      <c r="H154" s="12">
        <f t="shared" si="1302"/>
        <v>0.71188475390156059</v>
      </c>
      <c r="I154" s="11">
        <v>13</v>
      </c>
      <c r="J154" s="12">
        <f t="shared" si="1303"/>
        <v>2.1922428330522766E-2</v>
      </c>
      <c r="K154" s="13"/>
      <c r="L154" s="11"/>
      <c r="M154" s="25"/>
      <c r="N154" s="38">
        <v>4558</v>
      </c>
      <c r="O154" s="10"/>
      <c r="P154" s="11"/>
      <c r="Q154" s="69">
        <f t="shared" si="1354"/>
        <v>755</v>
      </c>
      <c r="R154" s="69">
        <f t="shared" si="1355"/>
        <v>64</v>
      </c>
      <c r="S154" s="11">
        <v>513</v>
      </c>
      <c r="T154" s="12">
        <f t="shared" si="1304"/>
        <v>0.6940397350993377</v>
      </c>
      <c r="U154" s="11">
        <v>11</v>
      </c>
      <c r="V154" s="12">
        <f t="shared" si="1305"/>
        <v>2.0992366412213741E-2</v>
      </c>
      <c r="W154" s="13"/>
      <c r="X154" s="11"/>
      <c r="Y154" s="25"/>
      <c r="Z154" s="38">
        <v>4832.1428571428569</v>
      </c>
      <c r="AA154" s="10">
        <v>2</v>
      </c>
      <c r="AB154" s="11"/>
      <c r="AC154" s="69">
        <f t="shared" si="1356"/>
        <v>172</v>
      </c>
      <c r="AD154" s="69">
        <f t="shared" si="1357"/>
        <v>13</v>
      </c>
      <c r="AE154" s="11">
        <v>126</v>
      </c>
      <c r="AF154" s="12">
        <f t="shared" si="1306"/>
        <v>0.76162790697674421</v>
      </c>
      <c r="AG154" s="11">
        <v>5</v>
      </c>
      <c r="AH154" s="12">
        <f t="shared" si="1307"/>
        <v>3.8167938931297711E-2</v>
      </c>
      <c r="AI154" s="13"/>
      <c r="AJ154" s="11"/>
      <c r="AK154" s="25"/>
      <c r="AL154" s="38">
        <v>4312.5</v>
      </c>
      <c r="AM154" s="10"/>
      <c r="AN154" s="11"/>
      <c r="AO154" s="69">
        <f t="shared" si="1358"/>
        <v>771</v>
      </c>
      <c r="AP154" s="69">
        <f t="shared" si="1359"/>
        <v>64</v>
      </c>
      <c r="AQ154" s="11">
        <v>497</v>
      </c>
      <c r="AR154" s="12">
        <f t="shared" si="1308"/>
        <v>0.66277561608300906</v>
      </c>
      <c r="AS154" s="11">
        <v>14</v>
      </c>
      <c r="AT154" s="12">
        <f t="shared" si="1309"/>
        <v>2.7397260273972601E-2</v>
      </c>
      <c r="AU154" s="13"/>
      <c r="AV154" s="11"/>
      <c r="AW154" s="25"/>
      <c r="AX154" s="38">
        <v>4738</v>
      </c>
      <c r="AY154" s="10"/>
      <c r="AZ154" s="11"/>
      <c r="BA154" s="69">
        <f t="shared" si="1360"/>
        <v>763</v>
      </c>
      <c r="BB154" s="69">
        <f t="shared" si="1361"/>
        <v>67</v>
      </c>
      <c r="BC154" s="11">
        <v>548</v>
      </c>
      <c r="BD154" s="12">
        <f t="shared" si="1310"/>
        <v>0.73525557011795539</v>
      </c>
      <c r="BE154" s="11">
        <v>13</v>
      </c>
      <c r="BF154" s="12">
        <f t="shared" si="1311"/>
        <v>2.3172905525846704E-2</v>
      </c>
      <c r="BG154" s="13"/>
      <c r="BH154" s="11"/>
      <c r="BI154" s="25"/>
      <c r="BJ154" s="38">
        <v>4843.333333333333</v>
      </c>
      <c r="BK154" s="10"/>
      <c r="BL154" s="11"/>
      <c r="BM154" s="69">
        <f t="shared" si="1362"/>
        <v>827</v>
      </c>
      <c r="BN154" s="69">
        <f t="shared" si="1363"/>
        <v>71</v>
      </c>
      <c r="BO154" s="11">
        <v>552</v>
      </c>
      <c r="BP154" s="12">
        <f t="shared" si="1312"/>
        <v>0.69286577992744858</v>
      </c>
      <c r="BQ154" s="11">
        <v>21</v>
      </c>
      <c r="BR154" s="12">
        <f t="shared" si="1313"/>
        <v>3.6649214659685861E-2</v>
      </c>
      <c r="BS154" s="13"/>
      <c r="BT154" s="11"/>
      <c r="BU154" s="25"/>
      <c r="BV154" s="38">
        <v>4569.333333333333</v>
      </c>
      <c r="BW154" s="10"/>
      <c r="BX154" s="11"/>
      <c r="BY154" s="69">
        <f t="shared" si="1364"/>
        <v>752</v>
      </c>
      <c r="BZ154" s="69">
        <f t="shared" si="1365"/>
        <v>63</v>
      </c>
      <c r="CA154" s="11">
        <v>495</v>
      </c>
      <c r="CB154" s="12">
        <f t="shared" si="1314"/>
        <v>0.67686170212765961</v>
      </c>
      <c r="CC154" s="11">
        <v>14</v>
      </c>
      <c r="CD154" s="12">
        <f t="shared" si="1315"/>
        <v>2.75049115913556E-2</v>
      </c>
      <c r="CE154" s="13"/>
      <c r="CF154" s="11"/>
      <c r="CG154" s="25"/>
      <c r="CH154" s="38">
        <v>4651.1764705882351</v>
      </c>
      <c r="CI154" s="10">
        <v>1</v>
      </c>
      <c r="CJ154" s="11"/>
      <c r="CK154" s="69">
        <f t="shared" si="1366"/>
        <v>166</v>
      </c>
      <c r="CL154" s="69">
        <f t="shared" si="1367"/>
        <v>14</v>
      </c>
      <c r="CM154" s="11">
        <v>109</v>
      </c>
      <c r="CN154" s="12">
        <f t="shared" si="1316"/>
        <v>0.68674698795180722</v>
      </c>
      <c r="CO154" s="11">
        <v>5</v>
      </c>
      <c r="CP154" s="12">
        <f t="shared" si="1317"/>
        <v>4.3859649122807015E-2</v>
      </c>
      <c r="CQ154" s="13"/>
      <c r="CR154" s="11"/>
      <c r="CS154" s="25"/>
      <c r="CT154" s="38">
        <v>4380</v>
      </c>
      <c r="CU154" s="10">
        <v>2</v>
      </c>
      <c r="CV154" s="11"/>
      <c r="CW154" s="69">
        <f t="shared" si="1368"/>
        <v>744</v>
      </c>
      <c r="CX154" s="69">
        <f t="shared" si="1369"/>
        <v>65</v>
      </c>
      <c r="CY154" s="11">
        <v>461</v>
      </c>
      <c r="CZ154" s="12">
        <f t="shared" si="1318"/>
        <v>0.63440860215053763</v>
      </c>
      <c r="DA154" s="11">
        <v>11</v>
      </c>
      <c r="DB154" s="12">
        <f t="shared" si="1319"/>
        <v>2.3305084745762712E-2</v>
      </c>
      <c r="DC154" s="13"/>
      <c r="DD154" s="11"/>
      <c r="DE154" s="25"/>
      <c r="DF154" s="38">
        <v>4815.625</v>
      </c>
      <c r="DG154" s="10"/>
      <c r="DH154" s="11"/>
      <c r="DI154" s="69">
        <f t="shared" si="1370"/>
        <v>752</v>
      </c>
      <c r="DJ154" s="69">
        <f t="shared" si="1371"/>
        <v>66</v>
      </c>
      <c r="DK154" s="11">
        <v>530</v>
      </c>
      <c r="DL154" s="12">
        <f t="shared" si="1320"/>
        <v>0.72739361702127658</v>
      </c>
      <c r="DM154" s="11">
        <v>17</v>
      </c>
      <c r="DN154" s="12">
        <f t="shared" si="1321"/>
        <v>3.1078610603290677E-2</v>
      </c>
      <c r="DO154" s="13"/>
      <c r="DP154" s="11"/>
      <c r="DQ154" s="25"/>
      <c r="DR154" s="38">
        <v>4782</v>
      </c>
      <c r="DS154" s="10"/>
      <c r="DT154" s="11"/>
      <c r="DU154" s="69">
        <f t="shared" si="1372"/>
        <v>837</v>
      </c>
      <c r="DV154" s="69">
        <f t="shared" si="1373"/>
        <v>71</v>
      </c>
      <c r="DW154" s="11">
        <v>573</v>
      </c>
      <c r="DX154" s="12">
        <f t="shared" si="1322"/>
        <v>0.71326164874551967</v>
      </c>
      <c r="DY154" s="11">
        <v>24</v>
      </c>
      <c r="DZ154" s="12">
        <f t="shared" si="1323"/>
        <v>4.0201005025125629E-2</v>
      </c>
      <c r="EA154" s="13"/>
      <c r="EB154" s="11"/>
      <c r="EC154" s="25"/>
      <c r="ED154" s="38">
        <v>4460</v>
      </c>
      <c r="EE154" s="10">
        <v>1</v>
      </c>
      <c r="EF154" s="11"/>
      <c r="EG154" s="69">
        <f t="shared" si="1374"/>
        <v>849</v>
      </c>
      <c r="EH154" s="69">
        <f t="shared" si="1375"/>
        <v>74</v>
      </c>
      <c r="EI154" s="11">
        <v>576</v>
      </c>
      <c r="EJ154" s="12">
        <f t="shared" si="1324"/>
        <v>0.70318021201413428</v>
      </c>
      <c r="EK154" s="11">
        <v>21</v>
      </c>
      <c r="EL154" s="12">
        <f t="shared" si="1325"/>
        <v>3.5175879396984924E-2</v>
      </c>
      <c r="EM154" s="13"/>
      <c r="EN154" s="11"/>
      <c r="EO154" s="25"/>
      <c r="EP154" s="38">
        <v>4680</v>
      </c>
      <c r="EQ154" s="10"/>
      <c r="ER154" s="11"/>
      <c r="ES154" s="69">
        <f t="shared" si="1376"/>
        <v>190</v>
      </c>
      <c r="ET154" s="69">
        <f t="shared" si="1377"/>
        <v>16</v>
      </c>
      <c r="EU154" s="11">
        <v>132</v>
      </c>
      <c r="EV154" s="12">
        <f t="shared" si="1326"/>
        <v>0.72105263157894739</v>
      </c>
      <c r="EW154" s="11">
        <v>5</v>
      </c>
      <c r="EX154" s="12">
        <f t="shared" si="1327"/>
        <v>3.6496350364963501E-2</v>
      </c>
      <c r="EY154" s="13"/>
      <c r="EZ154" s="11"/>
      <c r="FA154" s="25"/>
      <c r="FB154" s="38">
        <v>4320</v>
      </c>
      <c r="FC154" s="10"/>
      <c r="FD154" s="11"/>
      <c r="FE154" s="69">
        <f t="shared" si="1378"/>
        <v>861</v>
      </c>
      <c r="FF154" s="69">
        <f t="shared" si="1379"/>
        <v>74</v>
      </c>
      <c r="FG154" s="11">
        <v>596</v>
      </c>
      <c r="FH154" s="12">
        <f t="shared" si="1328"/>
        <v>0.70034843205574915</v>
      </c>
      <c r="FI154" s="11">
        <v>7</v>
      </c>
      <c r="FJ154" s="12">
        <f t="shared" si="1329"/>
        <v>1.1608623548922056E-2</v>
      </c>
      <c r="FK154" s="13"/>
      <c r="FL154" s="11"/>
      <c r="FM154" s="25"/>
      <c r="FN154" s="38">
        <v>4808.75</v>
      </c>
      <c r="FO154" s="10"/>
      <c r="FP154" s="11"/>
      <c r="FQ154" s="69">
        <f t="shared" si="1380"/>
        <v>890</v>
      </c>
      <c r="FR154" s="69">
        <f t="shared" si="1381"/>
        <v>75</v>
      </c>
      <c r="FS154" s="11">
        <v>605</v>
      </c>
      <c r="FT154" s="12">
        <f t="shared" si="1330"/>
        <v>0.70112359550561798</v>
      </c>
      <c r="FU154" s="11">
        <v>19</v>
      </c>
      <c r="FV154" s="12">
        <f t="shared" si="1331"/>
        <v>3.0448717948717948E-2</v>
      </c>
      <c r="FW154" s="13"/>
      <c r="FX154" s="11"/>
      <c r="FY154" s="25"/>
      <c r="FZ154" s="38">
        <v>4537.8571428571431</v>
      </c>
      <c r="GA154" s="10"/>
      <c r="GB154" s="11"/>
      <c r="GC154" s="69">
        <f t="shared" si="1382"/>
        <v>887</v>
      </c>
      <c r="GD154" s="69">
        <f t="shared" si="1383"/>
        <v>76</v>
      </c>
      <c r="GE154" s="11">
        <v>571</v>
      </c>
      <c r="GF154" s="12">
        <f t="shared" si="1332"/>
        <v>0.66290868094701239</v>
      </c>
      <c r="GG154" s="11">
        <v>17</v>
      </c>
      <c r="GH154" s="12">
        <f t="shared" si="1333"/>
        <v>2.8911564625850341E-2</v>
      </c>
      <c r="GI154" s="13"/>
      <c r="GJ154" s="11"/>
      <c r="GK154" s="25"/>
      <c r="GL154" s="38">
        <v>4710.625</v>
      </c>
      <c r="GM154" s="10"/>
      <c r="GN154" s="11"/>
      <c r="GO154" s="69">
        <f t="shared" si="1384"/>
        <v>172</v>
      </c>
      <c r="GP154" s="69">
        <f t="shared" si="1385"/>
        <v>17</v>
      </c>
      <c r="GQ154" s="11">
        <v>112</v>
      </c>
      <c r="GR154" s="12">
        <f t="shared" si="1334"/>
        <v>0.66279069767441856</v>
      </c>
      <c r="GS154" s="11">
        <v>2</v>
      </c>
      <c r="GT154" s="12">
        <f t="shared" si="1335"/>
        <v>1.7543859649122806E-2</v>
      </c>
      <c r="GU154" s="13"/>
      <c r="GV154" s="11"/>
      <c r="GW154" s="25"/>
      <c r="GX154" s="38">
        <v>4305</v>
      </c>
      <c r="GY154" s="10"/>
      <c r="GZ154" s="11"/>
      <c r="HA154" s="69">
        <f t="shared" si="1386"/>
        <v>906</v>
      </c>
      <c r="HB154" s="69">
        <f t="shared" si="1387"/>
        <v>77</v>
      </c>
      <c r="HC154" s="11">
        <v>627</v>
      </c>
      <c r="HD154" s="12">
        <f t="shared" si="1336"/>
        <v>0.70971302428256067</v>
      </c>
      <c r="HE154" s="11">
        <v>16</v>
      </c>
      <c r="HF154" s="12">
        <f t="shared" si="1337"/>
        <v>2.4883359253499222E-2</v>
      </c>
      <c r="HG154" s="13"/>
      <c r="HH154" s="11"/>
      <c r="HI154" s="25"/>
      <c r="HJ154" s="38">
        <v>4641.818181818182</v>
      </c>
      <c r="HK154" s="10">
        <f t="shared" si="1338"/>
        <v>6</v>
      </c>
      <c r="HL154" s="11">
        <f t="shared" si="1339"/>
        <v>0</v>
      </c>
      <c r="HM154" s="11">
        <f t="shared" si="1340"/>
        <v>12127</v>
      </c>
      <c r="HN154" s="11">
        <f t="shared" si="1341"/>
        <v>1039</v>
      </c>
      <c r="HO154" s="11">
        <f t="shared" si="1342"/>
        <v>8438</v>
      </c>
      <c r="HP154" s="95">
        <f t="shared" si="1343"/>
        <v>0.69580275418487669</v>
      </c>
      <c r="HQ154" s="15">
        <f t="shared" si="1344"/>
        <v>235</v>
      </c>
      <c r="HR154" s="12">
        <f t="shared" si="1345"/>
        <v>2.7850201469542545E-2</v>
      </c>
      <c r="HS154" s="16">
        <v>63.5</v>
      </c>
      <c r="HT154" s="17">
        <v>8022</v>
      </c>
      <c r="HU154" s="16">
        <f t="shared" si="1346"/>
        <v>95.069921782412891</v>
      </c>
      <c r="HV154" s="23"/>
      <c r="HW154" s="22">
        <v>4661.2</v>
      </c>
      <c r="HX154" s="73">
        <f t="shared" si="1347"/>
        <v>0.70431086824529443</v>
      </c>
      <c r="HY154" s="73">
        <f t="shared" si="1348"/>
        <v>0.68343103980253006</v>
      </c>
      <c r="HZ154" s="73">
        <f t="shared" si="1349"/>
        <v>0.70661308001461454</v>
      </c>
      <c r="IA154" s="73">
        <f t="shared" si="1350"/>
        <v>0.68966725043782839</v>
      </c>
    </row>
    <row r="155" spans="1:244" x14ac:dyDescent="0.25">
      <c r="A155" s="374"/>
      <c r="B155" s="41">
        <f t="shared" si="1351"/>
        <v>45059</v>
      </c>
      <c r="C155" s="10"/>
      <c r="D155" s="11"/>
      <c r="E155" s="69">
        <f t="shared" si="1352"/>
        <v>833</v>
      </c>
      <c r="F155" s="69">
        <f t="shared" si="1353"/>
        <v>72</v>
      </c>
      <c r="G155" s="11">
        <v>540</v>
      </c>
      <c r="H155" s="12">
        <f t="shared" si="1302"/>
        <v>0.66866746698679469</v>
      </c>
      <c r="I155" s="11">
        <v>17</v>
      </c>
      <c r="J155" s="12">
        <f t="shared" si="1303"/>
        <v>3.052064631956912E-2</v>
      </c>
      <c r="K155" s="13"/>
      <c r="L155" s="11"/>
      <c r="M155" s="39"/>
      <c r="N155" s="43">
        <v>100</v>
      </c>
      <c r="O155" s="10"/>
      <c r="P155" s="11"/>
      <c r="Q155" s="69">
        <f t="shared" si="1354"/>
        <v>755</v>
      </c>
      <c r="R155" s="69">
        <f t="shared" si="1355"/>
        <v>64</v>
      </c>
      <c r="S155" s="11">
        <v>456</v>
      </c>
      <c r="T155" s="12">
        <f t="shared" si="1304"/>
        <v>0.62251655629139069</v>
      </c>
      <c r="U155" s="11">
        <v>14</v>
      </c>
      <c r="V155" s="12">
        <f t="shared" si="1305"/>
        <v>2.9787234042553193E-2</v>
      </c>
      <c r="W155" s="13"/>
      <c r="X155" s="11"/>
      <c r="Y155" s="39"/>
      <c r="Z155" s="43">
        <v>100</v>
      </c>
      <c r="AA155" s="10"/>
      <c r="AB155" s="11"/>
      <c r="AC155" s="69">
        <f t="shared" si="1356"/>
        <v>172</v>
      </c>
      <c r="AD155" s="69">
        <f t="shared" si="1357"/>
        <v>13</v>
      </c>
      <c r="AE155" s="11">
        <v>96</v>
      </c>
      <c r="AF155" s="12">
        <f t="shared" si="1306"/>
        <v>0.56395348837209303</v>
      </c>
      <c r="AG155" s="11">
        <v>1</v>
      </c>
      <c r="AH155" s="12">
        <f t="shared" si="1307"/>
        <v>1.0309278350515464E-2</v>
      </c>
      <c r="AI155" s="13"/>
      <c r="AJ155" s="11"/>
      <c r="AK155" s="39"/>
      <c r="AL155" s="43">
        <v>100</v>
      </c>
      <c r="AM155" s="10"/>
      <c r="AN155" s="11"/>
      <c r="AO155" s="69">
        <f t="shared" si="1358"/>
        <v>771</v>
      </c>
      <c r="AP155" s="69">
        <f t="shared" si="1359"/>
        <v>64</v>
      </c>
      <c r="AQ155" s="11">
        <v>509</v>
      </c>
      <c r="AR155" s="12">
        <f t="shared" si="1308"/>
        <v>0.67574578469520108</v>
      </c>
      <c r="AS155" s="11">
        <v>12</v>
      </c>
      <c r="AT155" s="12">
        <f t="shared" si="1309"/>
        <v>2.3032629558541268E-2</v>
      </c>
      <c r="AU155" s="13"/>
      <c r="AV155" s="11"/>
      <c r="AW155" s="39"/>
      <c r="AX155" s="43">
        <v>100</v>
      </c>
      <c r="AY155" s="10"/>
      <c r="AZ155" s="11"/>
      <c r="BA155" s="69">
        <f t="shared" si="1360"/>
        <v>763</v>
      </c>
      <c r="BB155" s="69">
        <f t="shared" si="1361"/>
        <v>67</v>
      </c>
      <c r="BC155" s="11">
        <v>482</v>
      </c>
      <c r="BD155" s="12">
        <f t="shared" si="1310"/>
        <v>0.65006553079947571</v>
      </c>
      <c r="BE155" s="11">
        <v>14</v>
      </c>
      <c r="BF155" s="12">
        <f t="shared" si="1311"/>
        <v>2.8225806451612902E-2</v>
      </c>
      <c r="BG155" s="13"/>
      <c r="BH155" s="11"/>
      <c r="BI155" s="39"/>
      <c r="BJ155" s="43">
        <v>100</v>
      </c>
      <c r="BK155" s="10"/>
      <c r="BL155" s="11"/>
      <c r="BM155" s="69">
        <f t="shared" si="1362"/>
        <v>827</v>
      </c>
      <c r="BN155" s="69">
        <f t="shared" si="1363"/>
        <v>71</v>
      </c>
      <c r="BO155" s="11">
        <v>554</v>
      </c>
      <c r="BP155" s="12">
        <f t="shared" si="1312"/>
        <v>0.68681983071342201</v>
      </c>
      <c r="BQ155" s="11">
        <v>14</v>
      </c>
      <c r="BR155" s="12">
        <f t="shared" si="1313"/>
        <v>2.464788732394366E-2</v>
      </c>
      <c r="BS155" s="13"/>
      <c r="BT155" s="11"/>
      <c r="BU155" s="39"/>
      <c r="BV155" s="43">
        <v>93.333333333333329</v>
      </c>
      <c r="BW155" s="10"/>
      <c r="BX155" s="11"/>
      <c r="BY155" s="69">
        <f t="shared" si="1364"/>
        <v>752</v>
      </c>
      <c r="BZ155" s="69">
        <f t="shared" si="1365"/>
        <v>63</v>
      </c>
      <c r="CA155" s="11">
        <v>511</v>
      </c>
      <c r="CB155" s="12">
        <f t="shared" si="1314"/>
        <v>0.69015957446808507</v>
      </c>
      <c r="CC155" s="11">
        <v>8</v>
      </c>
      <c r="CD155" s="12">
        <f t="shared" si="1315"/>
        <v>1.5414258188824663E-2</v>
      </c>
      <c r="CE155" s="13"/>
      <c r="CF155" s="11"/>
      <c r="CG155" s="39"/>
      <c r="CH155" s="43">
        <v>100</v>
      </c>
      <c r="CI155" s="10"/>
      <c r="CJ155" s="11"/>
      <c r="CK155" s="69">
        <f t="shared" si="1366"/>
        <v>166</v>
      </c>
      <c r="CL155" s="69">
        <f t="shared" si="1367"/>
        <v>14</v>
      </c>
      <c r="CM155" s="11">
        <v>91</v>
      </c>
      <c r="CN155" s="12">
        <f t="shared" si="1316"/>
        <v>0.57228915662650603</v>
      </c>
      <c r="CO155" s="11">
        <v>4</v>
      </c>
      <c r="CP155" s="12">
        <f t="shared" si="1317"/>
        <v>4.2105263157894736E-2</v>
      </c>
      <c r="CQ155" s="13"/>
      <c r="CR155" s="11"/>
      <c r="CS155" s="39"/>
      <c r="CT155" s="43">
        <v>100</v>
      </c>
      <c r="CU155" s="10"/>
      <c r="CV155" s="11"/>
      <c r="CW155" s="69">
        <f t="shared" si="1368"/>
        <v>744</v>
      </c>
      <c r="CX155" s="69">
        <f t="shared" si="1369"/>
        <v>65</v>
      </c>
      <c r="CY155" s="11">
        <v>499</v>
      </c>
      <c r="CZ155" s="12">
        <f t="shared" si="1318"/>
        <v>0.68010752688172038</v>
      </c>
      <c r="DA155" s="11">
        <v>7</v>
      </c>
      <c r="DB155" s="12">
        <f t="shared" si="1319"/>
        <v>1.383399209486166E-2</v>
      </c>
      <c r="DC155" s="13"/>
      <c r="DD155" s="11"/>
      <c r="DE155" s="39"/>
      <c r="DF155" s="43">
        <v>100</v>
      </c>
      <c r="DG155" s="10"/>
      <c r="DH155" s="11"/>
      <c r="DI155" s="69">
        <f t="shared" si="1370"/>
        <v>752</v>
      </c>
      <c r="DJ155" s="69">
        <f t="shared" si="1371"/>
        <v>66</v>
      </c>
      <c r="DK155" s="11">
        <v>542</v>
      </c>
      <c r="DL155" s="12">
        <f t="shared" si="1320"/>
        <v>0.73936170212765961</v>
      </c>
      <c r="DM155" s="11">
        <v>14</v>
      </c>
      <c r="DN155" s="12">
        <f t="shared" si="1321"/>
        <v>2.5179856115107913E-2</v>
      </c>
      <c r="DO155" s="13"/>
      <c r="DP155" s="11"/>
      <c r="DQ155" s="39"/>
      <c r="DR155" s="43">
        <v>93.333333333333329</v>
      </c>
      <c r="DS155" s="10"/>
      <c r="DT155" s="11"/>
      <c r="DU155" s="69">
        <f t="shared" si="1372"/>
        <v>837</v>
      </c>
      <c r="DV155" s="69">
        <f t="shared" si="1373"/>
        <v>71</v>
      </c>
      <c r="DW155" s="11">
        <v>556</v>
      </c>
      <c r="DX155" s="12">
        <f t="shared" si="1322"/>
        <v>0.68697729988052569</v>
      </c>
      <c r="DY155" s="11">
        <v>19</v>
      </c>
      <c r="DZ155" s="12">
        <f t="shared" si="1323"/>
        <v>3.3043478260869563E-2</v>
      </c>
      <c r="EA155" s="13"/>
      <c r="EB155" s="11"/>
      <c r="EC155" s="39"/>
      <c r="ED155" s="43">
        <v>100</v>
      </c>
      <c r="EE155" s="10"/>
      <c r="EF155" s="11"/>
      <c r="EG155" s="69">
        <f t="shared" si="1374"/>
        <v>849</v>
      </c>
      <c r="EH155" s="69">
        <f t="shared" si="1375"/>
        <v>74</v>
      </c>
      <c r="EI155" s="11">
        <v>523</v>
      </c>
      <c r="EJ155" s="12">
        <f t="shared" si="1324"/>
        <v>0.63839811542991753</v>
      </c>
      <c r="EK155" s="11">
        <v>19</v>
      </c>
      <c r="EL155" s="12">
        <f t="shared" si="1325"/>
        <v>3.5055350553505532E-2</v>
      </c>
      <c r="EM155" s="13"/>
      <c r="EN155" s="11"/>
      <c r="EO155" s="39"/>
      <c r="EP155" s="43">
        <v>100</v>
      </c>
      <c r="EQ155" s="10"/>
      <c r="ER155" s="11"/>
      <c r="ES155" s="69">
        <f t="shared" si="1376"/>
        <v>190</v>
      </c>
      <c r="ET155" s="69">
        <f t="shared" si="1377"/>
        <v>16</v>
      </c>
      <c r="EU155" s="11">
        <v>121</v>
      </c>
      <c r="EV155" s="12">
        <f t="shared" si="1326"/>
        <v>0.65263157894736845</v>
      </c>
      <c r="EW155" s="11">
        <v>3</v>
      </c>
      <c r="EX155" s="12">
        <f t="shared" si="1327"/>
        <v>2.4193548387096774E-2</v>
      </c>
      <c r="EY155" s="13"/>
      <c r="EZ155" s="11"/>
      <c r="FA155" s="39"/>
      <c r="FB155" s="43">
        <v>100</v>
      </c>
      <c r="FC155" s="10"/>
      <c r="FD155" s="11"/>
      <c r="FE155" s="69">
        <f t="shared" si="1378"/>
        <v>861</v>
      </c>
      <c r="FF155" s="69">
        <f t="shared" si="1379"/>
        <v>74</v>
      </c>
      <c r="FG155" s="11">
        <v>578</v>
      </c>
      <c r="FH155" s="12">
        <f t="shared" si="1328"/>
        <v>0.68292682926829273</v>
      </c>
      <c r="FI155" s="11">
        <v>10</v>
      </c>
      <c r="FJ155" s="12">
        <f t="shared" si="1329"/>
        <v>1.7006802721088437E-2</v>
      </c>
      <c r="FK155" s="13"/>
      <c r="FL155" s="11"/>
      <c r="FM155" s="39"/>
      <c r="FN155" s="43">
        <v>100</v>
      </c>
      <c r="FO155" s="10"/>
      <c r="FP155" s="11"/>
      <c r="FQ155" s="69">
        <f t="shared" si="1380"/>
        <v>890</v>
      </c>
      <c r="FR155" s="69">
        <f t="shared" si="1381"/>
        <v>75</v>
      </c>
      <c r="FS155" s="11">
        <v>600</v>
      </c>
      <c r="FT155" s="12">
        <f t="shared" si="1330"/>
        <v>0.68988764044943818</v>
      </c>
      <c r="FU155" s="11">
        <v>14</v>
      </c>
      <c r="FV155" s="12">
        <f t="shared" si="1331"/>
        <v>2.2801302931596091E-2</v>
      </c>
      <c r="FW155" s="13"/>
      <c r="FX155" s="11"/>
      <c r="FY155" s="39"/>
      <c r="FZ155" s="43">
        <v>92.857142857142861</v>
      </c>
      <c r="GA155" s="10"/>
      <c r="GB155" s="11"/>
      <c r="GC155" s="69">
        <f t="shared" si="1382"/>
        <v>887</v>
      </c>
      <c r="GD155" s="69">
        <f t="shared" si="1383"/>
        <v>76</v>
      </c>
      <c r="GE155" s="11">
        <v>555</v>
      </c>
      <c r="GF155" s="12">
        <f t="shared" si="1332"/>
        <v>0.64599774520856823</v>
      </c>
      <c r="GG155" s="11">
        <v>18</v>
      </c>
      <c r="GH155" s="12">
        <f t="shared" si="1333"/>
        <v>3.1413612565445025E-2</v>
      </c>
      <c r="GI155" s="13"/>
      <c r="GJ155" s="11"/>
      <c r="GK155" s="39"/>
      <c r="GL155" s="43">
        <v>100</v>
      </c>
      <c r="GM155" s="10"/>
      <c r="GN155" s="11"/>
      <c r="GO155" s="69">
        <f t="shared" si="1384"/>
        <v>172</v>
      </c>
      <c r="GP155" s="69">
        <f t="shared" si="1385"/>
        <v>17</v>
      </c>
      <c r="GQ155" s="11">
        <v>103</v>
      </c>
      <c r="GR155" s="12">
        <f t="shared" si="1334"/>
        <v>0.61627906976744184</v>
      </c>
      <c r="GS155" s="11">
        <v>3</v>
      </c>
      <c r="GT155" s="12">
        <f t="shared" si="1335"/>
        <v>2.8301886792452831E-2</v>
      </c>
      <c r="GU155" s="13"/>
      <c r="GV155" s="11"/>
      <c r="GW155" s="39"/>
      <c r="GX155" s="43">
        <v>100</v>
      </c>
      <c r="GY155" s="10"/>
      <c r="GZ155" s="11"/>
      <c r="HA155" s="69">
        <f t="shared" si="1386"/>
        <v>906</v>
      </c>
      <c r="HB155" s="69">
        <f t="shared" si="1387"/>
        <v>77</v>
      </c>
      <c r="HC155" s="11">
        <v>590</v>
      </c>
      <c r="HD155" s="12">
        <f t="shared" si="1336"/>
        <v>0.66225165562913912</v>
      </c>
      <c r="HE155" s="11">
        <v>10</v>
      </c>
      <c r="HF155" s="12">
        <f t="shared" si="1337"/>
        <v>1.6666666666666666E-2</v>
      </c>
      <c r="HG155" s="13"/>
      <c r="HH155" s="11"/>
      <c r="HI155" s="39"/>
      <c r="HJ155" s="43">
        <v>100</v>
      </c>
      <c r="HK155" s="10">
        <f t="shared" si="1338"/>
        <v>0</v>
      </c>
      <c r="HL155" s="11">
        <f t="shared" si="1339"/>
        <v>0</v>
      </c>
      <c r="HM155" s="11">
        <f t="shared" si="1340"/>
        <v>12127</v>
      </c>
      <c r="HN155" s="11">
        <f t="shared" si="1341"/>
        <v>1039</v>
      </c>
      <c r="HO155" s="11">
        <f t="shared" si="1342"/>
        <v>8107</v>
      </c>
      <c r="HP155" s="95">
        <f t="shared" si="1343"/>
        <v>0.66850828729281764</v>
      </c>
      <c r="HQ155" s="15">
        <f t="shared" si="1344"/>
        <v>201</v>
      </c>
      <c r="HR155" s="12">
        <f t="shared" si="1345"/>
        <v>2.4793388429752067E-2</v>
      </c>
      <c r="HS155" s="16">
        <v>62.6</v>
      </c>
      <c r="HT155" s="17">
        <v>7730</v>
      </c>
      <c r="HU155" s="16">
        <f t="shared" si="1346"/>
        <v>95.349697792031577</v>
      </c>
      <c r="HV155" s="23"/>
      <c r="HW155" s="22">
        <v>93.777777777777771</v>
      </c>
      <c r="HX155" s="73">
        <f t="shared" si="1347"/>
        <v>0.64996964177292049</v>
      </c>
      <c r="HY155" s="73">
        <f t="shared" si="1348"/>
        <v>0.69237889540265352</v>
      </c>
      <c r="HZ155" s="73">
        <f t="shared" si="1349"/>
        <v>0.66824990865911582</v>
      </c>
      <c r="IA155" s="73">
        <f t="shared" si="1350"/>
        <v>0.66304728546409808</v>
      </c>
      <c r="IF155" s="85">
        <f>IF156/IF157</f>
        <v>2.7247956403269754E-3</v>
      </c>
      <c r="IG155" s="85">
        <f>IG156/IG157</f>
        <v>2.1551724137931034E-3</v>
      </c>
      <c r="IH155" s="85">
        <f>IH156/IH157</f>
        <v>2.1873860736419978E-3</v>
      </c>
      <c r="II155" s="85">
        <f>II156/II157</f>
        <v>2.7942717429269995E-3</v>
      </c>
      <c r="IJ155" s="88" t="s">
        <v>90</v>
      </c>
    </row>
    <row r="156" spans="1:244" ht="19.5" thickBot="1" x14ac:dyDescent="0.3">
      <c r="A156" s="374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3958</v>
      </c>
      <c r="H156" s="28">
        <f>((G156+I156)/7)/E155</f>
        <v>0.69507803121248501</v>
      </c>
      <c r="I156" s="27">
        <f>SUM(I149:I155)</f>
        <v>95</v>
      </c>
      <c r="J156" s="28">
        <f>(I156/(I156+G156))</f>
        <v>2.3439427584505304E-2</v>
      </c>
      <c r="K156" s="27"/>
      <c r="L156" s="27"/>
      <c r="M156" s="29" t="e">
        <f>M154/M153*100-100</f>
        <v>#DIV/0!</v>
      </c>
      <c r="N156" s="67">
        <f>N154/N153*100-100</f>
        <v>5.3872832369942216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3457</v>
      </c>
      <c r="T156" s="28">
        <f>((S156+U156)/7)/Q155</f>
        <v>0.66887417218543044</v>
      </c>
      <c r="U156" s="27">
        <f>SUM(U149:U155)</f>
        <v>78</v>
      </c>
      <c r="V156" s="28">
        <f>(U156/(U156+S156))</f>
        <v>2.2065063649222064E-2</v>
      </c>
      <c r="W156" s="27"/>
      <c r="X156" s="27"/>
      <c r="Y156" s="29" t="e">
        <f>Y154/Y153*100-100</f>
        <v>#DIV/0!</v>
      </c>
      <c r="Z156" s="67">
        <f>Z154/Z153*100-100</f>
        <v>11.725846407927335</v>
      </c>
      <c r="AA156" s="26">
        <f>SUM(AA149:AA155)</f>
        <v>2</v>
      </c>
      <c r="AB156" s="27">
        <f>SUM(AB149:AB155)</f>
        <v>0</v>
      </c>
      <c r="AC156" s="27"/>
      <c r="AD156" s="27"/>
      <c r="AE156" s="27">
        <f>SUM(AE149:AE155)</f>
        <v>801</v>
      </c>
      <c r="AF156" s="28">
        <f>((AE156+AG156)/7)/AC155</f>
        <v>0.68687707641196016</v>
      </c>
      <c r="AG156" s="27">
        <f>SUM(AG149:AG155)</f>
        <v>26</v>
      </c>
      <c r="AH156" s="28">
        <f>(AG156/(AG156+AE156))</f>
        <v>3.143893591293833E-2</v>
      </c>
      <c r="AI156" s="27"/>
      <c r="AJ156" s="27"/>
      <c r="AK156" s="29" t="e">
        <f>AK154/AK153*100-100</f>
        <v>#DIV/0!</v>
      </c>
      <c r="AL156" s="67">
        <f>AL154/AL153*100-100</f>
        <v>-0.28901734104046284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3571</v>
      </c>
      <c r="AR156" s="28">
        <f>((AQ156+AS156)/7)/AO155</f>
        <v>0.67426347971095058</v>
      </c>
      <c r="AS156" s="27">
        <f>SUM(AS149:AS155)</f>
        <v>68</v>
      </c>
      <c r="AT156" s="28">
        <f>(AS156/(AS156+AQ156))</f>
        <v>1.8686452322066501E-2</v>
      </c>
      <c r="AU156" s="27"/>
      <c r="AV156" s="27"/>
      <c r="AW156" s="29" t="e">
        <f>AW154/AW153*100-100</f>
        <v>#DIV/0!</v>
      </c>
      <c r="AX156" s="67">
        <f>AX154/AX153*100-100</f>
        <v>9.5491329479768865</v>
      </c>
      <c r="AY156" s="26">
        <f>SUM(AY149:AY155)</f>
        <v>0</v>
      </c>
      <c r="AZ156" s="27">
        <f>SUM(AZ149:AZ155)</f>
        <v>0</v>
      </c>
      <c r="BA156" s="27"/>
      <c r="BB156" s="27"/>
      <c r="BC156" s="27">
        <f>SUM(BC149:BC155)</f>
        <v>3620</v>
      </c>
      <c r="BD156" s="28">
        <f>((BC156+BE156)/7)/BA155</f>
        <v>0.69443924358734321</v>
      </c>
      <c r="BE156" s="27">
        <f>SUM(BE149:BE155)</f>
        <v>89</v>
      </c>
      <c r="BF156" s="28">
        <f>(BE156/(BE156+BC156))</f>
        <v>2.3995686168778646E-2</v>
      </c>
      <c r="BG156" s="27"/>
      <c r="BH156" s="27"/>
      <c r="BI156" s="29" t="e">
        <f>BI154/BI153*100-100</f>
        <v>#DIV/0!</v>
      </c>
      <c r="BJ156" s="67">
        <f>BJ154/BJ153*100-100</f>
        <v>11.984585741811159</v>
      </c>
      <c r="BK156" s="26">
        <f>SUM(BK149:BK155)</f>
        <v>1</v>
      </c>
      <c r="BL156" s="27">
        <f>SUM(BL149:BL155)</f>
        <v>1</v>
      </c>
      <c r="BM156" s="27"/>
      <c r="BN156" s="27"/>
      <c r="BO156" s="27">
        <f>SUM(BO149:BO155)</f>
        <v>3908</v>
      </c>
      <c r="BP156" s="28">
        <f>((BO156+BQ156)/7)/BM155</f>
        <v>0.69407496977025396</v>
      </c>
      <c r="BQ156" s="27">
        <f>SUM(BQ149:BQ155)</f>
        <v>110</v>
      </c>
      <c r="BR156" s="28">
        <f>(BQ156/(BQ156+BO156))</f>
        <v>2.7376804380288701E-2</v>
      </c>
      <c r="BS156" s="27"/>
      <c r="BT156" s="27"/>
      <c r="BU156" s="29" t="e">
        <f>BU154/BU153*100-100</f>
        <v>#DIV/0!</v>
      </c>
      <c r="BV156" s="67">
        <f>BV154/BV153*100-100</f>
        <v>5.6493256262042451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3446</v>
      </c>
      <c r="CB156" s="28">
        <f>((CA156+CC156)/7)/BY155</f>
        <v>0.67002279635258355</v>
      </c>
      <c r="CC156" s="27">
        <f>SUM(CC149:CC155)</f>
        <v>81</v>
      </c>
      <c r="CD156" s="28">
        <f>(CC156/(CC156+CA156))</f>
        <v>2.2965693223702864E-2</v>
      </c>
      <c r="CE156" s="27"/>
      <c r="CF156" s="27"/>
      <c r="CG156" s="29" t="e">
        <f>CG154/CG153*100-100</f>
        <v>#DIV/0!</v>
      </c>
      <c r="CH156" s="67">
        <f>CH154/CH153*100-100</f>
        <v>7.5416524991499472</v>
      </c>
      <c r="CI156" s="26">
        <f>SUM(CI149:CI155)</f>
        <v>2</v>
      </c>
      <c r="CJ156" s="27">
        <f>SUM(CJ149:CJ155)</f>
        <v>0</v>
      </c>
      <c r="CK156" s="27"/>
      <c r="CL156" s="27"/>
      <c r="CM156" s="27">
        <f>SUM(CM149:CM155)</f>
        <v>695</v>
      </c>
      <c r="CN156" s="28">
        <f>((CM156+CO156)/7)/CK155</f>
        <v>0.61531841652323582</v>
      </c>
      <c r="CO156" s="27">
        <f>SUM(CO149:CO155)</f>
        <v>20</v>
      </c>
      <c r="CP156" s="28">
        <f>(CO156/(CO156+CM156))</f>
        <v>2.7972027972027972E-2</v>
      </c>
      <c r="CQ156" s="27"/>
      <c r="CR156" s="27"/>
      <c r="CS156" s="29" t="e">
        <f>CS154/CS153*100-100</f>
        <v>#DIV/0!</v>
      </c>
      <c r="CT156" s="67">
        <f>CT154/CT153*100-100</f>
        <v>1.2716763005780223</v>
      </c>
      <c r="CU156" s="26">
        <f>SUM(CU149:CU155)</f>
        <v>3</v>
      </c>
      <c r="CV156" s="27">
        <f>SUM(CV149:CV155)</f>
        <v>0</v>
      </c>
      <c r="CW156" s="27"/>
      <c r="CX156" s="27"/>
      <c r="CY156" s="27">
        <f>SUM(CY149:CY155)</f>
        <v>3424</v>
      </c>
      <c r="CZ156" s="28">
        <f>((CY156+DA156)/7)/CW155</f>
        <v>0.66762672811059909</v>
      </c>
      <c r="DA156" s="27">
        <f>SUM(DA149:DA155)</f>
        <v>53</v>
      </c>
      <c r="DB156" s="28">
        <f>(DA156/(DA156+CY156))</f>
        <v>1.5243025596778832E-2</v>
      </c>
      <c r="DC156" s="27"/>
      <c r="DD156" s="27"/>
      <c r="DE156" s="29" t="e">
        <f>DE154/DE153*100-100</f>
        <v>#DIV/0!</v>
      </c>
      <c r="DF156" s="67">
        <f>DF154/DF153*100-100</f>
        <v>11.343930635838134</v>
      </c>
      <c r="DG156" s="26">
        <f>SUM(DG149:DG155)</f>
        <v>1</v>
      </c>
      <c r="DH156" s="27">
        <f>SUM(DH149:DH155)</f>
        <v>0</v>
      </c>
      <c r="DI156" s="27"/>
      <c r="DJ156" s="27"/>
      <c r="DK156" s="27">
        <f>SUM(DK149:DK155)</f>
        <v>3715</v>
      </c>
      <c r="DL156" s="28">
        <f>((DK156+DM156)/7)/DI155</f>
        <v>0.72131458966565354</v>
      </c>
      <c r="DM156" s="27">
        <f>SUM(DM149:DM155)</f>
        <v>82</v>
      </c>
      <c r="DN156" s="28">
        <f>(DM156/(DM156+DK156))</f>
        <v>2.1595996839610217E-2</v>
      </c>
      <c r="DO156" s="27"/>
      <c r="DP156" s="27"/>
      <c r="DQ156" s="29" t="e">
        <f>DQ154/DQ153*100-100</f>
        <v>#DIV/0!</v>
      </c>
      <c r="DR156" s="67">
        <f>DR154/DR153*100-100</f>
        <v>10.566473988439313</v>
      </c>
      <c r="DS156" s="26">
        <f>SUM(DS149:DS155)</f>
        <v>2</v>
      </c>
      <c r="DT156" s="27">
        <f>SUM(DT149:DT155)</f>
        <v>0</v>
      </c>
      <c r="DU156" s="27"/>
      <c r="DV156" s="27"/>
      <c r="DW156" s="27">
        <f>SUM(DW149:DW155)</f>
        <v>3996</v>
      </c>
      <c r="DX156" s="28">
        <f>((DW156+DY156)/7)/DU155</f>
        <v>0.70558115719406045</v>
      </c>
      <c r="DY156" s="27">
        <f>SUM(DY149:DY155)</f>
        <v>138</v>
      </c>
      <c r="DZ156" s="28">
        <f>(DY156/(DY156+DW156))</f>
        <v>3.3381712626995644E-2</v>
      </c>
      <c r="EA156" s="27"/>
      <c r="EB156" s="27"/>
      <c r="EC156" s="29" t="e">
        <f>EC154/EC153*100-100</f>
        <v>#DIV/0!</v>
      </c>
      <c r="ED156" s="67">
        <f>ED154/ED153*100-100</f>
        <v>3.1213872832369844</v>
      </c>
      <c r="EE156" s="26">
        <f>SUM(EE149:EE155)</f>
        <v>2</v>
      </c>
      <c r="EF156" s="27">
        <f>SUM(EF149:EF155)</f>
        <v>0</v>
      </c>
      <c r="EG156" s="27"/>
      <c r="EH156" s="27"/>
      <c r="EI156" s="27">
        <f>SUM(EI149:EI155)</f>
        <v>3899</v>
      </c>
      <c r="EJ156" s="28">
        <f>((EI156+EK156)/7)/EG155</f>
        <v>0.67743563856638056</v>
      </c>
      <c r="EK156" s="27">
        <f>SUM(EK149:EK155)</f>
        <v>127</v>
      </c>
      <c r="EL156" s="28">
        <f>(EK156/(EK156+EI156))</f>
        <v>3.1544957774465969E-2</v>
      </c>
      <c r="EM156" s="27"/>
      <c r="EN156" s="27"/>
      <c r="EO156" s="29" t="e">
        <f>EO154/EO153*100-100</f>
        <v>#DIV/0!</v>
      </c>
      <c r="EP156" s="67">
        <f>EP154/EP153*100-100</f>
        <v>8.2080924855491162</v>
      </c>
      <c r="EQ156" s="26">
        <f>SUM(EQ149:EQ155)</f>
        <v>1</v>
      </c>
      <c r="ER156" s="27">
        <f>SUM(ER149:ER155)</f>
        <v>0</v>
      </c>
      <c r="ES156" s="27"/>
      <c r="ET156" s="27"/>
      <c r="EU156" s="27">
        <f>SUM(EU149:EU155)</f>
        <v>866</v>
      </c>
      <c r="EV156" s="28">
        <f>((EU156+EW156)/7)/ES155</f>
        <v>0.67819548872180457</v>
      </c>
      <c r="EW156" s="27">
        <f>SUM(EW149:EW155)</f>
        <v>36</v>
      </c>
      <c r="EX156" s="28">
        <f>(EW156/(EW156+EU156))</f>
        <v>3.9911308203991129E-2</v>
      </c>
      <c r="EY156" s="27"/>
      <c r="EZ156" s="27"/>
      <c r="FA156" s="29" t="e">
        <f>FA154/FA153*100-100</f>
        <v>#DIV/0!</v>
      </c>
      <c r="FB156" s="67">
        <f>FB154/FB153*100-100</f>
        <v>-0.11560693641618514</v>
      </c>
      <c r="FC156" s="26">
        <f>SUM(FC149:FC155)</f>
        <v>1</v>
      </c>
      <c r="FD156" s="27">
        <f>SUM(FD149:FD155)</f>
        <v>1</v>
      </c>
      <c r="FE156" s="27"/>
      <c r="FF156" s="27"/>
      <c r="FG156" s="27">
        <f>SUM(FG149:FG155)</f>
        <v>4167</v>
      </c>
      <c r="FH156" s="28">
        <f>((FG156+FI156)/7)/FE155</f>
        <v>0.70333499253359877</v>
      </c>
      <c r="FI156" s="27">
        <f>SUM(FI149:FI155)</f>
        <v>72</v>
      </c>
      <c r="FJ156" s="28">
        <f>(FI156/(FI156+FG156))</f>
        <v>1.6985138004246284E-2</v>
      </c>
      <c r="FK156" s="27"/>
      <c r="FL156" s="27"/>
      <c r="FM156" s="29" t="e">
        <f>FM154/FM153*100-100</f>
        <v>#DIV/0!</v>
      </c>
      <c r="FN156" s="67">
        <f>FN154/FN153*100-100</f>
        <v>11.184971098265905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4144</v>
      </c>
      <c r="FT156" s="28">
        <f>((FS156+FU156)/7)/FQ155</f>
        <v>0.68651685393258421</v>
      </c>
      <c r="FU156" s="27">
        <f>SUM(FU149:FU155)</f>
        <v>133</v>
      </c>
      <c r="FV156" s="28">
        <f>(FU156/(FU156+FS156))</f>
        <v>3.1096563011456628E-2</v>
      </c>
      <c r="FW156" s="27"/>
      <c r="FX156" s="27"/>
      <c r="FY156" s="29" t="e">
        <f>FY154/FY153*100-100</f>
        <v>#DIV/0!</v>
      </c>
      <c r="FZ156" s="67">
        <f>FZ154/FZ153*100-100</f>
        <v>4.9215524360033243</v>
      </c>
      <c r="GA156" s="26">
        <f>SUM(GA149:GA155)</f>
        <v>3</v>
      </c>
      <c r="GB156" s="27">
        <f>SUM(GB149:GB155)</f>
        <v>0</v>
      </c>
      <c r="GC156" s="27"/>
      <c r="GD156" s="27"/>
      <c r="GE156" s="27">
        <f>SUM(GE149:GE155)</f>
        <v>3985</v>
      </c>
      <c r="GF156" s="28">
        <f>((GE156+GG156)/7)/GC155</f>
        <v>0.66097600257690459</v>
      </c>
      <c r="GG156" s="27">
        <f>SUM(GG149:GG155)</f>
        <v>119</v>
      </c>
      <c r="GH156" s="28">
        <f>(GG156/(GG156+GE156))</f>
        <v>2.8996101364522416E-2</v>
      </c>
      <c r="GI156" s="27"/>
      <c r="GJ156" s="27"/>
      <c r="GK156" s="29" t="e">
        <f>GK154/GK153*100-100</f>
        <v>#DIV/0!</v>
      </c>
      <c r="GL156" s="67">
        <f>GL154/GL153*100-100</f>
        <v>8.916184971098275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769</v>
      </c>
      <c r="GR156" s="28">
        <f>((GQ156+GS156)/7)/GO155</f>
        <v>0.66279069767441856</v>
      </c>
      <c r="GS156" s="27">
        <f>SUM(GS149:GS155)</f>
        <v>29</v>
      </c>
      <c r="GT156" s="28">
        <f>(GS156/(GS156+GQ156))</f>
        <v>3.6340852130325813E-2</v>
      </c>
      <c r="GU156" s="27"/>
      <c r="GV156" s="27"/>
      <c r="GW156" s="29" t="e">
        <f>GW154/GW153*100-100</f>
        <v>#DIV/0!</v>
      </c>
      <c r="GX156" s="67">
        <f>GX154/GX153*100-100</f>
        <v>-0.46242774566474054</v>
      </c>
      <c r="GY156" s="26">
        <f>SUM(GY149:GY155)</f>
        <v>1</v>
      </c>
      <c r="GZ156" s="27">
        <f>SUM(GZ149:GZ155)</f>
        <v>0</v>
      </c>
      <c r="HA156" s="27"/>
      <c r="HB156" s="27"/>
      <c r="HC156" s="27">
        <f>SUM(HC149:HC155)</f>
        <v>4229</v>
      </c>
      <c r="HD156" s="28">
        <f>((HC156+HE156)/7)/HA155</f>
        <v>0.68274992116051714</v>
      </c>
      <c r="HE156" s="27">
        <f>SUM(HE149:HE155)</f>
        <v>101</v>
      </c>
      <c r="HF156" s="28">
        <f>(HE156/(HE156+HC156))</f>
        <v>2.3325635103926098E-2</v>
      </c>
      <c r="HG156" s="27"/>
      <c r="HH156" s="27"/>
      <c r="HI156" s="29" t="e">
        <f>HI154/HI153*100-100</f>
        <v>#DIV/0!</v>
      </c>
      <c r="HJ156" s="67">
        <f>HJ154/HJ153*100-100</f>
        <v>7.3252758801891815</v>
      </c>
      <c r="HK156" s="26">
        <f t="shared" si="1338"/>
        <v>30</v>
      </c>
      <c r="HL156" s="27">
        <f t="shared" si="1339"/>
        <v>2</v>
      </c>
      <c r="HM156" s="27">
        <f t="shared" si="1340"/>
        <v>0</v>
      </c>
      <c r="HN156" s="27">
        <f t="shared" si="1341"/>
        <v>0</v>
      </c>
      <c r="HO156" s="27">
        <f t="shared" si="1342"/>
        <v>58107</v>
      </c>
      <c r="HP156" s="96">
        <f>+((HO156)/HM155)/7</f>
        <v>0.68450564855281593</v>
      </c>
      <c r="HQ156" s="62">
        <f t="shared" si="1344"/>
        <v>1457</v>
      </c>
      <c r="HR156" s="52">
        <f t="shared" si="1345"/>
        <v>2.5074431651952434E-2</v>
      </c>
      <c r="HS156" s="53">
        <f>SUM(HS149:HS155)/7</f>
        <v>63.357142857142854</v>
      </c>
      <c r="HT156" s="54">
        <f>SUM(HT149:HT155)</f>
        <v>55459</v>
      </c>
      <c r="HU156" s="53">
        <f>AVERAGE(HU149:HU155)</f>
        <v>95.442480875829943</v>
      </c>
      <c r="HV156" s="63" t="e">
        <f>HV154/HV153*100-100</f>
        <v>#DIV/0!</v>
      </c>
      <c r="HW156" s="67">
        <f>HW154/HW153*100-100</f>
        <v>7.773410404624272</v>
      </c>
      <c r="HX156" s="73">
        <f>SUM(G156,I156,S156,U156,AE156,AG156,AQ156,AS156,BC156,BE156)/7/SUM(E155,Q155,AC155,AO155,BA155)</f>
        <v>0.68362390493538028</v>
      </c>
      <c r="HY156" s="73">
        <f>SUM(BO156,BQ156,CA156,CC156,CM156,CO156,CY156,DA156,DK156,DM156)/7/SUM(BM155,BY155,CK155,CW155,DI155)</f>
        <v>0.68470930488826209</v>
      </c>
      <c r="HZ156" s="73">
        <f>SUM(DW156,DY156,EI156,EK156,EU156,EW156,FG156,FI156)/7/SUM(DU155,EG155,ES155,FE155)</f>
        <v>0.69424291455712717</v>
      </c>
      <c r="IA156" s="73">
        <f>SUM(FS156,FU156,GE156,GG156,GQ156,GS156,HC156,HE156)/7/SUM(FQ155,GC155,GO155,HA155)</f>
        <v>0.67595696772579439</v>
      </c>
      <c r="IB156" s="84">
        <f>SUM(I156,U156,AG156,AS156,BE156)/SUM(G156,I156,S156,U156,AE156,AG156,AQ156,AS156,BC156,BE156)</f>
        <v>2.2584533401002346E-2</v>
      </c>
      <c r="IC156" s="84">
        <f>SUM(BQ156,CC156,CO156,DA156,DM156)/SUM(BO156,BQ156,CA156,CC156,CM156,CO156,CY156,DA156,DK156,DM156)</f>
        <v>2.2273722157847304E-2</v>
      </c>
      <c r="ID156" s="84">
        <f>SUM(DY156,EK156,EW156,FI156)/SUM(DW156,DY156,EI156,EK156,EU156,EW156,FG156,FI156)</f>
        <v>2.8043004285392074E-2</v>
      </c>
      <c r="IE156" s="84">
        <f>SUM(FU156,GG156,GS156,HE156)/SUM(FS156,FU156,GE156,GG156,GQ156,GS156,HC156,HE156)</f>
        <v>2.8277444666518617E-2</v>
      </c>
      <c r="IF156" s="86">
        <f>SUM(C156,O156,AA156,AM156,AY156)</f>
        <v>9</v>
      </c>
      <c r="IG156" s="86">
        <f>SUM(BK156,BW156,CI156,CU156,DG156)</f>
        <v>7</v>
      </c>
      <c r="IH156" s="86">
        <f>SUM(DS156,EE156,EQ156,FC156)</f>
        <v>6</v>
      </c>
      <c r="II156" s="86">
        <f>SUM(FO156,GA156,GM156,GY156)</f>
        <v>8</v>
      </c>
      <c r="IJ156" s="88" t="s">
        <v>89</v>
      </c>
    </row>
    <row r="157" spans="1:244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HK156/HM149</f>
        <v>2.4683231857824586E-3</v>
      </c>
      <c r="HL157" s="66">
        <f>HL156/HN149</f>
        <v>1.9212295869356388E-3</v>
      </c>
      <c r="HM157" s="45"/>
      <c r="HN157" s="45"/>
      <c r="HO157" s="45"/>
      <c r="HP157" s="98"/>
      <c r="HQ157" s="45"/>
      <c r="HR157" s="45"/>
      <c r="HS157" s="45"/>
      <c r="HT157" s="55"/>
      <c r="HU157" s="45"/>
      <c r="HV157" s="45"/>
      <c r="HW157" s="46"/>
      <c r="HY157" s="72"/>
      <c r="HZ157" s="72"/>
      <c r="IA157" s="72"/>
      <c r="IF157" s="86">
        <f>SUM(E146,Q146,AC146,AO146,BA146)</f>
        <v>3303</v>
      </c>
      <c r="IG157" s="86">
        <f>SUM(BM146,BY146,CK146,CW146,DI146)</f>
        <v>3248</v>
      </c>
      <c r="IH157" s="86">
        <f>SUM(DU146,EG146,ES146,FE146)</f>
        <v>2743</v>
      </c>
      <c r="II157" s="86">
        <f>SUM(FQ146,GC146,GO146,HA146)</f>
        <v>2863</v>
      </c>
      <c r="IJ157" s="88" t="s">
        <v>84</v>
      </c>
    </row>
    <row r="158" spans="1:244" x14ac:dyDescent="0.25">
      <c r="A158" s="373">
        <v>42</v>
      </c>
      <c r="B158" s="68">
        <f>B155+1</f>
        <v>45060</v>
      </c>
      <c r="C158" s="33">
        <v>1</v>
      </c>
      <c r="D158" s="34"/>
      <c r="E158" s="34">
        <f>E155-C158</f>
        <v>832</v>
      </c>
      <c r="F158" s="34">
        <f>F155-D158</f>
        <v>72</v>
      </c>
      <c r="G158" s="34">
        <v>545</v>
      </c>
      <c r="H158" s="35">
        <f t="shared" ref="H158:H164" si="1388">((G158+I158)/E158)</f>
        <v>0.67427884615384615</v>
      </c>
      <c r="I158" s="34">
        <v>16</v>
      </c>
      <c r="J158" s="35">
        <f t="shared" ref="J158:J164" si="1389">I158/(G158+I158)</f>
        <v>2.8520499108734401E-2</v>
      </c>
      <c r="K158" s="36"/>
      <c r="L158" s="34"/>
      <c r="M158" s="34"/>
      <c r="N158" s="37"/>
      <c r="O158" s="33"/>
      <c r="P158" s="34"/>
      <c r="Q158" s="34">
        <f>Q155-O158</f>
        <v>755</v>
      </c>
      <c r="R158" s="34">
        <f>R155-P158</f>
        <v>64</v>
      </c>
      <c r="S158" s="34">
        <v>513</v>
      </c>
      <c r="T158" s="35">
        <f t="shared" ref="T158:T164" si="1390">((S158+U158)/Q158)</f>
        <v>0.69006622516556293</v>
      </c>
      <c r="U158" s="34">
        <v>8</v>
      </c>
      <c r="V158" s="35">
        <f t="shared" ref="V158:V164" si="1391">U158/(S158+U158)</f>
        <v>1.5355086372360844E-2</v>
      </c>
      <c r="W158" s="36"/>
      <c r="X158" s="34"/>
      <c r="Y158" s="34"/>
      <c r="Z158" s="37"/>
      <c r="AA158" s="33"/>
      <c r="AB158" s="34"/>
      <c r="AC158" s="34">
        <f>AC155-AA158</f>
        <v>172</v>
      </c>
      <c r="AD158" s="34">
        <f>AD155-AB158</f>
        <v>13</v>
      </c>
      <c r="AE158" s="34">
        <v>101</v>
      </c>
      <c r="AF158" s="35">
        <f t="shared" ref="AF158:AF164" si="1392">((AE158+AG158)/AC158)</f>
        <v>0.61627906976744184</v>
      </c>
      <c r="AG158" s="34">
        <v>5</v>
      </c>
      <c r="AH158" s="35">
        <f t="shared" ref="AH158:AH164" si="1393">AG158/(AE158+AG158)</f>
        <v>4.716981132075472E-2</v>
      </c>
      <c r="AI158" s="36"/>
      <c r="AJ158" s="34"/>
      <c r="AK158" s="34"/>
      <c r="AL158" s="37"/>
      <c r="AM158" s="33"/>
      <c r="AN158" s="34"/>
      <c r="AO158" s="34">
        <f>AO155-AM158</f>
        <v>771</v>
      </c>
      <c r="AP158" s="34">
        <f>AP155-AN158</f>
        <v>64</v>
      </c>
      <c r="AQ158" s="34">
        <v>510</v>
      </c>
      <c r="AR158" s="35">
        <f t="shared" ref="AR158:AR164" si="1394">((AQ158+AS158)/AO158)</f>
        <v>0.68093385214007784</v>
      </c>
      <c r="AS158" s="34">
        <v>15</v>
      </c>
      <c r="AT158" s="35">
        <f t="shared" ref="AT158:AT164" si="1395">AS158/(AQ158+AS158)</f>
        <v>2.8571428571428571E-2</v>
      </c>
      <c r="AU158" s="36"/>
      <c r="AV158" s="34"/>
      <c r="AW158" s="34"/>
      <c r="AX158" s="37"/>
      <c r="AY158" s="33"/>
      <c r="AZ158" s="34"/>
      <c r="BA158" s="34">
        <f>BA155-AY158</f>
        <v>763</v>
      </c>
      <c r="BB158" s="34">
        <f>BB155-AZ158</f>
        <v>67</v>
      </c>
      <c r="BC158" s="34">
        <v>546</v>
      </c>
      <c r="BD158" s="35">
        <f t="shared" ref="BD158:BD164" si="1396">((BC158+BE158)/BA158)</f>
        <v>0.73394495412844041</v>
      </c>
      <c r="BE158" s="34">
        <v>14</v>
      </c>
      <c r="BF158" s="35">
        <f t="shared" ref="BF158:BF164" si="1397">BE158/(BC158+BE158)</f>
        <v>2.5000000000000001E-2</v>
      </c>
      <c r="BG158" s="36"/>
      <c r="BH158" s="34"/>
      <c r="BI158" s="34"/>
      <c r="BJ158" s="37"/>
      <c r="BK158" s="33"/>
      <c r="BL158" s="34"/>
      <c r="BM158" s="34">
        <f>BM155-BK158</f>
        <v>827</v>
      </c>
      <c r="BN158" s="34">
        <f>BN155-BL158</f>
        <v>71</v>
      </c>
      <c r="BO158" s="34">
        <v>572</v>
      </c>
      <c r="BP158" s="35">
        <f t="shared" ref="BP158:BP164" si="1398">((BO158+BQ158)/BM158)</f>
        <v>0.71342200725513905</v>
      </c>
      <c r="BQ158" s="34">
        <v>18</v>
      </c>
      <c r="BR158" s="35">
        <f t="shared" ref="BR158:BR164" si="1399">BQ158/(BO158+BQ158)</f>
        <v>3.0508474576271188E-2</v>
      </c>
      <c r="BS158" s="36"/>
      <c r="BT158" s="34"/>
      <c r="BU158" s="34"/>
      <c r="BV158" s="37"/>
      <c r="BW158" s="33"/>
      <c r="BX158" s="34">
        <v>1</v>
      </c>
      <c r="BY158" s="34">
        <f>BY155-BW158</f>
        <v>752</v>
      </c>
      <c r="BZ158" s="34">
        <f>BZ155-BX158</f>
        <v>62</v>
      </c>
      <c r="CA158" s="34">
        <v>489</v>
      </c>
      <c r="CB158" s="35">
        <f t="shared" ref="CB158:CB164" si="1400">((CA158+CC158)/BY158)</f>
        <v>0.66622340425531912</v>
      </c>
      <c r="CC158" s="34">
        <v>12</v>
      </c>
      <c r="CD158" s="35">
        <f t="shared" ref="CD158:CD164" si="1401">CC158/(CA158+CC158)</f>
        <v>2.3952095808383235E-2</v>
      </c>
      <c r="CE158" s="36"/>
      <c r="CF158" s="34"/>
      <c r="CG158" s="34"/>
      <c r="CH158" s="37"/>
      <c r="CI158" s="33">
        <v>2</v>
      </c>
      <c r="CJ158" s="34"/>
      <c r="CK158" s="34">
        <f>CK155-CI158</f>
        <v>164</v>
      </c>
      <c r="CL158" s="34">
        <f>CL155-CJ158</f>
        <v>14</v>
      </c>
      <c r="CM158" s="34">
        <v>97</v>
      </c>
      <c r="CN158" s="35">
        <f t="shared" ref="CN158:CN164" si="1402">((CM158+CO158)/CK158)</f>
        <v>0.60365853658536583</v>
      </c>
      <c r="CO158" s="34">
        <v>2</v>
      </c>
      <c r="CP158" s="35">
        <f t="shared" ref="CP158:CP164" si="1403">CO158/(CM158+CO158)</f>
        <v>2.0202020202020204E-2</v>
      </c>
      <c r="CQ158" s="36"/>
      <c r="CR158" s="34"/>
      <c r="CS158" s="34"/>
      <c r="CT158" s="37"/>
      <c r="CU158" s="33">
        <v>1</v>
      </c>
      <c r="CV158" s="34"/>
      <c r="CW158" s="34">
        <f>CW155-CU158</f>
        <v>743</v>
      </c>
      <c r="CX158" s="34">
        <f>CX155-CV158</f>
        <v>65</v>
      </c>
      <c r="CY158" s="34">
        <v>464</v>
      </c>
      <c r="CZ158" s="35">
        <f t="shared" ref="CZ158:CZ164" si="1404">((CY158+DA158)/CW158)</f>
        <v>0.63795423956931363</v>
      </c>
      <c r="DA158" s="34">
        <v>10</v>
      </c>
      <c r="DB158" s="35">
        <f t="shared" ref="DB158:DB164" si="1405">DA158/(CY158+DA158)</f>
        <v>2.1097046413502109E-2</v>
      </c>
      <c r="DC158" s="36"/>
      <c r="DD158" s="34"/>
      <c r="DE158" s="34"/>
      <c r="DF158" s="37"/>
      <c r="DG158" s="33"/>
      <c r="DH158" s="34"/>
      <c r="DI158" s="34">
        <f>DI155-DG158</f>
        <v>752</v>
      </c>
      <c r="DJ158" s="34">
        <f>DJ155-DH158</f>
        <v>66</v>
      </c>
      <c r="DK158" s="34">
        <v>515</v>
      </c>
      <c r="DL158" s="35">
        <f t="shared" ref="DL158:DL164" si="1406">((DK158+DM158)/DI158)</f>
        <v>0.70345744680851063</v>
      </c>
      <c r="DM158" s="34">
        <v>14</v>
      </c>
      <c r="DN158" s="35">
        <f t="shared" ref="DN158:DN164" si="1407">DM158/(DK158+DM158)</f>
        <v>2.6465028355387523E-2</v>
      </c>
      <c r="DO158" s="36"/>
      <c r="DP158" s="34"/>
      <c r="DQ158" s="34"/>
      <c r="DR158" s="37"/>
      <c r="DS158" s="33"/>
      <c r="DT158" s="34"/>
      <c r="DU158" s="34">
        <f>DU155-DS158</f>
        <v>837</v>
      </c>
      <c r="DV158" s="34">
        <f>DV155-DT158</f>
        <v>71</v>
      </c>
      <c r="DW158" s="34">
        <v>550</v>
      </c>
      <c r="DX158" s="35">
        <f t="shared" ref="DX158:DX164" si="1408">((DW158+DY158)/DU158)</f>
        <v>0.67622461170848269</v>
      </c>
      <c r="DY158" s="34">
        <v>16</v>
      </c>
      <c r="DZ158" s="35">
        <f t="shared" ref="DZ158:DZ164" si="1409">DY158/(DW158+DY158)</f>
        <v>2.8268551236749116E-2</v>
      </c>
      <c r="EA158" s="36"/>
      <c r="EB158" s="34"/>
      <c r="EC158" s="34"/>
      <c r="ED158" s="37"/>
      <c r="EE158" s="33">
        <v>2</v>
      </c>
      <c r="EF158" s="34"/>
      <c r="EG158" s="34">
        <f>EG155-EE158</f>
        <v>847</v>
      </c>
      <c r="EH158" s="34">
        <f>EH155-EF158</f>
        <v>74</v>
      </c>
      <c r="EI158" s="34">
        <v>569</v>
      </c>
      <c r="EJ158" s="35">
        <f t="shared" ref="EJ158:EJ164" si="1410">((EI158+EK158)/EG158)</f>
        <v>0.69539551357733176</v>
      </c>
      <c r="EK158" s="34">
        <v>20</v>
      </c>
      <c r="EL158" s="35">
        <f t="shared" ref="EL158:EL164" si="1411">EK158/(EI158+EK158)</f>
        <v>3.3955857385398983E-2</v>
      </c>
      <c r="EM158" s="36"/>
      <c r="EN158" s="34"/>
      <c r="EO158" s="34"/>
      <c r="EP158" s="37"/>
      <c r="EQ158" s="33"/>
      <c r="ER158" s="34"/>
      <c r="ES158" s="34">
        <f>ES155-EQ158</f>
        <v>190</v>
      </c>
      <c r="ET158" s="34">
        <f>ET155-ER158</f>
        <v>16</v>
      </c>
      <c r="EU158" s="34">
        <v>108</v>
      </c>
      <c r="EV158" s="35">
        <f t="shared" ref="EV158:EV164" si="1412">((EU158+EW158)/ES158)</f>
        <v>0.6</v>
      </c>
      <c r="EW158" s="34">
        <v>6</v>
      </c>
      <c r="EX158" s="35">
        <f t="shared" ref="EX158:EX164" si="1413">EW158/(EU158+EW158)</f>
        <v>5.2631578947368418E-2</v>
      </c>
      <c r="EY158" s="36"/>
      <c r="EZ158" s="34"/>
      <c r="FA158" s="34"/>
      <c r="FB158" s="37"/>
      <c r="FC158" s="33"/>
      <c r="FD158" s="34"/>
      <c r="FE158" s="34">
        <f>FE155-FC158</f>
        <v>861</v>
      </c>
      <c r="FF158" s="34">
        <f>FF155-FD158</f>
        <v>74</v>
      </c>
      <c r="FG158" s="34">
        <v>575</v>
      </c>
      <c r="FH158" s="35">
        <f t="shared" ref="FH158:FH164" si="1414">((FG158+FI158)/FE158)</f>
        <v>0.68408826945412315</v>
      </c>
      <c r="FI158" s="34">
        <v>14</v>
      </c>
      <c r="FJ158" s="35">
        <f t="shared" ref="FJ158:FJ164" si="1415">FI158/(FG158+FI158)</f>
        <v>2.3769100169779286E-2</v>
      </c>
      <c r="FK158" s="36"/>
      <c r="FL158" s="34"/>
      <c r="FM158" s="34"/>
      <c r="FN158" s="37"/>
      <c r="FO158" s="33"/>
      <c r="FP158" s="34"/>
      <c r="FQ158" s="34">
        <f>FQ155-FO158</f>
        <v>890</v>
      </c>
      <c r="FR158" s="34">
        <f>FR155-FP158</f>
        <v>75</v>
      </c>
      <c r="FS158" s="34">
        <v>572</v>
      </c>
      <c r="FT158" s="35">
        <f t="shared" ref="FT158:FT164" si="1416">((FS158+FU158)/FQ158)</f>
        <v>0.65842696629213482</v>
      </c>
      <c r="FU158" s="34">
        <v>14</v>
      </c>
      <c r="FV158" s="35">
        <f t="shared" ref="FV158:FV164" si="1417">FU158/(FS158+FU158)</f>
        <v>2.3890784982935155E-2</v>
      </c>
      <c r="FW158" s="36"/>
      <c r="FX158" s="34"/>
      <c r="FY158" s="34"/>
      <c r="FZ158" s="37"/>
      <c r="GA158" s="33"/>
      <c r="GB158" s="34"/>
      <c r="GC158" s="34">
        <f>GC155-GA158</f>
        <v>887</v>
      </c>
      <c r="GD158" s="34">
        <f>GD155-GB158</f>
        <v>76</v>
      </c>
      <c r="GE158" s="34">
        <v>565</v>
      </c>
      <c r="GF158" s="35">
        <f t="shared" ref="GF158:GF164" si="1418">((GE158+GG158)/GC158)</f>
        <v>0.65388951521984218</v>
      </c>
      <c r="GG158" s="34">
        <v>15</v>
      </c>
      <c r="GH158" s="35">
        <f t="shared" ref="GH158:GH164" si="1419">GG158/(GE158+GG158)</f>
        <v>2.5862068965517241E-2</v>
      </c>
      <c r="GI158" s="36"/>
      <c r="GJ158" s="34"/>
      <c r="GK158" s="34"/>
      <c r="GL158" s="37"/>
      <c r="GM158" s="33">
        <v>1</v>
      </c>
      <c r="GN158" s="34"/>
      <c r="GO158" s="34">
        <f>GO155-GM158</f>
        <v>171</v>
      </c>
      <c r="GP158" s="34">
        <f>GP155-GN158</f>
        <v>17</v>
      </c>
      <c r="GQ158" s="34">
        <v>117</v>
      </c>
      <c r="GR158" s="35">
        <f t="shared" ref="GR158:GR164" si="1420">((GQ158+GS158)/GO158)</f>
        <v>0.6900584795321637</v>
      </c>
      <c r="GS158" s="34">
        <v>1</v>
      </c>
      <c r="GT158" s="35">
        <f t="shared" ref="GT158:GT164" si="1421">GS158/(GQ158+GS158)</f>
        <v>8.4745762711864406E-3</v>
      </c>
      <c r="GU158" s="36"/>
      <c r="GV158" s="34"/>
      <c r="GW158" s="34"/>
      <c r="GX158" s="37"/>
      <c r="GY158" s="33"/>
      <c r="GZ158" s="34"/>
      <c r="HA158" s="34">
        <f>HA155-GY158</f>
        <v>906</v>
      </c>
      <c r="HB158" s="34">
        <f>HB155-GZ158</f>
        <v>77</v>
      </c>
      <c r="HC158" s="34">
        <v>597</v>
      </c>
      <c r="HD158" s="35">
        <f t="shared" ref="HD158:HD164" si="1422">((HC158+HE158)/HA158)</f>
        <v>0.67218543046357615</v>
      </c>
      <c r="HE158" s="34">
        <v>12</v>
      </c>
      <c r="HF158" s="35">
        <f t="shared" ref="HF158:HF164" si="1423">HE158/(HC158+HE158)</f>
        <v>1.9704433497536946E-2</v>
      </c>
      <c r="HG158" s="36"/>
      <c r="HH158" s="34"/>
      <c r="HI158" s="34"/>
      <c r="HJ158" s="37"/>
      <c r="HK158" s="33">
        <f t="shared" ref="HK158:HK165" si="1424">+C158+O158+AA158+AM158+AY158+BK158+BW158+CI158+CU158+DG158+DS158+EE158+EQ158+FC158+FO158+GA158+GM158+GY158</f>
        <v>7</v>
      </c>
      <c r="HL158" s="34">
        <f t="shared" ref="HL158:HL165" si="1425">+D158+P158+AB158+AN158+AZ158+BL158+BX158+CJ158+CV158+DH158+DT158+EF158+ER158+FD158+FP158+GB158+GN158+GZ158</f>
        <v>1</v>
      </c>
      <c r="HM158" s="34">
        <f t="shared" ref="HM158:HM165" si="1426">+E158+Q158+AC158+AO158+BA158+BM158+BY158+CK158+CW158+DI158+DU158+EG158+ES158+FE158+FQ158+GC158+GO158+HA158</f>
        <v>12120</v>
      </c>
      <c r="HN158" s="34">
        <f t="shared" ref="HN158:HN165" si="1427">+F158+R158+AD158+AP158+BB158+BN158+BZ158+CL158+CX158+DJ158+DV158+EH158+ET158+FF158+FR158+GD158+GP158+HB158</f>
        <v>1038</v>
      </c>
      <c r="HO158" s="34">
        <f t="shared" ref="HO158:HO165" si="1428">+G158+S158+AE158+AQ158+BC158+BO158+CA158+CM158+CY158+DK158+DW158+EI158+EU158+FG158+FS158+GE158+GQ158+HC158+I158+U158+AG158+AS158+BE158+BQ158+CC158+CO158+DA158+DM158+DY158+EK158+EW158+FI158+FU158+GG158+GS158+HE158</f>
        <v>8217</v>
      </c>
      <c r="HP158" s="94">
        <f t="shared" ref="HP158:HP164" si="1429">+(HO158)/HM158</f>
        <v>0.67797029702970302</v>
      </c>
      <c r="HQ158" s="48">
        <f t="shared" ref="HQ158:HQ165" si="1430">+I158+U158+AG158+AS158+BE158+BQ158+CC158+CO158+DA158+DM158+DY158+EK158+EW158+FI158+FU158+GG158+GS158+HE158</f>
        <v>212</v>
      </c>
      <c r="HR158" s="35">
        <f t="shared" ref="HR158:HR165" si="1431">+(HQ158/(HO158))</f>
        <v>2.5800170378483631E-2</v>
      </c>
      <c r="HS158" s="49">
        <v>63.6</v>
      </c>
      <c r="HT158" s="50">
        <v>7861</v>
      </c>
      <c r="HU158" s="49">
        <f t="shared" ref="HU158:HU164" si="1432">+HT158/HO158*100</f>
        <v>95.667518559084812</v>
      </c>
      <c r="HV158" s="48"/>
      <c r="HW158" s="37"/>
      <c r="HX158" s="73">
        <f t="shared" ref="HX158:HX164" si="1433">SUM(G158,I158,S158,U158,AE158,AG158,AQ158,AS158,BC158,BE158)/SUM(E158,Q158,AC158,AO158,BA158)</f>
        <v>0.69025204980261157</v>
      </c>
      <c r="HY158" s="73">
        <f t="shared" ref="HY158:HY164" si="1434">SUM(BO158,BQ158,CA158,CC158,CM158,CO158,CY158,DA158,DK158,DM158)/SUM(BM158,BY158,CK158,CW158,DI158)</f>
        <v>0.67726991970352068</v>
      </c>
      <c r="HZ158" s="73">
        <f t="shared" ref="HZ158:HZ164" si="1435">SUM(DW158,DY158,EI158,EK158,EU158,EW158,FG158,FI158)/SUM(DU158,EG158,ES158,FE158)</f>
        <v>0.67934186471663616</v>
      </c>
      <c r="IA158" s="73">
        <f t="shared" ref="IA158:IA164" si="1436">SUM(FS158,FU158,GE158,GG158,GQ158,GS158,HC158,HE158)/SUM(FQ158,GC158,GO158,HA158)</f>
        <v>0.66327960756832516</v>
      </c>
    </row>
    <row r="159" spans="1:244" x14ac:dyDescent="0.25">
      <c r="A159" s="374"/>
      <c r="B159" s="41">
        <f t="shared" ref="B159:B164" si="1437">+B158+1</f>
        <v>45061</v>
      </c>
      <c r="C159" s="10"/>
      <c r="D159" s="11"/>
      <c r="E159" s="69">
        <f t="shared" ref="E159:E164" si="1438">E158-C159</f>
        <v>832</v>
      </c>
      <c r="F159" s="69">
        <f t="shared" ref="F159:F164" si="1439">F158-D159</f>
        <v>72</v>
      </c>
      <c r="G159" s="11">
        <v>503</v>
      </c>
      <c r="H159" s="12">
        <f t="shared" si="1388"/>
        <v>0.61899038461538458</v>
      </c>
      <c r="I159" s="11">
        <v>12</v>
      </c>
      <c r="J159" s="12">
        <f t="shared" si="1389"/>
        <v>2.3300970873786409E-2</v>
      </c>
      <c r="K159" s="13"/>
      <c r="L159" s="11"/>
      <c r="M159" s="11"/>
      <c r="N159" s="14"/>
      <c r="O159" s="10">
        <v>1</v>
      </c>
      <c r="P159" s="11"/>
      <c r="Q159" s="69">
        <f t="shared" ref="Q159:Q164" si="1440">Q158-O159</f>
        <v>754</v>
      </c>
      <c r="R159" s="69">
        <f t="shared" ref="R159:R164" si="1441">R158-P159</f>
        <v>64</v>
      </c>
      <c r="S159" s="11">
        <v>455</v>
      </c>
      <c r="T159" s="12">
        <f t="shared" si="1390"/>
        <v>0.61936339522546424</v>
      </c>
      <c r="U159" s="11">
        <v>12</v>
      </c>
      <c r="V159" s="12">
        <f t="shared" si="1391"/>
        <v>2.569593147751606E-2</v>
      </c>
      <c r="W159" s="13"/>
      <c r="X159" s="11"/>
      <c r="Y159" s="11"/>
      <c r="Z159" s="14"/>
      <c r="AA159" s="10"/>
      <c r="AB159" s="11"/>
      <c r="AC159" s="69">
        <f t="shared" ref="AC159:AC164" si="1442">AC158-AA159</f>
        <v>172</v>
      </c>
      <c r="AD159" s="69">
        <f t="shared" ref="AD159:AD164" si="1443">AD158-AB159</f>
        <v>13</v>
      </c>
      <c r="AE159" s="11">
        <v>113</v>
      </c>
      <c r="AF159" s="12">
        <f t="shared" si="1392"/>
        <v>0.68023255813953487</v>
      </c>
      <c r="AG159" s="11">
        <v>4</v>
      </c>
      <c r="AH159" s="12">
        <f t="shared" si="1393"/>
        <v>3.4188034188034191E-2</v>
      </c>
      <c r="AI159" s="13"/>
      <c r="AJ159" s="11"/>
      <c r="AK159" s="11"/>
      <c r="AL159" s="14"/>
      <c r="AM159" s="10"/>
      <c r="AN159" s="11"/>
      <c r="AO159" s="69">
        <f t="shared" ref="AO159:AO164" si="1444">AO158-AM159</f>
        <v>771</v>
      </c>
      <c r="AP159" s="69">
        <f t="shared" ref="AP159:AP164" si="1445">AP158-AN159</f>
        <v>64</v>
      </c>
      <c r="AQ159" s="11">
        <v>462</v>
      </c>
      <c r="AR159" s="12">
        <f t="shared" si="1394"/>
        <v>0.61348897535667968</v>
      </c>
      <c r="AS159" s="11">
        <v>11</v>
      </c>
      <c r="AT159" s="12">
        <f t="shared" si="1395"/>
        <v>2.3255813953488372E-2</v>
      </c>
      <c r="AU159" s="13"/>
      <c r="AV159" s="11"/>
      <c r="AW159" s="11"/>
      <c r="AX159" s="14"/>
      <c r="AY159" s="10"/>
      <c r="AZ159" s="11"/>
      <c r="BA159" s="69">
        <f t="shared" ref="BA159:BA164" si="1446">BA158-AY159</f>
        <v>763</v>
      </c>
      <c r="BB159" s="69">
        <f t="shared" ref="BB159:BB164" si="1447">BB158-AZ159</f>
        <v>67</v>
      </c>
      <c r="BC159" s="11">
        <v>522</v>
      </c>
      <c r="BD159" s="12">
        <f t="shared" si="1396"/>
        <v>0.70380078636959376</v>
      </c>
      <c r="BE159" s="11">
        <v>15</v>
      </c>
      <c r="BF159" s="12">
        <f t="shared" si="1397"/>
        <v>2.7932960893854747E-2</v>
      </c>
      <c r="BG159" s="13"/>
      <c r="BH159" s="11"/>
      <c r="BI159" s="11"/>
      <c r="BJ159" s="14"/>
      <c r="BK159" s="10"/>
      <c r="BL159" s="11"/>
      <c r="BM159" s="69">
        <f t="shared" ref="BM159:BM164" si="1448">BM158-BK159</f>
        <v>827</v>
      </c>
      <c r="BN159" s="69">
        <f t="shared" ref="BN159:BN164" si="1449">BN158-BL159</f>
        <v>71</v>
      </c>
      <c r="BO159" s="11">
        <v>550</v>
      </c>
      <c r="BP159" s="12">
        <f t="shared" si="1398"/>
        <v>0.67472793228536876</v>
      </c>
      <c r="BQ159" s="11">
        <v>8</v>
      </c>
      <c r="BR159" s="12">
        <f t="shared" si="1399"/>
        <v>1.4336917562724014E-2</v>
      </c>
      <c r="BS159" s="13"/>
      <c r="BT159" s="11"/>
      <c r="BU159" s="11"/>
      <c r="BV159" s="14"/>
      <c r="BW159" s="10"/>
      <c r="BX159" s="11"/>
      <c r="BY159" s="69">
        <f t="shared" ref="BY159:BY164" si="1450">BY158-BW159</f>
        <v>752</v>
      </c>
      <c r="BZ159" s="69">
        <f t="shared" ref="BZ159:BZ164" si="1451">BZ158-BX159</f>
        <v>62</v>
      </c>
      <c r="CA159" s="11">
        <v>475</v>
      </c>
      <c r="CB159" s="12">
        <f t="shared" si="1400"/>
        <v>0.64494680851063835</v>
      </c>
      <c r="CC159" s="11">
        <v>10</v>
      </c>
      <c r="CD159" s="12">
        <f t="shared" si="1401"/>
        <v>2.0618556701030927E-2</v>
      </c>
      <c r="CE159" s="13"/>
      <c r="CF159" s="11"/>
      <c r="CG159" s="11"/>
      <c r="CH159" s="14"/>
      <c r="CI159" s="10">
        <v>1</v>
      </c>
      <c r="CJ159" s="11"/>
      <c r="CK159" s="69">
        <f t="shared" ref="CK159:CK164" si="1452">CK158-CI159</f>
        <v>163</v>
      </c>
      <c r="CL159" s="69">
        <f t="shared" ref="CL159:CL164" si="1453">CL158-CJ159</f>
        <v>14</v>
      </c>
      <c r="CM159" s="11">
        <v>88</v>
      </c>
      <c r="CN159" s="12">
        <f t="shared" si="1402"/>
        <v>0.55828220858895705</v>
      </c>
      <c r="CO159" s="11">
        <v>3</v>
      </c>
      <c r="CP159" s="12">
        <f t="shared" si="1403"/>
        <v>3.2967032967032968E-2</v>
      </c>
      <c r="CQ159" s="13"/>
      <c r="CR159" s="11"/>
      <c r="CS159" s="11"/>
      <c r="CT159" s="14"/>
      <c r="CU159" s="10"/>
      <c r="CV159" s="11"/>
      <c r="CW159" s="69">
        <f t="shared" ref="CW159:CW164" si="1454">CW158-CU159</f>
        <v>743</v>
      </c>
      <c r="CX159" s="69">
        <f t="shared" ref="CX159:CX164" si="1455">CX158-CV159</f>
        <v>65</v>
      </c>
      <c r="CY159" s="11">
        <v>461</v>
      </c>
      <c r="CZ159" s="12">
        <f t="shared" si="1404"/>
        <v>0.63526244952893673</v>
      </c>
      <c r="DA159" s="11">
        <v>11</v>
      </c>
      <c r="DB159" s="12">
        <f t="shared" si="1405"/>
        <v>2.3305084745762712E-2</v>
      </c>
      <c r="DC159" s="13"/>
      <c r="DD159" s="11"/>
      <c r="DE159" s="11"/>
      <c r="DF159" s="14"/>
      <c r="DG159" s="10">
        <v>1</v>
      </c>
      <c r="DH159" s="11"/>
      <c r="DI159" s="69">
        <f t="shared" ref="DI159:DI164" si="1456">DI158-DG159</f>
        <v>751</v>
      </c>
      <c r="DJ159" s="69">
        <f t="shared" ref="DJ159:DJ164" si="1457">DJ158-DH159</f>
        <v>66</v>
      </c>
      <c r="DK159" s="11">
        <v>490</v>
      </c>
      <c r="DL159" s="12">
        <f t="shared" si="1406"/>
        <v>0.66711051930758991</v>
      </c>
      <c r="DM159" s="11">
        <v>11</v>
      </c>
      <c r="DN159" s="12">
        <f t="shared" si="1407"/>
        <v>2.1956087824351298E-2</v>
      </c>
      <c r="DO159" s="13"/>
      <c r="DP159" s="11"/>
      <c r="DQ159" s="11"/>
      <c r="DR159" s="14"/>
      <c r="DS159" s="10">
        <v>1</v>
      </c>
      <c r="DT159" s="11"/>
      <c r="DU159" s="69">
        <f t="shared" ref="DU159:DU164" si="1458">DU158-DS159</f>
        <v>836</v>
      </c>
      <c r="DV159" s="69">
        <f t="shared" ref="DV159:DV164" si="1459">DV158-DT159</f>
        <v>71</v>
      </c>
      <c r="DW159" s="11">
        <v>550</v>
      </c>
      <c r="DX159" s="12">
        <f t="shared" si="1408"/>
        <v>0.68301435406698563</v>
      </c>
      <c r="DY159" s="11">
        <v>21</v>
      </c>
      <c r="DZ159" s="12">
        <f t="shared" si="1409"/>
        <v>3.6777583187390543E-2</v>
      </c>
      <c r="EA159" s="13"/>
      <c r="EB159" s="11"/>
      <c r="EC159" s="11"/>
      <c r="ED159" s="14"/>
      <c r="EE159" s="10"/>
      <c r="EF159" s="11"/>
      <c r="EG159" s="69">
        <f t="shared" ref="EG159:EG164" si="1460">EG158-EE159</f>
        <v>847</v>
      </c>
      <c r="EH159" s="69">
        <f t="shared" ref="EH159:EH164" si="1461">EH158-EF159</f>
        <v>74</v>
      </c>
      <c r="EI159" s="11">
        <v>583</v>
      </c>
      <c r="EJ159" s="12">
        <f t="shared" si="1410"/>
        <v>0.71664698937426208</v>
      </c>
      <c r="EK159" s="11">
        <v>24</v>
      </c>
      <c r="EL159" s="12">
        <f t="shared" si="1411"/>
        <v>3.9538714991762765E-2</v>
      </c>
      <c r="EM159" s="13"/>
      <c r="EN159" s="11"/>
      <c r="EO159" s="11"/>
      <c r="EP159" s="14"/>
      <c r="EQ159" s="10"/>
      <c r="ER159" s="11"/>
      <c r="ES159" s="69">
        <f t="shared" ref="ES159:ES164" si="1462">ES158-EQ159</f>
        <v>190</v>
      </c>
      <c r="ET159" s="69">
        <f t="shared" ref="ET159:ET164" si="1463">ET158-ER159</f>
        <v>16</v>
      </c>
      <c r="EU159" s="11">
        <v>121</v>
      </c>
      <c r="EV159" s="12">
        <f t="shared" si="1412"/>
        <v>0.65263157894736845</v>
      </c>
      <c r="EW159" s="11">
        <v>3</v>
      </c>
      <c r="EX159" s="12">
        <f t="shared" si="1413"/>
        <v>2.4193548387096774E-2</v>
      </c>
      <c r="EY159" s="13"/>
      <c r="EZ159" s="11"/>
      <c r="FA159" s="11"/>
      <c r="FB159" s="14"/>
      <c r="FC159" s="10">
        <v>1</v>
      </c>
      <c r="FD159" s="11"/>
      <c r="FE159" s="69">
        <f t="shared" ref="FE159:FE164" si="1464">FE158-FC159</f>
        <v>860</v>
      </c>
      <c r="FF159" s="69">
        <f t="shared" ref="FF159:FF164" si="1465">FF158-FD159</f>
        <v>74</v>
      </c>
      <c r="FG159" s="11">
        <v>599</v>
      </c>
      <c r="FH159" s="12">
        <f t="shared" si="1414"/>
        <v>0.71279069767441861</v>
      </c>
      <c r="FI159" s="11">
        <v>14</v>
      </c>
      <c r="FJ159" s="12">
        <f t="shared" si="1415"/>
        <v>2.2838499184339316E-2</v>
      </c>
      <c r="FK159" s="13"/>
      <c r="FL159" s="11"/>
      <c r="FM159" s="11"/>
      <c r="FN159" s="14"/>
      <c r="FO159" s="10"/>
      <c r="FP159" s="11"/>
      <c r="FQ159" s="69">
        <f t="shared" ref="FQ159:FQ164" si="1466">FQ158-FO159</f>
        <v>890</v>
      </c>
      <c r="FR159" s="69">
        <f t="shared" ref="FR159:FR164" si="1467">FR158-FP159</f>
        <v>75</v>
      </c>
      <c r="FS159" s="11">
        <v>559</v>
      </c>
      <c r="FT159" s="12">
        <f t="shared" si="1416"/>
        <v>0.65056179775280898</v>
      </c>
      <c r="FU159" s="11">
        <v>20</v>
      </c>
      <c r="FV159" s="12">
        <f t="shared" si="1417"/>
        <v>3.4542314335060449E-2</v>
      </c>
      <c r="FW159" s="13"/>
      <c r="FX159" s="11"/>
      <c r="FY159" s="11"/>
      <c r="FZ159" s="14"/>
      <c r="GA159" s="10">
        <v>1</v>
      </c>
      <c r="GB159" s="11"/>
      <c r="GC159" s="69">
        <f t="shared" ref="GC159:GC164" si="1468">GC158-GA159</f>
        <v>886</v>
      </c>
      <c r="GD159" s="69">
        <f t="shared" ref="GD159:GD164" si="1469">GD158-GB159</f>
        <v>76</v>
      </c>
      <c r="GE159" s="11">
        <v>551</v>
      </c>
      <c r="GF159" s="12">
        <f t="shared" si="1418"/>
        <v>0.65011286681715574</v>
      </c>
      <c r="GG159" s="11">
        <v>25</v>
      </c>
      <c r="GH159" s="12">
        <f t="shared" si="1419"/>
        <v>4.3402777777777776E-2</v>
      </c>
      <c r="GI159" s="13"/>
      <c r="GJ159" s="11"/>
      <c r="GK159" s="11"/>
      <c r="GL159" s="14"/>
      <c r="GM159" s="10"/>
      <c r="GN159" s="11"/>
      <c r="GO159" s="69">
        <f t="shared" ref="GO159:GO164" si="1470">GO158-GM159</f>
        <v>171</v>
      </c>
      <c r="GP159" s="69">
        <f t="shared" ref="GP159:GP164" si="1471">GP158-GN159</f>
        <v>17</v>
      </c>
      <c r="GQ159" s="11">
        <v>119</v>
      </c>
      <c r="GR159" s="12">
        <f t="shared" si="1420"/>
        <v>0.74269005847953218</v>
      </c>
      <c r="GS159" s="11">
        <v>8</v>
      </c>
      <c r="GT159" s="12">
        <f t="shared" si="1421"/>
        <v>6.2992125984251968E-2</v>
      </c>
      <c r="GU159" s="13"/>
      <c r="GV159" s="11"/>
      <c r="GW159" s="11"/>
      <c r="GX159" s="14"/>
      <c r="GY159" s="10"/>
      <c r="GZ159" s="11"/>
      <c r="HA159" s="69">
        <f t="shared" ref="HA159:HA164" si="1472">HA158-GY159</f>
        <v>906</v>
      </c>
      <c r="HB159" s="69">
        <f t="shared" ref="HB159:HB164" si="1473">HB158-GZ159</f>
        <v>77</v>
      </c>
      <c r="HC159" s="11">
        <v>604</v>
      </c>
      <c r="HD159" s="12">
        <f t="shared" si="1422"/>
        <v>0.67660044150110377</v>
      </c>
      <c r="HE159" s="11">
        <v>9</v>
      </c>
      <c r="HF159" s="12">
        <f t="shared" si="1423"/>
        <v>1.468189233278956E-2</v>
      </c>
      <c r="HG159" s="13"/>
      <c r="HH159" s="11"/>
      <c r="HI159" s="11"/>
      <c r="HJ159" s="14"/>
      <c r="HK159" s="10">
        <f t="shared" si="1424"/>
        <v>6</v>
      </c>
      <c r="HL159" s="11">
        <f t="shared" si="1425"/>
        <v>0</v>
      </c>
      <c r="HM159" s="11">
        <f t="shared" si="1426"/>
        <v>12114</v>
      </c>
      <c r="HN159" s="11">
        <f t="shared" si="1427"/>
        <v>1038</v>
      </c>
      <c r="HO159" s="11">
        <f t="shared" si="1428"/>
        <v>8026</v>
      </c>
      <c r="HP159" s="95">
        <f t="shared" si="1429"/>
        <v>0.66253921083044409</v>
      </c>
      <c r="HQ159" s="15">
        <f t="shared" si="1430"/>
        <v>221</v>
      </c>
      <c r="HR159" s="12">
        <f t="shared" si="1431"/>
        <v>2.7535509593820083E-2</v>
      </c>
      <c r="HS159" s="16">
        <v>63.6</v>
      </c>
      <c r="HT159" s="17">
        <v>7609</v>
      </c>
      <c r="HU159" s="16">
        <f t="shared" si="1432"/>
        <v>94.804385746324442</v>
      </c>
      <c r="HV159" s="15"/>
      <c r="HW159" s="14"/>
      <c r="HX159" s="73">
        <f t="shared" si="1433"/>
        <v>0.64064398541919809</v>
      </c>
      <c r="HY159" s="73">
        <f t="shared" si="1434"/>
        <v>0.65111248454882575</v>
      </c>
      <c r="HZ159" s="73">
        <f t="shared" si="1435"/>
        <v>0.70069520673252839</v>
      </c>
      <c r="IA159" s="73">
        <f t="shared" si="1436"/>
        <v>0.66421310900806174</v>
      </c>
    </row>
    <row r="160" spans="1:244" x14ac:dyDescent="0.25">
      <c r="A160" s="374"/>
      <c r="B160" s="41">
        <f t="shared" si="1437"/>
        <v>45062</v>
      </c>
      <c r="C160" s="10"/>
      <c r="D160" s="11"/>
      <c r="E160" s="69">
        <f t="shared" si="1438"/>
        <v>832</v>
      </c>
      <c r="F160" s="69">
        <f t="shared" si="1439"/>
        <v>72</v>
      </c>
      <c r="G160" s="11">
        <v>577</v>
      </c>
      <c r="H160" s="12">
        <f t="shared" si="1388"/>
        <v>0.70552884615384615</v>
      </c>
      <c r="I160" s="11">
        <v>10</v>
      </c>
      <c r="J160" s="12">
        <f t="shared" si="1389"/>
        <v>1.7035775127768313E-2</v>
      </c>
      <c r="K160" s="13"/>
      <c r="L160" s="11"/>
      <c r="M160" s="11"/>
      <c r="N160" s="14"/>
      <c r="O160" s="10"/>
      <c r="P160" s="11"/>
      <c r="Q160" s="69">
        <f t="shared" si="1440"/>
        <v>754</v>
      </c>
      <c r="R160" s="69">
        <f t="shared" si="1441"/>
        <v>64</v>
      </c>
      <c r="S160" s="11">
        <v>510</v>
      </c>
      <c r="T160" s="12">
        <f t="shared" si="1390"/>
        <v>0.69761273209549068</v>
      </c>
      <c r="U160" s="11">
        <v>16</v>
      </c>
      <c r="V160" s="12">
        <f t="shared" si="1391"/>
        <v>3.0418250950570342E-2</v>
      </c>
      <c r="W160" s="13"/>
      <c r="X160" s="11"/>
      <c r="Y160" s="11"/>
      <c r="Z160" s="14"/>
      <c r="AA160" s="10"/>
      <c r="AB160" s="11"/>
      <c r="AC160" s="69">
        <f t="shared" si="1442"/>
        <v>172</v>
      </c>
      <c r="AD160" s="69">
        <f t="shared" si="1443"/>
        <v>13</v>
      </c>
      <c r="AE160" s="11">
        <v>118</v>
      </c>
      <c r="AF160" s="12">
        <f t="shared" si="1392"/>
        <v>0.68604651162790697</v>
      </c>
      <c r="AG160" s="11">
        <v>0</v>
      </c>
      <c r="AH160" s="12">
        <f t="shared" si="1393"/>
        <v>0</v>
      </c>
      <c r="AI160" s="13"/>
      <c r="AJ160" s="11"/>
      <c r="AK160" s="11"/>
      <c r="AL160" s="14"/>
      <c r="AM160" s="10">
        <v>1</v>
      </c>
      <c r="AN160" s="11"/>
      <c r="AO160" s="69">
        <f t="shared" si="1444"/>
        <v>770</v>
      </c>
      <c r="AP160" s="69">
        <f t="shared" si="1445"/>
        <v>64</v>
      </c>
      <c r="AQ160" s="11">
        <v>473</v>
      </c>
      <c r="AR160" s="12">
        <f t="shared" si="1394"/>
        <v>0.62857142857142856</v>
      </c>
      <c r="AS160" s="11">
        <v>11</v>
      </c>
      <c r="AT160" s="12">
        <f t="shared" si="1395"/>
        <v>2.2727272727272728E-2</v>
      </c>
      <c r="AU160" s="13"/>
      <c r="AV160" s="11"/>
      <c r="AW160" s="11"/>
      <c r="AX160" s="14"/>
      <c r="AY160" s="10">
        <v>1</v>
      </c>
      <c r="AZ160" s="11"/>
      <c r="BA160" s="69">
        <f t="shared" si="1446"/>
        <v>762</v>
      </c>
      <c r="BB160" s="69">
        <f t="shared" si="1447"/>
        <v>67</v>
      </c>
      <c r="BC160" s="11">
        <v>513</v>
      </c>
      <c r="BD160" s="12">
        <f t="shared" si="1396"/>
        <v>0.68372703412073488</v>
      </c>
      <c r="BE160" s="11">
        <v>8</v>
      </c>
      <c r="BF160" s="12">
        <f t="shared" si="1397"/>
        <v>1.5355086372360844E-2</v>
      </c>
      <c r="BG160" s="13"/>
      <c r="BH160" s="11"/>
      <c r="BI160" s="11"/>
      <c r="BJ160" s="14"/>
      <c r="BK160" s="10">
        <v>1</v>
      </c>
      <c r="BL160" s="11"/>
      <c r="BM160" s="69">
        <f t="shared" si="1448"/>
        <v>826</v>
      </c>
      <c r="BN160" s="69">
        <f t="shared" si="1449"/>
        <v>71</v>
      </c>
      <c r="BO160" s="11">
        <v>564</v>
      </c>
      <c r="BP160" s="12">
        <f t="shared" si="1398"/>
        <v>0.69612590799031482</v>
      </c>
      <c r="BQ160" s="11">
        <v>11</v>
      </c>
      <c r="BR160" s="12">
        <f t="shared" si="1399"/>
        <v>1.9130434782608695E-2</v>
      </c>
      <c r="BS160" s="13"/>
      <c r="BT160" s="11"/>
      <c r="BU160" s="11"/>
      <c r="BV160" s="14"/>
      <c r="BW160" s="10"/>
      <c r="BX160" s="11"/>
      <c r="BY160" s="69">
        <f t="shared" si="1450"/>
        <v>752</v>
      </c>
      <c r="BZ160" s="69">
        <f t="shared" si="1451"/>
        <v>62</v>
      </c>
      <c r="CA160" s="11">
        <v>464</v>
      </c>
      <c r="CB160" s="12">
        <f t="shared" si="1400"/>
        <v>0.62367021276595747</v>
      </c>
      <c r="CC160" s="11">
        <v>5</v>
      </c>
      <c r="CD160" s="12">
        <f t="shared" si="1401"/>
        <v>1.0660980810234541E-2</v>
      </c>
      <c r="CE160" s="13"/>
      <c r="CF160" s="11"/>
      <c r="CG160" s="11"/>
      <c r="CH160" s="14"/>
      <c r="CI160" s="10">
        <v>1</v>
      </c>
      <c r="CJ160" s="11"/>
      <c r="CK160" s="69">
        <f t="shared" si="1452"/>
        <v>162</v>
      </c>
      <c r="CL160" s="69">
        <f t="shared" si="1453"/>
        <v>14</v>
      </c>
      <c r="CM160" s="11">
        <v>93</v>
      </c>
      <c r="CN160" s="12">
        <f t="shared" si="1402"/>
        <v>0.57407407407407407</v>
      </c>
      <c r="CO160" s="11">
        <v>0</v>
      </c>
      <c r="CP160" s="12">
        <f t="shared" si="1403"/>
        <v>0</v>
      </c>
      <c r="CQ160" s="13"/>
      <c r="CR160" s="11"/>
      <c r="CS160" s="11"/>
      <c r="CT160" s="14"/>
      <c r="CU160" s="10"/>
      <c r="CV160" s="11"/>
      <c r="CW160" s="69">
        <f t="shared" si="1454"/>
        <v>743</v>
      </c>
      <c r="CX160" s="69">
        <f t="shared" si="1455"/>
        <v>65</v>
      </c>
      <c r="CY160" s="11">
        <v>478</v>
      </c>
      <c r="CZ160" s="12">
        <f t="shared" si="1404"/>
        <v>0.65275908479138622</v>
      </c>
      <c r="DA160" s="11">
        <v>7</v>
      </c>
      <c r="DB160" s="12">
        <f t="shared" si="1405"/>
        <v>1.443298969072165E-2</v>
      </c>
      <c r="DC160" s="13"/>
      <c r="DD160" s="11"/>
      <c r="DE160" s="11"/>
      <c r="DF160" s="14"/>
      <c r="DG160" s="10"/>
      <c r="DH160" s="11"/>
      <c r="DI160" s="69">
        <f t="shared" si="1456"/>
        <v>751</v>
      </c>
      <c r="DJ160" s="69">
        <f t="shared" si="1457"/>
        <v>66</v>
      </c>
      <c r="DK160" s="11">
        <v>510</v>
      </c>
      <c r="DL160" s="12">
        <f t="shared" si="1406"/>
        <v>0.69107856191744343</v>
      </c>
      <c r="DM160" s="11">
        <v>9</v>
      </c>
      <c r="DN160" s="12">
        <f t="shared" si="1407"/>
        <v>1.7341040462427744E-2</v>
      </c>
      <c r="DO160" s="13"/>
      <c r="DP160" s="11"/>
      <c r="DQ160" s="11"/>
      <c r="DR160" s="14"/>
      <c r="DS160" s="10"/>
      <c r="DT160" s="11"/>
      <c r="DU160" s="69">
        <f t="shared" si="1458"/>
        <v>836</v>
      </c>
      <c r="DV160" s="69">
        <f t="shared" si="1459"/>
        <v>71</v>
      </c>
      <c r="DW160" s="11">
        <v>577</v>
      </c>
      <c r="DX160" s="12">
        <f t="shared" si="1408"/>
        <v>0.72248803827751196</v>
      </c>
      <c r="DY160" s="11">
        <v>27</v>
      </c>
      <c r="DZ160" s="12">
        <f t="shared" si="1409"/>
        <v>4.4701986754966887E-2</v>
      </c>
      <c r="EA160" s="13"/>
      <c r="EB160" s="11"/>
      <c r="EC160" s="11"/>
      <c r="ED160" s="14"/>
      <c r="EE160" s="10"/>
      <c r="EF160" s="11"/>
      <c r="EG160" s="69">
        <f t="shared" si="1460"/>
        <v>847</v>
      </c>
      <c r="EH160" s="69">
        <f t="shared" si="1461"/>
        <v>74</v>
      </c>
      <c r="EI160" s="11">
        <v>522</v>
      </c>
      <c r="EJ160" s="12">
        <f t="shared" si="1410"/>
        <v>0.63518299881936247</v>
      </c>
      <c r="EK160" s="11">
        <v>16</v>
      </c>
      <c r="EL160" s="12">
        <f t="shared" si="1411"/>
        <v>2.9739776951672861E-2</v>
      </c>
      <c r="EM160" s="13"/>
      <c r="EN160" s="11"/>
      <c r="EO160" s="11"/>
      <c r="EP160" s="14"/>
      <c r="EQ160" s="10">
        <v>2</v>
      </c>
      <c r="ER160" s="11"/>
      <c r="ES160" s="69">
        <f t="shared" si="1462"/>
        <v>188</v>
      </c>
      <c r="ET160" s="69">
        <f t="shared" si="1463"/>
        <v>16</v>
      </c>
      <c r="EU160" s="11">
        <v>133</v>
      </c>
      <c r="EV160" s="12">
        <f t="shared" si="1412"/>
        <v>0.71808510638297873</v>
      </c>
      <c r="EW160" s="11">
        <v>2</v>
      </c>
      <c r="EX160" s="12">
        <f t="shared" si="1413"/>
        <v>1.4814814814814815E-2</v>
      </c>
      <c r="EY160" s="13"/>
      <c r="EZ160" s="11"/>
      <c r="FA160" s="11"/>
      <c r="FB160" s="14"/>
      <c r="FC160" s="10"/>
      <c r="FD160" s="11"/>
      <c r="FE160" s="69">
        <f t="shared" si="1464"/>
        <v>860</v>
      </c>
      <c r="FF160" s="69">
        <f t="shared" si="1465"/>
        <v>74</v>
      </c>
      <c r="FG160" s="11">
        <v>584</v>
      </c>
      <c r="FH160" s="12">
        <f t="shared" si="1414"/>
        <v>0.69069767441860463</v>
      </c>
      <c r="FI160" s="11">
        <v>10</v>
      </c>
      <c r="FJ160" s="12">
        <f t="shared" si="1415"/>
        <v>1.6835016835016835E-2</v>
      </c>
      <c r="FK160" s="13"/>
      <c r="FL160" s="11"/>
      <c r="FM160" s="11"/>
      <c r="FN160" s="14"/>
      <c r="FO160" s="10">
        <v>1</v>
      </c>
      <c r="FP160" s="11"/>
      <c r="FQ160" s="69">
        <f t="shared" si="1466"/>
        <v>889</v>
      </c>
      <c r="FR160" s="69">
        <f t="shared" si="1467"/>
        <v>75</v>
      </c>
      <c r="FS160" s="11">
        <v>581</v>
      </c>
      <c r="FT160" s="12">
        <f t="shared" si="1416"/>
        <v>0.67604049493813279</v>
      </c>
      <c r="FU160" s="11">
        <v>20</v>
      </c>
      <c r="FV160" s="12">
        <f t="shared" si="1417"/>
        <v>3.3277870216306155E-2</v>
      </c>
      <c r="FW160" s="13"/>
      <c r="FX160" s="11"/>
      <c r="FY160" s="11"/>
      <c r="FZ160" s="14"/>
      <c r="GA160" s="10"/>
      <c r="GB160" s="11"/>
      <c r="GC160" s="69">
        <f t="shared" si="1468"/>
        <v>886</v>
      </c>
      <c r="GD160" s="69">
        <f t="shared" si="1469"/>
        <v>76</v>
      </c>
      <c r="GE160" s="11">
        <v>585</v>
      </c>
      <c r="GF160" s="12">
        <f t="shared" si="1418"/>
        <v>0.67720090293453727</v>
      </c>
      <c r="GG160" s="11">
        <v>15</v>
      </c>
      <c r="GH160" s="12">
        <f t="shared" si="1419"/>
        <v>2.5000000000000001E-2</v>
      </c>
      <c r="GI160" s="13"/>
      <c r="GJ160" s="11"/>
      <c r="GK160" s="11"/>
      <c r="GL160" s="14"/>
      <c r="GM160" s="10"/>
      <c r="GN160" s="11"/>
      <c r="GO160" s="69">
        <f t="shared" si="1470"/>
        <v>171</v>
      </c>
      <c r="GP160" s="69">
        <f t="shared" si="1471"/>
        <v>17</v>
      </c>
      <c r="GQ160" s="11">
        <v>107</v>
      </c>
      <c r="GR160" s="12">
        <f t="shared" si="1420"/>
        <v>0.64327485380116955</v>
      </c>
      <c r="GS160" s="11">
        <v>3</v>
      </c>
      <c r="GT160" s="12">
        <f t="shared" si="1421"/>
        <v>2.7272727272727271E-2</v>
      </c>
      <c r="GU160" s="13"/>
      <c r="GV160" s="11"/>
      <c r="GW160" s="11"/>
      <c r="GX160" s="14"/>
      <c r="GY160" s="10"/>
      <c r="GZ160" s="11"/>
      <c r="HA160" s="69">
        <f t="shared" si="1472"/>
        <v>906</v>
      </c>
      <c r="HB160" s="69">
        <f t="shared" si="1473"/>
        <v>77</v>
      </c>
      <c r="HC160" s="11">
        <v>601</v>
      </c>
      <c r="HD160" s="12">
        <f t="shared" si="1422"/>
        <v>0.67660044150110377</v>
      </c>
      <c r="HE160" s="11">
        <v>12</v>
      </c>
      <c r="HF160" s="12">
        <f t="shared" si="1423"/>
        <v>1.9575856443719411E-2</v>
      </c>
      <c r="HG160" s="13"/>
      <c r="HH160" s="11"/>
      <c r="HI160" s="11"/>
      <c r="HJ160" s="14"/>
      <c r="HK160" s="10">
        <f t="shared" si="1424"/>
        <v>7</v>
      </c>
      <c r="HL160" s="11">
        <f t="shared" si="1425"/>
        <v>0</v>
      </c>
      <c r="HM160" s="11">
        <f t="shared" si="1426"/>
        <v>12107</v>
      </c>
      <c r="HN160" s="11">
        <f t="shared" si="1427"/>
        <v>1038</v>
      </c>
      <c r="HO160" s="11">
        <f t="shared" si="1428"/>
        <v>8172</v>
      </c>
      <c r="HP160" s="95">
        <f t="shared" si="1429"/>
        <v>0.67498141570991987</v>
      </c>
      <c r="HQ160" s="15">
        <f t="shared" si="1430"/>
        <v>182</v>
      </c>
      <c r="HR160" s="12">
        <f t="shared" si="1431"/>
        <v>2.227116984826236E-2</v>
      </c>
      <c r="HS160" s="16">
        <v>63.6</v>
      </c>
      <c r="HT160" s="17">
        <v>7799</v>
      </c>
      <c r="HU160" s="16">
        <f t="shared" si="1432"/>
        <v>95.435633871757219</v>
      </c>
      <c r="HV160" s="15"/>
      <c r="HW160" s="14"/>
      <c r="HX160" s="73">
        <f t="shared" si="1433"/>
        <v>0.67963525835866256</v>
      </c>
      <c r="HY160" s="73">
        <f t="shared" si="1434"/>
        <v>0.66202844774273351</v>
      </c>
      <c r="HZ160" s="73">
        <f t="shared" si="1435"/>
        <v>0.68509703405346023</v>
      </c>
      <c r="IA160" s="73">
        <f t="shared" si="1436"/>
        <v>0.67461430575035064</v>
      </c>
    </row>
    <row r="161" spans="1:244" x14ac:dyDescent="0.25">
      <c r="A161" s="374"/>
      <c r="B161" s="41">
        <f t="shared" si="1437"/>
        <v>45063</v>
      </c>
      <c r="C161" s="10"/>
      <c r="D161" s="11"/>
      <c r="E161" s="69">
        <f t="shared" si="1438"/>
        <v>832</v>
      </c>
      <c r="F161" s="69">
        <f t="shared" si="1439"/>
        <v>72</v>
      </c>
      <c r="G161" s="11">
        <v>510</v>
      </c>
      <c r="H161" s="12">
        <f t="shared" si="1388"/>
        <v>0.625</v>
      </c>
      <c r="I161" s="11">
        <v>10</v>
      </c>
      <c r="J161" s="12">
        <f t="shared" si="1389"/>
        <v>1.9230769230769232E-2</v>
      </c>
      <c r="K161" s="11"/>
      <c r="L161" s="11"/>
      <c r="M161" s="18"/>
      <c r="N161" s="20"/>
      <c r="O161" s="10"/>
      <c r="P161" s="11"/>
      <c r="Q161" s="69">
        <f t="shared" si="1440"/>
        <v>754</v>
      </c>
      <c r="R161" s="69">
        <f t="shared" si="1441"/>
        <v>64</v>
      </c>
      <c r="S161" s="11">
        <v>468</v>
      </c>
      <c r="T161" s="12">
        <f t="shared" si="1390"/>
        <v>0.6312997347480106</v>
      </c>
      <c r="U161" s="11">
        <v>8</v>
      </c>
      <c r="V161" s="12">
        <f t="shared" si="1391"/>
        <v>1.680672268907563E-2</v>
      </c>
      <c r="W161" s="11"/>
      <c r="X161" s="11"/>
      <c r="Y161" s="18"/>
      <c r="Z161" s="20"/>
      <c r="AA161" s="10"/>
      <c r="AB161" s="11"/>
      <c r="AC161" s="69">
        <f t="shared" si="1442"/>
        <v>172</v>
      </c>
      <c r="AD161" s="69">
        <f t="shared" si="1443"/>
        <v>13</v>
      </c>
      <c r="AE161" s="11">
        <v>112</v>
      </c>
      <c r="AF161" s="12">
        <f t="shared" si="1392"/>
        <v>0.65697674418604646</v>
      </c>
      <c r="AG161" s="11">
        <v>1</v>
      </c>
      <c r="AH161" s="12">
        <f t="shared" si="1393"/>
        <v>8.8495575221238937E-3</v>
      </c>
      <c r="AI161" s="11"/>
      <c r="AJ161" s="11"/>
      <c r="AK161" s="18"/>
      <c r="AL161" s="20"/>
      <c r="AM161" s="10"/>
      <c r="AN161" s="11"/>
      <c r="AO161" s="69">
        <f t="shared" si="1444"/>
        <v>770</v>
      </c>
      <c r="AP161" s="69">
        <f t="shared" si="1445"/>
        <v>64</v>
      </c>
      <c r="AQ161" s="11">
        <v>476</v>
      </c>
      <c r="AR161" s="12">
        <f t="shared" si="1394"/>
        <v>0.62987012987012991</v>
      </c>
      <c r="AS161" s="11">
        <v>9</v>
      </c>
      <c r="AT161" s="12">
        <f t="shared" si="1395"/>
        <v>1.8556701030927835E-2</v>
      </c>
      <c r="AU161" s="11"/>
      <c r="AV161" s="11"/>
      <c r="AW161" s="18"/>
      <c r="AX161" s="20"/>
      <c r="AY161" s="10"/>
      <c r="AZ161" s="11"/>
      <c r="BA161" s="69">
        <f t="shared" si="1446"/>
        <v>762</v>
      </c>
      <c r="BB161" s="69">
        <f t="shared" si="1447"/>
        <v>67</v>
      </c>
      <c r="BC161" s="11">
        <v>484</v>
      </c>
      <c r="BD161" s="12">
        <f t="shared" si="1396"/>
        <v>0.64829396325459321</v>
      </c>
      <c r="BE161" s="11">
        <v>10</v>
      </c>
      <c r="BF161" s="12">
        <f t="shared" si="1397"/>
        <v>2.0242914979757085E-2</v>
      </c>
      <c r="BG161" s="11"/>
      <c r="BH161" s="11"/>
      <c r="BI161" s="18"/>
      <c r="BJ161" s="20"/>
      <c r="BK161" s="10"/>
      <c r="BL161" s="11"/>
      <c r="BM161" s="69">
        <f t="shared" si="1448"/>
        <v>826</v>
      </c>
      <c r="BN161" s="69">
        <f t="shared" si="1449"/>
        <v>71</v>
      </c>
      <c r="BO161" s="11">
        <v>512</v>
      </c>
      <c r="BP161" s="12">
        <f t="shared" si="1398"/>
        <v>0.63680387409200967</v>
      </c>
      <c r="BQ161" s="11">
        <v>14</v>
      </c>
      <c r="BR161" s="12">
        <f t="shared" si="1399"/>
        <v>2.6615969581749048E-2</v>
      </c>
      <c r="BS161" s="11"/>
      <c r="BT161" s="11"/>
      <c r="BU161" s="18"/>
      <c r="BV161" s="20"/>
      <c r="BW161" s="10"/>
      <c r="BX161" s="11"/>
      <c r="BY161" s="69">
        <f t="shared" si="1450"/>
        <v>752</v>
      </c>
      <c r="BZ161" s="69">
        <f t="shared" si="1451"/>
        <v>62</v>
      </c>
      <c r="CA161" s="11">
        <v>470</v>
      </c>
      <c r="CB161" s="12">
        <f t="shared" si="1400"/>
        <v>0.64095744680851063</v>
      </c>
      <c r="CC161" s="11">
        <v>12</v>
      </c>
      <c r="CD161" s="12">
        <f t="shared" si="1401"/>
        <v>2.4896265560165973E-2</v>
      </c>
      <c r="CE161" s="11"/>
      <c r="CF161" s="11"/>
      <c r="CG161" s="18"/>
      <c r="CH161" s="20"/>
      <c r="CI161" s="10">
        <v>2</v>
      </c>
      <c r="CJ161" s="11"/>
      <c r="CK161" s="69">
        <f t="shared" si="1452"/>
        <v>160</v>
      </c>
      <c r="CL161" s="69">
        <f t="shared" si="1453"/>
        <v>14</v>
      </c>
      <c r="CM161" s="11">
        <v>84</v>
      </c>
      <c r="CN161" s="12">
        <f t="shared" si="1402"/>
        <v>0.54374999999999996</v>
      </c>
      <c r="CO161" s="11">
        <v>3</v>
      </c>
      <c r="CP161" s="12">
        <f t="shared" si="1403"/>
        <v>3.4482758620689655E-2</v>
      </c>
      <c r="CQ161" s="11"/>
      <c r="CR161" s="11"/>
      <c r="CS161" s="18"/>
      <c r="CT161" s="20"/>
      <c r="CU161" s="10"/>
      <c r="CV161" s="11"/>
      <c r="CW161" s="69">
        <f t="shared" si="1454"/>
        <v>743</v>
      </c>
      <c r="CX161" s="69">
        <f t="shared" si="1455"/>
        <v>65</v>
      </c>
      <c r="CY161" s="11">
        <v>430</v>
      </c>
      <c r="CZ161" s="12">
        <f t="shared" si="1404"/>
        <v>0.59219380888290718</v>
      </c>
      <c r="DA161" s="11">
        <v>10</v>
      </c>
      <c r="DB161" s="12">
        <f t="shared" si="1405"/>
        <v>2.2727272727272728E-2</v>
      </c>
      <c r="DC161" s="11"/>
      <c r="DD161" s="11"/>
      <c r="DE161" s="18"/>
      <c r="DF161" s="20"/>
      <c r="DG161" s="10"/>
      <c r="DH161" s="11"/>
      <c r="DI161" s="69">
        <f t="shared" si="1456"/>
        <v>751</v>
      </c>
      <c r="DJ161" s="69">
        <f t="shared" si="1457"/>
        <v>66</v>
      </c>
      <c r="DK161" s="11">
        <v>507</v>
      </c>
      <c r="DL161" s="12">
        <f t="shared" si="1406"/>
        <v>0.6950732356857523</v>
      </c>
      <c r="DM161" s="11">
        <v>15</v>
      </c>
      <c r="DN161" s="12">
        <f t="shared" si="1407"/>
        <v>2.8735632183908046E-2</v>
      </c>
      <c r="DO161" s="11"/>
      <c r="DP161" s="11"/>
      <c r="DQ161" s="18"/>
      <c r="DR161" s="20"/>
      <c r="DS161" s="10"/>
      <c r="DT161" s="11"/>
      <c r="DU161" s="69">
        <f t="shared" si="1458"/>
        <v>836</v>
      </c>
      <c r="DV161" s="69">
        <f t="shared" si="1459"/>
        <v>71</v>
      </c>
      <c r="DW161" s="11">
        <v>586</v>
      </c>
      <c r="DX161" s="12">
        <f t="shared" si="1408"/>
        <v>0.72009569377990434</v>
      </c>
      <c r="DY161" s="11">
        <v>16</v>
      </c>
      <c r="DZ161" s="12">
        <f t="shared" si="1409"/>
        <v>2.6578073089700997E-2</v>
      </c>
      <c r="EA161" s="11"/>
      <c r="EB161" s="11"/>
      <c r="EC161" s="18"/>
      <c r="ED161" s="20"/>
      <c r="EE161" s="10"/>
      <c r="EF161" s="11"/>
      <c r="EG161" s="69">
        <f t="shared" si="1460"/>
        <v>847</v>
      </c>
      <c r="EH161" s="69">
        <f t="shared" si="1461"/>
        <v>74</v>
      </c>
      <c r="EI161" s="11">
        <v>580</v>
      </c>
      <c r="EJ161" s="12">
        <f t="shared" si="1410"/>
        <v>0.70720188902007086</v>
      </c>
      <c r="EK161" s="11">
        <v>19</v>
      </c>
      <c r="EL161" s="12">
        <f t="shared" si="1411"/>
        <v>3.1719532554257093E-2</v>
      </c>
      <c r="EM161" s="11"/>
      <c r="EN161" s="11"/>
      <c r="EO161" s="18"/>
      <c r="EP161" s="20"/>
      <c r="EQ161" s="10"/>
      <c r="ER161" s="11"/>
      <c r="ES161" s="69">
        <f t="shared" si="1462"/>
        <v>188</v>
      </c>
      <c r="ET161" s="69">
        <f t="shared" si="1463"/>
        <v>16</v>
      </c>
      <c r="EU161" s="11">
        <v>126</v>
      </c>
      <c r="EV161" s="12">
        <f t="shared" si="1412"/>
        <v>0.68617021276595747</v>
      </c>
      <c r="EW161" s="11">
        <v>3</v>
      </c>
      <c r="EX161" s="12">
        <f t="shared" si="1413"/>
        <v>2.3255813953488372E-2</v>
      </c>
      <c r="EY161" s="11"/>
      <c r="EZ161" s="11"/>
      <c r="FA161" s="18"/>
      <c r="FB161" s="20"/>
      <c r="FC161" s="10"/>
      <c r="FD161" s="11"/>
      <c r="FE161" s="69">
        <f t="shared" si="1464"/>
        <v>860</v>
      </c>
      <c r="FF161" s="69">
        <f t="shared" si="1465"/>
        <v>74</v>
      </c>
      <c r="FG161" s="11">
        <v>595</v>
      </c>
      <c r="FH161" s="12">
        <f t="shared" si="1414"/>
        <v>0.7</v>
      </c>
      <c r="FI161" s="11">
        <v>7</v>
      </c>
      <c r="FJ161" s="12">
        <f t="shared" si="1415"/>
        <v>1.1627906976744186E-2</v>
      </c>
      <c r="FK161" s="11"/>
      <c r="FL161" s="11"/>
      <c r="FM161" s="18"/>
      <c r="FN161" s="20"/>
      <c r="FO161" s="10"/>
      <c r="FP161" s="11"/>
      <c r="FQ161" s="69">
        <f t="shared" si="1466"/>
        <v>889</v>
      </c>
      <c r="FR161" s="69">
        <f t="shared" si="1467"/>
        <v>75</v>
      </c>
      <c r="FS161" s="11">
        <v>577</v>
      </c>
      <c r="FT161" s="12">
        <f t="shared" si="1416"/>
        <v>0.66254218222722161</v>
      </c>
      <c r="FU161" s="11">
        <v>12</v>
      </c>
      <c r="FV161" s="12">
        <f t="shared" si="1417"/>
        <v>2.037351443123939E-2</v>
      </c>
      <c r="FW161" s="11"/>
      <c r="FX161" s="11"/>
      <c r="FY161" s="18"/>
      <c r="FZ161" s="20"/>
      <c r="GA161" s="10"/>
      <c r="GB161" s="11"/>
      <c r="GC161" s="69">
        <f t="shared" si="1468"/>
        <v>886</v>
      </c>
      <c r="GD161" s="69">
        <f t="shared" si="1469"/>
        <v>76</v>
      </c>
      <c r="GE161" s="11">
        <v>561</v>
      </c>
      <c r="GF161" s="12">
        <f t="shared" si="1418"/>
        <v>0.6489841986455982</v>
      </c>
      <c r="GG161" s="11">
        <v>14</v>
      </c>
      <c r="GH161" s="12">
        <f t="shared" si="1419"/>
        <v>2.4347826086956521E-2</v>
      </c>
      <c r="GI161" s="11"/>
      <c r="GJ161" s="11"/>
      <c r="GK161" s="18"/>
      <c r="GL161" s="20"/>
      <c r="GM161" s="10"/>
      <c r="GN161" s="11"/>
      <c r="GO161" s="69">
        <f t="shared" si="1470"/>
        <v>171</v>
      </c>
      <c r="GP161" s="69">
        <f t="shared" si="1471"/>
        <v>17</v>
      </c>
      <c r="GQ161" s="11">
        <v>120</v>
      </c>
      <c r="GR161" s="12">
        <f t="shared" si="1420"/>
        <v>0.7192982456140351</v>
      </c>
      <c r="GS161" s="11">
        <v>3</v>
      </c>
      <c r="GT161" s="12">
        <f t="shared" si="1421"/>
        <v>2.4390243902439025E-2</v>
      </c>
      <c r="GU161" s="11"/>
      <c r="GV161" s="11"/>
      <c r="GW161" s="18"/>
      <c r="GX161" s="20"/>
      <c r="GY161" s="10"/>
      <c r="GZ161" s="11"/>
      <c r="HA161" s="69">
        <f t="shared" si="1472"/>
        <v>906</v>
      </c>
      <c r="HB161" s="69">
        <f t="shared" si="1473"/>
        <v>77</v>
      </c>
      <c r="HC161" s="11">
        <v>598</v>
      </c>
      <c r="HD161" s="12">
        <f t="shared" si="1422"/>
        <v>0.67108167770419425</v>
      </c>
      <c r="HE161" s="11">
        <v>10</v>
      </c>
      <c r="HF161" s="12">
        <f t="shared" si="1423"/>
        <v>1.6447368421052631E-2</v>
      </c>
      <c r="HG161" s="11"/>
      <c r="HH161" s="11"/>
      <c r="HI161" s="18"/>
      <c r="HJ161" s="20"/>
      <c r="HK161" s="10">
        <f t="shared" si="1424"/>
        <v>2</v>
      </c>
      <c r="HL161" s="11">
        <f t="shared" si="1425"/>
        <v>0</v>
      </c>
      <c r="HM161" s="11">
        <f t="shared" si="1426"/>
        <v>12105</v>
      </c>
      <c r="HN161" s="11">
        <f t="shared" si="1427"/>
        <v>1038</v>
      </c>
      <c r="HO161" s="11">
        <f t="shared" si="1428"/>
        <v>7972</v>
      </c>
      <c r="HP161" s="95">
        <f t="shared" si="1429"/>
        <v>0.65857083849648901</v>
      </c>
      <c r="HQ161" s="15">
        <f t="shared" si="1430"/>
        <v>176</v>
      </c>
      <c r="HR161" s="12">
        <f t="shared" si="1431"/>
        <v>2.207727044656297E-2</v>
      </c>
      <c r="HS161" s="16">
        <v>63.6</v>
      </c>
      <c r="HT161" s="17">
        <v>7636</v>
      </c>
      <c r="HU161" s="16">
        <f t="shared" si="1432"/>
        <v>95.785248369292518</v>
      </c>
      <c r="HV161" s="18"/>
      <c r="HW161" s="20"/>
      <c r="HX161" s="73">
        <f t="shared" si="1433"/>
        <v>0.63465045592705172</v>
      </c>
      <c r="HY161" s="73">
        <f t="shared" si="1434"/>
        <v>0.63644801980198018</v>
      </c>
      <c r="HZ161" s="73">
        <f t="shared" si="1435"/>
        <v>0.70743317466129618</v>
      </c>
      <c r="IA161" s="73">
        <f t="shared" si="1436"/>
        <v>0.66444600280504906</v>
      </c>
    </row>
    <row r="162" spans="1:244" x14ac:dyDescent="0.25">
      <c r="A162" s="374"/>
      <c r="B162" s="41">
        <f t="shared" si="1437"/>
        <v>45064</v>
      </c>
      <c r="C162" s="10"/>
      <c r="D162" s="11"/>
      <c r="E162" s="69">
        <f t="shared" si="1438"/>
        <v>832</v>
      </c>
      <c r="F162" s="69">
        <f t="shared" si="1439"/>
        <v>72</v>
      </c>
      <c r="G162" s="11">
        <v>566</v>
      </c>
      <c r="H162" s="12">
        <f t="shared" si="1388"/>
        <v>0.69951923076923073</v>
      </c>
      <c r="I162" s="11">
        <v>16</v>
      </c>
      <c r="J162" s="12">
        <f t="shared" si="1389"/>
        <v>2.7491408934707903E-2</v>
      </c>
      <c r="K162" s="13"/>
      <c r="L162" s="13"/>
      <c r="M162" s="25">
        <v>4068</v>
      </c>
      <c r="N162" s="38">
        <v>4340</v>
      </c>
      <c r="O162" s="10"/>
      <c r="P162" s="11"/>
      <c r="Q162" s="69">
        <f t="shared" si="1440"/>
        <v>754</v>
      </c>
      <c r="R162" s="69">
        <f t="shared" si="1441"/>
        <v>64</v>
      </c>
      <c r="S162" s="11">
        <v>489</v>
      </c>
      <c r="T162" s="12">
        <f t="shared" si="1390"/>
        <v>0.66710875331564989</v>
      </c>
      <c r="U162" s="11">
        <v>14</v>
      </c>
      <c r="V162" s="12">
        <f t="shared" si="1391"/>
        <v>2.7833001988071572E-2</v>
      </c>
      <c r="W162" s="13"/>
      <c r="X162" s="13"/>
      <c r="Y162" s="25">
        <v>4068</v>
      </c>
      <c r="Z162" s="38">
        <v>4340</v>
      </c>
      <c r="AA162" s="10"/>
      <c r="AB162" s="11"/>
      <c r="AC162" s="69">
        <f t="shared" si="1442"/>
        <v>172</v>
      </c>
      <c r="AD162" s="69">
        <f t="shared" si="1443"/>
        <v>13</v>
      </c>
      <c r="AE162" s="11">
        <v>112</v>
      </c>
      <c r="AF162" s="12">
        <f t="shared" si="1392"/>
        <v>0.66860465116279066</v>
      </c>
      <c r="AG162" s="11">
        <v>3</v>
      </c>
      <c r="AH162" s="12">
        <f t="shared" si="1393"/>
        <v>2.6086956521739129E-2</v>
      </c>
      <c r="AI162" s="13"/>
      <c r="AJ162" s="13"/>
      <c r="AK162" s="25">
        <v>4068</v>
      </c>
      <c r="AL162" s="38">
        <v>4340</v>
      </c>
      <c r="AM162" s="10"/>
      <c r="AN162" s="11"/>
      <c r="AO162" s="69">
        <f t="shared" si="1444"/>
        <v>770</v>
      </c>
      <c r="AP162" s="69">
        <f t="shared" si="1445"/>
        <v>64</v>
      </c>
      <c r="AQ162" s="11">
        <v>519</v>
      </c>
      <c r="AR162" s="12">
        <f t="shared" si="1394"/>
        <v>0.68441558441558437</v>
      </c>
      <c r="AS162" s="11">
        <v>8</v>
      </c>
      <c r="AT162" s="12">
        <f t="shared" si="1395"/>
        <v>1.5180265654648957E-2</v>
      </c>
      <c r="AU162" s="13"/>
      <c r="AV162" s="13"/>
      <c r="AW162" s="25">
        <v>4068</v>
      </c>
      <c r="AX162" s="38">
        <v>4340</v>
      </c>
      <c r="AY162" s="10"/>
      <c r="AZ162" s="11"/>
      <c r="BA162" s="69">
        <f t="shared" si="1446"/>
        <v>762</v>
      </c>
      <c r="BB162" s="69">
        <f t="shared" si="1447"/>
        <v>67</v>
      </c>
      <c r="BC162" s="11">
        <v>500</v>
      </c>
      <c r="BD162" s="12">
        <f t="shared" si="1396"/>
        <v>0.67191601049868765</v>
      </c>
      <c r="BE162" s="11">
        <v>12</v>
      </c>
      <c r="BF162" s="12">
        <f t="shared" si="1397"/>
        <v>2.34375E-2</v>
      </c>
      <c r="BG162" s="13"/>
      <c r="BH162" s="13"/>
      <c r="BI162" s="25">
        <v>4068</v>
      </c>
      <c r="BJ162" s="38">
        <v>4340</v>
      </c>
      <c r="BK162" s="10">
        <v>1</v>
      </c>
      <c r="BL162" s="11"/>
      <c r="BM162" s="69">
        <f t="shared" si="1448"/>
        <v>825</v>
      </c>
      <c r="BN162" s="69">
        <f t="shared" si="1449"/>
        <v>71</v>
      </c>
      <c r="BO162" s="11">
        <v>557</v>
      </c>
      <c r="BP162" s="12">
        <f t="shared" si="1398"/>
        <v>0.68121212121212116</v>
      </c>
      <c r="BQ162" s="11">
        <v>5</v>
      </c>
      <c r="BR162" s="12">
        <f t="shared" si="1399"/>
        <v>8.8967971530249119E-3</v>
      </c>
      <c r="BS162" s="13"/>
      <c r="BT162" s="13"/>
      <c r="BU162" s="25">
        <v>4068</v>
      </c>
      <c r="BV162" s="38">
        <v>4340</v>
      </c>
      <c r="BW162" s="10"/>
      <c r="BX162" s="11"/>
      <c r="BY162" s="69">
        <f t="shared" si="1450"/>
        <v>752</v>
      </c>
      <c r="BZ162" s="69">
        <f t="shared" si="1451"/>
        <v>62</v>
      </c>
      <c r="CA162" s="11">
        <v>508</v>
      </c>
      <c r="CB162" s="12">
        <f t="shared" si="1400"/>
        <v>0.69414893617021278</v>
      </c>
      <c r="CC162" s="11">
        <v>14</v>
      </c>
      <c r="CD162" s="12">
        <f t="shared" si="1401"/>
        <v>2.681992337164751E-2</v>
      </c>
      <c r="CE162" s="13"/>
      <c r="CF162" s="13"/>
      <c r="CG162" s="25">
        <v>4068</v>
      </c>
      <c r="CH162" s="38">
        <v>4340</v>
      </c>
      <c r="CI162" s="10">
        <v>1</v>
      </c>
      <c r="CJ162" s="11"/>
      <c r="CK162" s="69">
        <f t="shared" si="1452"/>
        <v>159</v>
      </c>
      <c r="CL162" s="69">
        <f t="shared" si="1453"/>
        <v>14</v>
      </c>
      <c r="CM162" s="11">
        <v>100</v>
      </c>
      <c r="CN162" s="12">
        <f t="shared" si="1402"/>
        <v>0.63522012578616349</v>
      </c>
      <c r="CO162" s="11">
        <v>1</v>
      </c>
      <c r="CP162" s="12">
        <f t="shared" si="1403"/>
        <v>9.9009900990099011E-3</v>
      </c>
      <c r="CQ162" s="13"/>
      <c r="CR162" s="13"/>
      <c r="CS162" s="25">
        <v>4068</v>
      </c>
      <c r="CT162" s="38">
        <v>4340</v>
      </c>
      <c r="CU162" s="10"/>
      <c r="CV162" s="11"/>
      <c r="CW162" s="69">
        <f t="shared" si="1454"/>
        <v>743</v>
      </c>
      <c r="CX162" s="69">
        <f t="shared" si="1455"/>
        <v>65</v>
      </c>
      <c r="CY162" s="11">
        <v>458</v>
      </c>
      <c r="CZ162" s="12">
        <f t="shared" si="1404"/>
        <v>0.63257065948855984</v>
      </c>
      <c r="DA162" s="11">
        <v>12</v>
      </c>
      <c r="DB162" s="12">
        <f t="shared" si="1405"/>
        <v>2.553191489361702E-2</v>
      </c>
      <c r="DC162" s="13"/>
      <c r="DD162" s="13"/>
      <c r="DE162" s="25">
        <v>4068</v>
      </c>
      <c r="DF162" s="38">
        <v>4340</v>
      </c>
      <c r="DG162" s="10">
        <v>2</v>
      </c>
      <c r="DH162" s="11"/>
      <c r="DI162" s="69">
        <f t="shared" si="1456"/>
        <v>749</v>
      </c>
      <c r="DJ162" s="69">
        <f t="shared" si="1457"/>
        <v>66</v>
      </c>
      <c r="DK162" s="11">
        <v>521</v>
      </c>
      <c r="DL162" s="12">
        <f t="shared" si="1406"/>
        <v>0.70627503337783715</v>
      </c>
      <c r="DM162" s="11">
        <v>8</v>
      </c>
      <c r="DN162" s="12">
        <f t="shared" si="1407"/>
        <v>1.5122873345935728E-2</v>
      </c>
      <c r="DO162" s="13"/>
      <c r="DP162" s="13"/>
      <c r="DQ162" s="25">
        <v>4068</v>
      </c>
      <c r="DR162" s="38">
        <v>4340</v>
      </c>
      <c r="DS162" s="10"/>
      <c r="DT162" s="11"/>
      <c r="DU162" s="69">
        <f t="shared" si="1458"/>
        <v>836</v>
      </c>
      <c r="DV162" s="69">
        <f t="shared" si="1459"/>
        <v>71</v>
      </c>
      <c r="DW162" s="11">
        <v>555</v>
      </c>
      <c r="DX162" s="12">
        <f t="shared" si="1408"/>
        <v>0.68181818181818177</v>
      </c>
      <c r="DY162" s="11">
        <v>15</v>
      </c>
      <c r="DZ162" s="12">
        <f t="shared" si="1409"/>
        <v>2.6315789473684209E-2</v>
      </c>
      <c r="EA162" s="13"/>
      <c r="EB162" s="13"/>
      <c r="EC162" s="25">
        <v>4068</v>
      </c>
      <c r="ED162" s="38">
        <v>4340</v>
      </c>
      <c r="EE162" s="10"/>
      <c r="EF162" s="11"/>
      <c r="EG162" s="69">
        <f t="shared" si="1460"/>
        <v>847</v>
      </c>
      <c r="EH162" s="69">
        <f t="shared" si="1461"/>
        <v>74</v>
      </c>
      <c r="EI162" s="11">
        <v>526</v>
      </c>
      <c r="EJ162" s="12">
        <f t="shared" si="1410"/>
        <v>0.64580873671782768</v>
      </c>
      <c r="EK162" s="11">
        <v>21</v>
      </c>
      <c r="EL162" s="12">
        <f t="shared" si="1411"/>
        <v>3.8391224862888484E-2</v>
      </c>
      <c r="EM162" s="13"/>
      <c r="EN162" s="13"/>
      <c r="EO162" s="25">
        <v>4068</v>
      </c>
      <c r="EP162" s="38">
        <v>4340</v>
      </c>
      <c r="EQ162" s="10"/>
      <c r="ER162" s="11"/>
      <c r="ES162" s="69">
        <f t="shared" si="1462"/>
        <v>188</v>
      </c>
      <c r="ET162" s="69">
        <f t="shared" si="1463"/>
        <v>16</v>
      </c>
      <c r="EU162" s="11">
        <v>111</v>
      </c>
      <c r="EV162" s="12">
        <f t="shared" si="1412"/>
        <v>0.61170212765957444</v>
      </c>
      <c r="EW162" s="11">
        <v>4</v>
      </c>
      <c r="EX162" s="12">
        <f t="shared" si="1413"/>
        <v>3.4782608695652174E-2</v>
      </c>
      <c r="EY162" s="13"/>
      <c r="EZ162" s="13"/>
      <c r="FA162" s="25">
        <v>4068</v>
      </c>
      <c r="FB162" s="38">
        <v>4340</v>
      </c>
      <c r="FC162" s="10"/>
      <c r="FD162" s="11"/>
      <c r="FE162" s="69">
        <f t="shared" si="1464"/>
        <v>860</v>
      </c>
      <c r="FF162" s="69">
        <f t="shared" si="1465"/>
        <v>74</v>
      </c>
      <c r="FG162" s="11">
        <v>581</v>
      </c>
      <c r="FH162" s="12">
        <f t="shared" si="1414"/>
        <v>0.68604651162790697</v>
      </c>
      <c r="FI162" s="11">
        <v>9</v>
      </c>
      <c r="FJ162" s="12">
        <f t="shared" si="1415"/>
        <v>1.5254237288135594E-2</v>
      </c>
      <c r="FK162" s="13"/>
      <c r="FL162" s="13"/>
      <c r="FM162" s="25">
        <v>4068</v>
      </c>
      <c r="FN162" s="38">
        <v>4340</v>
      </c>
      <c r="FO162" s="10"/>
      <c r="FP162" s="11"/>
      <c r="FQ162" s="69">
        <f t="shared" si="1466"/>
        <v>889</v>
      </c>
      <c r="FR162" s="69">
        <f t="shared" si="1467"/>
        <v>75</v>
      </c>
      <c r="FS162" s="11">
        <v>584</v>
      </c>
      <c r="FT162" s="12">
        <f t="shared" si="1416"/>
        <v>0.67266591676040499</v>
      </c>
      <c r="FU162" s="11">
        <v>14</v>
      </c>
      <c r="FV162" s="12">
        <f t="shared" si="1417"/>
        <v>2.3411371237458192E-2</v>
      </c>
      <c r="FW162" s="13"/>
      <c r="FX162" s="13"/>
      <c r="FY162" s="25">
        <v>4068</v>
      </c>
      <c r="FZ162" s="38">
        <v>4340</v>
      </c>
      <c r="GA162" s="10">
        <v>1</v>
      </c>
      <c r="GB162" s="11"/>
      <c r="GC162" s="69">
        <f t="shared" si="1468"/>
        <v>885</v>
      </c>
      <c r="GD162" s="69">
        <f t="shared" si="1469"/>
        <v>76</v>
      </c>
      <c r="GE162" s="11">
        <v>579</v>
      </c>
      <c r="GF162" s="12">
        <f t="shared" si="1418"/>
        <v>0.67570621468926551</v>
      </c>
      <c r="GG162" s="11">
        <v>19</v>
      </c>
      <c r="GH162" s="12">
        <f t="shared" si="1419"/>
        <v>3.177257525083612E-2</v>
      </c>
      <c r="GI162" s="13"/>
      <c r="GJ162" s="13"/>
      <c r="GK162" s="25">
        <v>4068</v>
      </c>
      <c r="GL162" s="38">
        <v>4340</v>
      </c>
      <c r="GM162" s="10"/>
      <c r="GN162" s="11"/>
      <c r="GO162" s="69">
        <f t="shared" si="1470"/>
        <v>171</v>
      </c>
      <c r="GP162" s="69">
        <f t="shared" si="1471"/>
        <v>17</v>
      </c>
      <c r="GQ162" s="11">
        <v>103</v>
      </c>
      <c r="GR162" s="12">
        <f t="shared" si="1420"/>
        <v>0.6257309941520468</v>
      </c>
      <c r="GS162" s="11">
        <v>4</v>
      </c>
      <c r="GT162" s="12">
        <f t="shared" si="1421"/>
        <v>3.7383177570093455E-2</v>
      </c>
      <c r="GU162" s="13"/>
      <c r="GV162" s="13"/>
      <c r="GW162" s="25">
        <v>4068</v>
      </c>
      <c r="GX162" s="38">
        <v>4340</v>
      </c>
      <c r="GY162" s="10"/>
      <c r="GZ162" s="11"/>
      <c r="HA162" s="69">
        <f t="shared" si="1472"/>
        <v>906</v>
      </c>
      <c r="HB162" s="69">
        <f t="shared" si="1473"/>
        <v>77</v>
      </c>
      <c r="HC162" s="11">
        <v>590</v>
      </c>
      <c r="HD162" s="12">
        <f t="shared" si="1422"/>
        <v>0.66225165562913912</v>
      </c>
      <c r="HE162" s="11">
        <v>10</v>
      </c>
      <c r="HF162" s="12">
        <f t="shared" si="1423"/>
        <v>1.6666666666666666E-2</v>
      </c>
      <c r="HG162" s="13"/>
      <c r="HH162" s="13"/>
      <c r="HI162" s="25">
        <v>4068</v>
      </c>
      <c r="HJ162" s="38">
        <v>4340</v>
      </c>
      <c r="HK162" s="10">
        <f t="shared" si="1424"/>
        <v>5</v>
      </c>
      <c r="HL162" s="11">
        <f t="shared" si="1425"/>
        <v>0</v>
      </c>
      <c r="HM162" s="11">
        <f t="shared" si="1426"/>
        <v>12100</v>
      </c>
      <c r="HN162" s="11">
        <f t="shared" si="1427"/>
        <v>1038</v>
      </c>
      <c r="HO162" s="11">
        <f t="shared" si="1428"/>
        <v>8148</v>
      </c>
      <c r="HP162" s="95">
        <f t="shared" si="1429"/>
        <v>0.67338842975206614</v>
      </c>
      <c r="HQ162" s="15">
        <f t="shared" si="1430"/>
        <v>189</v>
      </c>
      <c r="HR162" s="12">
        <f t="shared" si="1431"/>
        <v>2.3195876288659795E-2</v>
      </c>
      <c r="HS162" s="16">
        <v>63.8</v>
      </c>
      <c r="HT162" s="17">
        <v>7763</v>
      </c>
      <c r="HU162" s="16">
        <f t="shared" si="1432"/>
        <v>95.274914089347078</v>
      </c>
      <c r="HV162" s="23">
        <v>4068</v>
      </c>
      <c r="HW162" s="22">
        <v>4340</v>
      </c>
      <c r="HX162" s="73">
        <f t="shared" si="1433"/>
        <v>0.68054711246200605</v>
      </c>
      <c r="HY162" s="73">
        <f t="shared" si="1434"/>
        <v>0.67657992565055758</v>
      </c>
      <c r="HZ162" s="73">
        <f t="shared" si="1435"/>
        <v>0.66715488831929692</v>
      </c>
      <c r="IA162" s="73">
        <f t="shared" si="1436"/>
        <v>0.66748509294984215</v>
      </c>
    </row>
    <row r="163" spans="1:244" x14ac:dyDescent="0.25">
      <c r="A163" s="374"/>
      <c r="B163" s="41">
        <f t="shared" si="1437"/>
        <v>45065</v>
      </c>
      <c r="C163" s="10"/>
      <c r="D163" s="11"/>
      <c r="E163" s="69">
        <f t="shared" si="1438"/>
        <v>832</v>
      </c>
      <c r="F163" s="69">
        <f t="shared" si="1439"/>
        <v>72</v>
      </c>
      <c r="G163" s="11">
        <v>525</v>
      </c>
      <c r="H163" s="12">
        <f t="shared" si="1388"/>
        <v>0.64903846153846156</v>
      </c>
      <c r="I163" s="11">
        <v>15</v>
      </c>
      <c r="J163" s="12">
        <f t="shared" si="1389"/>
        <v>2.7777777777777776E-2</v>
      </c>
      <c r="K163" s="13"/>
      <c r="L163" s="11"/>
      <c r="M163" s="25">
        <v>4831.9047619047615</v>
      </c>
      <c r="N163" s="38">
        <v>4557.333333333333</v>
      </c>
      <c r="O163" s="10"/>
      <c r="P163" s="11"/>
      <c r="Q163" s="69">
        <f t="shared" si="1440"/>
        <v>754</v>
      </c>
      <c r="R163" s="69">
        <f t="shared" si="1441"/>
        <v>64</v>
      </c>
      <c r="S163" s="11">
        <v>460</v>
      </c>
      <c r="T163" s="12">
        <f t="shared" si="1390"/>
        <v>0.62068965517241381</v>
      </c>
      <c r="U163" s="11">
        <v>8</v>
      </c>
      <c r="V163" s="12">
        <f t="shared" si="1391"/>
        <v>1.7094017094017096E-2</v>
      </c>
      <c r="W163" s="13"/>
      <c r="X163" s="11"/>
      <c r="Y163" s="25">
        <v>4768.4615384615381</v>
      </c>
      <c r="Z163" s="38">
        <v>4887.333333333333</v>
      </c>
      <c r="AA163" s="10"/>
      <c r="AB163" s="11"/>
      <c r="AC163" s="69">
        <f t="shared" si="1442"/>
        <v>172</v>
      </c>
      <c r="AD163" s="69">
        <f t="shared" si="1443"/>
        <v>13</v>
      </c>
      <c r="AE163" s="11">
        <v>105</v>
      </c>
      <c r="AF163" s="12">
        <f t="shared" si="1392"/>
        <v>0.62790697674418605</v>
      </c>
      <c r="AG163" s="11">
        <v>3</v>
      </c>
      <c r="AH163" s="12">
        <f t="shared" si="1393"/>
        <v>2.7777777777777776E-2</v>
      </c>
      <c r="AI163" s="13"/>
      <c r="AJ163" s="11"/>
      <c r="AK163" s="25">
        <v>4601.1111111111113</v>
      </c>
      <c r="AL163" s="38">
        <v>4636</v>
      </c>
      <c r="AM163" s="10">
        <v>1</v>
      </c>
      <c r="AN163" s="11"/>
      <c r="AO163" s="69">
        <f t="shared" si="1444"/>
        <v>769</v>
      </c>
      <c r="AP163" s="69">
        <f t="shared" si="1445"/>
        <v>64</v>
      </c>
      <c r="AQ163" s="11">
        <v>464</v>
      </c>
      <c r="AR163" s="12">
        <f t="shared" si="1394"/>
        <v>0.61248374512353709</v>
      </c>
      <c r="AS163" s="11">
        <v>7</v>
      </c>
      <c r="AT163" s="12">
        <f t="shared" si="1395"/>
        <v>1.4861995753715499E-2</v>
      </c>
      <c r="AU163" s="13"/>
      <c r="AV163" s="11"/>
      <c r="AW163" s="25">
        <v>4728.5</v>
      </c>
      <c r="AX163" s="38">
        <v>4844</v>
      </c>
      <c r="AY163" s="10">
        <v>2</v>
      </c>
      <c r="AZ163" s="11"/>
      <c r="BA163" s="69">
        <f t="shared" si="1446"/>
        <v>760</v>
      </c>
      <c r="BB163" s="69">
        <f t="shared" si="1447"/>
        <v>67</v>
      </c>
      <c r="BC163" s="11">
        <v>494</v>
      </c>
      <c r="BD163" s="12">
        <f t="shared" si="1396"/>
        <v>0.66447368421052633</v>
      </c>
      <c r="BE163" s="11">
        <v>11</v>
      </c>
      <c r="BF163" s="12">
        <f t="shared" si="1397"/>
        <v>2.1782178217821781E-2</v>
      </c>
      <c r="BG163" s="13"/>
      <c r="BH163" s="11"/>
      <c r="BI163" s="25">
        <v>4782.6315789473683</v>
      </c>
      <c r="BJ163" s="38">
        <v>4890.666666666667</v>
      </c>
      <c r="BK163" s="10">
        <v>2</v>
      </c>
      <c r="BL163" s="11"/>
      <c r="BM163" s="69">
        <f t="shared" si="1448"/>
        <v>823</v>
      </c>
      <c r="BN163" s="69">
        <f t="shared" si="1449"/>
        <v>71</v>
      </c>
      <c r="BO163" s="11">
        <v>540</v>
      </c>
      <c r="BP163" s="12">
        <f t="shared" si="1398"/>
        <v>0.67679222357229651</v>
      </c>
      <c r="BQ163" s="11">
        <v>17</v>
      </c>
      <c r="BR163" s="12">
        <f t="shared" si="1399"/>
        <v>3.052064631956912E-2</v>
      </c>
      <c r="BS163" s="13"/>
      <c r="BT163" s="11"/>
      <c r="BU163" s="25">
        <v>4686.5</v>
      </c>
      <c r="BV163" s="38">
        <v>4516.4285714285716</v>
      </c>
      <c r="BW163" s="10"/>
      <c r="BX163" s="11"/>
      <c r="BY163" s="69">
        <f t="shared" si="1450"/>
        <v>752</v>
      </c>
      <c r="BZ163" s="69">
        <f t="shared" si="1451"/>
        <v>62</v>
      </c>
      <c r="CA163" s="11">
        <v>477</v>
      </c>
      <c r="CB163" s="12">
        <f t="shared" si="1400"/>
        <v>0.6396276595744681</v>
      </c>
      <c r="CC163" s="11">
        <v>4</v>
      </c>
      <c r="CD163" s="12">
        <f t="shared" si="1401"/>
        <v>8.3160083160083165E-3</v>
      </c>
      <c r="CE163" s="13"/>
      <c r="CF163" s="11"/>
      <c r="CG163" s="25">
        <v>4555.3658536585363</v>
      </c>
      <c r="CH163" s="38">
        <v>4719.2857142857147</v>
      </c>
      <c r="CI163" s="10"/>
      <c r="CJ163" s="11"/>
      <c r="CK163" s="69">
        <f t="shared" si="1452"/>
        <v>159</v>
      </c>
      <c r="CL163" s="69">
        <f t="shared" si="1453"/>
        <v>14</v>
      </c>
      <c r="CM163" s="11">
        <v>83</v>
      </c>
      <c r="CN163" s="12">
        <f t="shared" si="1402"/>
        <v>0.5220125786163522</v>
      </c>
      <c r="CO163" s="11">
        <v>0</v>
      </c>
      <c r="CP163" s="12">
        <f t="shared" si="1403"/>
        <v>0</v>
      </c>
      <c r="CQ163" s="13"/>
      <c r="CR163" s="11"/>
      <c r="CS163" s="25">
        <v>4804</v>
      </c>
      <c r="CT163" s="38">
        <v>4732</v>
      </c>
      <c r="CU163" s="10"/>
      <c r="CV163" s="11"/>
      <c r="CW163" s="69">
        <f t="shared" si="1454"/>
        <v>743</v>
      </c>
      <c r="CX163" s="69">
        <f t="shared" si="1455"/>
        <v>65</v>
      </c>
      <c r="CY163" s="11">
        <v>465</v>
      </c>
      <c r="CZ163" s="12">
        <f t="shared" si="1404"/>
        <v>0.6460296096904441</v>
      </c>
      <c r="DA163" s="11">
        <v>15</v>
      </c>
      <c r="DB163" s="12">
        <f t="shared" si="1405"/>
        <v>3.125E-2</v>
      </c>
      <c r="DC163" s="13"/>
      <c r="DD163" s="11"/>
      <c r="DE163" s="25">
        <v>4736.5714285714284</v>
      </c>
      <c r="DF163" s="38">
        <v>4750.666666666667</v>
      </c>
      <c r="DG163" s="10">
        <v>1</v>
      </c>
      <c r="DH163" s="11"/>
      <c r="DI163" s="69">
        <f t="shared" si="1456"/>
        <v>748</v>
      </c>
      <c r="DJ163" s="69">
        <f t="shared" si="1457"/>
        <v>66</v>
      </c>
      <c r="DK163" s="11">
        <v>512</v>
      </c>
      <c r="DL163" s="12">
        <f t="shared" si="1406"/>
        <v>0.696524064171123</v>
      </c>
      <c r="DM163" s="11">
        <v>9</v>
      </c>
      <c r="DN163" s="12">
        <f t="shared" si="1407"/>
        <v>1.7274472168905951E-2</v>
      </c>
      <c r="DO163" s="13"/>
      <c r="DP163" s="11"/>
      <c r="DQ163" s="25">
        <v>4765.3658536585363</v>
      </c>
      <c r="DR163" s="38">
        <v>5053.0769230769229</v>
      </c>
      <c r="DS163" s="10"/>
      <c r="DT163" s="11"/>
      <c r="DU163" s="69">
        <f t="shared" si="1458"/>
        <v>836</v>
      </c>
      <c r="DV163" s="69">
        <f t="shared" si="1459"/>
        <v>71</v>
      </c>
      <c r="DW163" s="11">
        <v>548</v>
      </c>
      <c r="DX163" s="12">
        <f t="shared" si="1408"/>
        <v>0.67703349282296654</v>
      </c>
      <c r="DY163" s="11">
        <v>18</v>
      </c>
      <c r="DZ163" s="12">
        <f t="shared" si="1409"/>
        <v>3.1802120141342753E-2</v>
      </c>
      <c r="EA163" s="13"/>
      <c r="EB163" s="11"/>
      <c r="EC163" s="25">
        <v>4704.8717948717949</v>
      </c>
      <c r="ED163" s="38">
        <v>4524.7058823529414</v>
      </c>
      <c r="EE163" s="10"/>
      <c r="EF163" s="11"/>
      <c r="EG163" s="69">
        <f t="shared" si="1460"/>
        <v>847</v>
      </c>
      <c r="EH163" s="69">
        <f t="shared" si="1461"/>
        <v>74</v>
      </c>
      <c r="EI163" s="11">
        <v>548</v>
      </c>
      <c r="EJ163" s="12">
        <f t="shared" si="1410"/>
        <v>0.65997638724911456</v>
      </c>
      <c r="EK163" s="11">
        <v>11</v>
      </c>
      <c r="EL163" s="12">
        <f t="shared" si="1411"/>
        <v>1.9677996422182469E-2</v>
      </c>
      <c r="EM163" s="13"/>
      <c r="EN163" s="11"/>
      <c r="EO163" s="25">
        <v>4808.5714285714284</v>
      </c>
      <c r="EP163" s="38">
        <v>4826.25</v>
      </c>
      <c r="EQ163" s="10"/>
      <c r="ER163" s="11"/>
      <c r="ES163" s="69">
        <f t="shared" si="1462"/>
        <v>188</v>
      </c>
      <c r="ET163" s="69">
        <f t="shared" si="1463"/>
        <v>16</v>
      </c>
      <c r="EU163" s="11">
        <v>123</v>
      </c>
      <c r="EV163" s="12">
        <f t="shared" si="1412"/>
        <v>0.67021276595744683</v>
      </c>
      <c r="EW163" s="11">
        <v>3</v>
      </c>
      <c r="EX163" s="12">
        <f t="shared" si="1413"/>
        <v>2.3809523809523808E-2</v>
      </c>
      <c r="EY163" s="13"/>
      <c r="EZ163" s="11"/>
      <c r="FA163" s="25">
        <v>4537.6923076923076</v>
      </c>
      <c r="FB163" s="38">
        <v>4295</v>
      </c>
      <c r="FC163" s="10"/>
      <c r="FD163" s="11"/>
      <c r="FE163" s="69">
        <f t="shared" si="1464"/>
        <v>860</v>
      </c>
      <c r="FF163" s="69">
        <f t="shared" si="1465"/>
        <v>74</v>
      </c>
      <c r="FG163" s="11">
        <v>568</v>
      </c>
      <c r="FH163" s="12">
        <f t="shared" si="1414"/>
        <v>0.67441860465116277</v>
      </c>
      <c r="FI163" s="11">
        <v>12</v>
      </c>
      <c r="FJ163" s="12">
        <f t="shared" si="1415"/>
        <v>2.0689655172413793E-2</v>
      </c>
      <c r="FK163" s="13"/>
      <c r="FL163" s="11"/>
      <c r="FM163" s="25">
        <v>4702.6315789473683</v>
      </c>
      <c r="FN163" s="38">
        <v>4880</v>
      </c>
      <c r="FO163" s="10">
        <v>1</v>
      </c>
      <c r="FP163" s="11"/>
      <c r="FQ163" s="69">
        <f t="shared" si="1466"/>
        <v>888</v>
      </c>
      <c r="FR163" s="69">
        <f t="shared" si="1467"/>
        <v>75</v>
      </c>
      <c r="FS163" s="11">
        <v>572</v>
      </c>
      <c r="FT163" s="12">
        <f t="shared" si="1416"/>
        <v>0.65427927927927931</v>
      </c>
      <c r="FU163" s="11">
        <v>9</v>
      </c>
      <c r="FV163" s="12">
        <f t="shared" si="1417"/>
        <v>1.549053356282272E-2</v>
      </c>
      <c r="FW163" s="13"/>
      <c r="FX163" s="11"/>
      <c r="FY163" s="25">
        <v>4940</v>
      </c>
      <c r="FZ163" s="38">
        <v>4625.625</v>
      </c>
      <c r="GA163" s="10"/>
      <c r="GB163" s="11"/>
      <c r="GC163" s="69">
        <f t="shared" si="1468"/>
        <v>885</v>
      </c>
      <c r="GD163" s="69">
        <f t="shared" si="1469"/>
        <v>76</v>
      </c>
      <c r="GE163" s="11">
        <v>563</v>
      </c>
      <c r="GF163" s="12">
        <f t="shared" si="1418"/>
        <v>0.65197740112994351</v>
      </c>
      <c r="GG163" s="11">
        <v>14</v>
      </c>
      <c r="GH163" s="12">
        <f t="shared" si="1419"/>
        <v>2.4263431542461005E-2</v>
      </c>
      <c r="GI163" s="13"/>
      <c r="GJ163" s="11"/>
      <c r="GK163" s="25">
        <v>4626.9047619047615</v>
      </c>
      <c r="GL163" s="38">
        <v>4773.75</v>
      </c>
      <c r="GM163" s="10"/>
      <c r="GN163" s="11"/>
      <c r="GO163" s="69">
        <f t="shared" si="1470"/>
        <v>171</v>
      </c>
      <c r="GP163" s="69">
        <f t="shared" si="1471"/>
        <v>17</v>
      </c>
      <c r="GQ163" s="11">
        <v>113</v>
      </c>
      <c r="GR163" s="12">
        <f t="shared" si="1420"/>
        <v>0.66666666666666663</v>
      </c>
      <c r="GS163" s="11">
        <v>1</v>
      </c>
      <c r="GT163" s="12">
        <f t="shared" si="1421"/>
        <v>8.771929824561403E-3</v>
      </c>
      <c r="GU163" s="13"/>
      <c r="GV163" s="11"/>
      <c r="GW163" s="25">
        <v>4515</v>
      </c>
      <c r="GX163" s="38">
        <v>4387.5</v>
      </c>
      <c r="GY163" s="10"/>
      <c r="GZ163" s="11"/>
      <c r="HA163" s="69">
        <f t="shared" si="1472"/>
        <v>906</v>
      </c>
      <c r="HB163" s="69">
        <f t="shared" si="1473"/>
        <v>77</v>
      </c>
      <c r="HC163" s="11">
        <v>596</v>
      </c>
      <c r="HD163" s="12">
        <f t="shared" si="1422"/>
        <v>0.66887417218543044</v>
      </c>
      <c r="HE163" s="11">
        <v>10</v>
      </c>
      <c r="HF163" s="12">
        <f t="shared" si="1423"/>
        <v>1.65016501650165E-2</v>
      </c>
      <c r="HG163" s="13"/>
      <c r="HH163" s="11"/>
      <c r="HI163" s="25">
        <v>4761.1111111111113</v>
      </c>
      <c r="HJ163" s="38">
        <v>4863.0769230769229</v>
      </c>
      <c r="HK163" s="10">
        <f t="shared" si="1424"/>
        <v>7</v>
      </c>
      <c r="HL163" s="11">
        <f t="shared" si="1425"/>
        <v>0</v>
      </c>
      <c r="HM163" s="11">
        <f t="shared" si="1426"/>
        <v>12093</v>
      </c>
      <c r="HN163" s="11">
        <f t="shared" si="1427"/>
        <v>1038</v>
      </c>
      <c r="HO163" s="11">
        <f t="shared" si="1428"/>
        <v>7923</v>
      </c>
      <c r="HP163" s="95">
        <f t="shared" si="1429"/>
        <v>0.65517241379310343</v>
      </c>
      <c r="HQ163" s="15">
        <f t="shared" si="1430"/>
        <v>167</v>
      </c>
      <c r="HR163" s="12">
        <f t="shared" si="1431"/>
        <v>2.1077874542471287E-2</v>
      </c>
      <c r="HS163" s="16">
        <v>63.9</v>
      </c>
      <c r="HT163" s="17">
        <v>7583</v>
      </c>
      <c r="HU163" s="16">
        <f t="shared" si="1432"/>
        <v>95.708696200933986</v>
      </c>
      <c r="HV163" s="23">
        <v>4733.5690789473683</v>
      </c>
      <c r="HW163" s="22">
        <v>4742.1145374449343</v>
      </c>
      <c r="HX163" s="73">
        <f t="shared" si="1433"/>
        <v>0.63644660784910256</v>
      </c>
      <c r="HY163" s="73">
        <f t="shared" si="1434"/>
        <v>0.65798449612403098</v>
      </c>
      <c r="HZ163" s="73">
        <f t="shared" si="1435"/>
        <v>0.67045038447455141</v>
      </c>
      <c r="IA163" s="73">
        <f t="shared" si="1436"/>
        <v>0.65894736842105261</v>
      </c>
    </row>
    <row r="164" spans="1:244" x14ac:dyDescent="0.25">
      <c r="A164" s="374"/>
      <c r="B164" s="41">
        <f t="shared" si="1437"/>
        <v>45066</v>
      </c>
      <c r="C164" s="10">
        <v>1</v>
      </c>
      <c r="D164" s="11"/>
      <c r="E164" s="69">
        <f t="shared" si="1438"/>
        <v>831</v>
      </c>
      <c r="F164" s="69">
        <f t="shared" si="1439"/>
        <v>72</v>
      </c>
      <c r="G164" s="11">
        <v>515</v>
      </c>
      <c r="H164" s="12">
        <f t="shared" si="1388"/>
        <v>0.63537906137184119</v>
      </c>
      <c r="I164" s="11">
        <v>13</v>
      </c>
      <c r="J164" s="12">
        <f t="shared" si="1389"/>
        <v>2.462121212121212E-2</v>
      </c>
      <c r="K164" s="13"/>
      <c r="L164" s="11"/>
      <c r="M164" s="39">
        <v>92.857142857142861</v>
      </c>
      <c r="N164" s="43">
        <v>100</v>
      </c>
      <c r="O164" s="10"/>
      <c r="P164" s="11"/>
      <c r="Q164" s="69">
        <f t="shared" si="1440"/>
        <v>754</v>
      </c>
      <c r="R164" s="69">
        <f t="shared" si="1441"/>
        <v>64</v>
      </c>
      <c r="S164" s="11">
        <v>457</v>
      </c>
      <c r="T164" s="12">
        <f t="shared" si="1390"/>
        <v>0.61936339522546424</v>
      </c>
      <c r="U164" s="11">
        <v>10</v>
      </c>
      <c r="V164" s="12">
        <f t="shared" si="1391"/>
        <v>2.1413276231263382E-2</v>
      </c>
      <c r="W164" s="13"/>
      <c r="X164" s="11"/>
      <c r="Y164" s="39">
        <v>87.179487179487182</v>
      </c>
      <c r="Z164" s="43">
        <v>100</v>
      </c>
      <c r="AA164" s="10"/>
      <c r="AB164" s="11"/>
      <c r="AC164" s="69">
        <f t="shared" si="1442"/>
        <v>172</v>
      </c>
      <c r="AD164" s="69">
        <f t="shared" si="1443"/>
        <v>13</v>
      </c>
      <c r="AE164" s="11">
        <v>102</v>
      </c>
      <c r="AF164" s="12">
        <f t="shared" si="1392"/>
        <v>0.60465116279069764</v>
      </c>
      <c r="AG164" s="11">
        <v>2</v>
      </c>
      <c r="AH164" s="12">
        <f t="shared" si="1393"/>
        <v>1.9230769230769232E-2</v>
      </c>
      <c r="AI164" s="13"/>
      <c r="AJ164" s="11"/>
      <c r="AK164" s="39">
        <v>88.888888888888886</v>
      </c>
      <c r="AL164" s="43">
        <v>100</v>
      </c>
      <c r="AM164" s="10"/>
      <c r="AN164" s="11"/>
      <c r="AO164" s="69">
        <f t="shared" si="1444"/>
        <v>769</v>
      </c>
      <c r="AP164" s="69">
        <f t="shared" si="1445"/>
        <v>64</v>
      </c>
      <c r="AQ164" s="11">
        <v>441</v>
      </c>
      <c r="AR164" s="12">
        <f t="shared" si="1394"/>
        <v>0.59427828348504552</v>
      </c>
      <c r="AS164" s="11">
        <v>16</v>
      </c>
      <c r="AT164" s="12">
        <f t="shared" si="1395"/>
        <v>3.5010940919037198E-2</v>
      </c>
      <c r="AU164" s="13"/>
      <c r="AV164" s="11"/>
      <c r="AW164" s="39">
        <v>82.5</v>
      </c>
      <c r="AX164" s="43">
        <v>73.333333333333329</v>
      </c>
      <c r="AY164" s="10"/>
      <c r="AZ164" s="11"/>
      <c r="BA164" s="69">
        <f t="shared" si="1446"/>
        <v>760</v>
      </c>
      <c r="BB164" s="69">
        <f t="shared" si="1447"/>
        <v>67</v>
      </c>
      <c r="BC164" s="11">
        <v>465</v>
      </c>
      <c r="BD164" s="12">
        <f t="shared" si="1396"/>
        <v>0.625</v>
      </c>
      <c r="BE164" s="11">
        <v>10</v>
      </c>
      <c r="BF164" s="12">
        <f t="shared" si="1397"/>
        <v>2.1052631578947368E-2</v>
      </c>
      <c r="BG164" s="13"/>
      <c r="BH164" s="11"/>
      <c r="BI164" s="39">
        <v>94.736842105263165</v>
      </c>
      <c r="BJ164" s="43">
        <v>100</v>
      </c>
      <c r="BK164" s="10">
        <v>1</v>
      </c>
      <c r="BL164" s="11"/>
      <c r="BM164" s="69">
        <f t="shared" si="1448"/>
        <v>822</v>
      </c>
      <c r="BN164" s="69">
        <f t="shared" si="1449"/>
        <v>71</v>
      </c>
      <c r="BO164" s="11">
        <v>517</v>
      </c>
      <c r="BP164" s="12">
        <f t="shared" si="1398"/>
        <v>0.64233576642335766</v>
      </c>
      <c r="BQ164" s="11">
        <v>11</v>
      </c>
      <c r="BR164" s="12">
        <f t="shared" si="1399"/>
        <v>2.0833333333333332E-2</v>
      </c>
      <c r="BS164" s="13"/>
      <c r="BT164" s="11"/>
      <c r="BU164" s="39">
        <v>70</v>
      </c>
      <c r="BV164" s="43">
        <v>92.857142857142861</v>
      </c>
      <c r="BW164" s="10">
        <v>2</v>
      </c>
      <c r="BX164" s="11"/>
      <c r="BY164" s="69">
        <f t="shared" si="1450"/>
        <v>750</v>
      </c>
      <c r="BZ164" s="69">
        <f t="shared" si="1451"/>
        <v>62</v>
      </c>
      <c r="CA164" s="11">
        <v>435</v>
      </c>
      <c r="CB164" s="12">
        <f t="shared" si="1400"/>
        <v>0.59733333333333338</v>
      </c>
      <c r="CC164" s="11">
        <v>13</v>
      </c>
      <c r="CD164" s="12">
        <f t="shared" si="1401"/>
        <v>2.9017857142857144E-2</v>
      </c>
      <c r="CE164" s="13"/>
      <c r="CF164" s="11"/>
      <c r="CG164" s="39">
        <v>80.487804878048777</v>
      </c>
      <c r="CH164" s="43">
        <v>100</v>
      </c>
      <c r="CI164" s="10"/>
      <c r="CJ164" s="11"/>
      <c r="CK164" s="69">
        <f t="shared" si="1452"/>
        <v>159</v>
      </c>
      <c r="CL164" s="69">
        <f t="shared" si="1453"/>
        <v>14</v>
      </c>
      <c r="CM164" s="11">
        <v>90</v>
      </c>
      <c r="CN164" s="12">
        <f t="shared" si="1402"/>
        <v>0.57861635220125784</v>
      </c>
      <c r="CO164" s="11">
        <v>2</v>
      </c>
      <c r="CP164" s="12">
        <f t="shared" si="1403"/>
        <v>2.1739130434782608E-2</v>
      </c>
      <c r="CQ164" s="13"/>
      <c r="CR164" s="11"/>
      <c r="CS164" s="39">
        <v>90</v>
      </c>
      <c r="CT164" s="43">
        <v>100</v>
      </c>
      <c r="CU164" s="10"/>
      <c r="CV164" s="11"/>
      <c r="CW164" s="69">
        <f t="shared" si="1454"/>
        <v>743</v>
      </c>
      <c r="CX164" s="69">
        <f t="shared" si="1455"/>
        <v>65</v>
      </c>
      <c r="CY164" s="11">
        <v>449</v>
      </c>
      <c r="CZ164" s="12">
        <f t="shared" si="1404"/>
        <v>0.61776581426648725</v>
      </c>
      <c r="DA164" s="11">
        <v>10</v>
      </c>
      <c r="DB164" s="12">
        <f t="shared" si="1405"/>
        <v>2.178649237472767E-2</v>
      </c>
      <c r="DC164" s="13"/>
      <c r="DD164" s="11"/>
      <c r="DE164" s="39">
        <v>85.714285714285708</v>
      </c>
      <c r="DF164" s="43">
        <v>86.666666666666671</v>
      </c>
      <c r="DG164" s="10">
        <v>1</v>
      </c>
      <c r="DH164" s="11"/>
      <c r="DI164" s="69">
        <f t="shared" si="1456"/>
        <v>747</v>
      </c>
      <c r="DJ164" s="69">
        <f t="shared" si="1457"/>
        <v>66</v>
      </c>
      <c r="DK164" s="11">
        <v>497</v>
      </c>
      <c r="DL164" s="12">
        <f t="shared" si="1406"/>
        <v>0.67068273092369479</v>
      </c>
      <c r="DM164" s="11">
        <v>4</v>
      </c>
      <c r="DN164" s="12">
        <f t="shared" si="1407"/>
        <v>7.9840319361277438E-3</v>
      </c>
      <c r="DO164" s="13"/>
      <c r="DP164" s="11"/>
      <c r="DQ164" s="39">
        <v>87.804878048780495</v>
      </c>
      <c r="DR164" s="43">
        <v>100</v>
      </c>
      <c r="DS164" s="10"/>
      <c r="DT164" s="11"/>
      <c r="DU164" s="69">
        <f t="shared" si="1458"/>
        <v>836</v>
      </c>
      <c r="DV164" s="69">
        <f t="shared" si="1459"/>
        <v>71</v>
      </c>
      <c r="DW164" s="11">
        <v>546</v>
      </c>
      <c r="DX164" s="12">
        <f t="shared" si="1408"/>
        <v>0.68062200956937802</v>
      </c>
      <c r="DY164" s="11">
        <v>23</v>
      </c>
      <c r="DZ164" s="12">
        <f t="shared" si="1409"/>
        <v>4.0421792618629174E-2</v>
      </c>
      <c r="EA164" s="13"/>
      <c r="EB164" s="11"/>
      <c r="EC164" s="39">
        <v>84.615384615384613</v>
      </c>
      <c r="ED164" s="43">
        <v>100</v>
      </c>
      <c r="EE164" s="10"/>
      <c r="EF164" s="11"/>
      <c r="EG164" s="69">
        <f t="shared" si="1460"/>
        <v>847</v>
      </c>
      <c r="EH164" s="69">
        <f t="shared" si="1461"/>
        <v>74</v>
      </c>
      <c r="EI164" s="11">
        <v>542</v>
      </c>
      <c r="EJ164" s="12">
        <f t="shared" si="1410"/>
        <v>0.65879574970484056</v>
      </c>
      <c r="EK164" s="11">
        <v>16</v>
      </c>
      <c r="EL164" s="12">
        <f t="shared" si="1411"/>
        <v>2.8673835125448029E-2</v>
      </c>
      <c r="EM164" s="13"/>
      <c r="EN164" s="11"/>
      <c r="EO164" s="39">
        <v>88.095238095238102</v>
      </c>
      <c r="EP164" s="43">
        <v>100</v>
      </c>
      <c r="EQ164" s="10"/>
      <c r="ER164" s="11"/>
      <c r="ES164" s="69">
        <f t="shared" si="1462"/>
        <v>188</v>
      </c>
      <c r="ET164" s="69">
        <f t="shared" si="1463"/>
        <v>16</v>
      </c>
      <c r="EU164" s="11">
        <v>116</v>
      </c>
      <c r="EV164" s="12">
        <f t="shared" si="1412"/>
        <v>0.65957446808510634</v>
      </c>
      <c r="EW164" s="11">
        <v>8</v>
      </c>
      <c r="EX164" s="12">
        <f t="shared" si="1413"/>
        <v>6.4516129032258063E-2</v>
      </c>
      <c r="EY164" s="13"/>
      <c r="EZ164" s="11"/>
      <c r="FA164" s="39">
        <v>92.307692307692307</v>
      </c>
      <c r="FB164" s="43">
        <v>100</v>
      </c>
      <c r="FC164" s="10"/>
      <c r="FD164" s="11"/>
      <c r="FE164" s="69">
        <f t="shared" si="1464"/>
        <v>860</v>
      </c>
      <c r="FF164" s="69">
        <f t="shared" si="1465"/>
        <v>74</v>
      </c>
      <c r="FG164" s="11">
        <v>581</v>
      </c>
      <c r="FH164" s="12">
        <f t="shared" si="1414"/>
        <v>0.70232558139534884</v>
      </c>
      <c r="FI164" s="11">
        <v>23</v>
      </c>
      <c r="FJ164" s="12">
        <f t="shared" si="1415"/>
        <v>3.8079470198675497E-2</v>
      </c>
      <c r="FK164" s="13"/>
      <c r="FL164" s="11"/>
      <c r="FM164" s="39">
        <v>89.473684210526315</v>
      </c>
      <c r="FN164" s="43">
        <v>100</v>
      </c>
      <c r="FO164" s="10"/>
      <c r="FP164" s="11"/>
      <c r="FQ164" s="69">
        <f t="shared" si="1466"/>
        <v>888</v>
      </c>
      <c r="FR164" s="69">
        <f t="shared" si="1467"/>
        <v>75</v>
      </c>
      <c r="FS164" s="11">
        <v>533</v>
      </c>
      <c r="FT164" s="12">
        <f t="shared" si="1416"/>
        <v>0.61599099099099097</v>
      </c>
      <c r="FU164" s="11">
        <v>14</v>
      </c>
      <c r="FV164" s="12">
        <f t="shared" si="1417"/>
        <v>2.5594149908592323E-2</v>
      </c>
      <c r="FW164" s="13"/>
      <c r="FX164" s="11"/>
      <c r="FY164" s="39">
        <v>80.952380952380949</v>
      </c>
      <c r="FZ164" s="43">
        <v>93.75</v>
      </c>
      <c r="GA164" s="10"/>
      <c r="GB164" s="11"/>
      <c r="GC164" s="69">
        <f t="shared" si="1468"/>
        <v>885</v>
      </c>
      <c r="GD164" s="69">
        <f t="shared" si="1469"/>
        <v>76</v>
      </c>
      <c r="GE164" s="11">
        <v>541</v>
      </c>
      <c r="GF164" s="12">
        <f t="shared" si="1418"/>
        <v>0.63050847457627124</v>
      </c>
      <c r="GG164" s="11">
        <v>17</v>
      </c>
      <c r="GH164" s="12">
        <f t="shared" si="1419"/>
        <v>3.046594982078853E-2</v>
      </c>
      <c r="GI164" s="13"/>
      <c r="GJ164" s="11"/>
      <c r="GK164" s="39">
        <v>83.333333333333329</v>
      </c>
      <c r="GL164" s="43">
        <v>100</v>
      </c>
      <c r="GM164" s="10">
        <v>2</v>
      </c>
      <c r="GN164" s="11"/>
      <c r="GO164" s="69">
        <f t="shared" si="1470"/>
        <v>169</v>
      </c>
      <c r="GP164" s="69">
        <f t="shared" si="1471"/>
        <v>17</v>
      </c>
      <c r="GQ164" s="11">
        <v>104</v>
      </c>
      <c r="GR164" s="12">
        <f t="shared" si="1420"/>
        <v>0.62130177514792895</v>
      </c>
      <c r="GS164" s="11">
        <v>1</v>
      </c>
      <c r="GT164" s="12">
        <f t="shared" si="1421"/>
        <v>9.5238095238095247E-3</v>
      </c>
      <c r="GU164" s="13"/>
      <c r="GV164" s="11"/>
      <c r="GW164" s="39">
        <v>58.333333333333336</v>
      </c>
      <c r="GX164" s="43">
        <v>100</v>
      </c>
      <c r="GY164" s="10"/>
      <c r="GZ164" s="11"/>
      <c r="HA164" s="69">
        <f t="shared" si="1472"/>
        <v>906</v>
      </c>
      <c r="HB164" s="69">
        <f t="shared" si="1473"/>
        <v>77</v>
      </c>
      <c r="HC164" s="11">
        <v>592</v>
      </c>
      <c r="HD164" s="12">
        <f t="shared" si="1422"/>
        <v>0.67880794701986757</v>
      </c>
      <c r="HE164" s="11">
        <v>23</v>
      </c>
      <c r="HF164" s="12">
        <f t="shared" si="1423"/>
        <v>3.7398373983739838E-2</v>
      </c>
      <c r="HG164" s="13"/>
      <c r="HH164" s="11"/>
      <c r="HI164" s="39">
        <v>84.444444444444443</v>
      </c>
      <c r="HJ164" s="43">
        <v>100</v>
      </c>
      <c r="HK164" s="10">
        <f t="shared" si="1424"/>
        <v>7</v>
      </c>
      <c r="HL164" s="11">
        <f t="shared" si="1425"/>
        <v>0</v>
      </c>
      <c r="HM164" s="11">
        <f t="shared" si="1426"/>
        <v>12086</v>
      </c>
      <c r="HN164" s="11">
        <f t="shared" si="1427"/>
        <v>1038</v>
      </c>
      <c r="HO164" s="11">
        <f t="shared" si="1428"/>
        <v>7739</v>
      </c>
      <c r="HP164" s="95">
        <f t="shared" si="1429"/>
        <v>0.64032765182856199</v>
      </c>
      <c r="HQ164" s="15">
        <f t="shared" si="1430"/>
        <v>216</v>
      </c>
      <c r="HR164" s="12">
        <f t="shared" si="1431"/>
        <v>2.791058276263083E-2</v>
      </c>
      <c r="HS164" s="16">
        <v>63.3</v>
      </c>
      <c r="HT164" s="17">
        <v>7349</v>
      </c>
      <c r="HU164" s="16">
        <f t="shared" si="1432"/>
        <v>94.960589223413876</v>
      </c>
      <c r="HV164" s="23">
        <v>83.388157894736835</v>
      </c>
      <c r="HW164" s="22">
        <v>91.629955947136565</v>
      </c>
      <c r="HX164" s="73">
        <f t="shared" si="1433"/>
        <v>0.6180766889835666</v>
      </c>
      <c r="HY164" s="73">
        <f t="shared" si="1434"/>
        <v>0.62961813101521269</v>
      </c>
      <c r="HZ164" s="73">
        <f t="shared" si="1435"/>
        <v>0.6792383742218967</v>
      </c>
      <c r="IA164" s="73">
        <f t="shared" si="1436"/>
        <v>0.6408005617977528</v>
      </c>
      <c r="IF164" s="85">
        <f>IF165/IF166</f>
        <v>2.4286581663630845E-3</v>
      </c>
      <c r="IG164" s="85">
        <f>IG165/IG166</f>
        <v>6.1709348966368406E-3</v>
      </c>
      <c r="IH164" s="85">
        <f>IH165/IH166</f>
        <v>2.1921812203142127E-3</v>
      </c>
      <c r="II164" s="85">
        <f>II165/II166</f>
        <v>2.4518388791593695E-3</v>
      </c>
      <c r="IJ164" s="88" t="s">
        <v>90</v>
      </c>
    </row>
    <row r="165" spans="1:244" ht="19.5" thickBot="1" x14ac:dyDescent="0.3">
      <c r="A165" s="374"/>
      <c r="B165" s="42"/>
      <c r="C165" s="26">
        <f>SUM(C158:C164)</f>
        <v>2</v>
      </c>
      <c r="D165" s="27">
        <f>SUM(D158:D164)</f>
        <v>0</v>
      </c>
      <c r="E165" s="27"/>
      <c r="F165" s="27"/>
      <c r="G165" s="27">
        <f>SUM(G158:G164)</f>
        <v>3741</v>
      </c>
      <c r="H165" s="28">
        <f>((G165+I165)/7)/E164</f>
        <v>0.65893072030256139</v>
      </c>
      <c r="I165" s="27">
        <f>SUM(I158:I164)</f>
        <v>92</v>
      </c>
      <c r="J165" s="28">
        <f>(I165/(I165+G165))</f>
        <v>2.4002087138011999E-2</v>
      </c>
      <c r="K165" s="27"/>
      <c r="L165" s="27"/>
      <c r="M165" s="29">
        <f>M163/M162*100-100</f>
        <v>18.778386477501513</v>
      </c>
      <c r="N165" s="67">
        <f>N163/N162*100-100</f>
        <v>5.0076804915514401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3352</v>
      </c>
      <c r="T165" s="28">
        <f>((S165+U165)/7)/Q164</f>
        <v>0.64948844259189087</v>
      </c>
      <c r="U165" s="27">
        <f>SUM(U158:U164)</f>
        <v>76</v>
      </c>
      <c r="V165" s="28">
        <f>(U165/(U165+S165))</f>
        <v>2.2170361726954493E-2</v>
      </c>
      <c r="W165" s="27"/>
      <c r="X165" s="27"/>
      <c r="Y165" s="29">
        <f>Y163/Y162*100-100</f>
        <v>17.218818546252152</v>
      </c>
      <c r="Z165" s="67">
        <f>Z163/Z162*100-100</f>
        <v>12.611367127496152</v>
      </c>
      <c r="AA165" s="26">
        <f>SUM(AA158:AA164)</f>
        <v>0</v>
      </c>
      <c r="AB165" s="27">
        <f>SUM(AB158:AB164)</f>
        <v>0</v>
      </c>
      <c r="AC165" s="27"/>
      <c r="AD165" s="27"/>
      <c r="AE165" s="27">
        <f>SUM(AE158:AE164)</f>
        <v>763</v>
      </c>
      <c r="AF165" s="28">
        <f>((AE165+AG165)/7)/AC164</f>
        <v>0.6486710963455149</v>
      </c>
      <c r="AG165" s="27">
        <f>SUM(AG158:AG164)</f>
        <v>18</v>
      </c>
      <c r="AH165" s="28">
        <f>(AG165/(AG165+AE165))</f>
        <v>2.3047375160051217E-2</v>
      </c>
      <c r="AI165" s="27"/>
      <c r="AJ165" s="27"/>
      <c r="AK165" s="29">
        <f>AK163/AK162*100-100</f>
        <v>13.104992898503227</v>
      </c>
      <c r="AL165" s="67">
        <f>AL163/AL162*100-100</f>
        <v>6.8202764976958576</v>
      </c>
      <c r="AM165" s="26">
        <f>SUM(AM158:AM164)</f>
        <v>2</v>
      </c>
      <c r="AN165" s="27">
        <f>SUM(AN158:AN164)</f>
        <v>0</v>
      </c>
      <c r="AO165" s="27"/>
      <c r="AP165" s="27"/>
      <c r="AQ165" s="27">
        <f>SUM(AQ158:AQ164)</f>
        <v>3345</v>
      </c>
      <c r="AR165" s="28">
        <f>((AQ165+AS165)/7)/AO164</f>
        <v>0.63570499721344975</v>
      </c>
      <c r="AS165" s="27">
        <f>SUM(AS158:AS164)</f>
        <v>77</v>
      </c>
      <c r="AT165" s="28">
        <f>(AS165/(AS165+AQ165))</f>
        <v>2.250146113383986E-2</v>
      </c>
      <c r="AU165" s="27"/>
      <c r="AV165" s="27"/>
      <c r="AW165" s="29">
        <f>AW163/AW162*100-100</f>
        <v>16.236479842674527</v>
      </c>
      <c r="AX165" s="67">
        <f>AX163/AX162*100-100</f>
        <v>11.612903225806463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3524</v>
      </c>
      <c r="BD165" s="28">
        <f>((BC165+BE165)/7)/BA164</f>
        <v>0.6774436090225564</v>
      </c>
      <c r="BE165" s="27">
        <f>SUM(BE158:BE164)</f>
        <v>80</v>
      </c>
      <c r="BF165" s="28">
        <f>(BE165/(BE165+BC165))</f>
        <v>2.2197558268590455E-2</v>
      </c>
      <c r="BG165" s="27"/>
      <c r="BH165" s="27"/>
      <c r="BI165" s="29">
        <f>BI163/BI162*100-100</f>
        <v>17.567147958391558</v>
      </c>
      <c r="BJ165" s="67">
        <f>BJ163/BJ162*100-100</f>
        <v>12.688172043010752</v>
      </c>
      <c r="BK165" s="26">
        <f>SUM(BK158:BK164)</f>
        <v>5</v>
      </c>
      <c r="BL165" s="27">
        <f>SUM(BL158:BL164)</f>
        <v>0</v>
      </c>
      <c r="BM165" s="27"/>
      <c r="BN165" s="27"/>
      <c r="BO165" s="27">
        <f>SUM(BO158:BO164)</f>
        <v>3812</v>
      </c>
      <c r="BP165" s="28">
        <f>((BO165+BQ165)/7)/BM164</f>
        <v>0.67709419534237048</v>
      </c>
      <c r="BQ165" s="27">
        <f>SUM(BQ158:BQ164)</f>
        <v>84</v>
      </c>
      <c r="BR165" s="28">
        <f>(BQ165/(BQ165+BO165))</f>
        <v>2.1560574948665298E-2</v>
      </c>
      <c r="BS165" s="27"/>
      <c r="BT165" s="27"/>
      <c r="BU165" s="29">
        <f>BU163/BU162*100-100</f>
        <v>15.204031465093408</v>
      </c>
      <c r="BV165" s="67">
        <f>BV163/BV162*100-100</f>
        <v>4.0651744568795323</v>
      </c>
      <c r="BW165" s="26">
        <f>SUM(BW158:BW164)</f>
        <v>2</v>
      </c>
      <c r="BX165" s="27">
        <f>SUM(BX158:BX164)</f>
        <v>1</v>
      </c>
      <c r="BY165" s="27"/>
      <c r="BZ165" s="27"/>
      <c r="CA165" s="27">
        <f>SUM(CA158:CA164)</f>
        <v>3318</v>
      </c>
      <c r="CB165" s="28">
        <f>((CA165+CC165)/7)/BY164</f>
        <v>0.64533333333333331</v>
      </c>
      <c r="CC165" s="27">
        <f>SUM(CC158:CC164)</f>
        <v>70</v>
      </c>
      <c r="CD165" s="28">
        <f>(CC165/(CC165+CA165))</f>
        <v>2.0661157024793389E-2</v>
      </c>
      <c r="CE165" s="27"/>
      <c r="CF165" s="27"/>
      <c r="CG165" s="29">
        <f>CG163/CG162*100-100</f>
        <v>11.980478211861765</v>
      </c>
      <c r="CH165" s="67">
        <f>CH163/CH162*100-100</f>
        <v>8.7393021724819135</v>
      </c>
      <c r="CI165" s="26">
        <f>SUM(CI158:CI164)</f>
        <v>7</v>
      </c>
      <c r="CJ165" s="27">
        <f>SUM(CJ158:CJ164)</f>
        <v>0</v>
      </c>
      <c r="CK165" s="27"/>
      <c r="CL165" s="27"/>
      <c r="CM165" s="27">
        <f>SUM(CM158:CM164)</f>
        <v>635</v>
      </c>
      <c r="CN165" s="28">
        <f>((CM165+CO165)/7)/CK164</f>
        <v>0.58041329739442948</v>
      </c>
      <c r="CO165" s="27">
        <f>SUM(CO158:CO164)</f>
        <v>11</v>
      </c>
      <c r="CP165" s="28">
        <f>(CO165/(CO165+CM165))</f>
        <v>1.7027863777089782E-2</v>
      </c>
      <c r="CQ165" s="27"/>
      <c r="CR165" s="27"/>
      <c r="CS165" s="29">
        <f>CS163/CS162*100-100</f>
        <v>18.092428711897739</v>
      </c>
      <c r="CT165" s="67">
        <f>CT163/CT162*100-100</f>
        <v>9.0322580645161281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3205</v>
      </c>
      <c r="CZ165" s="28">
        <f>((CY165+DA165)/7)/CW164</f>
        <v>0.6306479523168621</v>
      </c>
      <c r="DA165" s="27">
        <f>SUM(DA158:DA164)</f>
        <v>75</v>
      </c>
      <c r="DB165" s="28">
        <f>(DA165/(DA165+CY165))</f>
        <v>2.2865853658536585E-2</v>
      </c>
      <c r="DC165" s="27"/>
      <c r="DD165" s="27"/>
      <c r="DE165" s="29">
        <f>DE163/DE162*100-100</f>
        <v>16.434892541087237</v>
      </c>
      <c r="DF165" s="67">
        <f>DF163/DF162*100-100</f>
        <v>9.4623655913978553</v>
      </c>
      <c r="DG165" s="26">
        <f>SUM(DG158:DG164)</f>
        <v>5</v>
      </c>
      <c r="DH165" s="27">
        <f>SUM(DH158:DH164)</f>
        <v>0</v>
      </c>
      <c r="DI165" s="27"/>
      <c r="DJ165" s="27"/>
      <c r="DK165" s="27">
        <f>SUM(DK158:DK164)</f>
        <v>3552</v>
      </c>
      <c r="DL165" s="28">
        <f>((DK165+DM165)/7)/DI164</f>
        <v>0.69267546375980116</v>
      </c>
      <c r="DM165" s="27">
        <f>SUM(DM158:DM164)</f>
        <v>70</v>
      </c>
      <c r="DN165" s="28">
        <f>(DM165/(DM165+DK165))</f>
        <v>1.932633903920486E-2</v>
      </c>
      <c r="DO165" s="27"/>
      <c r="DP165" s="27"/>
      <c r="DQ165" s="29">
        <f>DQ163/DQ162*100-100</f>
        <v>17.142720099767359</v>
      </c>
      <c r="DR165" s="67">
        <f>DR163/DR162*100-100</f>
        <v>16.430343849698687</v>
      </c>
      <c r="DS165" s="26">
        <f>SUM(DS158:DS164)</f>
        <v>1</v>
      </c>
      <c r="DT165" s="27">
        <f>SUM(DT158:DT164)</f>
        <v>0</v>
      </c>
      <c r="DU165" s="27"/>
      <c r="DV165" s="27"/>
      <c r="DW165" s="27">
        <f>SUM(DW158:DW164)</f>
        <v>3912</v>
      </c>
      <c r="DX165" s="28">
        <f>((DW165+DY165)/7)/DU164</f>
        <v>0.69172932330827075</v>
      </c>
      <c r="DY165" s="27">
        <f>SUM(DY158:DY164)</f>
        <v>136</v>
      </c>
      <c r="DZ165" s="28">
        <f>(DY165/(DY165+DW165))</f>
        <v>3.3596837944664032E-2</v>
      </c>
      <c r="EA165" s="27"/>
      <c r="EB165" s="27"/>
      <c r="EC165" s="29">
        <f>EC163/EC162*100-100</f>
        <v>15.655648841489551</v>
      </c>
      <c r="ED165" s="67">
        <f>ED163/ED162*100-100</f>
        <v>4.2558959067497995</v>
      </c>
      <c r="EE165" s="26">
        <f>SUM(EE158:EE164)</f>
        <v>2</v>
      </c>
      <c r="EF165" s="27">
        <f>SUM(EF158:EF164)</f>
        <v>0</v>
      </c>
      <c r="EG165" s="27"/>
      <c r="EH165" s="27"/>
      <c r="EI165" s="27">
        <f>SUM(EI158:EI164)</f>
        <v>3870</v>
      </c>
      <c r="EJ165" s="28">
        <f>((EI165+EK165)/7)/EG164</f>
        <v>0.67414403778040144</v>
      </c>
      <c r="EK165" s="27">
        <f>SUM(EK158:EK164)</f>
        <v>127</v>
      </c>
      <c r="EL165" s="28">
        <f>(EK165/(EK165+EI165))</f>
        <v>3.1773830372779588E-2</v>
      </c>
      <c r="EM165" s="27"/>
      <c r="EN165" s="27"/>
      <c r="EO165" s="29">
        <f>EO163/EO162*100-100</f>
        <v>18.20480404551202</v>
      </c>
      <c r="EP165" s="67">
        <f>EP163/EP162*100-100</f>
        <v>11.203917050691231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838</v>
      </c>
      <c r="EV165" s="28">
        <f>((EU165+EW165)/7)/ES164</f>
        <v>0.65881458966565354</v>
      </c>
      <c r="EW165" s="27">
        <f>SUM(EW158:EW164)</f>
        <v>29</v>
      </c>
      <c r="EX165" s="28">
        <f>(EW165/(EW165+EU165))</f>
        <v>3.3448673587081888E-2</v>
      </c>
      <c r="EY165" s="27"/>
      <c r="EZ165" s="27"/>
      <c r="FA165" s="29">
        <f>FA163/FA162*100-100</f>
        <v>11.546025262839407</v>
      </c>
      <c r="FB165" s="67">
        <f>FB163/FB162*100-100</f>
        <v>-1.0368663594470036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4083</v>
      </c>
      <c r="FH165" s="28">
        <f>((FG165+FI165)/7)/FE164</f>
        <v>0.69302325581395352</v>
      </c>
      <c r="FI165" s="27">
        <f>SUM(FI158:FI164)</f>
        <v>89</v>
      </c>
      <c r="FJ165" s="28">
        <f>(FI165/(FI165+FG165))</f>
        <v>2.1332694151486097E-2</v>
      </c>
      <c r="FK165" s="27"/>
      <c r="FL165" s="27"/>
      <c r="FM165" s="29">
        <f>FM163/FM162*100-100</f>
        <v>15.600579620141815</v>
      </c>
      <c r="FN165" s="67">
        <f>FN163/FN162*100-100</f>
        <v>12.442396313364057</v>
      </c>
      <c r="FO165" s="26">
        <f>SUM(FO158:FO164)</f>
        <v>2</v>
      </c>
      <c r="FP165" s="27">
        <f>SUM(FP158:FP164)</f>
        <v>0</v>
      </c>
      <c r="FQ165" s="27"/>
      <c r="FR165" s="27"/>
      <c r="FS165" s="27">
        <f>SUM(FS158:FS164)</f>
        <v>3978</v>
      </c>
      <c r="FT165" s="28">
        <f>((FS165+FU165)/7)/FQ164</f>
        <v>0.65653153153153154</v>
      </c>
      <c r="FU165" s="27">
        <f>SUM(FU158:FU164)</f>
        <v>103</v>
      </c>
      <c r="FV165" s="28">
        <f>(FU165/(FU165+FS165))</f>
        <v>2.5238912031364861E-2</v>
      </c>
      <c r="FW165" s="27"/>
      <c r="FX165" s="27"/>
      <c r="FY165" s="29">
        <f>FY163/FY162*100-100</f>
        <v>21.435594886922331</v>
      </c>
      <c r="FZ165" s="67">
        <f>FZ163/FZ162*100-100</f>
        <v>6.5812211981566691</v>
      </c>
      <c r="GA165" s="26">
        <f>SUM(GA158:GA164)</f>
        <v>2</v>
      </c>
      <c r="GB165" s="27">
        <f>SUM(GB158:GB164)</f>
        <v>0</v>
      </c>
      <c r="GC165" s="27"/>
      <c r="GD165" s="27"/>
      <c r="GE165" s="27">
        <f>SUM(GE158:GE164)</f>
        <v>3945</v>
      </c>
      <c r="GF165" s="28">
        <f>((GE165+GG165)/7)/GC164</f>
        <v>0.65601291364003222</v>
      </c>
      <c r="GG165" s="27">
        <f>SUM(GG158:GG164)</f>
        <v>119</v>
      </c>
      <c r="GH165" s="28">
        <f>(GG165/(GG165+GE165))</f>
        <v>2.9281496062992126E-2</v>
      </c>
      <c r="GI165" s="27"/>
      <c r="GJ165" s="27"/>
      <c r="GK165" s="29">
        <f>GK163/GK162*100-100</f>
        <v>13.739055110736516</v>
      </c>
      <c r="GL165" s="67">
        <f>GL163/GL162*100-100</f>
        <v>9.9942396313364128</v>
      </c>
      <c r="GM165" s="26">
        <f>SUM(GM158:GM164)</f>
        <v>3</v>
      </c>
      <c r="GN165" s="27">
        <f>SUM(GN158:GN164)</f>
        <v>0</v>
      </c>
      <c r="GO165" s="27"/>
      <c r="GP165" s="27"/>
      <c r="GQ165" s="27">
        <f>SUM(GQ158:GQ164)</f>
        <v>783</v>
      </c>
      <c r="GR165" s="28">
        <f>((GQ165+GS165)/7)/GO164</f>
        <v>0.6796280642434489</v>
      </c>
      <c r="GS165" s="27">
        <f>SUM(GS158:GS164)</f>
        <v>21</v>
      </c>
      <c r="GT165" s="28">
        <f>(GS165/(GS165+GQ165))</f>
        <v>2.6119402985074626E-2</v>
      </c>
      <c r="GU165" s="27"/>
      <c r="GV165" s="27"/>
      <c r="GW165" s="29">
        <f>GW163/GW162*100-100</f>
        <v>10.988200589970504</v>
      </c>
      <c r="GX165" s="67">
        <f>GX163/GX162*100-100</f>
        <v>1.0944700460829466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4178</v>
      </c>
      <c r="HD165" s="28">
        <f>((HC165+HE165)/7)/HA164</f>
        <v>0.67234310942920206</v>
      </c>
      <c r="HE165" s="27">
        <f>SUM(HE158:HE164)</f>
        <v>86</v>
      </c>
      <c r="HF165" s="28">
        <f>(HE165/(HE165+HC165))</f>
        <v>2.0168855534709193E-2</v>
      </c>
      <c r="HG165" s="27"/>
      <c r="HH165" s="27"/>
      <c r="HI165" s="29">
        <f>HI163/HI162*100-100</f>
        <v>17.038129575002742</v>
      </c>
      <c r="HJ165" s="67">
        <f>HJ163/HJ162*100-100</f>
        <v>12.052463665366901</v>
      </c>
      <c r="HK165" s="26">
        <f t="shared" si="1424"/>
        <v>41</v>
      </c>
      <c r="HL165" s="27">
        <f t="shared" si="1425"/>
        <v>1</v>
      </c>
      <c r="HM165" s="27">
        <f t="shared" si="1426"/>
        <v>0</v>
      </c>
      <c r="HN165" s="27">
        <f t="shared" si="1427"/>
        <v>0</v>
      </c>
      <c r="HO165" s="27">
        <f t="shared" si="1428"/>
        <v>56197</v>
      </c>
      <c r="HP165" s="96">
        <f>+((HO165)/HM164)/7</f>
        <v>0.66425143613626159</v>
      </c>
      <c r="HQ165" s="62">
        <f t="shared" si="1430"/>
        <v>1363</v>
      </c>
      <c r="HR165" s="52">
        <f t="shared" si="1431"/>
        <v>2.4253963734718935E-2</v>
      </c>
      <c r="HS165" s="53">
        <f>SUM(HS158:HS164)/7</f>
        <v>63.628571428571426</v>
      </c>
      <c r="HT165" s="54">
        <f>SUM(HT158:HT164)</f>
        <v>53600</v>
      </c>
      <c r="HU165" s="53">
        <f>AVERAGE(HU158:HU164)</f>
        <v>95.376712294307708</v>
      </c>
      <c r="HV165" s="63">
        <f>HV163/HV162*100-100</f>
        <v>16.361088469699325</v>
      </c>
      <c r="HW165" s="67">
        <f>HW163/HW162*100-100</f>
        <v>9.2653119226943375</v>
      </c>
      <c r="HX165" s="73">
        <f>SUM(G165,I165,S165,U165,AE165,AG165,AQ165,AS165,BC165,BE165)/7/SUM(E164,Q164,AC164,AO164,BA164)</f>
        <v>0.65507347187201104</v>
      </c>
      <c r="HY165" s="73">
        <f>SUM(BO165,BQ165,CA165,CC165,CM165,CO165,CY165,DA165,DK165,DM165)/7/SUM(BM164,BY164,CK164,CW164,DI164)</f>
        <v>0.65782587483922472</v>
      </c>
      <c r="HZ165" s="73">
        <f>SUM(DW165,DY165,EI165,EK165,EU165,EW165,FG165,FI165)/7/SUM(DU164,EG164,ES164,FE164)</f>
        <v>0.68441701103729669</v>
      </c>
      <c r="IA165" s="73">
        <f>SUM(FS165,FU165,GE165,GG165,GQ165,GS165,HC165,HE165)/7/SUM(FQ164,GC164,GO164,HA164)</f>
        <v>0.6627708667736758</v>
      </c>
      <c r="IB165" s="84">
        <f>SUM(I165,U165,AG165,AS165,BE165)/SUM(G165,I165,S165,U165,AE165,AG165,AQ165,AS165,BC165,BE165)</f>
        <v>2.2763472259092116E-2</v>
      </c>
      <c r="IC165" s="84">
        <f>SUM(BQ165,CC165,CO165,DA165,DM165)/SUM(BO165,BQ165,CA165,CC165,CM165,CO165,CY165,DA165,DK165,DM165)</f>
        <v>2.0900755124056095E-2</v>
      </c>
      <c r="ID165" s="84">
        <f>SUM(DY165,EK165,EW165,FI165)/SUM(DW165,DY165,EI165,EK165,EU165,EW165,FG165,FI165)</f>
        <v>2.9119535310302661E-2</v>
      </c>
      <c r="IE165" s="84">
        <f>SUM(FU165,GG165,GS165,HE165)/SUM(FS165,FU165,GE165,GG165,GQ165,GS165,HC165,HE165)</f>
        <v>2.4899719972754107E-2</v>
      </c>
      <c r="IF165" s="86">
        <f>SUM(C165,O165,AA165,AM165,AY165)</f>
        <v>8</v>
      </c>
      <c r="IG165" s="86">
        <f>SUM(BK165,BW165,CI165,CU165,DG165)</f>
        <v>20</v>
      </c>
      <c r="IH165" s="86">
        <f>SUM(DS165,EE165,EQ165,FC165)</f>
        <v>6</v>
      </c>
      <c r="II165" s="86">
        <f>SUM(FO165,GA165,GM165,GY165)</f>
        <v>7</v>
      </c>
      <c r="IJ165" s="88" t="s">
        <v>89</v>
      </c>
    </row>
    <row r="166" spans="1:244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HK165/HM158</f>
        <v>3.3828382838283827E-3</v>
      </c>
      <c r="HL166" s="66">
        <f>HL165/HN158</f>
        <v>9.6339113680154141E-4</v>
      </c>
      <c r="HM166" s="45"/>
      <c r="HN166" s="45"/>
      <c r="HO166" s="45"/>
      <c r="HP166" s="98"/>
      <c r="HQ166" s="45"/>
      <c r="HR166" s="45"/>
      <c r="HS166" s="45"/>
      <c r="HT166" s="55"/>
      <c r="HU166" s="45"/>
      <c r="HV166" s="45"/>
      <c r="HW166" s="46"/>
      <c r="HY166" s="72"/>
      <c r="HZ166" s="72"/>
      <c r="IA166" s="72"/>
      <c r="IF166" s="86">
        <f>SUM(E155,Q155,AC155,AO155,BA155)</f>
        <v>3294</v>
      </c>
      <c r="IG166" s="86">
        <f>SUM(BM155,BY155,CK155,CW155,DI155)</f>
        <v>3241</v>
      </c>
      <c r="IH166" s="86">
        <f>SUM(DU155,EG155,ES155,FE155)</f>
        <v>2737</v>
      </c>
      <c r="II166" s="86">
        <f>SUM(FQ155,GC155,GO155,HA155)</f>
        <v>2855</v>
      </c>
      <c r="IJ166" s="88" t="s">
        <v>84</v>
      </c>
    </row>
    <row r="167" spans="1:244" x14ac:dyDescent="0.25">
      <c r="A167" s="373">
        <v>43</v>
      </c>
      <c r="B167" s="68">
        <f>B164+1</f>
        <v>45067</v>
      </c>
      <c r="C167" s="33"/>
      <c r="D167" s="34"/>
      <c r="E167" s="34">
        <f>E164-C167</f>
        <v>831</v>
      </c>
      <c r="F167" s="34">
        <f>F164-D167</f>
        <v>72</v>
      </c>
      <c r="G167" s="34">
        <v>517</v>
      </c>
      <c r="H167" s="35">
        <f t="shared" ref="H167:H173" si="1474">((G167+I167)/E167)</f>
        <v>0.64861612515042122</v>
      </c>
      <c r="I167" s="34">
        <v>22</v>
      </c>
      <c r="J167" s="35">
        <f t="shared" ref="J167:J173" si="1475">I167/(G167+I167)</f>
        <v>4.0816326530612242E-2</v>
      </c>
      <c r="K167" s="36"/>
      <c r="L167" s="34"/>
      <c r="M167" s="34"/>
      <c r="N167" s="37"/>
      <c r="O167" s="33"/>
      <c r="P167" s="34"/>
      <c r="Q167" s="34">
        <f>Q164-O167</f>
        <v>754</v>
      </c>
      <c r="R167" s="34">
        <f>R164-P167</f>
        <v>64</v>
      </c>
      <c r="S167" s="34">
        <v>430</v>
      </c>
      <c r="T167" s="35">
        <f t="shared" ref="T167:T173" si="1476">((S167+U167)/Q167)</f>
        <v>0.58620689655172409</v>
      </c>
      <c r="U167" s="34">
        <v>12</v>
      </c>
      <c r="V167" s="35">
        <f t="shared" ref="V167:V173" si="1477">U167/(S167+U167)</f>
        <v>2.7149321266968326E-2</v>
      </c>
      <c r="W167" s="36"/>
      <c r="X167" s="34"/>
      <c r="Y167" s="34"/>
      <c r="Z167" s="37"/>
      <c r="AA167" s="33"/>
      <c r="AB167" s="34"/>
      <c r="AC167" s="34">
        <f>AC164-AA167</f>
        <v>172</v>
      </c>
      <c r="AD167" s="34">
        <f>AD164-AB167</f>
        <v>13</v>
      </c>
      <c r="AE167" s="34">
        <v>94</v>
      </c>
      <c r="AF167" s="35">
        <f t="shared" ref="AF167:AF173" si="1478">((AE167+AG167)/AC167)</f>
        <v>0.57558139534883723</v>
      </c>
      <c r="AG167" s="34">
        <v>5</v>
      </c>
      <c r="AH167" s="35">
        <f t="shared" ref="AH167:AH173" si="1479">AG167/(AE167+AG167)</f>
        <v>5.0505050505050504E-2</v>
      </c>
      <c r="AI167" s="36"/>
      <c r="AJ167" s="34"/>
      <c r="AK167" s="34"/>
      <c r="AL167" s="37"/>
      <c r="AM167" s="33">
        <v>1</v>
      </c>
      <c r="AN167" s="34"/>
      <c r="AO167" s="34">
        <f>AO164-AM167</f>
        <v>768</v>
      </c>
      <c r="AP167" s="34">
        <f>AP164-AN167</f>
        <v>64</v>
      </c>
      <c r="AQ167" s="34">
        <v>439</v>
      </c>
      <c r="AR167" s="35">
        <f t="shared" ref="AR167:AR173" si="1480">((AQ167+AS167)/AO167)</f>
        <v>0.58333333333333337</v>
      </c>
      <c r="AS167" s="34">
        <v>9</v>
      </c>
      <c r="AT167" s="35">
        <f t="shared" ref="AT167:AT173" si="1481">AS167/(AQ167+AS167)</f>
        <v>2.0089285714285716E-2</v>
      </c>
      <c r="AU167" s="36"/>
      <c r="AV167" s="34"/>
      <c r="AW167" s="34"/>
      <c r="AX167" s="37"/>
      <c r="AY167" s="33">
        <v>2</v>
      </c>
      <c r="AZ167" s="34"/>
      <c r="BA167" s="34">
        <f>BA164-AY167</f>
        <v>758</v>
      </c>
      <c r="BB167" s="34">
        <f>BB164-AZ167</f>
        <v>67</v>
      </c>
      <c r="BC167" s="34">
        <v>498</v>
      </c>
      <c r="BD167" s="35">
        <f t="shared" ref="BD167:BD173" si="1482">((BC167+BE167)/BA167)</f>
        <v>0.68205804749340371</v>
      </c>
      <c r="BE167" s="34">
        <v>19</v>
      </c>
      <c r="BF167" s="35">
        <f t="shared" ref="BF167:BF173" si="1483">BE167/(BC167+BE167)</f>
        <v>3.6750483558994199E-2</v>
      </c>
      <c r="BG167" s="36"/>
      <c r="BH167" s="34"/>
      <c r="BI167" s="34"/>
      <c r="BJ167" s="37"/>
      <c r="BK167" s="33">
        <v>1</v>
      </c>
      <c r="BL167" s="34"/>
      <c r="BM167" s="34">
        <f>BM164-BK167</f>
        <v>821</v>
      </c>
      <c r="BN167" s="34">
        <f>BN164-BL167</f>
        <v>71</v>
      </c>
      <c r="BO167" s="34">
        <v>549</v>
      </c>
      <c r="BP167" s="35">
        <f t="shared" ref="BP167:BP173" si="1484">((BO167+BQ167)/BM167)</f>
        <v>0.68696711327649207</v>
      </c>
      <c r="BQ167" s="34">
        <v>15</v>
      </c>
      <c r="BR167" s="35">
        <f t="shared" ref="BR167:BR173" si="1485">BQ167/(BO167+BQ167)</f>
        <v>2.6595744680851064E-2</v>
      </c>
      <c r="BS167" s="36"/>
      <c r="BT167" s="34"/>
      <c r="BU167" s="34"/>
      <c r="BV167" s="37"/>
      <c r="BW167" s="33"/>
      <c r="BX167" s="34"/>
      <c r="BY167" s="34">
        <f>BY164-BW167</f>
        <v>750</v>
      </c>
      <c r="BZ167" s="34">
        <f>BZ164-BX167</f>
        <v>62</v>
      </c>
      <c r="CA167" s="34">
        <v>454</v>
      </c>
      <c r="CB167" s="35">
        <f t="shared" ref="CB167:CB173" si="1486">((CA167+CC167)/BY167)</f>
        <v>0.61733333333333329</v>
      </c>
      <c r="CC167" s="34">
        <v>9</v>
      </c>
      <c r="CD167" s="35">
        <f t="shared" ref="CD167:CD173" si="1487">CC167/(CA167+CC167)</f>
        <v>1.9438444924406047E-2</v>
      </c>
      <c r="CE167" s="36"/>
      <c r="CF167" s="34"/>
      <c r="CG167" s="34"/>
      <c r="CH167" s="37"/>
      <c r="CI167" s="33"/>
      <c r="CJ167" s="34"/>
      <c r="CK167" s="34">
        <f>CK164-CI167</f>
        <v>159</v>
      </c>
      <c r="CL167" s="34">
        <f>CL164-CJ167</f>
        <v>14</v>
      </c>
      <c r="CM167" s="34">
        <v>90</v>
      </c>
      <c r="CN167" s="35">
        <f t="shared" ref="CN167:CN173" si="1488">((CM167+CO167)/CK167)</f>
        <v>0.60377358490566035</v>
      </c>
      <c r="CO167" s="34">
        <v>6</v>
      </c>
      <c r="CP167" s="35">
        <f t="shared" ref="CP167:CP173" si="1489">CO167/(CM167+CO167)</f>
        <v>6.25E-2</v>
      </c>
      <c r="CQ167" s="36"/>
      <c r="CR167" s="34"/>
      <c r="CS167" s="34"/>
      <c r="CT167" s="37"/>
      <c r="CU167" s="33"/>
      <c r="CV167" s="34">
        <v>1</v>
      </c>
      <c r="CW167" s="34">
        <f>CW164-CU167</f>
        <v>743</v>
      </c>
      <c r="CX167" s="34">
        <f>CX164-CV167</f>
        <v>64</v>
      </c>
      <c r="CY167" s="34">
        <v>453</v>
      </c>
      <c r="CZ167" s="35">
        <f t="shared" ref="CZ167:CZ173" si="1490">((CY167+DA167)/CW167)</f>
        <v>0.62180349932705248</v>
      </c>
      <c r="DA167" s="34">
        <v>9</v>
      </c>
      <c r="DB167" s="35">
        <f t="shared" ref="DB167:DB173" si="1491">DA167/(CY167+DA167)</f>
        <v>1.948051948051948E-2</v>
      </c>
      <c r="DC167" s="36"/>
      <c r="DD167" s="34"/>
      <c r="DE167" s="34"/>
      <c r="DF167" s="37"/>
      <c r="DG167" s="33">
        <v>1</v>
      </c>
      <c r="DH167" s="34"/>
      <c r="DI167" s="34">
        <f>DI164-DG167</f>
        <v>746</v>
      </c>
      <c r="DJ167" s="34">
        <f>DJ164-DH167</f>
        <v>66</v>
      </c>
      <c r="DK167" s="34">
        <v>513</v>
      </c>
      <c r="DL167" s="35">
        <f t="shared" ref="DL167:DL173" si="1492">((DK167+DM167)/DI167)</f>
        <v>0.70375335120643434</v>
      </c>
      <c r="DM167" s="34">
        <v>12</v>
      </c>
      <c r="DN167" s="35">
        <f t="shared" ref="DN167:DN173" si="1493">DM167/(DK167+DM167)</f>
        <v>2.2857142857142857E-2</v>
      </c>
      <c r="DO167" s="36"/>
      <c r="DP167" s="34"/>
      <c r="DQ167" s="34"/>
      <c r="DR167" s="37"/>
      <c r="DS167" s="33"/>
      <c r="DT167" s="34"/>
      <c r="DU167" s="34">
        <f>DU164-DS167</f>
        <v>836</v>
      </c>
      <c r="DV167" s="34">
        <f>DV164-DT167</f>
        <v>71</v>
      </c>
      <c r="DW167" s="34">
        <v>585</v>
      </c>
      <c r="DX167" s="35">
        <f t="shared" ref="DX167:DX173" si="1494">((DW167+DY167)/DU167)</f>
        <v>0.7212918660287081</v>
      </c>
      <c r="DY167" s="34">
        <v>18</v>
      </c>
      <c r="DZ167" s="35">
        <f t="shared" ref="DZ167:DZ173" si="1495">DY167/(DW167+DY167)</f>
        <v>2.9850746268656716E-2</v>
      </c>
      <c r="EA167" s="36"/>
      <c r="EB167" s="34"/>
      <c r="EC167" s="34"/>
      <c r="ED167" s="37"/>
      <c r="EE167" s="33"/>
      <c r="EF167" s="34"/>
      <c r="EG167" s="34">
        <f>EG164-EE167</f>
        <v>847</v>
      </c>
      <c r="EH167" s="34">
        <f>EH164-EF167</f>
        <v>74</v>
      </c>
      <c r="EI167" s="34">
        <v>541</v>
      </c>
      <c r="EJ167" s="35">
        <f t="shared" ref="EJ167:EJ173" si="1496">((EI167+EK167)/EG167)</f>
        <v>0.65761511216056667</v>
      </c>
      <c r="EK167" s="34">
        <v>16</v>
      </c>
      <c r="EL167" s="35">
        <f t="shared" ref="EL167:EL173" si="1497">EK167/(EI167+EK167)</f>
        <v>2.8725314183123879E-2</v>
      </c>
      <c r="EM167" s="36"/>
      <c r="EN167" s="34"/>
      <c r="EO167" s="34"/>
      <c r="EP167" s="37"/>
      <c r="EQ167" s="33"/>
      <c r="ER167" s="34"/>
      <c r="ES167" s="34">
        <f>ES164-EQ167</f>
        <v>188</v>
      </c>
      <c r="ET167" s="34">
        <f>ET164-ER167</f>
        <v>16</v>
      </c>
      <c r="EU167" s="34">
        <v>109</v>
      </c>
      <c r="EV167" s="35">
        <f t="shared" ref="EV167:EV173" si="1498">((EU167+EW167)/ES167)</f>
        <v>0.59042553191489366</v>
      </c>
      <c r="EW167" s="34">
        <v>2</v>
      </c>
      <c r="EX167" s="35">
        <f t="shared" ref="EX167:EX173" si="1499">EW167/(EU167+EW167)</f>
        <v>1.8018018018018018E-2</v>
      </c>
      <c r="EY167" s="36"/>
      <c r="EZ167" s="34"/>
      <c r="FA167" s="34"/>
      <c r="FB167" s="37"/>
      <c r="FC167" s="33"/>
      <c r="FD167" s="34"/>
      <c r="FE167" s="34">
        <f>FE164-FC167</f>
        <v>860</v>
      </c>
      <c r="FF167" s="34">
        <f>FF164-FD167</f>
        <v>74</v>
      </c>
      <c r="FG167" s="34">
        <v>621</v>
      </c>
      <c r="FH167" s="35">
        <f t="shared" ref="FH167:FH173" si="1500">((FG167+FI167)/FE167)</f>
        <v>0.73604651162790702</v>
      </c>
      <c r="FI167" s="34">
        <v>12</v>
      </c>
      <c r="FJ167" s="35">
        <f t="shared" ref="FJ167:FJ173" si="1501">FI167/(FG167+FI167)</f>
        <v>1.8957345971563982E-2</v>
      </c>
      <c r="FK167" s="36"/>
      <c r="FL167" s="34"/>
      <c r="FM167" s="34"/>
      <c r="FN167" s="37"/>
      <c r="FO167" s="33"/>
      <c r="FP167" s="34"/>
      <c r="FQ167" s="34">
        <f>FQ164-FO167</f>
        <v>888</v>
      </c>
      <c r="FR167" s="34">
        <f>FR164-FP167</f>
        <v>75</v>
      </c>
      <c r="FS167" s="34">
        <v>577</v>
      </c>
      <c r="FT167" s="35">
        <f t="shared" ref="FT167:FT173" si="1502">((FS167+FU167)/FQ167)</f>
        <v>0.6711711711711712</v>
      </c>
      <c r="FU167" s="34">
        <v>19</v>
      </c>
      <c r="FV167" s="35">
        <f t="shared" ref="FV167:FV173" si="1503">FU167/(FS167+FU167)</f>
        <v>3.1879194630872486E-2</v>
      </c>
      <c r="FW167" s="36"/>
      <c r="FX167" s="34"/>
      <c r="FY167" s="34"/>
      <c r="FZ167" s="37"/>
      <c r="GA167" s="33"/>
      <c r="GB167" s="34"/>
      <c r="GC167" s="34">
        <f>GC164-GA167</f>
        <v>885</v>
      </c>
      <c r="GD167" s="34">
        <f>GD164-GB167</f>
        <v>76</v>
      </c>
      <c r="GE167" s="34">
        <v>566</v>
      </c>
      <c r="GF167" s="35">
        <f t="shared" ref="GF167:GF173" si="1504">((GE167+GG167)/GC167)</f>
        <v>0.65536723163841804</v>
      </c>
      <c r="GG167" s="34">
        <v>14</v>
      </c>
      <c r="GH167" s="35">
        <f t="shared" ref="GH167:GH173" si="1505">GG167/(GE167+GG167)</f>
        <v>2.4137931034482758E-2</v>
      </c>
      <c r="GI167" s="36"/>
      <c r="GJ167" s="34"/>
      <c r="GK167" s="34"/>
      <c r="GL167" s="37"/>
      <c r="GM167" s="33"/>
      <c r="GN167" s="34"/>
      <c r="GO167" s="34">
        <f>GO164-GM167</f>
        <v>169</v>
      </c>
      <c r="GP167" s="34">
        <f>GP164-GN167</f>
        <v>17</v>
      </c>
      <c r="GQ167" s="34">
        <v>106</v>
      </c>
      <c r="GR167" s="35">
        <f t="shared" ref="GR167:GR173" si="1506">((GQ167+GS167)/GO167)</f>
        <v>0.63905325443786987</v>
      </c>
      <c r="GS167" s="34">
        <v>2</v>
      </c>
      <c r="GT167" s="35">
        <f t="shared" ref="GT167:GT173" si="1507">GS167/(GQ167+GS167)</f>
        <v>1.8518518518518517E-2</v>
      </c>
      <c r="GU167" s="36"/>
      <c r="GV167" s="34"/>
      <c r="GW167" s="34"/>
      <c r="GX167" s="37"/>
      <c r="GY167" s="33"/>
      <c r="GZ167" s="34"/>
      <c r="HA167" s="34">
        <f>HA164-GY167</f>
        <v>906</v>
      </c>
      <c r="HB167" s="34">
        <f>HB164-GZ167</f>
        <v>77</v>
      </c>
      <c r="HC167" s="34">
        <v>625</v>
      </c>
      <c r="HD167" s="35">
        <f t="shared" ref="HD167:HD173" si="1508">((HC167+HE167)/HA167)</f>
        <v>0.70860927152317876</v>
      </c>
      <c r="HE167" s="34">
        <v>17</v>
      </c>
      <c r="HF167" s="35">
        <f t="shared" ref="HF167:HF173" si="1509">HE167/(HC167+HE167)</f>
        <v>2.6479750778816199E-2</v>
      </c>
      <c r="HG167" s="36"/>
      <c r="HH167" s="34"/>
      <c r="HI167" s="34"/>
      <c r="HJ167" s="37"/>
      <c r="HK167" s="33">
        <f t="shared" ref="HK167:HK174" si="1510">+C167+O167+AA167+AM167+AY167+BK167+BW167+CI167+CU167+DG167+DS167+EE167+EQ167+FC167+FO167+GA167+GM167+GY167</f>
        <v>5</v>
      </c>
      <c r="HL167" s="34">
        <f t="shared" ref="HL167:HL174" si="1511">+D167+P167+AB167+AN167+AZ167+BL167+BX167+CJ167+CV167+DH167+DT167+EF167+ER167+FD167+FP167+GB167+GN167+GZ167</f>
        <v>1</v>
      </c>
      <c r="HM167" s="34">
        <f t="shared" ref="HM167:HM174" si="1512">+E167+Q167+AC167+AO167+BA167+BM167+BY167+CK167+CW167+DI167+DU167+EG167+ES167+FE167+FQ167+GC167+GO167+HA167</f>
        <v>12081</v>
      </c>
      <c r="HN167" s="34">
        <f t="shared" ref="HN167:HN174" si="1513">+F167+R167+AD167+AP167+BB167+BN167+BZ167+CL167+CX167+DJ167+DV167+EH167+ET167+FF167+FR167+GD167+GP167+HB167</f>
        <v>1037</v>
      </c>
      <c r="HO167" s="34">
        <f t="shared" ref="HO167:HO174" si="1514">+G167+S167+AE167+AQ167+BC167+BO167+CA167+CM167+CY167+DK167+DW167+EI167+EU167+FG167+FS167+GE167+GQ167+HC167+I167+U167+AG167+AS167+BE167+BQ167+CC167+CO167+DA167+DM167+DY167+EK167+EW167+FI167+FU167+GG167+GS167+HE167</f>
        <v>7985</v>
      </c>
      <c r="HP167" s="94">
        <f t="shared" ref="HP167:HP173" si="1515">+(HO167)/HM167</f>
        <v>0.66095521893882958</v>
      </c>
      <c r="HQ167" s="48">
        <f t="shared" ref="HQ167:HQ174" si="1516">+I167+U167+AG167+AS167+BE167+BQ167+CC167+CO167+DA167+DM167+DY167+EK167+EW167+FI167+FU167+GG167+GS167+HE167</f>
        <v>218</v>
      </c>
      <c r="HR167" s="35">
        <f t="shared" ref="HR167:HR174" si="1517">+(HQ167/(HO167))</f>
        <v>2.7301189730745148E-2</v>
      </c>
      <c r="HS167" s="49">
        <v>63.6</v>
      </c>
      <c r="HT167" s="50">
        <v>7548</v>
      </c>
      <c r="HU167" s="49">
        <f t="shared" ref="HU167:HU173" si="1518">+HT167/HO167*100</f>
        <v>94.5272385723231</v>
      </c>
      <c r="HV167" s="48"/>
      <c r="HW167" s="37"/>
      <c r="HX167" s="73">
        <f t="shared" ref="HX167:HX173" si="1519">SUM(G167,I167,S167,U167,AE167,AG167,AQ167,AS167,BC167,BE167)/SUM(E167,Q167,AC167,AO167,BA167)</f>
        <v>0.62290587876941816</v>
      </c>
      <c r="HY167" s="73">
        <f t="shared" ref="HY167:HY173" si="1520">SUM(BO167,BQ167,CA167,CC167,CM167,CO167,CY167,DA167,DK167,DM167)/SUM(BM167,BY167,CK167,CW167,DI167)</f>
        <v>0.65548306927617273</v>
      </c>
      <c r="HZ167" s="73">
        <f t="shared" ref="HZ167:HZ173" si="1521">SUM(DW167,DY167,EI167,EK167,EU167,EW167,FG167,FI167)/SUM(DU167,EG167,ES167,FE167)</f>
        <v>0.69718051995606001</v>
      </c>
      <c r="IA167" s="73">
        <f t="shared" ref="IA167:IA173" si="1522">SUM(FS167,FU167,GE167,GG167,GQ167,GS167,HC167,HE167)/SUM(FQ167,GC167,GO167,HA167)</f>
        <v>0.6762640449438202</v>
      </c>
    </row>
    <row r="168" spans="1:244" x14ac:dyDescent="0.25">
      <c r="A168" s="374"/>
      <c r="B168" s="41">
        <f t="shared" ref="B168:B173" si="1523">+B167+1</f>
        <v>45068</v>
      </c>
      <c r="C168" s="10">
        <v>1</v>
      </c>
      <c r="D168" s="11"/>
      <c r="E168" s="69">
        <f t="shared" ref="E168:E173" si="1524">E167-C168</f>
        <v>830</v>
      </c>
      <c r="F168" s="69">
        <f t="shared" ref="F168:F173" si="1525">F167-D168</f>
        <v>72</v>
      </c>
      <c r="G168" s="11">
        <v>493</v>
      </c>
      <c r="H168" s="12">
        <f t="shared" si="1474"/>
        <v>0.61686746987951813</v>
      </c>
      <c r="I168" s="11">
        <v>19</v>
      </c>
      <c r="J168" s="12">
        <f t="shared" si="1475"/>
        <v>3.7109375E-2</v>
      </c>
      <c r="K168" s="13"/>
      <c r="L168" s="11"/>
      <c r="M168" s="11"/>
      <c r="N168" s="14"/>
      <c r="O168" s="10"/>
      <c r="P168" s="11"/>
      <c r="Q168" s="69">
        <f t="shared" ref="Q168:Q173" si="1526">Q167-O168</f>
        <v>754</v>
      </c>
      <c r="R168" s="69">
        <f t="shared" ref="R168:R173" si="1527">R167-P168</f>
        <v>64</v>
      </c>
      <c r="S168" s="11">
        <v>436</v>
      </c>
      <c r="T168" s="12">
        <f t="shared" si="1476"/>
        <v>0.59681697612732099</v>
      </c>
      <c r="U168" s="11">
        <v>14</v>
      </c>
      <c r="V168" s="12">
        <f t="shared" si="1477"/>
        <v>3.111111111111111E-2</v>
      </c>
      <c r="W168" s="13"/>
      <c r="X168" s="11"/>
      <c r="Y168" s="11"/>
      <c r="Z168" s="14"/>
      <c r="AA168" s="10"/>
      <c r="AB168" s="11"/>
      <c r="AC168" s="69">
        <f t="shared" ref="AC168:AC173" si="1528">AC167-AA168</f>
        <v>172</v>
      </c>
      <c r="AD168" s="69">
        <f t="shared" ref="AD168:AD173" si="1529">AD167-AB168</f>
        <v>13</v>
      </c>
      <c r="AE168" s="11">
        <v>116</v>
      </c>
      <c r="AF168" s="12">
        <f t="shared" si="1478"/>
        <v>0.70348837209302328</v>
      </c>
      <c r="AG168" s="11">
        <v>5</v>
      </c>
      <c r="AH168" s="12">
        <f t="shared" si="1479"/>
        <v>4.1322314049586778E-2</v>
      </c>
      <c r="AI168" s="13"/>
      <c r="AJ168" s="11"/>
      <c r="AK168" s="11"/>
      <c r="AL168" s="14"/>
      <c r="AM168" s="10"/>
      <c r="AN168" s="11"/>
      <c r="AO168" s="69">
        <f t="shared" ref="AO168:AO173" si="1530">AO167-AM168</f>
        <v>768</v>
      </c>
      <c r="AP168" s="69">
        <f t="shared" ref="AP168:AP173" si="1531">AP167-AN168</f>
        <v>64</v>
      </c>
      <c r="AQ168" s="11">
        <v>463</v>
      </c>
      <c r="AR168" s="12">
        <f t="shared" si="1480"/>
        <v>0.62369791666666663</v>
      </c>
      <c r="AS168" s="11">
        <v>16</v>
      </c>
      <c r="AT168" s="12">
        <f t="shared" si="1481"/>
        <v>3.3402922755741124E-2</v>
      </c>
      <c r="AU168" s="13"/>
      <c r="AV168" s="11"/>
      <c r="AW168" s="11"/>
      <c r="AX168" s="14"/>
      <c r="AY168" s="10">
        <v>1</v>
      </c>
      <c r="AZ168" s="11"/>
      <c r="BA168" s="69">
        <f t="shared" ref="BA168:BA173" si="1532">BA167-AY168</f>
        <v>757</v>
      </c>
      <c r="BB168" s="69">
        <f t="shared" ref="BB168:BB173" si="1533">BB167-AZ168</f>
        <v>67</v>
      </c>
      <c r="BC168" s="11">
        <v>452</v>
      </c>
      <c r="BD168" s="12">
        <f t="shared" si="1482"/>
        <v>0.6208718626155878</v>
      </c>
      <c r="BE168" s="11">
        <v>18</v>
      </c>
      <c r="BF168" s="12">
        <f t="shared" si="1483"/>
        <v>3.8297872340425532E-2</v>
      </c>
      <c r="BG168" s="13"/>
      <c r="BH168" s="11"/>
      <c r="BI168" s="11"/>
      <c r="BJ168" s="14"/>
      <c r="BK168" s="10">
        <v>1</v>
      </c>
      <c r="BL168" s="11">
        <v>1</v>
      </c>
      <c r="BM168" s="69">
        <f t="shared" ref="BM168:BM173" si="1534">BM167-BK168</f>
        <v>820</v>
      </c>
      <c r="BN168" s="69">
        <f t="shared" ref="BN168:BN173" si="1535">BN167-BL168</f>
        <v>70</v>
      </c>
      <c r="BO168" s="11">
        <v>526</v>
      </c>
      <c r="BP168" s="12">
        <f t="shared" si="1484"/>
        <v>0.6658536585365854</v>
      </c>
      <c r="BQ168" s="11">
        <v>20</v>
      </c>
      <c r="BR168" s="12">
        <f t="shared" si="1485"/>
        <v>3.6630036630036632E-2</v>
      </c>
      <c r="BS168" s="13"/>
      <c r="BT168" s="11"/>
      <c r="BU168" s="11"/>
      <c r="BV168" s="14"/>
      <c r="BW168" s="10"/>
      <c r="BX168" s="11"/>
      <c r="BY168" s="69">
        <f t="shared" ref="BY168:BY173" si="1536">BY167-BW168</f>
        <v>750</v>
      </c>
      <c r="BZ168" s="69">
        <f t="shared" ref="BZ168:BZ173" si="1537">BZ167-BX168</f>
        <v>62</v>
      </c>
      <c r="CA168" s="11">
        <v>446</v>
      </c>
      <c r="CB168" s="12">
        <f t="shared" si="1486"/>
        <v>0.62</v>
      </c>
      <c r="CC168" s="11">
        <v>19</v>
      </c>
      <c r="CD168" s="12">
        <f t="shared" si="1487"/>
        <v>4.0860215053763443E-2</v>
      </c>
      <c r="CE168" s="13"/>
      <c r="CF168" s="11"/>
      <c r="CG168" s="11"/>
      <c r="CH168" s="14"/>
      <c r="CI168" s="10"/>
      <c r="CJ168" s="11"/>
      <c r="CK168" s="69">
        <f t="shared" ref="CK168:CK173" si="1538">CK167-CI168</f>
        <v>159</v>
      </c>
      <c r="CL168" s="69">
        <f t="shared" ref="CL168:CL173" si="1539">CL167-CJ168</f>
        <v>14</v>
      </c>
      <c r="CM168" s="11">
        <v>93</v>
      </c>
      <c r="CN168" s="12">
        <f t="shared" si="1488"/>
        <v>0.61006289308176098</v>
      </c>
      <c r="CO168" s="11">
        <v>4</v>
      </c>
      <c r="CP168" s="12">
        <f t="shared" si="1489"/>
        <v>4.1237113402061855E-2</v>
      </c>
      <c r="CQ168" s="13"/>
      <c r="CR168" s="11"/>
      <c r="CS168" s="11"/>
      <c r="CT168" s="14"/>
      <c r="CU168" s="10"/>
      <c r="CV168" s="11">
        <v>1</v>
      </c>
      <c r="CW168" s="69">
        <f t="shared" ref="CW168:CW173" si="1540">CW167-CU168</f>
        <v>743</v>
      </c>
      <c r="CX168" s="69">
        <f t="shared" ref="CX168:CX173" si="1541">CX167-CV168</f>
        <v>63</v>
      </c>
      <c r="CY168" s="11">
        <v>445</v>
      </c>
      <c r="CZ168" s="12">
        <f t="shared" si="1490"/>
        <v>0.60969044414535667</v>
      </c>
      <c r="DA168" s="11">
        <v>8</v>
      </c>
      <c r="DB168" s="12">
        <f t="shared" si="1491"/>
        <v>1.7660044150110375E-2</v>
      </c>
      <c r="DC168" s="13"/>
      <c r="DD168" s="11"/>
      <c r="DE168" s="11"/>
      <c r="DF168" s="14"/>
      <c r="DG168" s="10">
        <v>1</v>
      </c>
      <c r="DH168" s="11"/>
      <c r="DI168" s="69">
        <f t="shared" ref="DI168:DI173" si="1542">DI167-DG168</f>
        <v>745</v>
      </c>
      <c r="DJ168" s="69">
        <f t="shared" ref="DJ168:DJ173" si="1543">DJ167-DH168</f>
        <v>66</v>
      </c>
      <c r="DK168" s="11">
        <v>498</v>
      </c>
      <c r="DL168" s="12">
        <f t="shared" si="1492"/>
        <v>0.68456375838926176</v>
      </c>
      <c r="DM168" s="11">
        <v>12</v>
      </c>
      <c r="DN168" s="12">
        <f t="shared" si="1493"/>
        <v>2.3529411764705882E-2</v>
      </c>
      <c r="DO168" s="13"/>
      <c r="DP168" s="11"/>
      <c r="DQ168" s="11"/>
      <c r="DR168" s="14"/>
      <c r="DS168" s="10"/>
      <c r="DT168" s="11"/>
      <c r="DU168" s="69">
        <f t="shared" ref="DU168:DU173" si="1544">DU167-DS168</f>
        <v>836</v>
      </c>
      <c r="DV168" s="69">
        <f t="shared" ref="DV168:DV173" si="1545">DV167-DT168</f>
        <v>71</v>
      </c>
      <c r="DW168" s="11">
        <v>532</v>
      </c>
      <c r="DX168" s="12">
        <f t="shared" si="1494"/>
        <v>0.65909090909090906</v>
      </c>
      <c r="DY168" s="11">
        <v>19</v>
      </c>
      <c r="DZ168" s="12">
        <f t="shared" si="1495"/>
        <v>3.4482758620689655E-2</v>
      </c>
      <c r="EA168" s="13"/>
      <c r="EB168" s="11"/>
      <c r="EC168" s="11"/>
      <c r="ED168" s="14"/>
      <c r="EE168" s="10"/>
      <c r="EF168" s="11"/>
      <c r="EG168" s="69">
        <f t="shared" ref="EG168:EG173" si="1546">EG167-EE168</f>
        <v>847</v>
      </c>
      <c r="EH168" s="69">
        <f t="shared" ref="EH168:EH173" si="1547">EH167-EF168</f>
        <v>74</v>
      </c>
      <c r="EI168" s="11">
        <v>549</v>
      </c>
      <c r="EJ168" s="12">
        <f t="shared" si="1496"/>
        <v>0.66469893742621011</v>
      </c>
      <c r="EK168" s="11">
        <v>14</v>
      </c>
      <c r="EL168" s="12">
        <f t="shared" si="1497"/>
        <v>2.4866785079928951E-2</v>
      </c>
      <c r="EM168" s="13"/>
      <c r="EN168" s="11"/>
      <c r="EO168" s="11"/>
      <c r="EP168" s="14"/>
      <c r="EQ168" s="10">
        <v>1</v>
      </c>
      <c r="ER168" s="11"/>
      <c r="ES168" s="69">
        <f t="shared" ref="ES168:ES173" si="1548">ES167-EQ168</f>
        <v>187</v>
      </c>
      <c r="ET168" s="69">
        <f t="shared" ref="ET168:ET173" si="1549">ET167-ER168</f>
        <v>16</v>
      </c>
      <c r="EU168" s="11">
        <v>117</v>
      </c>
      <c r="EV168" s="12">
        <f t="shared" si="1498"/>
        <v>0.67914438502673802</v>
      </c>
      <c r="EW168" s="11">
        <v>10</v>
      </c>
      <c r="EX168" s="12">
        <f t="shared" si="1499"/>
        <v>7.874015748031496E-2</v>
      </c>
      <c r="EY168" s="13"/>
      <c r="EZ168" s="11"/>
      <c r="FA168" s="11"/>
      <c r="FB168" s="14"/>
      <c r="FC168" s="10"/>
      <c r="FD168" s="11"/>
      <c r="FE168" s="69">
        <f t="shared" ref="FE168:FE173" si="1550">FE167-FC168</f>
        <v>860</v>
      </c>
      <c r="FF168" s="69">
        <f t="shared" ref="FF168:FF173" si="1551">FF167-FD168</f>
        <v>74</v>
      </c>
      <c r="FG168" s="11">
        <v>588</v>
      </c>
      <c r="FH168" s="12">
        <f t="shared" si="1500"/>
        <v>0.69651162790697674</v>
      </c>
      <c r="FI168" s="11">
        <v>11</v>
      </c>
      <c r="FJ168" s="12">
        <v>0.11</v>
      </c>
      <c r="FK168" s="13"/>
      <c r="FL168" s="11"/>
      <c r="FM168" s="11"/>
      <c r="FN168" s="14"/>
      <c r="FO168" s="10"/>
      <c r="FP168" s="11"/>
      <c r="FQ168" s="69">
        <f t="shared" ref="FQ168:FQ173" si="1552">FQ167-FO168</f>
        <v>888</v>
      </c>
      <c r="FR168" s="69">
        <f t="shared" ref="FR168:FR173" si="1553">FR167-FP168</f>
        <v>75</v>
      </c>
      <c r="FS168" s="11">
        <v>531</v>
      </c>
      <c r="FT168" s="12">
        <f t="shared" si="1502"/>
        <v>0.61599099099099097</v>
      </c>
      <c r="FU168" s="11">
        <v>16</v>
      </c>
      <c r="FV168" s="12">
        <f t="shared" si="1503"/>
        <v>2.9250457038391225E-2</v>
      </c>
      <c r="FW168" s="13"/>
      <c r="FX168" s="11"/>
      <c r="FY168" s="11"/>
      <c r="FZ168" s="14"/>
      <c r="GA168" s="10"/>
      <c r="GB168" s="11"/>
      <c r="GC168" s="69">
        <f t="shared" ref="GC168:GC173" si="1554">GC167-GA168</f>
        <v>885</v>
      </c>
      <c r="GD168" s="69">
        <f t="shared" ref="GD168:GD173" si="1555">GD167-GB168</f>
        <v>76</v>
      </c>
      <c r="GE168" s="11">
        <v>531</v>
      </c>
      <c r="GF168" s="12">
        <f t="shared" si="1504"/>
        <v>0.62485875706214689</v>
      </c>
      <c r="GG168" s="11">
        <v>22</v>
      </c>
      <c r="GH168" s="12">
        <f t="shared" si="1505"/>
        <v>3.9783001808318265E-2</v>
      </c>
      <c r="GI168" s="13"/>
      <c r="GJ168" s="11"/>
      <c r="GK168" s="11"/>
      <c r="GL168" s="14"/>
      <c r="GM168" s="10"/>
      <c r="GN168" s="11"/>
      <c r="GO168" s="69">
        <f t="shared" ref="GO168:GO173" si="1556">GO167-GM168</f>
        <v>169</v>
      </c>
      <c r="GP168" s="69">
        <f t="shared" ref="GP168:GP173" si="1557">GP167-GN168</f>
        <v>17</v>
      </c>
      <c r="GQ168" s="11">
        <v>111</v>
      </c>
      <c r="GR168" s="12">
        <f t="shared" si="1506"/>
        <v>0.69230769230769229</v>
      </c>
      <c r="GS168" s="11">
        <v>6</v>
      </c>
      <c r="GT168" s="12">
        <f t="shared" si="1507"/>
        <v>5.128205128205128E-2</v>
      </c>
      <c r="GU168" s="13"/>
      <c r="GV168" s="11"/>
      <c r="GW168" s="11"/>
      <c r="GX168" s="14"/>
      <c r="GY168" s="10">
        <v>1</v>
      </c>
      <c r="GZ168" s="11"/>
      <c r="HA168" s="69">
        <f t="shared" ref="HA168:HA173" si="1558">HA167-GY168</f>
        <v>905</v>
      </c>
      <c r="HB168" s="69">
        <f t="shared" ref="HB168:HB173" si="1559">HB167-GZ168</f>
        <v>77</v>
      </c>
      <c r="HC168" s="11">
        <v>570</v>
      </c>
      <c r="HD168" s="12">
        <f t="shared" si="1508"/>
        <v>0.64751381215469617</v>
      </c>
      <c r="HE168" s="11">
        <v>16</v>
      </c>
      <c r="HF168" s="12">
        <f t="shared" si="1509"/>
        <v>2.7303754266211604E-2</v>
      </c>
      <c r="HG168" s="13"/>
      <c r="HH168" s="11"/>
      <c r="HI168" s="11"/>
      <c r="HJ168" s="14"/>
      <c r="HK168" s="10">
        <f t="shared" si="1510"/>
        <v>6</v>
      </c>
      <c r="HL168" s="11">
        <f t="shared" si="1511"/>
        <v>2</v>
      </c>
      <c r="HM168" s="11">
        <f t="shared" si="1512"/>
        <v>12075</v>
      </c>
      <c r="HN168" s="11">
        <f t="shared" si="1513"/>
        <v>1035</v>
      </c>
      <c r="HO168" s="11">
        <f t="shared" si="1514"/>
        <v>7746</v>
      </c>
      <c r="HP168" s="95">
        <f t="shared" si="1515"/>
        <v>0.64149068322981362</v>
      </c>
      <c r="HQ168" s="15">
        <f t="shared" si="1516"/>
        <v>249</v>
      </c>
      <c r="HR168" s="12">
        <f t="shared" si="1517"/>
        <v>3.2145623547637489E-2</v>
      </c>
      <c r="HS168" s="16">
        <v>63.9</v>
      </c>
      <c r="HT168" s="17">
        <v>7359</v>
      </c>
      <c r="HU168" s="16">
        <f t="shared" si="1518"/>
        <v>95.003872966692484</v>
      </c>
      <c r="HV168" s="15"/>
      <c r="HW168" s="14"/>
      <c r="HX168" s="73">
        <f t="shared" si="1519"/>
        <v>0.61932337701920148</v>
      </c>
      <c r="HY168" s="73">
        <f t="shared" si="1520"/>
        <v>0.64376748523469074</v>
      </c>
      <c r="HZ168" s="73">
        <f t="shared" si="1521"/>
        <v>0.67399267399267404</v>
      </c>
      <c r="IA168" s="73">
        <f t="shared" si="1522"/>
        <v>0.63329820864067443</v>
      </c>
    </row>
    <row r="169" spans="1:244" x14ac:dyDescent="0.25">
      <c r="A169" s="374"/>
      <c r="B169" s="41">
        <f t="shared" si="1523"/>
        <v>45069</v>
      </c>
      <c r="C169" s="10">
        <v>1</v>
      </c>
      <c r="D169" s="11"/>
      <c r="E169" s="69">
        <f t="shared" si="1524"/>
        <v>829</v>
      </c>
      <c r="F169" s="69">
        <f t="shared" si="1525"/>
        <v>72</v>
      </c>
      <c r="G169" s="11">
        <v>506</v>
      </c>
      <c r="H169" s="12">
        <f t="shared" si="1474"/>
        <v>0.64053075995174913</v>
      </c>
      <c r="I169" s="11">
        <v>25</v>
      </c>
      <c r="J169" s="12">
        <f t="shared" si="1475"/>
        <v>4.7080979284369114E-2</v>
      </c>
      <c r="K169" s="13"/>
      <c r="L169" s="11"/>
      <c r="M169" s="11"/>
      <c r="N169" s="14"/>
      <c r="O169" s="10"/>
      <c r="P169" s="11"/>
      <c r="Q169" s="69">
        <f t="shared" si="1526"/>
        <v>754</v>
      </c>
      <c r="R169" s="69">
        <f t="shared" si="1527"/>
        <v>64</v>
      </c>
      <c r="S169" s="11">
        <v>460</v>
      </c>
      <c r="T169" s="12">
        <f t="shared" si="1476"/>
        <v>0.6312997347480106</v>
      </c>
      <c r="U169" s="11">
        <v>16</v>
      </c>
      <c r="V169" s="12">
        <f t="shared" si="1477"/>
        <v>3.3613445378151259E-2</v>
      </c>
      <c r="W169" s="13"/>
      <c r="X169" s="11"/>
      <c r="Y169" s="11"/>
      <c r="Z169" s="14"/>
      <c r="AA169" s="10">
        <v>1</v>
      </c>
      <c r="AB169" s="11"/>
      <c r="AC169" s="69">
        <f t="shared" si="1528"/>
        <v>171</v>
      </c>
      <c r="AD169" s="69">
        <f t="shared" si="1529"/>
        <v>13</v>
      </c>
      <c r="AE169" s="11">
        <v>109</v>
      </c>
      <c r="AF169" s="12">
        <f t="shared" si="1478"/>
        <v>0.65497076023391809</v>
      </c>
      <c r="AG169" s="11">
        <v>3</v>
      </c>
      <c r="AH169" s="12">
        <f t="shared" si="1479"/>
        <v>2.6785714285714284E-2</v>
      </c>
      <c r="AI169" s="13"/>
      <c r="AJ169" s="11"/>
      <c r="AK169" s="11"/>
      <c r="AL169" s="14"/>
      <c r="AM169" s="10"/>
      <c r="AN169" s="11">
        <v>1</v>
      </c>
      <c r="AO169" s="69">
        <f t="shared" si="1530"/>
        <v>768</v>
      </c>
      <c r="AP169" s="69">
        <f t="shared" si="1531"/>
        <v>63</v>
      </c>
      <c r="AQ169" s="11">
        <v>449</v>
      </c>
      <c r="AR169" s="12">
        <f t="shared" si="1480"/>
        <v>0.60677083333333337</v>
      </c>
      <c r="AS169" s="11">
        <v>17</v>
      </c>
      <c r="AT169" s="12">
        <f t="shared" si="1481"/>
        <v>3.6480686695278972E-2</v>
      </c>
      <c r="AU169" s="13"/>
      <c r="AV169" s="11"/>
      <c r="AW169" s="11"/>
      <c r="AX169" s="14"/>
      <c r="AY169" s="10"/>
      <c r="AZ169" s="11"/>
      <c r="BA169" s="69">
        <f t="shared" si="1532"/>
        <v>757</v>
      </c>
      <c r="BB169" s="69">
        <f t="shared" si="1533"/>
        <v>67</v>
      </c>
      <c r="BC169" s="11">
        <v>447</v>
      </c>
      <c r="BD169" s="12">
        <f t="shared" si="1482"/>
        <v>0.61294583883751652</v>
      </c>
      <c r="BE169" s="11">
        <v>17</v>
      </c>
      <c r="BF169" s="12">
        <f t="shared" si="1483"/>
        <v>3.6637931034482756E-2</v>
      </c>
      <c r="BG169" s="13"/>
      <c r="BH169" s="11"/>
      <c r="BI169" s="11"/>
      <c r="BJ169" s="14"/>
      <c r="BK169" s="10"/>
      <c r="BL169" s="11"/>
      <c r="BM169" s="69">
        <f t="shared" si="1534"/>
        <v>820</v>
      </c>
      <c r="BN169" s="69">
        <f t="shared" si="1535"/>
        <v>70</v>
      </c>
      <c r="BO169" s="11">
        <v>500</v>
      </c>
      <c r="BP169" s="12">
        <f t="shared" si="1484"/>
        <v>0.62926829268292683</v>
      </c>
      <c r="BQ169" s="11">
        <v>16</v>
      </c>
      <c r="BR169" s="12">
        <f t="shared" si="1485"/>
        <v>3.1007751937984496E-2</v>
      </c>
      <c r="BS169" s="13"/>
      <c r="BT169" s="11"/>
      <c r="BU169" s="11"/>
      <c r="BV169" s="14"/>
      <c r="BW169" s="10"/>
      <c r="BX169" s="11"/>
      <c r="BY169" s="69">
        <f t="shared" si="1536"/>
        <v>750</v>
      </c>
      <c r="BZ169" s="69">
        <f t="shared" si="1537"/>
        <v>62</v>
      </c>
      <c r="CA169" s="11">
        <v>478</v>
      </c>
      <c r="CB169" s="12">
        <f t="shared" si="1486"/>
        <v>0.66400000000000003</v>
      </c>
      <c r="CC169" s="11">
        <v>20</v>
      </c>
      <c r="CD169" s="12">
        <f t="shared" si="1487"/>
        <v>4.0160642570281124E-2</v>
      </c>
      <c r="CE169" s="13"/>
      <c r="CF169" s="11"/>
      <c r="CG169" s="11"/>
      <c r="CH169" s="14"/>
      <c r="CI169" s="10"/>
      <c r="CJ169" s="11"/>
      <c r="CK169" s="69">
        <f t="shared" si="1538"/>
        <v>159</v>
      </c>
      <c r="CL169" s="69">
        <f t="shared" si="1539"/>
        <v>14</v>
      </c>
      <c r="CM169" s="11">
        <v>97</v>
      </c>
      <c r="CN169" s="12">
        <f t="shared" si="1488"/>
        <v>0.64150943396226412</v>
      </c>
      <c r="CO169" s="11">
        <v>5</v>
      </c>
      <c r="CP169" s="12">
        <f t="shared" si="1489"/>
        <v>4.9019607843137254E-2</v>
      </c>
      <c r="CQ169" s="13"/>
      <c r="CR169" s="11"/>
      <c r="CS169" s="11"/>
      <c r="CT169" s="14"/>
      <c r="CU169" s="10">
        <v>1</v>
      </c>
      <c r="CV169" s="11"/>
      <c r="CW169" s="69">
        <f t="shared" si="1540"/>
        <v>742</v>
      </c>
      <c r="CX169" s="69">
        <f t="shared" si="1541"/>
        <v>63</v>
      </c>
      <c r="CY169" s="11">
        <v>467</v>
      </c>
      <c r="CZ169" s="12">
        <f t="shared" si="1490"/>
        <v>0.64824797843665771</v>
      </c>
      <c r="DA169" s="11">
        <v>14</v>
      </c>
      <c r="DB169" s="12">
        <f t="shared" si="1491"/>
        <v>2.9106029106029108E-2</v>
      </c>
      <c r="DC169" s="13"/>
      <c r="DD169" s="11"/>
      <c r="DE169" s="11"/>
      <c r="DF169" s="14"/>
      <c r="DG169" s="10"/>
      <c r="DH169" s="11"/>
      <c r="DI169" s="69">
        <f t="shared" si="1542"/>
        <v>745</v>
      </c>
      <c r="DJ169" s="69">
        <f t="shared" si="1543"/>
        <v>66</v>
      </c>
      <c r="DK169" s="11">
        <v>440</v>
      </c>
      <c r="DL169" s="12">
        <f t="shared" si="1492"/>
        <v>0.62684563758389267</v>
      </c>
      <c r="DM169" s="11">
        <v>27</v>
      </c>
      <c r="DN169" s="12">
        <f t="shared" si="1493"/>
        <v>5.7815845824411134E-2</v>
      </c>
      <c r="DO169" s="13"/>
      <c r="DP169" s="11"/>
      <c r="DQ169" s="11"/>
      <c r="DR169" s="14"/>
      <c r="DS169" s="10"/>
      <c r="DT169" s="11"/>
      <c r="DU169" s="69">
        <f t="shared" si="1544"/>
        <v>836</v>
      </c>
      <c r="DV169" s="69">
        <f t="shared" si="1545"/>
        <v>71</v>
      </c>
      <c r="DW169" s="11">
        <v>562</v>
      </c>
      <c r="DX169" s="12">
        <f t="shared" si="1494"/>
        <v>0.69856459330143539</v>
      </c>
      <c r="DY169" s="11">
        <v>22</v>
      </c>
      <c r="DZ169" s="12">
        <f t="shared" si="1495"/>
        <v>3.7671232876712327E-2</v>
      </c>
      <c r="EA169" s="13"/>
      <c r="EB169" s="11"/>
      <c r="EC169" s="11"/>
      <c r="ED169" s="14"/>
      <c r="EE169" s="10"/>
      <c r="EF169" s="11"/>
      <c r="EG169" s="69">
        <f t="shared" si="1546"/>
        <v>847</v>
      </c>
      <c r="EH169" s="69">
        <f t="shared" si="1547"/>
        <v>74</v>
      </c>
      <c r="EI169" s="11">
        <v>559</v>
      </c>
      <c r="EJ169" s="12">
        <f t="shared" si="1496"/>
        <v>0.68595041322314054</v>
      </c>
      <c r="EK169" s="11">
        <v>22</v>
      </c>
      <c r="EL169" s="12">
        <f t="shared" si="1497"/>
        <v>3.7865748709122203E-2</v>
      </c>
      <c r="EM169" s="13"/>
      <c r="EN169" s="11"/>
      <c r="EO169" s="11"/>
      <c r="EP169" s="14"/>
      <c r="EQ169" s="10">
        <v>2</v>
      </c>
      <c r="ER169" s="11"/>
      <c r="ES169" s="69">
        <f t="shared" si="1548"/>
        <v>185</v>
      </c>
      <c r="ET169" s="69">
        <f t="shared" si="1549"/>
        <v>16</v>
      </c>
      <c r="EU169" s="11">
        <v>109</v>
      </c>
      <c r="EV169" s="12">
        <f t="shared" si="1498"/>
        <v>0.61081081081081079</v>
      </c>
      <c r="EW169" s="11">
        <v>4</v>
      </c>
      <c r="EX169" s="12">
        <f t="shared" si="1499"/>
        <v>3.5398230088495575E-2</v>
      </c>
      <c r="EY169" s="13"/>
      <c r="EZ169" s="11"/>
      <c r="FA169" s="11"/>
      <c r="FB169" s="14"/>
      <c r="FC169" s="10"/>
      <c r="FD169" s="11"/>
      <c r="FE169" s="69">
        <f t="shared" si="1550"/>
        <v>860</v>
      </c>
      <c r="FF169" s="69">
        <f t="shared" si="1551"/>
        <v>74</v>
      </c>
      <c r="FG169" s="11">
        <v>605</v>
      </c>
      <c r="FH169" s="12">
        <f t="shared" si="1500"/>
        <v>0.72093023255813948</v>
      </c>
      <c r="FI169" s="11">
        <v>15</v>
      </c>
      <c r="FJ169" s="12">
        <f t="shared" si="1501"/>
        <v>2.4193548387096774E-2</v>
      </c>
      <c r="FK169" s="13"/>
      <c r="FL169" s="11"/>
      <c r="FM169" s="11"/>
      <c r="FN169" s="14"/>
      <c r="FO169" s="10">
        <v>1</v>
      </c>
      <c r="FP169" s="11"/>
      <c r="FQ169" s="69">
        <f t="shared" si="1552"/>
        <v>887</v>
      </c>
      <c r="FR169" s="69">
        <f t="shared" si="1553"/>
        <v>75</v>
      </c>
      <c r="FS169" s="11">
        <v>575</v>
      </c>
      <c r="FT169" s="12">
        <f t="shared" si="1502"/>
        <v>0.66178128523111612</v>
      </c>
      <c r="FU169" s="11">
        <v>12</v>
      </c>
      <c r="FV169" s="12">
        <f t="shared" si="1503"/>
        <v>2.0442930153321975E-2</v>
      </c>
      <c r="FW169" s="13"/>
      <c r="FX169" s="11"/>
      <c r="FY169" s="11"/>
      <c r="FZ169" s="14"/>
      <c r="GA169" s="10"/>
      <c r="GB169" s="11"/>
      <c r="GC169" s="69">
        <f t="shared" si="1554"/>
        <v>885</v>
      </c>
      <c r="GD169" s="69">
        <f t="shared" si="1555"/>
        <v>76</v>
      </c>
      <c r="GE169" s="11">
        <v>573</v>
      </c>
      <c r="GF169" s="12">
        <f t="shared" si="1504"/>
        <v>0.65649717514124295</v>
      </c>
      <c r="GG169" s="11">
        <v>8</v>
      </c>
      <c r="GH169" s="12">
        <f t="shared" si="1505"/>
        <v>1.3769363166953529E-2</v>
      </c>
      <c r="GI169" s="13"/>
      <c r="GJ169" s="11"/>
      <c r="GK169" s="11"/>
      <c r="GL169" s="14"/>
      <c r="GM169" s="10"/>
      <c r="GN169" s="11"/>
      <c r="GO169" s="69">
        <f t="shared" si="1556"/>
        <v>169</v>
      </c>
      <c r="GP169" s="69">
        <f t="shared" si="1557"/>
        <v>17</v>
      </c>
      <c r="GQ169" s="11">
        <v>106</v>
      </c>
      <c r="GR169" s="12">
        <f t="shared" si="1506"/>
        <v>0.6449704142011834</v>
      </c>
      <c r="GS169" s="11">
        <v>3</v>
      </c>
      <c r="GT169" s="12">
        <f t="shared" si="1507"/>
        <v>2.7522935779816515E-2</v>
      </c>
      <c r="GU169" s="13"/>
      <c r="GV169" s="11"/>
      <c r="GW169" s="11"/>
      <c r="GX169" s="14"/>
      <c r="GY169" s="10"/>
      <c r="GZ169" s="11"/>
      <c r="HA169" s="69">
        <f t="shared" si="1558"/>
        <v>905</v>
      </c>
      <c r="HB169" s="69">
        <f t="shared" si="1559"/>
        <v>77</v>
      </c>
      <c r="HC169" s="11">
        <v>617</v>
      </c>
      <c r="HD169" s="12">
        <f t="shared" si="1508"/>
        <v>0.6928176795580111</v>
      </c>
      <c r="HE169" s="11">
        <v>10</v>
      </c>
      <c r="HF169" s="12">
        <f t="shared" si="1509"/>
        <v>1.5948963317384369E-2</v>
      </c>
      <c r="HG169" s="13"/>
      <c r="HH169" s="11"/>
      <c r="HI169" s="11"/>
      <c r="HJ169" s="14"/>
      <c r="HK169" s="10">
        <f t="shared" si="1510"/>
        <v>6</v>
      </c>
      <c r="HL169" s="11">
        <f t="shared" si="1511"/>
        <v>1</v>
      </c>
      <c r="HM169" s="11">
        <f t="shared" si="1512"/>
        <v>12069</v>
      </c>
      <c r="HN169" s="11">
        <f t="shared" si="1513"/>
        <v>1034</v>
      </c>
      <c r="HO169" s="11">
        <f t="shared" si="1514"/>
        <v>7915</v>
      </c>
      <c r="HP169" s="95">
        <f t="shared" si="1515"/>
        <v>0.65581241196453721</v>
      </c>
      <c r="HQ169" s="15">
        <f t="shared" si="1516"/>
        <v>256</v>
      </c>
      <c r="HR169" s="12">
        <f t="shared" si="1517"/>
        <v>3.2343651295009476E-2</v>
      </c>
      <c r="HS169" s="16">
        <v>63.6</v>
      </c>
      <c r="HT169" s="17">
        <v>7482</v>
      </c>
      <c r="HU169" s="16">
        <f t="shared" si="1518"/>
        <v>94.529374605180038</v>
      </c>
      <c r="HV169" s="15"/>
      <c r="HW169" s="14"/>
      <c r="HX169" s="73">
        <f t="shared" si="1519"/>
        <v>0.62488563586459289</v>
      </c>
      <c r="HY169" s="73">
        <f t="shared" si="1520"/>
        <v>0.64179104477611937</v>
      </c>
      <c r="HZ169" s="73">
        <f t="shared" si="1521"/>
        <v>0.69574780058651031</v>
      </c>
      <c r="IA169" s="73">
        <f t="shared" si="1522"/>
        <v>0.66900913562895292</v>
      </c>
    </row>
    <row r="170" spans="1:244" x14ac:dyDescent="0.25">
      <c r="A170" s="374"/>
      <c r="B170" s="41">
        <f t="shared" si="1523"/>
        <v>45070</v>
      </c>
      <c r="C170" s="10"/>
      <c r="D170" s="11"/>
      <c r="E170" s="69">
        <f t="shared" si="1524"/>
        <v>829</v>
      </c>
      <c r="F170" s="69">
        <f t="shared" si="1525"/>
        <v>72</v>
      </c>
      <c r="G170" s="11">
        <v>451</v>
      </c>
      <c r="H170" s="12">
        <f t="shared" si="1474"/>
        <v>0.56453558504221957</v>
      </c>
      <c r="I170" s="11">
        <v>17</v>
      </c>
      <c r="J170" s="12">
        <f t="shared" si="1475"/>
        <v>3.6324786324786328E-2</v>
      </c>
      <c r="K170" s="11"/>
      <c r="L170" s="11"/>
      <c r="M170" s="18"/>
      <c r="N170" s="20"/>
      <c r="O170" s="10"/>
      <c r="P170" s="11"/>
      <c r="Q170" s="69">
        <f t="shared" si="1526"/>
        <v>754</v>
      </c>
      <c r="R170" s="69">
        <f t="shared" si="1527"/>
        <v>64</v>
      </c>
      <c r="S170" s="11">
        <v>413</v>
      </c>
      <c r="T170" s="12">
        <f t="shared" si="1476"/>
        <v>0.57294429708222816</v>
      </c>
      <c r="U170" s="11">
        <v>19</v>
      </c>
      <c r="V170" s="12">
        <f t="shared" si="1477"/>
        <v>4.3981481481481483E-2</v>
      </c>
      <c r="W170" s="11"/>
      <c r="X170" s="11"/>
      <c r="Y170" s="18"/>
      <c r="Z170" s="20"/>
      <c r="AA170" s="10"/>
      <c r="AB170" s="11"/>
      <c r="AC170" s="69">
        <f t="shared" si="1528"/>
        <v>171</v>
      </c>
      <c r="AD170" s="69">
        <f t="shared" si="1529"/>
        <v>13</v>
      </c>
      <c r="AE170" s="11">
        <v>95</v>
      </c>
      <c r="AF170" s="12">
        <f t="shared" si="1478"/>
        <v>0.56140350877192979</v>
      </c>
      <c r="AG170" s="11">
        <v>1</v>
      </c>
      <c r="AH170" s="12">
        <f t="shared" si="1479"/>
        <v>1.0416666666666666E-2</v>
      </c>
      <c r="AI170" s="11"/>
      <c r="AJ170" s="11"/>
      <c r="AK170" s="18"/>
      <c r="AL170" s="20"/>
      <c r="AM170" s="10"/>
      <c r="AN170" s="11"/>
      <c r="AO170" s="69">
        <f t="shared" si="1530"/>
        <v>768</v>
      </c>
      <c r="AP170" s="69">
        <f t="shared" si="1531"/>
        <v>63</v>
      </c>
      <c r="AQ170" s="11">
        <v>414</v>
      </c>
      <c r="AR170" s="12">
        <f t="shared" si="1480"/>
        <v>0.55078125</v>
      </c>
      <c r="AS170" s="11">
        <v>9</v>
      </c>
      <c r="AT170" s="12">
        <f t="shared" si="1481"/>
        <v>2.1276595744680851E-2</v>
      </c>
      <c r="AU170" s="11"/>
      <c r="AV170" s="11"/>
      <c r="AW170" s="18"/>
      <c r="AX170" s="20"/>
      <c r="AY170" s="10">
        <v>1</v>
      </c>
      <c r="AZ170" s="11"/>
      <c r="BA170" s="69">
        <f t="shared" si="1532"/>
        <v>756</v>
      </c>
      <c r="BB170" s="69">
        <f t="shared" si="1533"/>
        <v>67</v>
      </c>
      <c r="BC170" s="11">
        <v>476</v>
      </c>
      <c r="BD170" s="12">
        <f t="shared" si="1482"/>
        <v>0.65079365079365081</v>
      </c>
      <c r="BE170" s="11">
        <v>16</v>
      </c>
      <c r="BF170" s="12">
        <f t="shared" si="1483"/>
        <v>3.2520325203252036E-2</v>
      </c>
      <c r="BG170" s="11"/>
      <c r="BH170" s="11"/>
      <c r="BI170" s="18"/>
      <c r="BJ170" s="20"/>
      <c r="BK170" s="10">
        <v>1</v>
      </c>
      <c r="BL170" s="11"/>
      <c r="BM170" s="69">
        <f t="shared" si="1534"/>
        <v>819</v>
      </c>
      <c r="BN170" s="69">
        <f t="shared" si="1535"/>
        <v>70</v>
      </c>
      <c r="BO170" s="11">
        <v>481</v>
      </c>
      <c r="BP170" s="12">
        <f t="shared" si="1484"/>
        <v>0.61538461538461542</v>
      </c>
      <c r="BQ170" s="11">
        <v>23</v>
      </c>
      <c r="BR170" s="12">
        <f t="shared" si="1485"/>
        <v>4.5634920634920632E-2</v>
      </c>
      <c r="BS170" s="11"/>
      <c r="BT170" s="11"/>
      <c r="BU170" s="18"/>
      <c r="BV170" s="20"/>
      <c r="BW170" s="10"/>
      <c r="BX170" s="11"/>
      <c r="BY170" s="69">
        <f t="shared" si="1536"/>
        <v>750</v>
      </c>
      <c r="BZ170" s="69">
        <f t="shared" si="1537"/>
        <v>62</v>
      </c>
      <c r="CA170" s="11">
        <v>461</v>
      </c>
      <c r="CB170" s="12">
        <f t="shared" si="1486"/>
        <v>0.63200000000000001</v>
      </c>
      <c r="CC170" s="11">
        <v>13</v>
      </c>
      <c r="CD170" s="12">
        <f t="shared" si="1487"/>
        <v>2.7426160337552744E-2</v>
      </c>
      <c r="CE170" s="11"/>
      <c r="CF170" s="11"/>
      <c r="CG170" s="18"/>
      <c r="CH170" s="20"/>
      <c r="CI170" s="10">
        <v>1</v>
      </c>
      <c r="CJ170" s="11"/>
      <c r="CK170" s="69">
        <f t="shared" si="1538"/>
        <v>158</v>
      </c>
      <c r="CL170" s="69">
        <f t="shared" si="1539"/>
        <v>14</v>
      </c>
      <c r="CM170" s="11">
        <v>79</v>
      </c>
      <c r="CN170" s="12">
        <f t="shared" si="1488"/>
        <v>0.50632911392405067</v>
      </c>
      <c r="CO170" s="11">
        <v>1</v>
      </c>
      <c r="CP170" s="12">
        <f t="shared" si="1489"/>
        <v>1.2500000000000001E-2</v>
      </c>
      <c r="CQ170" s="11"/>
      <c r="CR170" s="11"/>
      <c r="CS170" s="18"/>
      <c r="CT170" s="20"/>
      <c r="CU170" s="10">
        <v>1</v>
      </c>
      <c r="CV170" s="11"/>
      <c r="CW170" s="69">
        <f t="shared" si="1540"/>
        <v>741</v>
      </c>
      <c r="CX170" s="69">
        <f t="shared" si="1541"/>
        <v>63</v>
      </c>
      <c r="CY170" s="11">
        <v>413</v>
      </c>
      <c r="CZ170" s="12">
        <f t="shared" si="1490"/>
        <v>0.5775978407557355</v>
      </c>
      <c r="DA170" s="11">
        <v>15</v>
      </c>
      <c r="DB170" s="12">
        <f t="shared" si="1491"/>
        <v>3.5046728971962614E-2</v>
      </c>
      <c r="DC170" s="11"/>
      <c r="DD170" s="11"/>
      <c r="DE170" s="18"/>
      <c r="DF170" s="20"/>
      <c r="DG170" s="10"/>
      <c r="DH170" s="11"/>
      <c r="DI170" s="69">
        <f t="shared" si="1542"/>
        <v>745</v>
      </c>
      <c r="DJ170" s="69">
        <f t="shared" si="1543"/>
        <v>66</v>
      </c>
      <c r="DK170" s="11">
        <v>461</v>
      </c>
      <c r="DL170" s="12">
        <f t="shared" si="1492"/>
        <v>0.63758389261744963</v>
      </c>
      <c r="DM170" s="11">
        <v>14</v>
      </c>
      <c r="DN170" s="12">
        <f t="shared" si="1493"/>
        <v>2.9473684210526315E-2</v>
      </c>
      <c r="DO170" s="11"/>
      <c r="DP170" s="11"/>
      <c r="DQ170" s="18"/>
      <c r="DR170" s="20"/>
      <c r="DS170" s="10"/>
      <c r="DT170" s="11"/>
      <c r="DU170" s="69">
        <f t="shared" si="1544"/>
        <v>836</v>
      </c>
      <c r="DV170" s="69">
        <f t="shared" si="1545"/>
        <v>71</v>
      </c>
      <c r="DW170" s="11">
        <v>555</v>
      </c>
      <c r="DX170" s="12">
        <f t="shared" si="1494"/>
        <v>0.67942583732057416</v>
      </c>
      <c r="DY170" s="11">
        <v>13</v>
      </c>
      <c r="DZ170" s="12">
        <f t="shared" si="1495"/>
        <v>2.2887323943661973E-2</v>
      </c>
      <c r="EA170" s="11"/>
      <c r="EB170" s="11"/>
      <c r="EC170" s="18"/>
      <c r="ED170" s="20"/>
      <c r="EE170" s="10"/>
      <c r="EF170" s="11"/>
      <c r="EG170" s="69">
        <f t="shared" si="1546"/>
        <v>847</v>
      </c>
      <c r="EH170" s="69">
        <f t="shared" si="1547"/>
        <v>74</v>
      </c>
      <c r="EI170" s="11">
        <v>540</v>
      </c>
      <c r="EJ170" s="12">
        <f t="shared" si="1496"/>
        <v>0.65761511216056667</v>
      </c>
      <c r="EK170" s="11">
        <v>17</v>
      </c>
      <c r="EL170" s="12">
        <f t="shared" si="1497"/>
        <v>3.052064631956912E-2</v>
      </c>
      <c r="EM170" s="11"/>
      <c r="EN170" s="11"/>
      <c r="EO170" s="18"/>
      <c r="EP170" s="20"/>
      <c r="EQ170" s="10"/>
      <c r="ER170" s="11"/>
      <c r="ES170" s="69">
        <f t="shared" si="1548"/>
        <v>185</v>
      </c>
      <c r="ET170" s="69">
        <f t="shared" si="1549"/>
        <v>16</v>
      </c>
      <c r="EU170" s="11">
        <v>107</v>
      </c>
      <c r="EV170" s="12">
        <f t="shared" si="1498"/>
        <v>0.59459459459459463</v>
      </c>
      <c r="EW170" s="11">
        <v>3</v>
      </c>
      <c r="EX170" s="12">
        <f t="shared" si="1499"/>
        <v>2.7272727272727271E-2</v>
      </c>
      <c r="EY170" s="11"/>
      <c r="EZ170" s="11"/>
      <c r="FA170" s="18"/>
      <c r="FB170" s="20"/>
      <c r="FC170" s="10"/>
      <c r="FD170" s="11"/>
      <c r="FE170" s="69">
        <f t="shared" si="1550"/>
        <v>860</v>
      </c>
      <c r="FF170" s="69">
        <f t="shared" si="1551"/>
        <v>74</v>
      </c>
      <c r="FG170" s="11">
        <v>584</v>
      </c>
      <c r="FH170" s="12">
        <f t="shared" si="1500"/>
        <v>0.69302325581395352</v>
      </c>
      <c r="FI170" s="11">
        <v>12</v>
      </c>
      <c r="FJ170" s="12">
        <f t="shared" si="1501"/>
        <v>2.0134228187919462E-2</v>
      </c>
      <c r="FK170" s="11"/>
      <c r="FL170" s="11"/>
      <c r="FM170" s="18"/>
      <c r="FN170" s="20"/>
      <c r="FO170" s="10"/>
      <c r="FP170" s="11"/>
      <c r="FQ170" s="69">
        <f t="shared" si="1552"/>
        <v>887</v>
      </c>
      <c r="FR170" s="69">
        <f t="shared" si="1553"/>
        <v>75</v>
      </c>
      <c r="FS170" s="11">
        <v>546</v>
      </c>
      <c r="FT170" s="12">
        <f t="shared" si="1502"/>
        <v>0.63246899661781286</v>
      </c>
      <c r="FU170" s="11">
        <v>15</v>
      </c>
      <c r="FV170" s="12">
        <f t="shared" si="1503"/>
        <v>2.6737967914438502E-2</v>
      </c>
      <c r="FW170" s="11"/>
      <c r="FX170" s="11"/>
      <c r="FY170" s="18"/>
      <c r="FZ170" s="20"/>
      <c r="GA170" s="10">
        <v>1</v>
      </c>
      <c r="GB170" s="11"/>
      <c r="GC170" s="69">
        <f t="shared" si="1554"/>
        <v>884</v>
      </c>
      <c r="GD170" s="69">
        <f t="shared" si="1555"/>
        <v>76</v>
      </c>
      <c r="GE170" s="11">
        <v>524</v>
      </c>
      <c r="GF170" s="12">
        <f t="shared" si="1504"/>
        <v>0.60633484162895923</v>
      </c>
      <c r="GG170" s="11">
        <v>12</v>
      </c>
      <c r="GH170" s="12">
        <f t="shared" si="1505"/>
        <v>2.2388059701492536E-2</v>
      </c>
      <c r="GI170" s="11"/>
      <c r="GJ170" s="11"/>
      <c r="GK170" s="18"/>
      <c r="GL170" s="20"/>
      <c r="GM170" s="10"/>
      <c r="GN170" s="11"/>
      <c r="GO170" s="69">
        <f t="shared" si="1556"/>
        <v>169</v>
      </c>
      <c r="GP170" s="69">
        <f t="shared" si="1557"/>
        <v>17</v>
      </c>
      <c r="GQ170" s="11">
        <v>91</v>
      </c>
      <c r="GR170" s="12">
        <f t="shared" si="1506"/>
        <v>0.56213017751479288</v>
      </c>
      <c r="GS170" s="11">
        <v>4</v>
      </c>
      <c r="GT170" s="12">
        <f t="shared" si="1507"/>
        <v>4.2105263157894736E-2</v>
      </c>
      <c r="GU170" s="11"/>
      <c r="GV170" s="11"/>
      <c r="GW170" s="18"/>
      <c r="GX170" s="20"/>
      <c r="GY170" s="10"/>
      <c r="GZ170" s="11"/>
      <c r="HA170" s="69">
        <f t="shared" si="1558"/>
        <v>905</v>
      </c>
      <c r="HB170" s="69">
        <f t="shared" si="1559"/>
        <v>77</v>
      </c>
      <c r="HC170" s="11">
        <v>577</v>
      </c>
      <c r="HD170" s="12">
        <f t="shared" si="1508"/>
        <v>0.64972375690607731</v>
      </c>
      <c r="HE170" s="11">
        <v>11</v>
      </c>
      <c r="HF170" s="12">
        <f t="shared" si="1509"/>
        <v>1.8707482993197279E-2</v>
      </c>
      <c r="HG170" s="11"/>
      <c r="HH170" s="11"/>
      <c r="HI170" s="18"/>
      <c r="HJ170" s="20"/>
      <c r="HK170" s="10">
        <f t="shared" si="1510"/>
        <v>5</v>
      </c>
      <c r="HL170" s="11">
        <f t="shared" si="1511"/>
        <v>0</v>
      </c>
      <c r="HM170" s="11">
        <f t="shared" si="1512"/>
        <v>12064</v>
      </c>
      <c r="HN170" s="11">
        <f t="shared" si="1513"/>
        <v>1034</v>
      </c>
      <c r="HO170" s="11">
        <f t="shared" si="1514"/>
        <v>7483</v>
      </c>
      <c r="HP170" s="95">
        <f t="shared" si="1515"/>
        <v>0.62027519893899208</v>
      </c>
      <c r="HQ170" s="15">
        <f t="shared" si="1516"/>
        <v>215</v>
      </c>
      <c r="HR170" s="12">
        <f t="shared" si="1517"/>
        <v>2.8731792062007218E-2</v>
      </c>
      <c r="HS170" s="16">
        <v>64.099999999999994</v>
      </c>
      <c r="HT170" s="17">
        <v>7086</v>
      </c>
      <c r="HU170" s="16">
        <f t="shared" si="1518"/>
        <v>94.694641186689836</v>
      </c>
      <c r="HV170" s="18"/>
      <c r="HW170" s="20"/>
      <c r="HX170" s="73">
        <f t="shared" si="1519"/>
        <v>0.5829774252593044</v>
      </c>
      <c r="HY170" s="73">
        <f t="shared" si="1520"/>
        <v>0.610333022097728</v>
      </c>
      <c r="HZ170" s="73">
        <f t="shared" si="1521"/>
        <v>0.67118768328445744</v>
      </c>
      <c r="IA170" s="73">
        <f t="shared" si="1522"/>
        <v>0.62565905096660812</v>
      </c>
    </row>
    <row r="171" spans="1:244" x14ac:dyDescent="0.25">
      <c r="A171" s="374"/>
      <c r="B171" s="41">
        <f>+B170+1</f>
        <v>45071</v>
      </c>
      <c r="C171" s="10">
        <v>1</v>
      </c>
      <c r="D171" s="11"/>
      <c r="E171" s="69">
        <f t="shared" si="1524"/>
        <v>828</v>
      </c>
      <c r="F171" s="69">
        <f t="shared" si="1525"/>
        <v>72</v>
      </c>
      <c r="G171" s="11">
        <v>486</v>
      </c>
      <c r="H171" s="12">
        <f t="shared" si="1474"/>
        <v>0.60748792270531404</v>
      </c>
      <c r="I171" s="11">
        <v>17</v>
      </c>
      <c r="J171" s="12">
        <f t="shared" si="1475"/>
        <v>3.3797216699801194E-2</v>
      </c>
      <c r="K171" s="13"/>
      <c r="L171" s="13"/>
      <c r="M171" s="25">
        <v>4355</v>
      </c>
      <c r="N171" s="38"/>
      <c r="O171" s="10"/>
      <c r="P171" s="11"/>
      <c r="Q171" s="69">
        <f t="shared" si="1526"/>
        <v>754</v>
      </c>
      <c r="R171" s="69">
        <f t="shared" si="1527"/>
        <v>64</v>
      </c>
      <c r="S171" s="11">
        <v>439</v>
      </c>
      <c r="T171" s="12">
        <f t="shared" si="1476"/>
        <v>0.60477453580901852</v>
      </c>
      <c r="U171" s="11">
        <v>17</v>
      </c>
      <c r="V171" s="12">
        <f t="shared" si="1477"/>
        <v>3.7280701754385963E-2</v>
      </c>
      <c r="W171" s="13"/>
      <c r="X171" s="13"/>
      <c r="Y171" s="25">
        <v>4355</v>
      </c>
      <c r="Z171" s="38"/>
      <c r="AA171" s="10"/>
      <c r="AB171" s="11"/>
      <c r="AC171" s="69">
        <f t="shared" si="1528"/>
        <v>171</v>
      </c>
      <c r="AD171" s="69">
        <f t="shared" si="1529"/>
        <v>13</v>
      </c>
      <c r="AE171" s="11">
        <v>97</v>
      </c>
      <c r="AF171" s="12">
        <f t="shared" si="1478"/>
        <v>0.59064327485380119</v>
      </c>
      <c r="AG171" s="11">
        <v>4</v>
      </c>
      <c r="AH171" s="12">
        <f t="shared" si="1479"/>
        <v>3.9603960396039604E-2</v>
      </c>
      <c r="AI171" s="13"/>
      <c r="AJ171" s="13"/>
      <c r="AK171" s="25">
        <v>4355</v>
      </c>
      <c r="AL171" s="38"/>
      <c r="AM171" s="10"/>
      <c r="AN171" s="11"/>
      <c r="AO171" s="69">
        <f t="shared" si="1530"/>
        <v>768</v>
      </c>
      <c r="AP171" s="69">
        <f t="shared" si="1531"/>
        <v>63</v>
      </c>
      <c r="AQ171" s="11">
        <v>394</v>
      </c>
      <c r="AR171" s="12">
        <f t="shared" si="1480"/>
        <v>0.5390625</v>
      </c>
      <c r="AS171" s="11">
        <v>20</v>
      </c>
      <c r="AT171" s="12">
        <f t="shared" si="1481"/>
        <v>4.8309178743961352E-2</v>
      </c>
      <c r="AU171" s="13"/>
      <c r="AV171" s="13"/>
      <c r="AW171" s="25">
        <v>4355</v>
      </c>
      <c r="AX171" s="38"/>
      <c r="AY171" s="10">
        <v>1</v>
      </c>
      <c r="AZ171" s="11"/>
      <c r="BA171" s="69">
        <f t="shared" si="1532"/>
        <v>755</v>
      </c>
      <c r="BB171" s="69">
        <f t="shared" si="1533"/>
        <v>67</v>
      </c>
      <c r="BC171" s="11">
        <v>468</v>
      </c>
      <c r="BD171" s="12">
        <f t="shared" si="1482"/>
        <v>0.64105960264900663</v>
      </c>
      <c r="BE171" s="11">
        <v>16</v>
      </c>
      <c r="BF171" s="12">
        <f t="shared" si="1483"/>
        <v>3.3057851239669422E-2</v>
      </c>
      <c r="BG171" s="13"/>
      <c r="BH171" s="13"/>
      <c r="BI171" s="25">
        <v>4355</v>
      </c>
      <c r="BJ171" s="38"/>
      <c r="BK171" s="10"/>
      <c r="BL171" s="11"/>
      <c r="BM171" s="69">
        <f t="shared" si="1534"/>
        <v>819</v>
      </c>
      <c r="BN171" s="69">
        <f t="shared" si="1535"/>
        <v>70</v>
      </c>
      <c r="BO171" s="11">
        <v>487</v>
      </c>
      <c r="BP171" s="12">
        <f t="shared" si="1484"/>
        <v>0.61172161172161177</v>
      </c>
      <c r="BQ171" s="11">
        <v>14</v>
      </c>
      <c r="BR171" s="12">
        <f t="shared" si="1485"/>
        <v>2.7944111776447105E-2</v>
      </c>
      <c r="BS171" s="13"/>
      <c r="BT171" s="13"/>
      <c r="BU171" s="25">
        <v>4355</v>
      </c>
      <c r="BV171" s="38"/>
      <c r="BW171" s="10"/>
      <c r="BX171" s="11"/>
      <c r="BY171" s="69">
        <f t="shared" si="1536"/>
        <v>750</v>
      </c>
      <c r="BZ171" s="69">
        <f t="shared" si="1537"/>
        <v>62</v>
      </c>
      <c r="CA171" s="11">
        <v>438</v>
      </c>
      <c r="CB171" s="12">
        <f t="shared" si="1486"/>
        <v>0.6</v>
      </c>
      <c r="CC171" s="11">
        <v>12</v>
      </c>
      <c r="CD171" s="12">
        <f t="shared" si="1487"/>
        <v>2.6666666666666668E-2</v>
      </c>
      <c r="CE171" s="13"/>
      <c r="CF171" s="13"/>
      <c r="CG171" s="25">
        <v>4355</v>
      </c>
      <c r="CH171" s="38"/>
      <c r="CI171" s="10"/>
      <c r="CJ171" s="11"/>
      <c r="CK171" s="69">
        <f t="shared" si="1538"/>
        <v>158</v>
      </c>
      <c r="CL171" s="69">
        <f t="shared" si="1539"/>
        <v>14</v>
      </c>
      <c r="CM171" s="11">
        <v>80</v>
      </c>
      <c r="CN171" s="12">
        <f t="shared" si="1488"/>
        <v>0.51265822784810122</v>
      </c>
      <c r="CO171" s="11">
        <v>1</v>
      </c>
      <c r="CP171" s="12">
        <f t="shared" si="1489"/>
        <v>1.2345679012345678E-2</v>
      </c>
      <c r="CQ171" s="13"/>
      <c r="CR171" s="13"/>
      <c r="CS171" s="25"/>
      <c r="CT171" s="38">
        <v>4355</v>
      </c>
      <c r="CU171" s="10"/>
      <c r="CV171" s="11"/>
      <c r="CW171" s="69">
        <f t="shared" si="1540"/>
        <v>741</v>
      </c>
      <c r="CX171" s="69">
        <f t="shared" si="1541"/>
        <v>63</v>
      </c>
      <c r="CY171" s="11">
        <v>430</v>
      </c>
      <c r="CZ171" s="12">
        <f t="shared" si="1490"/>
        <v>0.59244264507422406</v>
      </c>
      <c r="DA171" s="11">
        <v>9</v>
      </c>
      <c r="DB171" s="12">
        <f t="shared" si="1491"/>
        <v>2.0501138952164009E-2</v>
      </c>
      <c r="DC171" s="13"/>
      <c r="DD171" s="13"/>
      <c r="DE171" s="25"/>
      <c r="DF171" s="38">
        <v>4355</v>
      </c>
      <c r="DG171" s="10">
        <v>1</v>
      </c>
      <c r="DH171" s="11"/>
      <c r="DI171" s="69">
        <f t="shared" si="1542"/>
        <v>744</v>
      </c>
      <c r="DJ171" s="69">
        <f t="shared" si="1543"/>
        <v>66</v>
      </c>
      <c r="DK171" s="11">
        <v>455</v>
      </c>
      <c r="DL171" s="12">
        <f t="shared" si="1492"/>
        <v>0.63306451612903225</v>
      </c>
      <c r="DM171" s="11">
        <v>16</v>
      </c>
      <c r="DN171" s="12">
        <f t="shared" si="1493"/>
        <v>3.3970276008492568E-2</v>
      </c>
      <c r="DO171" s="13"/>
      <c r="DP171" s="13"/>
      <c r="DQ171" s="25"/>
      <c r="DR171" s="38">
        <v>4355</v>
      </c>
      <c r="DS171" s="10"/>
      <c r="DT171" s="11"/>
      <c r="DU171" s="69">
        <f t="shared" si="1544"/>
        <v>836</v>
      </c>
      <c r="DV171" s="69">
        <f t="shared" si="1545"/>
        <v>71</v>
      </c>
      <c r="DW171" s="11">
        <v>566</v>
      </c>
      <c r="DX171" s="12">
        <f t="shared" si="1494"/>
        <v>0.69377990430622005</v>
      </c>
      <c r="DY171" s="11">
        <v>14</v>
      </c>
      <c r="DZ171" s="12">
        <f t="shared" si="1495"/>
        <v>2.4137931034482758E-2</v>
      </c>
      <c r="EA171" s="13"/>
      <c r="EB171" s="13"/>
      <c r="EC171" s="25"/>
      <c r="ED171" s="38">
        <v>4355</v>
      </c>
      <c r="EE171" s="10">
        <v>1</v>
      </c>
      <c r="EF171" s="11"/>
      <c r="EG171" s="69">
        <f t="shared" si="1546"/>
        <v>846</v>
      </c>
      <c r="EH171" s="69">
        <f t="shared" si="1547"/>
        <v>74</v>
      </c>
      <c r="EI171" s="11">
        <v>551</v>
      </c>
      <c r="EJ171" s="12">
        <f t="shared" si="1496"/>
        <v>0.67139479905437349</v>
      </c>
      <c r="EK171" s="11">
        <v>17</v>
      </c>
      <c r="EL171" s="12">
        <f t="shared" si="1497"/>
        <v>2.9929577464788731E-2</v>
      </c>
      <c r="EM171" s="13"/>
      <c r="EN171" s="13"/>
      <c r="EO171" s="25"/>
      <c r="EP171" s="38">
        <v>4355</v>
      </c>
      <c r="EQ171" s="10"/>
      <c r="ER171" s="11"/>
      <c r="ES171" s="69">
        <f t="shared" si="1548"/>
        <v>185</v>
      </c>
      <c r="ET171" s="69">
        <f t="shared" si="1549"/>
        <v>16</v>
      </c>
      <c r="EU171" s="11">
        <v>123</v>
      </c>
      <c r="EV171" s="12">
        <f t="shared" si="1498"/>
        <v>0.70270270270270274</v>
      </c>
      <c r="EW171" s="11">
        <v>7</v>
      </c>
      <c r="EX171" s="12">
        <f t="shared" si="1499"/>
        <v>5.3846153846153849E-2</v>
      </c>
      <c r="EY171" s="13"/>
      <c r="EZ171" s="13"/>
      <c r="FA171" s="25"/>
      <c r="FB171" s="38">
        <v>4355</v>
      </c>
      <c r="FC171" s="10">
        <v>1</v>
      </c>
      <c r="FD171" s="11"/>
      <c r="FE171" s="69">
        <f t="shared" si="1550"/>
        <v>859</v>
      </c>
      <c r="FF171" s="69">
        <f t="shared" si="1551"/>
        <v>74</v>
      </c>
      <c r="FG171" s="11">
        <v>569</v>
      </c>
      <c r="FH171" s="12">
        <f t="shared" si="1500"/>
        <v>0.68335273573923161</v>
      </c>
      <c r="FI171" s="11">
        <v>18</v>
      </c>
      <c r="FJ171" s="12">
        <f t="shared" si="1501"/>
        <v>3.0664395229982964E-2</v>
      </c>
      <c r="FK171" s="13"/>
      <c r="FL171" s="13"/>
      <c r="FM171" s="25"/>
      <c r="FN171" s="38">
        <v>4355</v>
      </c>
      <c r="FO171" s="10">
        <v>1</v>
      </c>
      <c r="FP171" s="11"/>
      <c r="FQ171" s="69">
        <f t="shared" si="1552"/>
        <v>886</v>
      </c>
      <c r="FR171" s="69">
        <f t="shared" si="1553"/>
        <v>75</v>
      </c>
      <c r="FS171" s="11">
        <v>562</v>
      </c>
      <c r="FT171" s="12">
        <f t="shared" si="1502"/>
        <v>0.65575620767494358</v>
      </c>
      <c r="FU171" s="11">
        <v>19</v>
      </c>
      <c r="FV171" s="12">
        <f t="shared" si="1503"/>
        <v>3.2702237521514632E-2</v>
      </c>
      <c r="FW171" s="13"/>
      <c r="FX171" s="13"/>
      <c r="FY171" s="25"/>
      <c r="FZ171" s="38">
        <v>4355</v>
      </c>
      <c r="GA171" s="10">
        <v>1</v>
      </c>
      <c r="GB171" s="11"/>
      <c r="GC171" s="69">
        <f t="shared" si="1554"/>
        <v>883</v>
      </c>
      <c r="GD171" s="69">
        <f t="shared" si="1555"/>
        <v>76</v>
      </c>
      <c r="GE171" s="11">
        <v>578</v>
      </c>
      <c r="GF171" s="12">
        <f t="shared" si="1504"/>
        <v>0.67497168742921854</v>
      </c>
      <c r="GG171" s="11">
        <v>18</v>
      </c>
      <c r="GH171" s="12">
        <f t="shared" si="1505"/>
        <v>3.0201342281879196E-2</v>
      </c>
      <c r="GI171" s="13"/>
      <c r="GJ171" s="13"/>
      <c r="GK171" s="25"/>
      <c r="GL171" s="38">
        <v>4355</v>
      </c>
      <c r="GM171" s="10"/>
      <c r="GN171" s="11"/>
      <c r="GO171" s="69">
        <f t="shared" si="1556"/>
        <v>169</v>
      </c>
      <c r="GP171" s="69">
        <f t="shared" si="1557"/>
        <v>17</v>
      </c>
      <c r="GQ171" s="11">
        <v>99</v>
      </c>
      <c r="GR171" s="12">
        <f t="shared" si="1506"/>
        <v>0.63905325443786987</v>
      </c>
      <c r="GS171" s="11">
        <v>9</v>
      </c>
      <c r="GT171" s="12">
        <f t="shared" si="1507"/>
        <v>8.3333333333333329E-2</v>
      </c>
      <c r="GU171" s="13"/>
      <c r="GV171" s="13"/>
      <c r="GW171" s="25"/>
      <c r="GX171" s="38">
        <v>4355</v>
      </c>
      <c r="GY171" s="10"/>
      <c r="GZ171" s="11"/>
      <c r="HA171" s="69">
        <f t="shared" si="1558"/>
        <v>905</v>
      </c>
      <c r="HB171" s="69">
        <f t="shared" si="1559"/>
        <v>77</v>
      </c>
      <c r="HC171" s="11">
        <v>599</v>
      </c>
      <c r="HD171" s="12">
        <f t="shared" si="1508"/>
        <v>0.67734806629834254</v>
      </c>
      <c r="HE171" s="11">
        <v>14</v>
      </c>
      <c r="HF171" s="12">
        <f t="shared" si="1509"/>
        <v>2.2838499184339316E-2</v>
      </c>
      <c r="HG171" s="13"/>
      <c r="HH171" s="13"/>
      <c r="HI171" s="25"/>
      <c r="HJ171" s="38">
        <v>4355</v>
      </c>
      <c r="HK171" s="10">
        <f t="shared" si="1510"/>
        <v>7</v>
      </c>
      <c r="HL171" s="11">
        <f t="shared" si="1511"/>
        <v>0</v>
      </c>
      <c r="HM171" s="11">
        <f t="shared" si="1512"/>
        <v>12057</v>
      </c>
      <c r="HN171" s="11">
        <f t="shared" si="1513"/>
        <v>1034</v>
      </c>
      <c r="HO171" s="11">
        <f t="shared" si="1514"/>
        <v>7663</v>
      </c>
      <c r="HP171" s="95">
        <f t="shared" si="1515"/>
        <v>0.63556440242182966</v>
      </c>
      <c r="HQ171" s="15">
        <f t="shared" si="1516"/>
        <v>242</v>
      </c>
      <c r="HR171" s="12">
        <f t="shared" si="1517"/>
        <v>3.1580321023098004E-2</v>
      </c>
      <c r="HS171" s="16">
        <v>64</v>
      </c>
      <c r="HT171" s="17">
        <v>7235</v>
      </c>
      <c r="HU171" s="16">
        <f t="shared" si="1518"/>
        <v>94.414720083518205</v>
      </c>
      <c r="HV171" s="23"/>
      <c r="HW171" s="22">
        <v>4355</v>
      </c>
      <c r="HX171" s="73">
        <f t="shared" si="1519"/>
        <v>0.59768009768009767</v>
      </c>
      <c r="HY171" s="73">
        <f t="shared" si="1520"/>
        <v>0.60460772104607718</v>
      </c>
      <c r="HZ171" s="73">
        <f t="shared" si="1521"/>
        <v>0.68415260454878946</v>
      </c>
      <c r="IA171" s="73">
        <f t="shared" si="1522"/>
        <v>0.66760464298276467</v>
      </c>
    </row>
    <row r="172" spans="1:244" x14ac:dyDescent="0.25">
      <c r="A172" s="374"/>
      <c r="B172" s="41">
        <f t="shared" si="1523"/>
        <v>45072</v>
      </c>
      <c r="C172" s="10"/>
      <c r="D172" s="11"/>
      <c r="E172" s="69">
        <f t="shared" si="1524"/>
        <v>828</v>
      </c>
      <c r="F172" s="69">
        <f t="shared" si="1525"/>
        <v>72</v>
      </c>
      <c r="G172" s="11">
        <v>488</v>
      </c>
      <c r="H172" s="12">
        <f t="shared" si="1474"/>
        <v>0.61594202898550721</v>
      </c>
      <c r="I172" s="11">
        <v>22</v>
      </c>
      <c r="J172" s="12">
        <f t="shared" si="1475"/>
        <v>4.3137254901960784E-2</v>
      </c>
      <c r="K172" s="13"/>
      <c r="L172" s="11"/>
      <c r="M172" s="25">
        <v>4569.2307692307695</v>
      </c>
      <c r="N172" s="38"/>
      <c r="O172" s="10"/>
      <c r="P172" s="11"/>
      <c r="Q172" s="69">
        <f t="shared" si="1526"/>
        <v>754</v>
      </c>
      <c r="R172" s="69">
        <f t="shared" si="1527"/>
        <v>64</v>
      </c>
      <c r="S172" s="11">
        <v>451</v>
      </c>
      <c r="T172" s="12">
        <f t="shared" si="1476"/>
        <v>0.61273209549071617</v>
      </c>
      <c r="U172" s="11">
        <v>11</v>
      </c>
      <c r="V172" s="12">
        <f t="shared" si="1477"/>
        <v>2.3809523809523808E-2</v>
      </c>
      <c r="W172" s="13"/>
      <c r="X172" s="11"/>
      <c r="Y172" s="25">
        <v>4815</v>
      </c>
      <c r="Z172" s="38"/>
      <c r="AA172" s="10">
        <v>1</v>
      </c>
      <c r="AB172" s="11"/>
      <c r="AC172" s="69">
        <f t="shared" si="1528"/>
        <v>170</v>
      </c>
      <c r="AD172" s="69">
        <f t="shared" si="1529"/>
        <v>13</v>
      </c>
      <c r="AE172" s="11">
        <v>98</v>
      </c>
      <c r="AF172" s="12">
        <f t="shared" si="1478"/>
        <v>0.58823529411764708</v>
      </c>
      <c r="AG172" s="11">
        <v>2</v>
      </c>
      <c r="AH172" s="12">
        <f t="shared" si="1479"/>
        <v>0.02</v>
      </c>
      <c r="AI172" s="13"/>
      <c r="AJ172" s="11"/>
      <c r="AK172" s="25">
        <v>4563.333333333333</v>
      </c>
      <c r="AL172" s="38"/>
      <c r="AM172" s="10"/>
      <c r="AN172" s="11"/>
      <c r="AO172" s="69">
        <f t="shared" si="1530"/>
        <v>768</v>
      </c>
      <c r="AP172" s="69">
        <f t="shared" si="1531"/>
        <v>63</v>
      </c>
      <c r="AQ172" s="11">
        <v>423</v>
      </c>
      <c r="AR172" s="12">
        <f t="shared" si="1480"/>
        <v>0.56770833333333337</v>
      </c>
      <c r="AS172" s="11">
        <v>13</v>
      </c>
      <c r="AT172" s="12">
        <f t="shared" si="1481"/>
        <v>2.9816513761467892E-2</v>
      </c>
      <c r="AU172" s="13"/>
      <c r="AV172" s="11"/>
      <c r="AW172" s="25">
        <v>4798.4615384615381</v>
      </c>
      <c r="AX172" s="38"/>
      <c r="AY172" s="10"/>
      <c r="AZ172" s="11"/>
      <c r="BA172" s="69">
        <f t="shared" si="1532"/>
        <v>755</v>
      </c>
      <c r="BB172" s="69">
        <f t="shared" si="1533"/>
        <v>67</v>
      </c>
      <c r="BC172" s="11">
        <v>465</v>
      </c>
      <c r="BD172" s="12">
        <f t="shared" si="1482"/>
        <v>0.63178807947019866</v>
      </c>
      <c r="BE172" s="11">
        <v>12</v>
      </c>
      <c r="BF172" s="12">
        <f t="shared" si="1483"/>
        <v>2.5157232704402517E-2</v>
      </c>
      <c r="BG172" s="13"/>
      <c r="BH172" s="11"/>
      <c r="BI172" s="25">
        <v>4859.090909090909</v>
      </c>
      <c r="BJ172" s="38"/>
      <c r="BK172" s="10">
        <v>1</v>
      </c>
      <c r="BL172" s="11"/>
      <c r="BM172" s="69">
        <f t="shared" si="1534"/>
        <v>818</v>
      </c>
      <c r="BN172" s="69">
        <f t="shared" si="1535"/>
        <v>70</v>
      </c>
      <c r="BO172" s="11">
        <v>489</v>
      </c>
      <c r="BP172" s="12">
        <f t="shared" si="1484"/>
        <v>0.63080684596577019</v>
      </c>
      <c r="BQ172" s="11">
        <v>27</v>
      </c>
      <c r="BR172" s="12">
        <f t="shared" si="1485"/>
        <v>5.232558139534884E-2</v>
      </c>
      <c r="BS172" s="13"/>
      <c r="BT172" s="11"/>
      <c r="BU172" s="25">
        <v>4593.5714285714284</v>
      </c>
      <c r="BV172" s="38"/>
      <c r="BW172" s="10"/>
      <c r="BX172" s="11"/>
      <c r="BY172" s="69">
        <f t="shared" si="1536"/>
        <v>750</v>
      </c>
      <c r="BZ172" s="69">
        <f t="shared" si="1537"/>
        <v>62</v>
      </c>
      <c r="CA172" s="11">
        <v>451</v>
      </c>
      <c r="CB172" s="12">
        <f t="shared" si="1486"/>
        <v>0.61599999999999999</v>
      </c>
      <c r="CC172" s="11">
        <v>11</v>
      </c>
      <c r="CD172" s="12">
        <f t="shared" si="1487"/>
        <v>2.3809523809523808E-2</v>
      </c>
      <c r="CE172" s="13"/>
      <c r="CF172" s="11"/>
      <c r="CG172" s="25">
        <v>4822.5</v>
      </c>
      <c r="CH172" s="38"/>
      <c r="CI172" s="10"/>
      <c r="CJ172" s="11"/>
      <c r="CK172" s="69">
        <f t="shared" si="1538"/>
        <v>158</v>
      </c>
      <c r="CL172" s="69">
        <f t="shared" si="1539"/>
        <v>14</v>
      </c>
      <c r="CM172" s="11">
        <v>80</v>
      </c>
      <c r="CN172" s="12">
        <f t="shared" si="1488"/>
        <v>0.54430379746835444</v>
      </c>
      <c r="CO172" s="11">
        <v>6</v>
      </c>
      <c r="CP172" s="12">
        <f t="shared" si="1489"/>
        <v>6.9767441860465115E-2</v>
      </c>
      <c r="CQ172" s="13"/>
      <c r="CR172" s="11"/>
      <c r="CS172" s="25"/>
      <c r="CT172" s="38">
        <v>4510</v>
      </c>
      <c r="CU172" s="10"/>
      <c r="CV172" s="11"/>
      <c r="CW172" s="69">
        <f t="shared" si="1540"/>
        <v>741</v>
      </c>
      <c r="CX172" s="69">
        <f t="shared" si="1541"/>
        <v>63</v>
      </c>
      <c r="CY172" s="11">
        <v>429</v>
      </c>
      <c r="CZ172" s="12">
        <f t="shared" si="1490"/>
        <v>0.59784075573549256</v>
      </c>
      <c r="DA172" s="11">
        <v>14</v>
      </c>
      <c r="DB172" s="12">
        <f t="shared" si="1491"/>
        <v>3.160270880361174E-2</v>
      </c>
      <c r="DC172" s="13"/>
      <c r="DD172" s="11"/>
      <c r="DE172" s="25"/>
      <c r="DF172" s="38">
        <v>4810</v>
      </c>
      <c r="DG172" s="10"/>
      <c r="DH172" s="11"/>
      <c r="DI172" s="69">
        <f t="shared" si="1542"/>
        <v>744</v>
      </c>
      <c r="DJ172" s="69">
        <f t="shared" si="1543"/>
        <v>66</v>
      </c>
      <c r="DK172" s="11">
        <v>423</v>
      </c>
      <c r="DL172" s="12">
        <f t="shared" si="1492"/>
        <v>0.5873655913978495</v>
      </c>
      <c r="DM172" s="11">
        <v>14</v>
      </c>
      <c r="DN172" s="12">
        <f t="shared" si="1493"/>
        <v>3.2036613272311214E-2</v>
      </c>
      <c r="DO172" s="13"/>
      <c r="DP172" s="11"/>
      <c r="DQ172" s="25"/>
      <c r="DR172" s="38">
        <v>5005.833333333333</v>
      </c>
      <c r="DS172" s="10"/>
      <c r="DT172" s="11"/>
      <c r="DU172" s="69">
        <f t="shared" si="1544"/>
        <v>836</v>
      </c>
      <c r="DV172" s="69">
        <f t="shared" si="1545"/>
        <v>71</v>
      </c>
      <c r="DW172" s="11">
        <v>526</v>
      </c>
      <c r="DX172" s="12">
        <f t="shared" si="1494"/>
        <v>0.65430622009569372</v>
      </c>
      <c r="DY172" s="11">
        <v>21</v>
      </c>
      <c r="DZ172" s="12">
        <f t="shared" si="1495"/>
        <v>3.8391224862888484E-2</v>
      </c>
      <c r="EA172" s="13"/>
      <c r="EB172" s="11"/>
      <c r="EC172" s="25"/>
      <c r="ED172" s="38">
        <v>4541.25</v>
      </c>
      <c r="EE172" s="10"/>
      <c r="EF172" s="11"/>
      <c r="EG172" s="69">
        <f t="shared" si="1546"/>
        <v>846</v>
      </c>
      <c r="EH172" s="69">
        <f t="shared" si="1547"/>
        <v>74</v>
      </c>
      <c r="EI172" s="11">
        <v>524</v>
      </c>
      <c r="EJ172" s="12">
        <f t="shared" si="1496"/>
        <v>0.64893617021276595</v>
      </c>
      <c r="EK172" s="11">
        <v>25</v>
      </c>
      <c r="EL172" s="12">
        <f t="shared" si="1497"/>
        <v>4.553734061930783E-2</v>
      </c>
      <c r="EM172" s="13"/>
      <c r="EN172" s="11"/>
      <c r="EO172" s="25"/>
      <c r="EP172" s="38">
        <v>4826.4285714285716</v>
      </c>
      <c r="EQ172" s="10"/>
      <c r="ER172" s="11"/>
      <c r="ES172" s="69">
        <f t="shared" si="1548"/>
        <v>185</v>
      </c>
      <c r="ET172" s="69">
        <f t="shared" si="1549"/>
        <v>16</v>
      </c>
      <c r="EU172" s="11">
        <v>118</v>
      </c>
      <c r="EV172" s="12">
        <f t="shared" si="1498"/>
        <v>0.65405405405405403</v>
      </c>
      <c r="EW172" s="11">
        <v>3</v>
      </c>
      <c r="EX172" s="12">
        <f t="shared" si="1499"/>
        <v>2.4793388429752067E-2</v>
      </c>
      <c r="EY172" s="13"/>
      <c r="EZ172" s="11"/>
      <c r="FA172" s="25"/>
      <c r="FB172" s="38">
        <v>4410</v>
      </c>
      <c r="FC172" s="10">
        <v>6</v>
      </c>
      <c r="FD172" s="11"/>
      <c r="FE172" s="69">
        <f t="shared" si="1550"/>
        <v>853</v>
      </c>
      <c r="FF172" s="69">
        <f t="shared" si="1551"/>
        <v>74</v>
      </c>
      <c r="FG172" s="11">
        <v>548</v>
      </c>
      <c r="FH172" s="12">
        <f t="shared" si="1500"/>
        <v>0.66354044548651814</v>
      </c>
      <c r="FI172" s="11">
        <v>18</v>
      </c>
      <c r="FJ172" s="12">
        <f t="shared" si="1501"/>
        <v>3.1802120141342753E-2</v>
      </c>
      <c r="FK172" s="13"/>
      <c r="FL172" s="11"/>
      <c r="FM172" s="25"/>
      <c r="FN172" s="38">
        <v>4872.5</v>
      </c>
      <c r="FO172" s="10">
        <v>1</v>
      </c>
      <c r="FP172" s="11"/>
      <c r="FQ172" s="69">
        <f t="shared" si="1552"/>
        <v>885</v>
      </c>
      <c r="FR172" s="69">
        <f t="shared" si="1553"/>
        <v>75</v>
      </c>
      <c r="FS172" s="11">
        <v>551</v>
      </c>
      <c r="FT172" s="12">
        <f t="shared" si="1502"/>
        <v>0.64519774011299436</v>
      </c>
      <c r="FU172" s="11">
        <v>20</v>
      </c>
      <c r="FV172" s="12">
        <f t="shared" si="1503"/>
        <v>3.5026269702276708E-2</v>
      </c>
      <c r="FW172" s="13"/>
      <c r="FX172" s="11"/>
      <c r="FY172" s="25"/>
      <c r="FZ172" s="38">
        <v>4664.1176470588234</v>
      </c>
      <c r="GA172" s="10">
        <v>1</v>
      </c>
      <c r="GB172" s="11"/>
      <c r="GC172" s="69">
        <f t="shared" si="1554"/>
        <v>882</v>
      </c>
      <c r="GD172" s="69">
        <f t="shared" si="1555"/>
        <v>76</v>
      </c>
      <c r="GE172" s="11">
        <v>548</v>
      </c>
      <c r="GF172" s="12">
        <f t="shared" si="1504"/>
        <v>0.64852607709750565</v>
      </c>
      <c r="GG172" s="11">
        <v>24</v>
      </c>
      <c r="GH172" s="12">
        <f t="shared" si="1505"/>
        <v>4.195804195804196E-2</v>
      </c>
      <c r="GI172" s="13"/>
      <c r="GJ172" s="11"/>
      <c r="GK172" s="25"/>
      <c r="GL172" s="38">
        <v>4725.7142857142853</v>
      </c>
      <c r="GM172" s="10">
        <v>2</v>
      </c>
      <c r="GN172" s="11"/>
      <c r="GO172" s="69">
        <f t="shared" si="1556"/>
        <v>167</v>
      </c>
      <c r="GP172" s="69">
        <f t="shared" si="1557"/>
        <v>17</v>
      </c>
      <c r="GQ172" s="11">
        <v>92</v>
      </c>
      <c r="GR172" s="12">
        <f t="shared" si="1506"/>
        <v>0.59880239520958078</v>
      </c>
      <c r="GS172" s="11">
        <v>8</v>
      </c>
      <c r="GT172" s="12">
        <f t="shared" si="1507"/>
        <v>0.08</v>
      </c>
      <c r="GU172" s="13"/>
      <c r="GV172" s="11"/>
      <c r="GW172" s="25"/>
      <c r="GX172" s="38">
        <v>4710</v>
      </c>
      <c r="GY172" s="10"/>
      <c r="GZ172" s="11"/>
      <c r="HA172" s="69">
        <f t="shared" si="1558"/>
        <v>905</v>
      </c>
      <c r="HB172" s="69">
        <f t="shared" si="1559"/>
        <v>77</v>
      </c>
      <c r="HC172" s="11">
        <v>581</v>
      </c>
      <c r="HD172" s="12">
        <f t="shared" si="1508"/>
        <v>0.65082872928176794</v>
      </c>
      <c r="HE172" s="11">
        <v>8</v>
      </c>
      <c r="HF172" s="12">
        <f t="shared" si="1509"/>
        <v>1.3582342954159592E-2</v>
      </c>
      <c r="HG172" s="13"/>
      <c r="HH172" s="11"/>
      <c r="HI172" s="25"/>
      <c r="HJ172" s="38">
        <v>4932.1428571428569</v>
      </c>
      <c r="HK172" s="10">
        <f t="shared" si="1510"/>
        <v>12</v>
      </c>
      <c r="HL172" s="11">
        <f t="shared" si="1511"/>
        <v>0</v>
      </c>
      <c r="HM172" s="11">
        <f t="shared" si="1512"/>
        <v>12045</v>
      </c>
      <c r="HN172" s="11">
        <f t="shared" si="1513"/>
        <v>1034</v>
      </c>
      <c r="HO172" s="11">
        <f t="shared" si="1514"/>
        <v>7544</v>
      </c>
      <c r="HP172" s="95">
        <f t="shared" si="1515"/>
        <v>0.6263179742631797</v>
      </c>
      <c r="HQ172" s="15">
        <f t="shared" si="1516"/>
        <v>259</v>
      </c>
      <c r="HR172" s="12">
        <f t="shared" si="1517"/>
        <v>3.4331919406150581E-2</v>
      </c>
      <c r="HS172" s="16">
        <v>63.9</v>
      </c>
      <c r="HT172" s="17">
        <v>7095</v>
      </c>
      <c r="HU172" s="16">
        <f t="shared" si="1518"/>
        <v>94.048250265111349</v>
      </c>
      <c r="HV172" s="23"/>
      <c r="HW172" s="22">
        <v>4752.4271844660198</v>
      </c>
      <c r="HX172" s="73">
        <f t="shared" si="1519"/>
        <v>0.60610687022900767</v>
      </c>
      <c r="HY172" s="73">
        <f t="shared" si="1520"/>
        <v>0.60541887262535032</v>
      </c>
      <c r="HZ172" s="73">
        <f t="shared" si="1521"/>
        <v>0.65551470588235294</v>
      </c>
      <c r="IA172" s="73">
        <f t="shared" si="1522"/>
        <v>0.64529764001408951</v>
      </c>
    </row>
    <row r="173" spans="1:244" x14ac:dyDescent="0.25">
      <c r="A173" s="374"/>
      <c r="B173" s="41">
        <f t="shared" si="1523"/>
        <v>45073</v>
      </c>
      <c r="C173" s="10"/>
      <c r="D173" s="11"/>
      <c r="E173" s="69">
        <f t="shared" si="1524"/>
        <v>828</v>
      </c>
      <c r="F173" s="69">
        <f t="shared" si="1525"/>
        <v>72</v>
      </c>
      <c r="G173" s="11">
        <v>482</v>
      </c>
      <c r="H173" s="12">
        <f t="shared" si="1474"/>
        <v>0.60748792270531404</v>
      </c>
      <c r="I173" s="11">
        <v>21</v>
      </c>
      <c r="J173" s="12">
        <f t="shared" si="1475"/>
        <v>4.1749502982107355E-2</v>
      </c>
      <c r="K173" s="13"/>
      <c r="L173" s="11"/>
      <c r="M173" s="39">
        <v>100</v>
      </c>
      <c r="N173" s="43"/>
      <c r="O173" s="10"/>
      <c r="P173" s="11"/>
      <c r="Q173" s="69">
        <f t="shared" si="1526"/>
        <v>754</v>
      </c>
      <c r="R173" s="69">
        <f t="shared" si="1527"/>
        <v>64</v>
      </c>
      <c r="S173" s="11">
        <v>441</v>
      </c>
      <c r="T173" s="12">
        <f t="shared" si="1476"/>
        <v>0.60742705570291777</v>
      </c>
      <c r="U173" s="11">
        <v>17</v>
      </c>
      <c r="V173" s="12">
        <f t="shared" si="1477"/>
        <v>3.7117903930131008E-2</v>
      </c>
      <c r="W173" s="13"/>
      <c r="X173" s="11"/>
      <c r="Y173" s="39">
        <v>100</v>
      </c>
      <c r="Z173" s="43"/>
      <c r="AA173" s="10"/>
      <c r="AB173" s="11"/>
      <c r="AC173" s="69">
        <f t="shared" si="1528"/>
        <v>170</v>
      </c>
      <c r="AD173" s="69">
        <f t="shared" si="1529"/>
        <v>13</v>
      </c>
      <c r="AE173" s="11">
        <v>109</v>
      </c>
      <c r="AF173" s="12">
        <f t="shared" si="1478"/>
        <v>0.6470588235294118</v>
      </c>
      <c r="AG173" s="11">
        <v>1</v>
      </c>
      <c r="AH173" s="12">
        <f t="shared" si="1479"/>
        <v>9.0909090909090905E-3</v>
      </c>
      <c r="AI173" s="13"/>
      <c r="AJ173" s="11"/>
      <c r="AK173" s="39">
        <v>100</v>
      </c>
      <c r="AL173" s="43"/>
      <c r="AM173" s="10">
        <v>2</v>
      </c>
      <c r="AN173" s="11"/>
      <c r="AO173" s="69">
        <f t="shared" si="1530"/>
        <v>766</v>
      </c>
      <c r="AP173" s="69">
        <f t="shared" si="1531"/>
        <v>63</v>
      </c>
      <c r="AQ173" s="11">
        <v>440</v>
      </c>
      <c r="AR173" s="12">
        <f t="shared" si="1480"/>
        <v>0.6044386422976501</v>
      </c>
      <c r="AS173" s="11">
        <v>23</v>
      </c>
      <c r="AT173" s="12">
        <f t="shared" si="1481"/>
        <v>4.9676025917926567E-2</v>
      </c>
      <c r="AU173" s="13"/>
      <c r="AV173" s="11"/>
      <c r="AW173" s="39">
        <v>100</v>
      </c>
      <c r="AX173" s="43"/>
      <c r="AY173" s="10">
        <v>1</v>
      </c>
      <c r="AZ173" s="11"/>
      <c r="BA173" s="69">
        <f t="shared" si="1532"/>
        <v>754</v>
      </c>
      <c r="BB173" s="69">
        <f t="shared" si="1533"/>
        <v>67</v>
      </c>
      <c r="BC173" s="11">
        <v>460</v>
      </c>
      <c r="BD173" s="12">
        <f t="shared" si="1482"/>
        <v>0.62997347480106103</v>
      </c>
      <c r="BE173" s="11">
        <v>15</v>
      </c>
      <c r="BF173" s="12">
        <f t="shared" si="1483"/>
        <v>3.1578947368421054E-2</v>
      </c>
      <c r="BG173" s="13"/>
      <c r="BH173" s="11"/>
      <c r="BI173" s="39">
        <v>100</v>
      </c>
      <c r="BJ173" s="43"/>
      <c r="BK173" s="10"/>
      <c r="BL173" s="11"/>
      <c r="BM173" s="69">
        <f t="shared" si="1534"/>
        <v>818</v>
      </c>
      <c r="BN173" s="69">
        <f t="shared" si="1535"/>
        <v>70</v>
      </c>
      <c r="BO173" s="11">
        <v>475</v>
      </c>
      <c r="BP173" s="12">
        <f t="shared" si="1484"/>
        <v>0.60391198044009775</v>
      </c>
      <c r="BQ173" s="11">
        <v>19</v>
      </c>
      <c r="BR173" s="12">
        <f t="shared" si="1485"/>
        <v>3.8461538461538464E-2</v>
      </c>
      <c r="BS173" s="13"/>
      <c r="BT173" s="11"/>
      <c r="BU173" s="39">
        <v>92.857142857142861</v>
      </c>
      <c r="BV173" s="43"/>
      <c r="BW173" s="10"/>
      <c r="BX173" s="11"/>
      <c r="BY173" s="69">
        <f t="shared" si="1536"/>
        <v>750</v>
      </c>
      <c r="BZ173" s="69">
        <f t="shared" si="1537"/>
        <v>62</v>
      </c>
      <c r="CA173" s="11">
        <v>446</v>
      </c>
      <c r="CB173" s="12">
        <f t="shared" si="1486"/>
        <v>0.60933333333333328</v>
      </c>
      <c r="CC173" s="11">
        <v>11</v>
      </c>
      <c r="CD173" s="12">
        <f t="shared" si="1487"/>
        <v>2.4070021881838075E-2</v>
      </c>
      <c r="CE173" s="13"/>
      <c r="CF173" s="11"/>
      <c r="CG173" s="39">
        <v>100</v>
      </c>
      <c r="CH173" s="43"/>
      <c r="CI173" s="10"/>
      <c r="CJ173" s="11"/>
      <c r="CK173" s="69">
        <f t="shared" si="1538"/>
        <v>158</v>
      </c>
      <c r="CL173" s="69">
        <f t="shared" si="1539"/>
        <v>14</v>
      </c>
      <c r="CM173" s="11">
        <v>95</v>
      </c>
      <c r="CN173" s="12">
        <f t="shared" si="1488"/>
        <v>0.620253164556962</v>
      </c>
      <c r="CO173" s="11">
        <v>3</v>
      </c>
      <c r="CP173" s="12">
        <f t="shared" si="1489"/>
        <v>3.0612244897959183E-2</v>
      </c>
      <c r="CQ173" s="13"/>
      <c r="CR173" s="11"/>
      <c r="CS173" s="39"/>
      <c r="CT173" s="43">
        <v>66.666666666666671</v>
      </c>
      <c r="CU173" s="10"/>
      <c r="CV173" s="11"/>
      <c r="CW173" s="69">
        <f t="shared" si="1540"/>
        <v>741</v>
      </c>
      <c r="CX173" s="69">
        <f t="shared" si="1541"/>
        <v>63</v>
      </c>
      <c r="CY173" s="11">
        <v>426</v>
      </c>
      <c r="CZ173" s="12">
        <f t="shared" si="1490"/>
        <v>0.58974358974358976</v>
      </c>
      <c r="DA173" s="11">
        <v>11</v>
      </c>
      <c r="DB173" s="12">
        <f t="shared" si="1491"/>
        <v>2.5171624713958809E-2</v>
      </c>
      <c r="DC173" s="13"/>
      <c r="DD173" s="11"/>
      <c r="DE173" s="39"/>
      <c r="DF173" s="43">
        <v>100</v>
      </c>
      <c r="DG173" s="10"/>
      <c r="DH173" s="11"/>
      <c r="DI173" s="69">
        <f t="shared" si="1542"/>
        <v>744</v>
      </c>
      <c r="DJ173" s="69">
        <f t="shared" si="1543"/>
        <v>66</v>
      </c>
      <c r="DK173" s="11">
        <v>453</v>
      </c>
      <c r="DL173" s="12">
        <f t="shared" si="1492"/>
        <v>0.6303763440860215</v>
      </c>
      <c r="DM173" s="11">
        <v>16</v>
      </c>
      <c r="DN173" s="12">
        <f t="shared" si="1493"/>
        <v>3.4115138592750532E-2</v>
      </c>
      <c r="DO173" s="13"/>
      <c r="DP173" s="11"/>
      <c r="DQ173" s="39"/>
      <c r="DR173" s="43">
        <v>100</v>
      </c>
      <c r="DS173" s="10">
        <v>1</v>
      </c>
      <c r="DT173" s="11"/>
      <c r="DU173" s="69">
        <f t="shared" si="1544"/>
        <v>835</v>
      </c>
      <c r="DV173" s="69">
        <f t="shared" si="1545"/>
        <v>71</v>
      </c>
      <c r="DW173" s="11">
        <v>524</v>
      </c>
      <c r="DX173" s="12">
        <f t="shared" si="1494"/>
        <v>0.6467065868263473</v>
      </c>
      <c r="DY173" s="11">
        <v>16</v>
      </c>
      <c r="DZ173" s="12">
        <f t="shared" si="1495"/>
        <v>2.9629629629629631E-2</v>
      </c>
      <c r="EA173" s="13"/>
      <c r="EB173" s="11"/>
      <c r="EC173" s="39"/>
      <c r="ED173" s="43">
        <v>93.75</v>
      </c>
      <c r="EE173" s="10"/>
      <c r="EF173" s="11"/>
      <c r="EG173" s="69">
        <f t="shared" si="1546"/>
        <v>846</v>
      </c>
      <c r="EH173" s="69">
        <f t="shared" si="1547"/>
        <v>74</v>
      </c>
      <c r="EI173" s="11">
        <v>513</v>
      </c>
      <c r="EJ173" s="12">
        <f t="shared" si="1496"/>
        <v>0.62293144208037821</v>
      </c>
      <c r="EK173" s="11">
        <v>14</v>
      </c>
      <c r="EL173" s="12">
        <f t="shared" si="1497"/>
        <v>2.6565464895635674E-2</v>
      </c>
      <c r="EM173" s="13"/>
      <c r="EN173" s="11"/>
      <c r="EO173" s="39"/>
      <c r="EP173" s="43">
        <v>100</v>
      </c>
      <c r="EQ173" s="10"/>
      <c r="ER173" s="11"/>
      <c r="ES173" s="69">
        <f t="shared" si="1548"/>
        <v>185</v>
      </c>
      <c r="ET173" s="69">
        <f t="shared" si="1549"/>
        <v>16</v>
      </c>
      <c r="EU173" s="11">
        <v>114</v>
      </c>
      <c r="EV173" s="12">
        <f t="shared" si="1498"/>
        <v>0.64864864864864868</v>
      </c>
      <c r="EW173" s="11">
        <v>6</v>
      </c>
      <c r="EX173" s="12">
        <f t="shared" si="1499"/>
        <v>0.05</v>
      </c>
      <c r="EY173" s="13"/>
      <c r="EZ173" s="11"/>
      <c r="FA173" s="39"/>
      <c r="FB173" s="43">
        <v>100</v>
      </c>
      <c r="FC173" s="10">
        <v>1</v>
      </c>
      <c r="FD173" s="11"/>
      <c r="FE173" s="69">
        <f t="shared" si="1550"/>
        <v>852</v>
      </c>
      <c r="FF173" s="69">
        <f t="shared" si="1551"/>
        <v>74</v>
      </c>
      <c r="FG173" s="11">
        <v>546</v>
      </c>
      <c r="FH173" s="12">
        <f t="shared" si="1500"/>
        <v>0.6561032863849765</v>
      </c>
      <c r="FI173" s="11">
        <v>13</v>
      </c>
      <c r="FJ173" s="12">
        <f t="shared" si="1501"/>
        <v>2.3255813953488372E-2</v>
      </c>
      <c r="FK173" s="13"/>
      <c r="FL173" s="11"/>
      <c r="FM173" s="39"/>
      <c r="FN173" s="43">
        <v>100</v>
      </c>
      <c r="FO173" s="10">
        <v>1</v>
      </c>
      <c r="FP173" s="11"/>
      <c r="FQ173" s="69">
        <f t="shared" si="1552"/>
        <v>884</v>
      </c>
      <c r="FR173" s="69">
        <f t="shared" si="1553"/>
        <v>75</v>
      </c>
      <c r="FS173" s="11">
        <v>504</v>
      </c>
      <c r="FT173" s="12">
        <f t="shared" si="1502"/>
        <v>0.58936651583710409</v>
      </c>
      <c r="FU173" s="11">
        <v>17</v>
      </c>
      <c r="FV173" s="12">
        <f t="shared" si="1503"/>
        <v>3.2629558541266791E-2</v>
      </c>
      <c r="FW173" s="13"/>
      <c r="FX173" s="11"/>
      <c r="FY173" s="39"/>
      <c r="FZ173" s="43">
        <v>100</v>
      </c>
      <c r="GA173" s="10"/>
      <c r="GB173" s="11"/>
      <c r="GC173" s="69">
        <f t="shared" si="1554"/>
        <v>882</v>
      </c>
      <c r="GD173" s="69">
        <f t="shared" si="1555"/>
        <v>76</v>
      </c>
      <c r="GE173" s="11">
        <v>506</v>
      </c>
      <c r="GF173" s="12">
        <f t="shared" si="1504"/>
        <v>0.59070294784580502</v>
      </c>
      <c r="GG173" s="11">
        <v>15</v>
      </c>
      <c r="GH173" s="12">
        <f t="shared" si="1505"/>
        <v>2.8790786948176585E-2</v>
      </c>
      <c r="GI173" s="13"/>
      <c r="GJ173" s="11"/>
      <c r="GK173" s="39"/>
      <c r="GL173" s="43">
        <v>100</v>
      </c>
      <c r="GM173" s="10">
        <v>1</v>
      </c>
      <c r="GN173" s="11"/>
      <c r="GO173" s="69">
        <f t="shared" si="1556"/>
        <v>166</v>
      </c>
      <c r="GP173" s="69">
        <f t="shared" si="1557"/>
        <v>17</v>
      </c>
      <c r="GQ173" s="11">
        <v>95</v>
      </c>
      <c r="GR173" s="12">
        <f t="shared" si="1506"/>
        <v>0.62650602409638556</v>
      </c>
      <c r="GS173" s="11">
        <v>9</v>
      </c>
      <c r="GT173" s="12">
        <f t="shared" si="1507"/>
        <v>8.6538461538461536E-2</v>
      </c>
      <c r="GU173" s="13"/>
      <c r="GV173" s="11"/>
      <c r="GW173" s="39"/>
      <c r="GX173" s="43">
        <v>100</v>
      </c>
      <c r="GY173" s="10"/>
      <c r="GZ173" s="11"/>
      <c r="HA173" s="69">
        <f t="shared" si="1558"/>
        <v>905</v>
      </c>
      <c r="HB173" s="69">
        <f t="shared" si="1559"/>
        <v>77</v>
      </c>
      <c r="HC173" s="11">
        <v>564</v>
      </c>
      <c r="HD173" s="12">
        <f t="shared" si="1508"/>
        <v>0.63867403314917126</v>
      </c>
      <c r="HE173" s="11">
        <v>14</v>
      </c>
      <c r="HF173" s="12">
        <f t="shared" si="1509"/>
        <v>2.4221453287197232E-2</v>
      </c>
      <c r="HG173" s="13"/>
      <c r="HH173" s="11"/>
      <c r="HI173" s="39"/>
      <c r="HJ173" s="43">
        <v>92.857142857142861</v>
      </c>
      <c r="HK173" s="10">
        <f t="shared" si="1510"/>
        <v>7</v>
      </c>
      <c r="HL173" s="11">
        <f t="shared" si="1511"/>
        <v>0</v>
      </c>
      <c r="HM173" s="11">
        <f t="shared" si="1512"/>
        <v>12038</v>
      </c>
      <c r="HN173" s="11">
        <f t="shared" si="1513"/>
        <v>1034</v>
      </c>
      <c r="HO173" s="11">
        <f t="shared" si="1514"/>
        <v>7434</v>
      </c>
      <c r="HP173" s="95">
        <f t="shared" si="1515"/>
        <v>0.61754444259843833</v>
      </c>
      <c r="HQ173" s="15">
        <f t="shared" si="1516"/>
        <v>241</v>
      </c>
      <c r="HR173" s="12">
        <f t="shared" si="1517"/>
        <v>3.2418617164379875E-2</v>
      </c>
      <c r="HS173" s="16">
        <v>63.5</v>
      </c>
      <c r="HT173" s="17">
        <v>7031</v>
      </c>
      <c r="HU173" s="16">
        <f t="shared" si="1518"/>
        <v>94.578961528114064</v>
      </c>
      <c r="HV173" s="23"/>
      <c r="HW173" s="22">
        <v>94.174757281553397</v>
      </c>
      <c r="HX173" s="73">
        <f t="shared" si="1519"/>
        <v>0.61399755501222497</v>
      </c>
      <c r="HY173" s="73">
        <f t="shared" si="1520"/>
        <v>0.60884459669884772</v>
      </c>
      <c r="HZ173" s="73">
        <f t="shared" si="1521"/>
        <v>0.64238410596026485</v>
      </c>
      <c r="IA173" s="73">
        <f t="shared" si="1522"/>
        <v>0.60768417342262959</v>
      </c>
      <c r="IF173" s="85">
        <f>IF174/IF175</f>
        <v>4.2604990870359098E-3</v>
      </c>
      <c r="IG173" s="85">
        <f>IG174/IG175</f>
        <v>3.1046258925799442E-3</v>
      </c>
      <c r="IH173" s="85">
        <f>IH174/IH175</f>
        <v>4.7601611131453678E-3</v>
      </c>
      <c r="II173" s="85">
        <f>II174/II175</f>
        <v>3.8623595505617976E-3</v>
      </c>
      <c r="IJ173" s="88" t="s">
        <v>90</v>
      </c>
    </row>
    <row r="174" spans="1:244" ht="19.5" thickBot="1" x14ac:dyDescent="0.3">
      <c r="A174" s="374"/>
      <c r="B174" s="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3423</v>
      </c>
      <c r="H174" s="28">
        <f>((G174+I174)/7)/E173</f>
        <v>0.61525189786059353</v>
      </c>
      <c r="I174" s="27">
        <f>SUM(I167:I173)</f>
        <v>143</v>
      </c>
      <c r="J174" s="28">
        <f>(I174/(I174+G174))</f>
        <v>4.0100953449242846E-2</v>
      </c>
      <c r="K174" s="27"/>
      <c r="L174" s="27"/>
      <c r="M174" s="29">
        <f>M172/M171*100-100</f>
        <v>4.9191910271129586</v>
      </c>
      <c r="N174" s="67" t="e">
        <f>N172/N171*100-100</f>
        <v>#DIV/0!</v>
      </c>
      <c r="O174" s="26">
        <f>SUM(O167:O173)</f>
        <v>0</v>
      </c>
      <c r="P174" s="27">
        <f>SUM(P167:P173)</f>
        <v>0</v>
      </c>
      <c r="Q174" s="27"/>
      <c r="R174" s="27"/>
      <c r="S174" s="27">
        <f>SUM(S167:S173)</f>
        <v>3070</v>
      </c>
      <c r="T174" s="28">
        <f>((S174+U174)/7)/Q173</f>
        <v>0.60174308450170522</v>
      </c>
      <c r="U174" s="27">
        <f>SUM(U167:U173)</f>
        <v>106</v>
      </c>
      <c r="V174" s="28">
        <f>(U174/(U174+S174))</f>
        <v>3.3375314861460954E-2</v>
      </c>
      <c r="W174" s="27"/>
      <c r="X174" s="27"/>
      <c r="Y174" s="29">
        <f>Y172/Y171*100-100</f>
        <v>10.562571756601599</v>
      </c>
      <c r="Z174" s="67" t="e">
        <f>Z172/Z171*100-100</f>
        <v>#DIV/0!</v>
      </c>
      <c r="AA174" s="26">
        <f>SUM(AA167:AA173)</f>
        <v>2</v>
      </c>
      <c r="AB174" s="27">
        <f>SUM(AB167:AB173)</f>
        <v>0</v>
      </c>
      <c r="AC174" s="27"/>
      <c r="AD174" s="27"/>
      <c r="AE174" s="27">
        <f>SUM(AE167:AE173)</f>
        <v>718</v>
      </c>
      <c r="AF174" s="28">
        <f>((AE174+AG174)/7)/AC173</f>
        <v>0.62100840336134455</v>
      </c>
      <c r="AG174" s="27">
        <f>SUM(AG167:AG173)</f>
        <v>21</v>
      </c>
      <c r="AH174" s="28">
        <f>(AG174/(AG174+AE174))</f>
        <v>2.8416779431664412E-2</v>
      </c>
      <c r="AI174" s="27"/>
      <c r="AJ174" s="27"/>
      <c r="AK174" s="29">
        <f>AK172/AK171*100-100</f>
        <v>4.7837734404898526</v>
      </c>
      <c r="AL174" s="67" t="e">
        <f>AL172/AL171*100-100</f>
        <v>#DIV/0!</v>
      </c>
      <c r="AM174" s="26">
        <f>SUM(AM167:AM173)</f>
        <v>3</v>
      </c>
      <c r="AN174" s="27">
        <f>SUM(AN167:AN173)</f>
        <v>1</v>
      </c>
      <c r="AO174" s="27"/>
      <c r="AP174" s="27"/>
      <c r="AQ174" s="27">
        <f>SUM(AQ167:AQ173)</f>
        <v>3022</v>
      </c>
      <c r="AR174" s="28">
        <f>((AQ174+AS174)/7)/AO173</f>
        <v>0.58355091383812008</v>
      </c>
      <c r="AS174" s="27">
        <f>SUM(AS167:AS173)</f>
        <v>107</v>
      </c>
      <c r="AT174" s="28">
        <f>(AS174/(AS174+AQ174))</f>
        <v>3.4196228827101313E-2</v>
      </c>
      <c r="AU174" s="27"/>
      <c r="AV174" s="27"/>
      <c r="AW174" s="29">
        <f>AW172/AW171*100-100</f>
        <v>10.18281374194116</v>
      </c>
      <c r="AX174" s="67" t="e">
        <f>AX172/AX171*100-100</f>
        <v>#DIV/0!</v>
      </c>
      <c r="AY174" s="26">
        <f>SUM(AY167:AY173)</f>
        <v>6</v>
      </c>
      <c r="AZ174" s="27">
        <f>SUM(AZ167:AZ173)</f>
        <v>0</v>
      </c>
      <c r="BA174" s="27"/>
      <c r="BB174" s="27"/>
      <c r="BC174" s="27">
        <f>SUM(BC167:BC173)</f>
        <v>3266</v>
      </c>
      <c r="BD174" s="28">
        <f>((BC174+BE174)/7)/BA173</f>
        <v>0.64020462296324365</v>
      </c>
      <c r="BE174" s="27">
        <f>SUM(BE167:BE173)</f>
        <v>113</v>
      </c>
      <c r="BF174" s="28">
        <f>(BE174/(BE174+BC174))</f>
        <v>3.344184670020716E-2</v>
      </c>
      <c r="BG174" s="27"/>
      <c r="BH174" s="27"/>
      <c r="BI174" s="29">
        <f>BI172/BI171*100-100</f>
        <v>11.5749921720071</v>
      </c>
      <c r="BJ174" s="67" t="e">
        <f>BJ172/BJ171*100-100</f>
        <v>#DIV/0!</v>
      </c>
      <c r="BK174" s="26">
        <f>SUM(BK167:BK173)</f>
        <v>4</v>
      </c>
      <c r="BL174" s="27">
        <f>SUM(BL167:BL173)</f>
        <v>1</v>
      </c>
      <c r="BM174" s="27"/>
      <c r="BN174" s="27"/>
      <c r="BO174" s="27">
        <f>SUM(BO167:BO173)</f>
        <v>3507</v>
      </c>
      <c r="BP174" s="28">
        <f>((BO174+BQ174)/7)/BM173</f>
        <v>0.63587146349982537</v>
      </c>
      <c r="BQ174" s="27">
        <f>SUM(BQ167:BQ173)</f>
        <v>134</v>
      </c>
      <c r="BR174" s="28">
        <f>(BQ174/(BQ174+BO174))</f>
        <v>3.6803076078000548E-2</v>
      </c>
      <c r="BS174" s="27"/>
      <c r="BT174" s="27"/>
      <c r="BU174" s="29">
        <f>BU172/BU171*100-100</f>
        <v>5.4781039855666762</v>
      </c>
      <c r="BV174" s="67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3174</v>
      </c>
      <c r="CB174" s="28">
        <f>((CA174+CC174)/7)/BY173</f>
        <v>0.6226666666666667</v>
      </c>
      <c r="CC174" s="27">
        <f>SUM(CC167:CC173)</f>
        <v>95</v>
      </c>
      <c r="CD174" s="28">
        <f>(CC174/(CC174+CA174))</f>
        <v>2.9060874885286019E-2</v>
      </c>
      <c r="CE174" s="27"/>
      <c r="CF174" s="27"/>
      <c r="CG174" s="29">
        <f>CG172/CG171*100-100</f>
        <v>10.734787600459256</v>
      </c>
      <c r="CH174" s="67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614</v>
      </c>
      <c r="CN174" s="28">
        <f>((CM174+CO174)/7)/CK173</f>
        <v>0.57866184448462932</v>
      </c>
      <c r="CO174" s="27">
        <f>SUM(CO167:CO173)</f>
        <v>26</v>
      </c>
      <c r="CP174" s="28">
        <f>(CO174/(CO174+CM174))</f>
        <v>4.0625000000000001E-2</v>
      </c>
      <c r="CQ174" s="27"/>
      <c r="CR174" s="27"/>
      <c r="CS174" s="29" t="e">
        <f>CS172/CS171*100-100</f>
        <v>#DIV/0!</v>
      </c>
      <c r="CT174" s="67">
        <f>CT172/CT171*100-100</f>
        <v>3.5591274397244632</v>
      </c>
      <c r="CU174" s="26">
        <f>SUM(CU167:CU173)</f>
        <v>2</v>
      </c>
      <c r="CV174" s="27">
        <f>SUM(CV167:CV173)</f>
        <v>2</v>
      </c>
      <c r="CW174" s="27"/>
      <c r="CX174" s="27"/>
      <c r="CY174" s="27">
        <f>SUM(CY167:CY173)</f>
        <v>3063</v>
      </c>
      <c r="CZ174" s="28">
        <f>((CY174+DA174)/7)/CW173</f>
        <v>0.60593792172739536</v>
      </c>
      <c r="DA174" s="27">
        <f>SUM(DA167:DA173)</f>
        <v>80</v>
      </c>
      <c r="DB174" s="28">
        <f>(DA174/(DA174+CY174))</f>
        <v>2.5453388482341712E-2</v>
      </c>
      <c r="DC174" s="27"/>
      <c r="DD174" s="27"/>
      <c r="DE174" s="29" t="e">
        <f>DE172/DE171*100-100</f>
        <v>#DIV/0!</v>
      </c>
      <c r="DF174" s="67">
        <f>DF172/DF171*100-100</f>
        <v>10.447761194029852</v>
      </c>
      <c r="DG174" s="26">
        <f>SUM(DG167:DG173)</f>
        <v>3</v>
      </c>
      <c r="DH174" s="27">
        <f>SUM(DH167:DH173)</f>
        <v>0</v>
      </c>
      <c r="DI174" s="27"/>
      <c r="DJ174" s="27"/>
      <c r="DK174" s="27">
        <f>SUM(DK167:DK173)</f>
        <v>3243</v>
      </c>
      <c r="DL174" s="28">
        <f>((DK174+DM174)/7)/DI173</f>
        <v>0.64400921658986177</v>
      </c>
      <c r="DM174" s="27">
        <f>SUM(DM167:DM173)</f>
        <v>111</v>
      </c>
      <c r="DN174" s="28">
        <f>(DM174/(DM174+DK174))</f>
        <v>3.3094812164579608E-2</v>
      </c>
      <c r="DO174" s="27"/>
      <c r="DP174" s="27"/>
      <c r="DQ174" s="29" t="e">
        <f>DQ172/DQ171*100-100</f>
        <v>#DIV/0!</v>
      </c>
      <c r="DR174" s="67">
        <f>DR172/DR171*100-100</f>
        <v>14.944508228090299</v>
      </c>
      <c r="DS174" s="26">
        <f>SUM(DS167:DS173)</f>
        <v>1</v>
      </c>
      <c r="DT174" s="27">
        <f>SUM(DT167:DT173)</f>
        <v>0</v>
      </c>
      <c r="DU174" s="27"/>
      <c r="DV174" s="27"/>
      <c r="DW174" s="27">
        <f>SUM(DW167:DW173)</f>
        <v>3850</v>
      </c>
      <c r="DX174" s="28">
        <f>((DW174+DY174)/7)/DU173</f>
        <v>0.67972626176218987</v>
      </c>
      <c r="DY174" s="27">
        <f>SUM(DY167:DY173)</f>
        <v>123</v>
      </c>
      <c r="DZ174" s="28">
        <f>(DY174/(DY174+DW174))</f>
        <v>3.0958973068210421E-2</v>
      </c>
      <c r="EA174" s="27"/>
      <c r="EB174" s="27"/>
      <c r="EC174" s="29" t="e">
        <f>EC172/EC171*100-100</f>
        <v>#DIV/0!</v>
      </c>
      <c r="ED174" s="67">
        <f>ED172/ED171*100-100</f>
        <v>4.2766934557979255</v>
      </c>
      <c r="EE174" s="26">
        <f>SUM(EE167:EE173)</f>
        <v>1</v>
      </c>
      <c r="EF174" s="27">
        <f>SUM(EF167:EF173)</f>
        <v>0</v>
      </c>
      <c r="EG174" s="27"/>
      <c r="EH174" s="27"/>
      <c r="EI174" s="27">
        <f>SUM(EI167:EI173)</f>
        <v>3777</v>
      </c>
      <c r="EJ174" s="28">
        <f>((EI174+EK174)/7)/EG173</f>
        <v>0.65889902060114824</v>
      </c>
      <c r="EK174" s="27">
        <f>SUM(EK167:EK173)</f>
        <v>125</v>
      </c>
      <c r="EL174" s="28">
        <f>(EK174/(EK174+EI174))</f>
        <v>3.2034853921066121E-2</v>
      </c>
      <c r="EM174" s="27"/>
      <c r="EN174" s="27"/>
      <c r="EO174" s="29" t="e">
        <f>EO172/EO171*100-100</f>
        <v>#DIV/0!</v>
      </c>
      <c r="EP174" s="67">
        <f>EP172/EP171*100-100</f>
        <v>10.824995899622763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797</v>
      </c>
      <c r="EV174" s="28">
        <f>((EU174+EW174)/7)/ES173</f>
        <v>0.64247104247104247</v>
      </c>
      <c r="EW174" s="27">
        <f>SUM(EW167:EW173)</f>
        <v>35</v>
      </c>
      <c r="EX174" s="28">
        <f>(EW174/(EW174+EU174))</f>
        <v>4.2067307692307696E-2</v>
      </c>
      <c r="EY174" s="27"/>
      <c r="EZ174" s="27"/>
      <c r="FA174" s="29" t="e">
        <f>FA172/FA171*100-100</f>
        <v>#DIV/0!</v>
      </c>
      <c r="FB174" s="67">
        <f>FB172/FB171*100-100</f>
        <v>1.2629161882893243</v>
      </c>
      <c r="FC174" s="26">
        <f>SUM(FC167:FC173)</f>
        <v>8</v>
      </c>
      <c r="FD174" s="27">
        <f>SUM(FD167:FD173)</f>
        <v>0</v>
      </c>
      <c r="FE174" s="27"/>
      <c r="FF174" s="27"/>
      <c r="FG174" s="27">
        <f>SUM(FG167:FG173)</f>
        <v>4061</v>
      </c>
      <c r="FH174" s="28">
        <f>((FG174+FI174)/7)/FE173</f>
        <v>0.69751844399731733</v>
      </c>
      <c r="FI174" s="27">
        <f>SUM(FI167:FI173)</f>
        <v>99</v>
      </c>
      <c r="FJ174" s="28">
        <f>(FI174/(FI174+FG174))</f>
        <v>2.3798076923076922E-2</v>
      </c>
      <c r="FK174" s="27"/>
      <c r="FL174" s="27"/>
      <c r="FM174" s="29" t="e">
        <f>FM172/FM171*100-100</f>
        <v>#DIV/0!</v>
      </c>
      <c r="FN174" s="67">
        <f>FN172/FN171*100-100</f>
        <v>11.882893226176819</v>
      </c>
      <c r="FO174" s="26">
        <f>SUM(FO167:FO173)</f>
        <v>4</v>
      </c>
      <c r="FP174" s="27">
        <f>SUM(FP167:FP173)</f>
        <v>0</v>
      </c>
      <c r="FQ174" s="27"/>
      <c r="FR174" s="27"/>
      <c r="FS174" s="27">
        <f>SUM(FS167:FS173)</f>
        <v>3846</v>
      </c>
      <c r="FT174" s="28">
        <f>((FS174+FU174)/7)/FQ173</f>
        <v>0.64059469941822889</v>
      </c>
      <c r="FU174" s="27">
        <f>SUM(FU167:FU173)</f>
        <v>118</v>
      </c>
      <c r="FV174" s="28">
        <f>(FU174/(FU174+FS174))</f>
        <v>2.9767911200807264E-2</v>
      </c>
      <c r="FW174" s="27"/>
      <c r="FX174" s="27"/>
      <c r="FY174" s="29" t="e">
        <f>FY172/FY171*100-100</f>
        <v>#DIV/0!</v>
      </c>
      <c r="FZ174" s="67">
        <f>FZ172/FZ171*100-100</f>
        <v>7.0979941919362375</v>
      </c>
      <c r="GA174" s="26">
        <f>SUM(GA167:GA173)</f>
        <v>3</v>
      </c>
      <c r="GB174" s="27">
        <f>SUM(GB167:GB173)</f>
        <v>0</v>
      </c>
      <c r="GC174" s="27"/>
      <c r="GD174" s="27"/>
      <c r="GE174" s="27">
        <f>SUM(GE167:GE173)</f>
        <v>3826</v>
      </c>
      <c r="GF174" s="28">
        <f>((GE174+GG174)/7)/GC173</f>
        <v>0.6379980563654033</v>
      </c>
      <c r="GG174" s="27">
        <f>SUM(GG167:GG173)</f>
        <v>113</v>
      </c>
      <c r="GH174" s="28">
        <f>(GG174/(GG174+GE174))</f>
        <v>2.8687484133028688E-2</v>
      </c>
      <c r="GI174" s="27"/>
      <c r="GJ174" s="27"/>
      <c r="GK174" s="29" t="e">
        <f>GK172/GK171*100-100</f>
        <v>#DIV/0!</v>
      </c>
      <c r="GL174" s="67">
        <f>GL172/GL171*100-100</f>
        <v>8.5123831392487972</v>
      </c>
      <c r="GM174" s="26">
        <f>SUM(GM167:GM173)</f>
        <v>3</v>
      </c>
      <c r="GN174" s="27">
        <f>SUM(GN167:GN173)</f>
        <v>0</v>
      </c>
      <c r="GO174" s="27"/>
      <c r="GP174" s="27"/>
      <c r="GQ174" s="27">
        <f>SUM(GQ167:GQ173)</f>
        <v>700</v>
      </c>
      <c r="GR174" s="28">
        <f>((GQ174+GS174)/7)/GO173</f>
        <v>0.6376936316695353</v>
      </c>
      <c r="GS174" s="27">
        <f>SUM(GS167:GS173)</f>
        <v>41</v>
      </c>
      <c r="GT174" s="28">
        <f>(GS174/(GS174+GQ174))</f>
        <v>5.5330634278002701E-2</v>
      </c>
      <c r="GU174" s="27"/>
      <c r="GV174" s="27"/>
      <c r="GW174" s="29" t="e">
        <f>GW172/GW171*100-100</f>
        <v>#DIV/0!</v>
      </c>
      <c r="GX174" s="67">
        <f>GX172/GX171*100-100</f>
        <v>8.1515499425947269</v>
      </c>
      <c r="GY174" s="26">
        <f>SUM(GY167:GY173)</f>
        <v>1</v>
      </c>
      <c r="GZ174" s="27">
        <f>SUM(GZ167:GZ173)</f>
        <v>0</v>
      </c>
      <c r="HA174" s="27"/>
      <c r="HB174" s="27"/>
      <c r="HC174" s="27">
        <f>SUM(HC167:HC173)</f>
        <v>4133</v>
      </c>
      <c r="HD174" s="28">
        <f>((HC174+HE174)/7)/HA173</f>
        <v>0.66661404893449094</v>
      </c>
      <c r="HE174" s="27">
        <f>SUM(HE167:HE173)</f>
        <v>90</v>
      </c>
      <c r="HF174" s="28">
        <f>(HE174/(HE174+HC174))</f>
        <v>2.1311863604072934E-2</v>
      </c>
      <c r="HG174" s="27"/>
      <c r="HH174" s="27"/>
      <c r="HI174" s="29" t="e">
        <f>HI172/HI171*100-100</f>
        <v>#DIV/0!</v>
      </c>
      <c r="HJ174" s="67">
        <f>HJ172/HJ171*100-100</f>
        <v>13.252419222568477</v>
      </c>
      <c r="HK174" s="26">
        <f t="shared" si="1510"/>
        <v>48</v>
      </c>
      <c r="HL174" s="27">
        <f t="shared" si="1511"/>
        <v>4</v>
      </c>
      <c r="HM174" s="27">
        <f t="shared" si="1512"/>
        <v>0</v>
      </c>
      <c r="HN174" s="27">
        <f t="shared" si="1513"/>
        <v>0</v>
      </c>
      <c r="HO174" s="27">
        <f t="shared" si="1514"/>
        <v>53770</v>
      </c>
      <c r="HP174" s="96">
        <f>+((HO174)/HM173)/7</f>
        <v>0.63809840267723639</v>
      </c>
      <c r="HQ174" s="62">
        <f t="shared" si="1516"/>
        <v>1680</v>
      </c>
      <c r="HR174" s="52">
        <f t="shared" si="1517"/>
        <v>3.1244188209038497E-2</v>
      </c>
      <c r="HS174" s="53">
        <f>SUM(HS167:HS173)/7</f>
        <v>63.8</v>
      </c>
      <c r="HT174" s="54">
        <f>SUM(HT167:HT173)</f>
        <v>50836</v>
      </c>
      <c r="HU174" s="53">
        <f>AVERAGE(HU167:HU173)</f>
        <v>94.542437029661301</v>
      </c>
      <c r="HV174" s="63" t="e">
        <f>HV172/HV171*100-100</f>
        <v>#DIV/0!</v>
      </c>
      <c r="HW174" s="67">
        <f>HW172/HW171*100-100</f>
        <v>9.1257677259706043</v>
      </c>
      <c r="HX174" s="73">
        <f>SUM(G174,I174,S174,U174,AE174,AG174,AQ174,AS174,BC174,BE174)/7/SUM(E173,Q173,AC173,AO173,BA173)</f>
        <v>0.61076667830946552</v>
      </c>
      <c r="HY174" s="73">
        <f>SUM(BO174,BQ174,CA174,CC174,CM174,CO174,CY174,DA174,DK174,DM174)/7/SUM(BM173,BY173,CK173,CW173,DI173)</f>
        <v>0.6249499488365885</v>
      </c>
      <c r="HZ174" s="73">
        <f>SUM(DW174,DY174,EI174,EK174,EU174,EW174,FG174,FI174)/7/SUM(DU173,EG173,ES173,FE173)</f>
        <v>0.67628508356985173</v>
      </c>
      <c r="IA174" s="73">
        <f>SUM(FS174,FU174,GE174,GG174,GQ174,GS174,HC174,HE174)/7/SUM(FQ173,GC173,GO173,HA173)</f>
        <v>0.64791782063548009</v>
      </c>
      <c r="IB174" s="84">
        <f>SUM(I174,U174,AG174,AS174,BE174)/SUM(G174,I174,S174,U174,AE174,AG174,AQ174,AS174,BC174,BE174)</f>
        <v>3.5027521624133251E-2</v>
      </c>
      <c r="IC174" s="84">
        <f>SUM(BQ174,CC174,CO174,DA174,DM174)/SUM(BO174,BQ174,CA174,CC174,CM174,CO174,CY174,DA174,DK174,DM174)</f>
        <v>3.1750551719228304E-2</v>
      </c>
      <c r="ID174" s="84">
        <f>SUM(DY174,EK174,EW174,FI174)/SUM(DW174,DY174,EI174,EK174,EU174,EW174,FG174,FI174)</f>
        <v>2.9688350042745008E-2</v>
      </c>
      <c r="IE174" s="84">
        <f>SUM(FU174,GG174,GS174,HE174)/SUM(FS174,FU174,GE174,GG174,GQ174,GS174,HC174,HE174)</f>
        <v>2.8133986166161497E-2</v>
      </c>
      <c r="IF174" s="86">
        <f>SUM(C174,O174,AA174,AM174,AY174)</f>
        <v>14</v>
      </c>
      <c r="IG174" s="86">
        <f>SUM(BK174,BW174,CI174,CU174,DG174)</f>
        <v>10</v>
      </c>
      <c r="IH174" s="86">
        <f>SUM(DS174,EE174,EQ174,FC174)</f>
        <v>13</v>
      </c>
      <c r="II174" s="86">
        <f>SUM(FO174,GA174,GM174,GY174)</f>
        <v>11</v>
      </c>
      <c r="IJ174" s="88" t="s">
        <v>89</v>
      </c>
    </row>
    <row r="175" spans="1:244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HK174/HM167</f>
        <v>3.9731810280605913E-3</v>
      </c>
      <c r="HL175" s="66">
        <f>HL174/HN167</f>
        <v>3.8572806171648989E-3</v>
      </c>
      <c r="HM175" s="45"/>
      <c r="HN175" s="45"/>
      <c r="HO175" s="45"/>
      <c r="HP175" s="98"/>
      <c r="HQ175" s="45"/>
      <c r="HR175" s="45"/>
      <c r="HS175" s="45"/>
      <c r="HT175" s="55"/>
      <c r="HU175" s="45"/>
      <c r="HV175" s="45"/>
      <c r="HW175" s="46"/>
      <c r="HY175" s="72"/>
      <c r="HZ175" s="72"/>
      <c r="IA175" s="72"/>
      <c r="IF175" s="86">
        <f>SUM(E164,Q164,AC164,AO164,BA164)</f>
        <v>3286</v>
      </c>
      <c r="IG175" s="86">
        <f>SUM(BM164,BY164,CK164,CW164,DI164)</f>
        <v>3221</v>
      </c>
      <c r="IH175" s="86">
        <f>SUM(DU164,EG164,ES164,FE164)</f>
        <v>2731</v>
      </c>
      <c r="II175" s="86">
        <f>SUM(FQ164,GC164,GO164,HA164)</f>
        <v>2848</v>
      </c>
      <c r="IJ175" s="88" t="s">
        <v>84</v>
      </c>
    </row>
    <row r="176" spans="1:244" x14ac:dyDescent="0.25">
      <c r="A176" s="373">
        <v>44</v>
      </c>
      <c r="B176" s="68">
        <f>B173+1</f>
        <v>45074</v>
      </c>
      <c r="C176" s="33">
        <v>1</v>
      </c>
      <c r="D176" s="34"/>
      <c r="E176" s="34">
        <f>E173-C176</f>
        <v>827</v>
      </c>
      <c r="F176" s="34">
        <f>F173-D176</f>
        <v>72</v>
      </c>
      <c r="G176" s="34">
        <v>458</v>
      </c>
      <c r="H176" s="35">
        <f t="shared" ref="H176:H182" si="1560">((G176+I176)/E176)</f>
        <v>0.57315598548972191</v>
      </c>
      <c r="I176" s="34">
        <v>16</v>
      </c>
      <c r="J176" s="35">
        <f t="shared" ref="J176:J182" si="1561">I176/(G176+I176)</f>
        <v>3.3755274261603373E-2</v>
      </c>
      <c r="K176" s="36"/>
      <c r="L176" s="34"/>
      <c r="M176" s="34"/>
      <c r="N176" s="37"/>
      <c r="O176" s="33">
        <v>1</v>
      </c>
      <c r="P176" s="34"/>
      <c r="Q176" s="34">
        <f>Q173-O176</f>
        <v>753</v>
      </c>
      <c r="R176" s="34">
        <f>R173-P176</f>
        <v>64</v>
      </c>
      <c r="S176" s="34">
        <v>436</v>
      </c>
      <c r="T176" s="35">
        <f t="shared" ref="T176:T182" si="1562">((S176+U176)/Q176)</f>
        <v>0.60424966799468793</v>
      </c>
      <c r="U176" s="34">
        <v>19</v>
      </c>
      <c r="V176" s="35">
        <f t="shared" ref="V176:V182" si="1563">U176/(S176+U176)</f>
        <v>4.1758241758241756E-2</v>
      </c>
      <c r="W176" s="36"/>
      <c r="X176" s="34"/>
      <c r="Y176" s="34"/>
      <c r="Z176" s="37"/>
      <c r="AA176" s="33">
        <v>1</v>
      </c>
      <c r="AB176" s="34"/>
      <c r="AC176" s="34">
        <f>AC173-AA176</f>
        <v>169</v>
      </c>
      <c r="AD176" s="34">
        <f>AD173-AB176</f>
        <v>13</v>
      </c>
      <c r="AE176" s="34">
        <v>86</v>
      </c>
      <c r="AF176" s="35">
        <f t="shared" ref="AF176:AF182" si="1564">((AE176+AG176)/AC176)</f>
        <v>0.54437869822485208</v>
      </c>
      <c r="AG176" s="34">
        <v>6</v>
      </c>
      <c r="AH176" s="35">
        <f t="shared" ref="AH176:AH182" si="1565">AG176/(AE176+AG176)</f>
        <v>6.5217391304347824E-2</v>
      </c>
      <c r="AI176" s="36"/>
      <c r="AJ176" s="34"/>
      <c r="AK176" s="34"/>
      <c r="AL176" s="37"/>
      <c r="AM176" s="33"/>
      <c r="AN176" s="34"/>
      <c r="AO176" s="34">
        <f>AO173-AM176</f>
        <v>766</v>
      </c>
      <c r="AP176" s="34">
        <f>AP173-AN176</f>
        <v>63</v>
      </c>
      <c r="AQ176" s="34">
        <v>405</v>
      </c>
      <c r="AR176" s="35">
        <f t="shared" ref="AR176:AR182" si="1566">((AQ176+AS176)/AO176)</f>
        <v>0.54046997389033946</v>
      </c>
      <c r="AS176" s="34">
        <v>9</v>
      </c>
      <c r="AT176" s="35">
        <f t="shared" ref="AT176:AT182" si="1567">AS176/(AQ176+AS176)</f>
        <v>2.1739130434782608E-2</v>
      </c>
      <c r="AU176" s="36"/>
      <c r="AV176" s="34"/>
      <c r="AW176" s="34"/>
      <c r="AX176" s="37"/>
      <c r="AY176" s="33">
        <v>1</v>
      </c>
      <c r="AZ176" s="34"/>
      <c r="BA176" s="34">
        <f>BA173-AY176</f>
        <v>753</v>
      </c>
      <c r="BB176" s="34">
        <f>BB173-AZ176</f>
        <v>67</v>
      </c>
      <c r="BC176" s="34">
        <v>474</v>
      </c>
      <c r="BD176" s="35">
        <f t="shared" ref="BD176:BD182" si="1568">((BC176+BE176)/BA176)</f>
        <v>0.64940239043824699</v>
      </c>
      <c r="BE176" s="34">
        <v>15</v>
      </c>
      <c r="BF176" s="35">
        <f t="shared" ref="BF176:BF182" si="1569">BE176/(BC176+BE176)</f>
        <v>3.0674846625766871E-2</v>
      </c>
      <c r="BG176" s="36"/>
      <c r="BH176" s="34"/>
      <c r="BI176" s="34"/>
      <c r="BJ176" s="37"/>
      <c r="BK176" s="33"/>
      <c r="BL176" s="34"/>
      <c r="BM176" s="34">
        <f>BM173-BK176</f>
        <v>818</v>
      </c>
      <c r="BN176" s="34">
        <f>BN173-BL176</f>
        <v>70</v>
      </c>
      <c r="BO176" s="34">
        <v>433</v>
      </c>
      <c r="BP176" s="35">
        <f t="shared" ref="BP176:BP182" si="1570">((BO176+BQ176)/BM176)</f>
        <v>0.55134474327628358</v>
      </c>
      <c r="BQ176" s="34">
        <v>18</v>
      </c>
      <c r="BR176" s="35">
        <f t="shared" ref="BR176:BR182" si="1571">BQ176/(BO176+BQ176)</f>
        <v>3.9911308203991129E-2</v>
      </c>
      <c r="BS176" s="36"/>
      <c r="BT176" s="34"/>
      <c r="BU176" s="34"/>
      <c r="BV176" s="37"/>
      <c r="BW176" s="33"/>
      <c r="BX176" s="34"/>
      <c r="BY176" s="34">
        <f>BY173-BW176</f>
        <v>750</v>
      </c>
      <c r="BZ176" s="34">
        <f>BZ173-BX176</f>
        <v>62</v>
      </c>
      <c r="CA176" s="34">
        <v>398</v>
      </c>
      <c r="CB176" s="35">
        <f t="shared" ref="CB176:CB182" si="1572">((CA176+CC176)/BY176)</f>
        <v>0.54666666666666663</v>
      </c>
      <c r="CC176" s="34">
        <v>12</v>
      </c>
      <c r="CD176" s="35">
        <f t="shared" ref="CD176:CD182" si="1573">CC176/(CA176+CC176)</f>
        <v>2.9268292682926831E-2</v>
      </c>
      <c r="CE176" s="36"/>
      <c r="CF176" s="34"/>
      <c r="CG176" s="34"/>
      <c r="CH176" s="37"/>
      <c r="CI176" s="33"/>
      <c r="CJ176" s="34"/>
      <c r="CK176" s="34">
        <f>CK173-CI176</f>
        <v>158</v>
      </c>
      <c r="CL176" s="34">
        <f>CL173-CJ176</f>
        <v>14</v>
      </c>
      <c r="CM176" s="34">
        <v>88</v>
      </c>
      <c r="CN176" s="35">
        <f t="shared" ref="CN176:CN182" si="1574">((CM176+CO176)/CK176)</f>
        <v>0.57594936708860756</v>
      </c>
      <c r="CO176" s="34">
        <v>3</v>
      </c>
      <c r="CP176" s="35">
        <f t="shared" ref="CP176:CP182" si="1575">CO176/(CM176+CO176)</f>
        <v>3.2967032967032968E-2</v>
      </c>
      <c r="CQ176" s="36"/>
      <c r="CR176" s="34"/>
      <c r="CS176" s="34"/>
      <c r="CT176" s="37"/>
      <c r="CU176" s="33">
        <v>2</v>
      </c>
      <c r="CV176" s="34"/>
      <c r="CW176" s="34">
        <f>CW173-CU176</f>
        <v>739</v>
      </c>
      <c r="CX176" s="34">
        <f>CX173-CV176</f>
        <v>63</v>
      </c>
      <c r="CY176" s="34">
        <v>409</v>
      </c>
      <c r="CZ176" s="35">
        <f t="shared" ref="CZ176:CZ182" si="1576">((CY176+DA176)/CW176)</f>
        <v>0.56562922868741539</v>
      </c>
      <c r="DA176" s="34">
        <v>9</v>
      </c>
      <c r="DB176" s="35">
        <f t="shared" ref="DB176:DB182" si="1577">DA176/(CY176+DA176)</f>
        <v>2.1531100478468901E-2</v>
      </c>
      <c r="DC176" s="36"/>
      <c r="DD176" s="34"/>
      <c r="DE176" s="34"/>
      <c r="DF176" s="37"/>
      <c r="DG176" s="33"/>
      <c r="DH176" s="34"/>
      <c r="DI176" s="34">
        <f>DI173-DG176</f>
        <v>744</v>
      </c>
      <c r="DJ176" s="34">
        <f>DJ173-DH176</f>
        <v>66</v>
      </c>
      <c r="DK176" s="34">
        <v>386</v>
      </c>
      <c r="DL176" s="35">
        <f t="shared" ref="DL176:DL182" si="1578">((DK176+DM176)/DI176)</f>
        <v>0.54435483870967738</v>
      </c>
      <c r="DM176" s="34">
        <v>19</v>
      </c>
      <c r="DN176" s="35">
        <f t="shared" ref="DN176:DN182" si="1579">DM176/(DK176+DM176)</f>
        <v>4.6913580246913583E-2</v>
      </c>
      <c r="DO176" s="36"/>
      <c r="DP176" s="34"/>
      <c r="DQ176" s="34"/>
      <c r="DR176" s="37"/>
      <c r="DS176" s="33">
        <v>5</v>
      </c>
      <c r="DT176" s="34"/>
      <c r="DU176" s="34">
        <f>DU173-DS176</f>
        <v>830</v>
      </c>
      <c r="DV176" s="34">
        <f>DV173-DT176</f>
        <v>71</v>
      </c>
      <c r="DW176" s="34">
        <v>528</v>
      </c>
      <c r="DX176" s="35">
        <f t="shared" ref="DX176:DX182" si="1580">((DW176+DY176)/DU176)</f>
        <v>0.65301204819277103</v>
      </c>
      <c r="DY176" s="34">
        <v>14</v>
      </c>
      <c r="DZ176" s="35">
        <f t="shared" ref="DZ176:DZ182" si="1581">DY176/(DW176+DY176)</f>
        <v>2.5830258302583026E-2</v>
      </c>
      <c r="EA176" s="36"/>
      <c r="EB176" s="34"/>
      <c r="EC176" s="34"/>
      <c r="ED176" s="37"/>
      <c r="EE176" s="33"/>
      <c r="EF176" s="34"/>
      <c r="EG176" s="34">
        <f>EG173-EE176</f>
        <v>846</v>
      </c>
      <c r="EH176" s="34">
        <f>EH173-EF176</f>
        <v>74</v>
      </c>
      <c r="EI176" s="34">
        <v>506</v>
      </c>
      <c r="EJ176" s="35">
        <f t="shared" ref="EJ176:EJ182" si="1582">((EI176+EK176)/EG176)</f>
        <v>0.62647754137115841</v>
      </c>
      <c r="EK176" s="34">
        <v>24</v>
      </c>
      <c r="EL176" s="35">
        <f t="shared" ref="EL176:EL182" si="1583">EK176/(EI176+EK176)</f>
        <v>4.5283018867924525E-2</v>
      </c>
      <c r="EM176" s="36"/>
      <c r="EN176" s="34"/>
      <c r="EO176" s="34"/>
      <c r="EP176" s="37"/>
      <c r="EQ176" s="33">
        <v>1</v>
      </c>
      <c r="ER176" s="34"/>
      <c r="ES176" s="34">
        <f>ES173-EQ176</f>
        <v>184</v>
      </c>
      <c r="ET176" s="34">
        <f>ET173-ER176</f>
        <v>16</v>
      </c>
      <c r="EU176" s="34">
        <v>112</v>
      </c>
      <c r="EV176" s="35">
        <f t="shared" ref="EV176:EV182" si="1584">((EU176+EW176)/ES176)</f>
        <v>0.61956521739130432</v>
      </c>
      <c r="EW176" s="34">
        <v>2</v>
      </c>
      <c r="EX176" s="35">
        <f t="shared" ref="EX176:EX182" si="1585">EW176/(EU176+EW176)</f>
        <v>1.7543859649122806E-2</v>
      </c>
      <c r="EY176" s="36"/>
      <c r="EZ176" s="34"/>
      <c r="FA176" s="34"/>
      <c r="FB176" s="37"/>
      <c r="FC176" s="33">
        <v>1</v>
      </c>
      <c r="FD176" s="34">
        <v>1</v>
      </c>
      <c r="FE176" s="34">
        <f>FE173-FC176</f>
        <v>851</v>
      </c>
      <c r="FF176" s="34">
        <f>FF173-FD176</f>
        <v>73</v>
      </c>
      <c r="FG176" s="34">
        <v>532</v>
      </c>
      <c r="FH176" s="35">
        <f t="shared" ref="FH176:FH182" si="1586">((FG176+FI176)/FE176)</f>
        <v>0.65099882491186845</v>
      </c>
      <c r="FI176" s="34">
        <v>22</v>
      </c>
      <c r="FJ176" s="35">
        <f t="shared" ref="FJ176:FJ182" si="1587">FI176/(FG176+FI176)</f>
        <v>3.9711191335740074E-2</v>
      </c>
      <c r="FK176" s="36"/>
      <c r="FL176" s="34"/>
      <c r="FM176" s="34"/>
      <c r="FN176" s="37"/>
      <c r="FO176" s="33"/>
      <c r="FP176" s="34"/>
      <c r="FQ176" s="34">
        <f>FQ173-FO176</f>
        <v>884</v>
      </c>
      <c r="FR176" s="34">
        <f>FR173-FP176</f>
        <v>75</v>
      </c>
      <c r="FS176" s="34">
        <v>509</v>
      </c>
      <c r="FT176" s="35">
        <f t="shared" ref="FT176:FT182" si="1588">((FS176+FU176)/FQ176)</f>
        <v>0.60407239819004521</v>
      </c>
      <c r="FU176" s="34">
        <v>25</v>
      </c>
      <c r="FV176" s="35">
        <f t="shared" ref="FV176:FV182" si="1589">FU176/(FS176+FU176)</f>
        <v>4.6816479400749067E-2</v>
      </c>
      <c r="FW176" s="36"/>
      <c r="FX176" s="34"/>
      <c r="FY176" s="34"/>
      <c r="FZ176" s="37"/>
      <c r="GA176" s="33"/>
      <c r="GB176" s="34"/>
      <c r="GC176" s="34">
        <f>GC173-GA176</f>
        <v>882</v>
      </c>
      <c r="GD176" s="34">
        <f>GD173-GB176</f>
        <v>76</v>
      </c>
      <c r="GE176" s="34">
        <v>517</v>
      </c>
      <c r="GF176" s="35">
        <f t="shared" ref="GF176:GF182" si="1590">((GE176+GG176)/GC176)</f>
        <v>0.61111111111111116</v>
      </c>
      <c r="GG176" s="34">
        <v>22</v>
      </c>
      <c r="GH176" s="35">
        <f t="shared" ref="GH176:GH182" si="1591">GG176/(GE176+GG176)</f>
        <v>4.0816326530612242E-2</v>
      </c>
      <c r="GI176" s="36"/>
      <c r="GJ176" s="34"/>
      <c r="GK176" s="34"/>
      <c r="GL176" s="37"/>
      <c r="GM176" s="33"/>
      <c r="GN176" s="34"/>
      <c r="GO176" s="34">
        <f>GO173-GM176</f>
        <v>166</v>
      </c>
      <c r="GP176" s="34">
        <f>GP173-GN176</f>
        <v>17</v>
      </c>
      <c r="GQ176" s="34">
        <v>93</v>
      </c>
      <c r="GR176" s="35">
        <f t="shared" ref="GR176:GR182" si="1592">((GQ176+GS176)/GO176)</f>
        <v>0.57831325301204817</v>
      </c>
      <c r="GS176" s="34">
        <v>3</v>
      </c>
      <c r="GT176" s="35">
        <f t="shared" ref="GT176:GT182" si="1593">GS176/(GQ176+GS176)</f>
        <v>3.125E-2</v>
      </c>
      <c r="GU176" s="36"/>
      <c r="GV176" s="34"/>
      <c r="GW176" s="34"/>
      <c r="GX176" s="37"/>
      <c r="GY176" s="33"/>
      <c r="GZ176" s="34"/>
      <c r="HA176" s="34">
        <f>HA173-GY176</f>
        <v>905</v>
      </c>
      <c r="HB176" s="34">
        <f>HB173-GZ176</f>
        <v>77</v>
      </c>
      <c r="HC176" s="34">
        <v>554</v>
      </c>
      <c r="HD176" s="35">
        <f t="shared" ref="HD176:HD182" si="1594">((HC176+HE176)/HA176)</f>
        <v>0.62762430939226521</v>
      </c>
      <c r="HE176" s="34">
        <v>14</v>
      </c>
      <c r="HF176" s="35">
        <f t="shared" ref="HF176:HF182" si="1595">HE176/(HC176+HE176)</f>
        <v>2.464788732394366E-2</v>
      </c>
      <c r="HG176" s="36"/>
      <c r="HH176" s="34"/>
      <c r="HI176" s="34"/>
      <c r="HJ176" s="37"/>
      <c r="HK176" s="33">
        <f t="shared" ref="HK176:HK183" si="1596">+C176+O176+AA176+AM176+AY176+BK176+BW176+CI176+CU176+DG176+DS176+EE176+EQ176+FC176+FO176+GA176+GM176+GY176</f>
        <v>13</v>
      </c>
      <c r="HL176" s="34">
        <f t="shared" ref="HL176:HL183" si="1597">+D176+P176+AB176+AN176+AZ176+BL176+BX176+CJ176+CV176+DH176+DT176+EF176+ER176+FD176+FP176+GB176+GN176+GZ176</f>
        <v>1</v>
      </c>
      <c r="HM176" s="34">
        <f t="shared" ref="HM176:HM183" si="1598">+E176+Q176+AC176+AO176+BA176+BM176+BY176+CK176+CW176+DI176+DU176+EG176+ES176+FE176+FQ176+GC176+GO176+HA176</f>
        <v>12025</v>
      </c>
      <c r="HN176" s="34">
        <f t="shared" ref="HN176:HN183" si="1599">+F176+R176+AD176+AP176+BB176+BN176+BZ176+CL176+CX176+DJ176+DV176+EH176+ET176+FF176+FR176+GD176+GP176+HB176</f>
        <v>1033</v>
      </c>
      <c r="HO176" s="34">
        <f t="shared" ref="HO176:HO183" si="1600">+G176+S176+AE176+AQ176+BC176+BO176+CA176+CM176+CY176+DK176+DW176+EI176+EU176+FG176+FS176+GE176+GQ176+HC176+I176+U176+AG176+AS176+BE176+BQ176+CC176+CO176+DA176+DM176+DY176+EK176+EW176+FI176+FU176+GG176+GS176+HE176</f>
        <v>7176</v>
      </c>
      <c r="HP176" s="94">
        <f t="shared" ref="HP176:HP182" si="1601">+(HO176)/HM176</f>
        <v>0.59675675675675677</v>
      </c>
      <c r="HQ176" s="48">
        <f t="shared" ref="HQ176:HQ183" si="1602">+I176+U176+AG176+AS176+BE176+BQ176+CC176+CO176+DA176+DM176+DY176+EK176+EW176+FI176+FU176+GG176+GS176+HE176</f>
        <v>252</v>
      </c>
      <c r="HR176" s="35">
        <f t="shared" ref="HR176:HR183" si="1603">+(HQ176/(HO176))</f>
        <v>3.5117056856187288E-2</v>
      </c>
      <c r="HS176" s="49">
        <v>63.2</v>
      </c>
      <c r="HT176" s="50">
        <v>6738</v>
      </c>
      <c r="HU176" s="49">
        <f t="shared" ref="HU176:HU182" si="1604">+HT176/HO176*100</f>
        <v>93.896321070234109</v>
      </c>
      <c r="HV176" s="48"/>
      <c r="HW176" s="37"/>
      <c r="HX176" s="73">
        <f t="shared" ref="HX176:HX182" si="1605">SUM(G176,I176,S176,U176,AE176,AG176,AQ176,AS176,BC176,BE176)/SUM(E176,Q176,AC176,AO176,BA176)</f>
        <v>0.58873929008567927</v>
      </c>
      <c r="HY176" s="73">
        <f t="shared" ref="HY176:HY182" si="1606">SUM(BO176,BQ176,CA176,CC176,CM176,CO176,CY176,DA176,DK176,DM176)/SUM(BM176,BY176,CK176,CW176,DI176)</f>
        <v>0.55313181676534751</v>
      </c>
      <c r="HZ176" s="73">
        <f t="shared" ref="HZ176:HZ182" si="1607">SUM(DW176,DY176,EI176,EK176,EU176,EW176,FG176,FI176)/SUM(DU176,EG176,ES176,FE176)</f>
        <v>0.64182958317963856</v>
      </c>
      <c r="IA176" s="73">
        <f t="shared" ref="IA176:IA182" si="1608">SUM(FS176,FU176,GE176,GG176,GQ176,GS176,HC176,HE176)/SUM(FQ176,GC176,GO176,HA176)</f>
        <v>0.61226647867465633</v>
      </c>
    </row>
    <row r="177" spans="1:244" x14ac:dyDescent="0.25">
      <c r="A177" s="374"/>
      <c r="B177" s="41">
        <f t="shared" ref="B177:B182" si="1609">+B176+1</f>
        <v>45075</v>
      </c>
      <c r="C177" s="10"/>
      <c r="D177" s="11"/>
      <c r="E177" s="69">
        <f t="shared" ref="E177:E182" si="1610">E176-C177</f>
        <v>827</v>
      </c>
      <c r="F177" s="69">
        <f t="shared" ref="F177:F182" si="1611">F176-D177</f>
        <v>72</v>
      </c>
      <c r="G177" s="11">
        <v>495</v>
      </c>
      <c r="H177" s="12">
        <f t="shared" si="1560"/>
        <v>0.61064087061668681</v>
      </c>
      <c r="I177" s="11">
        <v>10</v>
      </c>
      <c r="J177" s="12">
        <f t="shared" si="1561"/>
        <v>1.9801980198019802E-2</v>
      </c>
      <c r="K177" s="13"/>
      <c r="L177" s="11"/>
      <c r="M177" s="11"/>
      <c r="N177" s="14"/>
      <c r="O177" s="10"/>
      <c r="P177" s="11"/>
      <c r="Q177" s="69">
        <f t="shared" ref="Q177:Q182" si="1612">Q176-O177</f>
        <v>753</v>
      </c>
      <c r="R177" s="69">
        <f t="shared" ref="R177:R182" si="1613">R176-P177</f>
        <v>64</v>
      </c>
      <c r="S177" s="11">
        <v>438</v>
      </c>
      <c r="T177" s="12">
        <f t="shared" si="1562"/>
        <v>0.60026560424966802</v>
      </c>
      <c r="U177" s="11">
        <v>14</v>
      </c>
      <c r="V177" s="12">
        <f t="shared" si="1563"/>
        <v>3.0973451327433628E-2</v>
      </c>
      <c r="W177" s="13"/>
      <c r="X177" s="11"/>
      <c r="Y177" s="11"/>
      <c r="Z177" s="14"/>
      <c r="AA177" s="10"/>
      <c r="AB177" s="11">
        <v>1</v>
      </c>
      <c r="AC177" s="69">
        <f t="shared" ref="AC177:AC182" si="1614">AC176-AA177</f>
        <v>169</v>
      </c>
      <c r="AD177" s="69">
        <f t="shared" ref="AD177:AD182" si="1615">AD176-AB177</f>
        <v>12</v>
      </c>
      <c r="AE177" s="11">
        <v>104</v>
      </c>
      <c r="AF177" s="12">
        <f t="shared" si="1564"/>
        <v>0.63313609467455623</v>
      </c>
      <c r="AG177" s="11">
        <v>3</v>
      </c>
      <c r="AH177" s="12">
        <f t="shared" si="1565"/>
        <v>2.8037383177570093E-2</v>
      </c>
      <c r="AI177" s="13"/>
      <c r="AJ177" s="11"/>
      <c r="AK177" s="11"/>
      <c r="AL177" s="14"/>
      <c r="AM177" s="10"/>
      <c r="AN177" s="11"/>
      <c r="AO177" s="69">
        <f t="shared" ref="AO177:AO182" si="1616">AO176-AM177</f>
        <v>766</v>
      </c>
      <c r="AP177" s="69">
        <f t="shared" ref="AP177:AP182" si="1617">AP176-AN177</f>
        <v>63</v>
      </c>
      <c r="AQ177" s="11">
        <v>433</v>
      </c>
      <c r="AR177" s="12">
        <f t="shared" si="1566"/>
        <v>0.57702349869451697</v>
      </c>
      <c r="AS177" s="11">
        <v>9</v>
      </c>
      <c r="AT177" s="12">
        <f t="shared" si="1567"/>
        <v>2.0361990950226245E-2</v>
      </c>
      <c r="AU177" s="13"/>
      <c r="AV177" s="11"/>
      <c r="AW177" s="11"/>
      <c r="AX177" s="14"/>
      <c r="AY177" s="10"/>
      <c r="AZ177" s="11"/>
      <c r="BA177" s="69">
        <f t="shared" ref="BA177:BA182" si="1618">BA176-AY177</f>
        <v>753</v>
      </c>
      <c r="BB177" s="69">
        <f t="shared" ref="BB177:BB182" si="1619">BB176-AZ177</f>
        <v>67</v>
      </c>
      <c r="BC177" s="11">
        <v>499</v>
      </c>
      <c r="BD177" s="12">
        <f t="shared" si="1568"/>
        <v>0.67596281540504644</v>
      </c>
      <c r="BE177" s="11">
        <v>10</v>
      </c>
      <c r="BF177" s="12">
        <f t="shared" si="1569"/>
        <v>1.9646365422396856E-2</v>
      </c>
      <c r="BG177" s="13"/>
      <c r="BH177" s="11"/>
      <c r="BI177" s="11"/>
      <c r="BJ177" s="14"/>
      <c r="BK177" s="10"/>
      <c r="BL177" s="11"/>
      <c r="BM177" s="69">
        <f t="shared" ref="BM177:BM182" si="1620">BM176-BK177</f>
        <v>818</v>
      </c>
      <c r="BN177" s="69">
        <f t="shared" ref="BN177:BN182" si="1621">BN176-BL177</f>
        <v>70</v>
      </c>
      <c r="BO177" s="11">
        <v>468</v>
      </c>
      <c r="BP177" s="12">
        <f t="shared" si="1570"/>
        <v>0.59779951100244499</v>
      </c>
      <c r="BQ177" s="11">
        <v>21</v>
      </c>
      <c r="BR177" s="12">
        <f t="shared" si="1571"/>
        <v>4.2944785276073622E-2</v>
      </c>
      <c r="BS177" s="13"/>
      <c r="BT177" s="11"/>
      <c r="BU177" s="11"/>
      <c r="BV177" s="14"/>
      <c r="BW177" s="10"/>
      <c r="BX177" s="11"/>
      <c r="BY177" s="69">
        <f t="shared" ref="BY177:BY182" si="1622">BY176-BW177</f>
        <v>750</v>
      </c>
      <c r="BZ177" s="69">
        <f t="shared" ref="BZ177:BZ182" si="1623">BZ176-BX177</f>
        <v>62</v>
      </c>
      <c r="CA177" s="11">
        <v>419</v>
      </c>
      <c r="CB177" s="12">
        <f t="shared" si="1572"/>
        <v>0.57599999999999996</v>
      </c>
      <c r="CC177" s="11">
        <v>13</v>
      </c>
      <c r="CD177" s="12">
        <f t="shared" si="1573"/>
        <v>3.0092592592592591E-2</v>
      </c>
      <c r="CE177" s="13"/>
      <c r="CF177" s="11"/>
      <c r="CG177" s="11"/>
      <c r="CH177" s="14"/>
      <c r="CI177" s="10"/>
      <c r="CJ177" s="11"/>
      <c r="CK177" s="69">
        <f t="shared" ref="CK177:CK182" si="1624">CK176-CI177</f>
        <v>158</v>
      </c>
      <c r="CL177" s="69">
        <f t="shared" ref="CL177:CL182" si="1625">CL176-CJ177</f>
        <v>14</v>
      </c>
      <c r="CM177" s="11">
        <v>83</v>
      </c>
      <c r="CN177" s="12">
        <f t="shared" si="1574"/>
        <v>0.54430379746835444</v>
      </c>
      <c r="CO177" s="11">
        <v>3</v>
      </c>
      <c r="CP177" s="12">
        <f t="shared" si="1575"/>
        <v>3.4883720930232558E-2</v>
      </c>
      <c r="CQ177" s="13"/>
      <c r="CR177" s="11"/>
      <c r="CS177" s="11"/>
      <c r="CT177" s="14"/>
      <c r="CU177" s="10"/>
      <c r="CV177" s="11"/>
      <c r="CW177" s="69">
        <f t="shared" ref="CW177:CW182" si="1626">CW176-CU177</f>
        <v>739</v>
      </c>
      <c r="CX177" s="69">
        <f t="shared" ref="CX177:CX182" si="1627">CX176-CV177</f>
        <v>63</v>
      </c>
      <c r="CY177" s="11">
        <v>416</v>
      </c>
      <c r="CZ177" s="12">
        <f t="shared" si="1576"/>
        <v>0.57780784844384303</v>
      </c>
      <c r="DA177" s="11">
        <v>11</v>
      </c>
      <c r="DB177" s="12">
        <f t="shared" si="1577"/>
        <v>2.576112412177986E-2</v>
      </c>
      <c r="DC177" s="13"/>
      <c r="DD177" s="11"/>
      <c r="DE177" s="11"/>
      <c r="DF177" s="14"/>
      <c r="DG177" s="10"/>
      <c r="DH177" s="11"/>
      <c r="DI177" s="69">
        <f t="shared" ref="DI177:DI182" si="1628">DI176-DG177</f>
        <v>744</v>
      </c>
      <c r="DJ177" s="69">
        <f t="shared" ref="DJ177:DJ182" si="1629">DJ176-DH177</f>
        <v>66</v>
      </c>
      <c r="DK177" s="11">
        <v>448</v>
      </c>
      <c r="DL177" s="12">
        <f t="shared" si="1578"/>
        <v>0.62365591397849462</v>
      </c>
      <c r="DM177" s="11">
        <v>16</v>
      </c>
      <c r="DN177" s="12">
        <f t="shared" si="1579"/>
        <v>3.4482758620689655E-2</v>
      </c>
      <c r="DO177" s="13"/>
      <c r="DP177" s="11"/>
      <c r="DQ177" s="11"/>
      <c r="DR177" s="14"/>
      <c r="DS177" s="10">
        <v>1</v>
      </c>
      <c r="DT177" s="11"/>
      <c r="DU177" s="69">
        <f t="shared" ref="DU177:DU182" si="1630">DU176-DS177</f>
        <v>829</v>
      </c>
      <c r="DV177" s="69">
        <f t="shared" ref="DV177:DV182" si="1631">DV176-DT177</f>
        <v>71</v>
      </c>
      <c r="DW177" s="11">
        <v>487</v>
      </c>
      <c r="DX177" s="12">
        <f t="shared" si="1580"/>
        <v>0.61761158021712903</v>
      </c>
      <c r="DY177" s="11">
        <v>25</v>
      </c>
      <c r="DZ177" s="12">
        <f t="shared" si="1581"/>
        <v>4.8828125E-2</v>
      </c>
      <c r="EA177" s="13"/>
      <c r="EB177" s="11"/>
      <c r="EC177" s="11"/>
      <c r="ED177" s="14"/>
      <c r="EE177" s="10">
        <v>1</v>
      </c>
      <c r="EF177" s="11"/>
      <c r="EG177" s="69">
        <f t="shared" ref="EG177:EG182" si="1632">EG176-EE177</f>
        <v>845</v>
      </c>
      <c r="EH177" s="69">
        <f t="shared" ref="EH177:EH182" si="1633">EH176-EF177</f>
        <v>74</v>
      </c>
      <c r="EI177" s="11">
        <v>500</v>
      </c>
      <c r="EJ177" s="12">
        <f t="shared" si="1582"/>
        <v>0.61065088757396446</v>
      </c>
      <c r="EK177" s="11">
        <v>16</v>
      </c>
      <c r="EL177" s="12">
        <f t="shared" si="1583"/>
        <v>3.1007751937984496E-2</v>
      </c>
      <c r="EM177" s="13"/>
      <c r="EN177" s="11"/>
      <c r="EO177" s="11"/>
      <c r="EP177" s="14"/>
      <c r="EQ177" s="10"/>
      <c r="ER177" s="11"/>
      <c r="ES177" s="69">
        <f t="shared" ref="ES177:ES182" si="1634">ES176-EQ177</f>
        <v>184</v>
      </c>
      <c r="ET177" s="69">
        <f t="shared" ref="ET177:ET182" si="1635">ET176-ER177</f>
        <v>16</v>
      </c>
      <c r="EU177" s="11">
        <v>106</v>
      </c>
      <c r="EV177" s="12">
        <f t="shared" si="1584"/>
        <v>0.60326086956521741</v>
      </c>
      <c r="EW177" s="11">
        <v>5</v>
      </c>
      <c r="EX177" s="12">
        <f t="shared" si="1585"/>
        <v>4.5045045045045043E-2</v>
      </c>
      <c r="EY177" s="13"/>
      <c r="EZ177" s="11"/>
      <c r="FA177" s="11"/>
      <c r="FB177" s="14"/>
      <c r="FC177" s="10">
        <v>2</v>
      </c>
      <c r="FD177" s="11"/>
      <c r="FE177" s="69">
        <f t="shared" ref="FE177:FE182" si="1636">FE176-FC177</f>
        <v>849</v>
      </c>
      <c r="FF177" s="69">
        <f t="shared" ref="FF177:FF182" si="1637">FF176-FD177</f>
        <v>73</v>
      </c>
      <c r="FG177" s="11">
        <v>511</v>
      </c>
      <c r="FH177" s="12">
        <f t="shared" si="1586"/>
        <v>0.6195524146054181</v>
      </c>
      <c r="FI177" s="11">
        <v>15</v>
      </c>
      <c r="FJ177" s="12">
        <f t="shared" si="1587"/>
        <v>2.8517110266159697E-2</v>
      </c>
      <c r="FK177" s="13"/>
      <c r="FL177" s="11"/>
      <c r="FM177" s="11"/>
      <c r="FN177" s="14"/>
      <c r="FO177" s="10">
        <v>2</v>
      </c>
      <c r="FP177" s="11"/>
      <c r="FQ177" s="69">
        <f t="shared" ref="FQ177:FQ182" si="1638">FQ176-FO177</f>
        <v>882</v>
      </c>
      <c r="FR177" s="69">
        <f t="shared" ref="FR177:FR182" si="1639">FR176-FP177</f>
        <v>75</v>
      </c>
      <c r="FS177" s="11">
        <v>522</v>
      </c>
      <c r="FT177" s="12">
        <f t="shared" si="1588"/>
        <v>0.60657596371882083</v>
      </c>
      <c r="FU177" s="11">
        <v>13</v>
      </c>
      <c r="FV177" s="12">
        <f t="shared" si="1589"/>
        <v>2.4299065420560748E-2</v>
      </c>
      <c r="FW177" s="13"/>
      <c r="FX177" s="11"/>
      <c r="FY177" s="11"/>
      <c r="FZ177" s="14"/>
      <c r="GA177" s="10"/>
      <c r="GB177" s="11"/>
      <c r="GC177" s="69">
        <f t="shared" ref="GC177:GC182" si="1640">GC176-GA177</f>
        <v>882</v>
      </c>
      <c r="GD177" s="69">
        <f t="shared" ref="GD177:GD182" si="1641">GD176-GB177</f>
        <v>76</v>
      </c>
      <c r="GE177" s="11">
        <v>511</v>
      </c>
      <c r="GF177" s="12">
        <f t="shared" si="1590"/>
        <v>0.59863945578231292</v>
      </c>
      <c r="GG177" s="11">
        <v>17</v>
      </c>
      <c r="GH177" s="12">
        <f t="shared" si="1591"/>
        <v>3.2196969696969696E-2</v>
      </c>
      <c r="GI177" s="13"/>
      <c r="GJ177" s="11"/>
      <c r="GK177" s="11"/>
      <c r="GL177" s="14"/>
      <c r="GM177" s="10"/>
      <c r="GN177" s="11"/>
      <c r="GO177" s="69">
        <f t="shared" ref="GO177:GO182" si="1642">GO176-GM177</f>
        <v>166</v>
      </c>
      <c r="GP177" s="69">
        <f t="shared" ref="GP177:GP182" si="1643">GP176-GN177</f>
        <v>17</v>
      </c>
      <c r="GQ177" s="11">
        <v>97</v>
      </c>
      <c r="GR177" s="12">
        <f t="shared" si="1592"/>
        <v>0.62048192771084343</v>
      </c>
      <c r="GS177" s="11">
        <v>6</v>
      </c>
      <c r="GT177" s="12">
        <f t="shared" si="1593"/>
        <v>5.8252427184466021E-2</v>
      </c>
      <c r="GU177" s="13"/>
      <c r="GV177" s="11"/>
      <c r="GW177" s="11"/>
      <c r="GX177" s="14"/>
      <c r="GY177" s="10"/>
      <c r="GZ177" s="11"/>
      <c r="HA177" s="69">
        <f t="shared" ref="HA177:HA182" si="1644">HA176-GY177</f>
        <v>905</v>
      </c>
      <c r="HB177" s="69">
        <f t="shared" ref="HB177:HB182" si="1645">HB176-GZ177</f>
        <v>77</v>
      </c>
      <c r="HC177" s="11">
        <v>522</v>
      </c>
      <c r="HD177" s="12">
        <f t="shared" si="1594"/>
        <v>0.58674033149171267</v>
      </c>
      <c r="HE177" s="11">
        <v>9</v>
      </c>
      <c r="HF177" s="12">
        <f t="shared" si="1595"/>
        <v>1.6949152542372881E-2</v>
      </c>
      <c r="HG177" s="13"/>
      <c r="HH177" s="11"/>
      <c r="HI177" s="11"/>
      <c r="HJ177" s="14"/>
      <c r="HK177" s="10">
        <f t="shared" si="1596"/>
        <v>6</v>
      </c>
      <c r="HL177" s="11">
        <f t="shared" si="1597"/>
        <v>1</v>
      </c>
      <c r="HM177" s="11">
        <f t="shared" si="1598"/>
        <v>12019</v>
      </c>
      <c r="HN177" s="11">
        <f t="shared" si="1599"/>
        <v>1032</v>
      </c>
      <c r="HO177" s="11">
        <f t="shared" si="1600"/>
        <v>7275</v>
      </c>
      <c r="HP177" s="95">
        <f t="shared" si="1601"/>
        <v>0.60529162159913474</v>
      </c>
      <c r="HQ177" s="15">
        <f t="shared" si="1602"/>
        <v>216</v>
      </c>
      <c r="HR177" s="12">
        <f t="shared" si="1603"/>
        <v>2.9690721649484535E-2</v>
      </c>
      <c r="HS177" s="16">
        <v>63.8</v>
      </c>
      <c r="HT177" s="17">
        <v>6879</v>
      </c>
      <c r="HU177" s="16">
        <f t="shared" si="1604"/>
        <v>94.55670103092784</v>
      </c>
      <c r="HV177" s="15"/>
      <c r="HW177" s="14"/>
      <c r="HX177" s="73">
        <f t="shared" si="1605"/>
        <v>0.6165850673194615</v>
      </c>
      <c r="HY177" s="73">
        <f t="shared" si="1606"/>
        <v>0.59146151449049544</v>
      </c>
      <c r="HZ177" s="73">
        <f t="shared" si="1607"/>
        <v>0.61507203546361289</v>
      </c>
      <c r="IA177" s="73">
        <f t="shared" si="1608"/>
        <v>0.59858906525573197</v>
      </c>
    </row>
    <row r="178" spans="1:244" x14ac:dyDescent="0.25">
      <c r="A178" s="374"/>
      <c r="B178" s="41">
        <f t="shared" si="1609"/>
        <v>45076</v>
      </c>
      <c r="C178" s="10"/>
      <c r="D178" s="11"/>
      <c r="E178" s="69">
        <f t="shared" si="1610"/>
        <v>827</v>
      </c>
      <c r="F178" s="69">
        <f t="shared" si="1611"/>
        <v>72</v>
      </c>
      <c r="G178" s="11">
        <v>462</v>
      </c>
      <c r="H178" s="12">
        <f t="shared" si="1560"/>
        <v>0.58041112454655386</v>
      </c>
      <c r="I178" s="11">
        <v>18</v>
      </c>
      <c r="J178" s="12">
        <f t="shared" si="1561"/>
        <v>3.7499999999999999E-2</v>
      </c>
      <c r="K178" s="13"/>
      <c r="L178" s="11"/>
      <c r="M178" s="11"/>
      <c r="N178" s="14"/>
      <c r="O178" s="10">
        <v>1</v>
      </c>
      <c r="P178" s="11"/>
      <c r="Q178" s="69">
        <f t="shared" si="1612"/>
        <v>752</v>
      </c>
      <c r="R178" s="69">
        <f t="shared" si="1613"/>
        <v>64</v>
      </c>
      <c r="S178" s="11">
        <v>445</v>
      </c>
      <c r="T178" s="12">
        <f t="shared" si="1562"/>
        <v>0.61702127659574468</v>
      </c>
      <c r="U178" s="11">
        <v>19</v>
      </c>
      <c r="V178" s="12">
        <f t="shared" si="1563"/>
        <v>4.0948275862068964E-2</v>
      </c>
      <c r="W178" s="13"/>
      <c r="X178" s="11"/>
      <c r="Y178" s="11"/>
      <c r="Z178" s="14"/>
      <c r="AA178" s="10"/>
      <c r="AB178" s="11"/>
      <c r="AC178" s="69">
        <f t="shared" si="1614"/>
        <v>169</v>
      </c>
      <c r="AD178" s="69">
        <f t="shared" si="1615"/>
        <v>12</v>
      </c>
      <c r="AE178" s="11">
        <v>98</v>
      </c>
      <c r="AF178" s="12">
        <f t="shared" si="1564"/>
        <v>0.59171597633136097</v>
      </c>
      <c r="AG178" s="11">
        <v>2</v>
      </c>
      <c r="AH178" s="12">
        <f t="shared" si="1565"/>
        <v>0.02</v>
      </c>
      <c r="AI178" s="13"/>
      <c r="AJ178" s="11"/>
      <c r="AK178" s="11"/>
      <c r="AL178" s="14"/>
      <c r="AM178" s="10">
        <v>1</v>
      </c>
      <c r="AN178" s="11"/>
      <c r="AO178" s="69">
        <f t="shared" si="1616"/>
        <v>765</v>
      </c>
      <c r="AP178" s="69">
        <f t="shared" si="1617"/>
        <v>63</v>
      </c>
      <c r="AQ178" s="11">
        <v>410</v>
      </c>
      <c r="AR178" s="12">
        <f t="shared" si="1566"/>
        <v>0.55294117647058827</v>
      </c>
      <c r="AS178" s="11">
        <v>13</v>
      </c>
      <c r="AT178" s="12">
        <f t="shared" si="1567"/>
        <v>3.0732860520094562E-2</v>
      </c>
      <c r="AU178" s="13"/>
      <c r="AV178" s="11"/>
      <c r="AW178" s="11"/>
      <c r="AX178" s="14"/>
      <c r="AY178" s="10"/>
      <c r="AZ178" s="11"/>
      <c r="BA178" s="69">
        <f t="shared" si="1618"/>
        <v>753</v>
      </c>
      <c r="BB178" s="69">
        <f t="shared" si="1619"/>
        <v>67</v>
      </c>
      <c r="BC178" s="11">
        <v>452</v>
      </c>
      <c r="BD178" s="12">
        <f t="shared" si="1568"/>
        <v>0.62682602921646746</v>
      </c>
      <c r="BE178" s="11">
        <v>20</v>
      </c>
      <c r="BF178" s="12">
        <f t="shared" si="1569"/>
        <v>4.2372881355932202E-2</v>
      </c>
      <c r="BG178" s="13"/>
      <c r="BH178" s="11"/>
      <c r="BI178" s="11"/>
      <c r="BJ178" s="14"/>
      <c r="BK178" s="10"/>
      <c r="BL178" s="11"/>
      <c r="BM178" s="69">
        <f t="shared" si="1620"/>
        <v>818</v>
      </c>
      <c r="BN178" s="69">
        <f t="shared" si="1621"/>
        <v>70</v>
      </c>
      <c r="BO178" s="11">
        <v>398</v>
      </c>
      <c r="BP178" s="12">
        <f t="shared" si="1570"/>
        <v>0.5</v>
      </c>
      <c r="BQ178" s="11">
        <v>11</v>
      </c>
      <c r="BR178" s="12">
        <f t="shared" si="1571"/>
        <v>2.6894865525672371E-2</v>
      </c>
      <c r="BS178" s="13"/>
      <c r="BT178" s="11"/>
      <c r="BU178" s="11"/>
      <c r="BV178" s="14"/>
      <c r="BW178" s="10"/>
      <c r="BX178" s="11"/>
      <c r="BY178" s="69">
        <f t="shared" si="1622"/>
        <v>750</v>
      </c>
      <c r="BZ178" s="69">
        <f t="shared" si="1623"/>
        <v>62</v>
      </c>
      <c r="CA178" s="11">
        <v>380</v>
      </c>
      <c r="CB178" s="12">
        <f t="shared" si="1572"/>
        <v>0.52800000000000002</v>
      </c>
      <c r="CC178" s="11">
        <v>16</v>
      </c>
      <c r="CD178" s="12">
        <f t="shared" si="1573"/>
        <v>4.0404040404040407E-2</v>
      </c>
      <c r="CE178" s="13"/>
      <c r="CF178" s="11"/>
      <c r="CG178" s="11"/>
      <c r="CH178" s="14"/>
      <c r="CI178" s="10"/>
      <c r="CJ178" s="11"/>
      <c r="CK178" s="69">
        <f t="shared" si="1624"/>
        <v>158</v>
      </c>
      <c r="CL178" s="69">
        <f t="shared" si="1625"/>
        <v>14</v>
      </c>
      <c r="CM178" s="11">
        <v>87</v>
      </c>
      <c r="CN178" s="12">
        <f t="shared" si="1574"/>
        <v>0.55696202531645567</v>
      </c>
      <c r="CO178" s="11">
        <v>1</v>
      </c>
      <c r="CP178" s="12">
        <f t="shared" si="1575"/>
        <v>1.1363636363636364E-2</v>
      </c>
      <c r="CQ178" s="13"/>
      <c r="CR178" s="11"/>
      <c r="CS178" s="11"/>
      <c r="CT178" s="14"/>
      <c r="CU178" s="10"/>
      <c r="CV178" s="11"/>
      <c r="CW178" s="69">
        <f t="shared" si="1626"/>
        <v>739</v>
      </c>
      <c r="CX178" s="69">
        <f t="shared" si="1627"/>
        <v>63</v>
      </c>
      <c r="CY178" s="11">
        <v>395</v>
      </c>
      <c r="CZ178" s="12">
        <f t="shared" si="1576"/>
        <v>0.54397834912043297</v>
      </c>
      <c r="DA178" s="11">
        <v>7</v>
      </c>
      <c r="DB178" s="12">
        <f t="shared" si="1577"/>
        <v>1.7412935323383085E-2</v>
      </c>
      <c r="DC178" s="13"/>
      <c r="DD178" s="11"/>
      <c r="DE178" s="11"/>
      <c r="DF178" s="14"/>
      <c r="DG178" s="10"/>
      <c r="DH178" s="11"/>
      <c r="DI178" s="69">
        <f t="shared" si="1628"/>
        <v>744</v>
      </c>
      <c r="DJ178" s="69">
        <f t="shared" si="1629"/>
        <v>66</v>
      </c>
      <c r="DK178" s="11">
        <v>442</v>
      </c>
      <c r="DL178" s="12">
        <f t="shared" si="1578"/>
        <v>0.60752688172043012</v>
      </c>
      <c r="DM178" s="11">
        <v>10</v>
      </c>
      <c r="DN178" s="12">
        <f t="shared" si="1579"/>
        <v>2.2123893805309734E-2</v>
      </c>
      <c r="DO178" s="13"/>
      <c r="DP178" s="11"/>
      <c r="DQ178" s="11"/>
      <c r="DR178" s="14"/>
      <c r="DS178" s="10">
        <v>1</v>
      </c>
      <c r="DT178" s="11"/>
      <c r="DU178" s="69">
        <f t="shared" si="1630"/>
        <v>828</v>
      </c>
      <c r="DV178" s="69">
        <f t="shared" si="1631"/>
        <v>71</v>
      </c>
      <c r="DW178" s="11">
        <v>490</v>
      </c>
      <c r="DX178" s="12">
        <f t="shared" si="1580"/>
        <v>0.61111111111111116</v>
      </c>
      <c r="DY178" s="11">
        <v>16</v>
      </c>
      <c r="DZ178" s="12">
        <f t="shared" si="1581"/>
        <v>3.1620553359683792E-2</v>
      </c>
      <c r="EA178" s="13"/>
      <c r="EB178" s="11"/>
      <c r="EC178" s="11"/>
      <c r="ED178" s="14"/>
      <c r="EE178" s="10"/>
      <c r="EF178" s="11"/>
      <c r="EG178" s="69">
        <f t="shared" si="1632"/>
        <v>845</v>
      </c>
      <c r="EH178" s="69">
        <f t="shared" si="1633"/>
        <v>74</v>
      </c>
      <c r="EI178" s="11">
        <v>479</v>
      </c>
      <c r="EJ178" s="12">
        <f t="shared" si="1582"/>
        <v>0.58934911242603549</v>
      </c>
      <c r="EK178" s="11">
        <v>19</v>
      </c>
      <c r="EL178" s="12">
        <f t="shared" si="1583"/>
        <v>3.8152610441767071E-2</v>
      </c>
      <c r="EM178" s="13"/>
      <c r="EN178" s="11"/>
      <c r="EO178" s="11"/>
      <c r="EP178" s="14"/>
      <c r="EQ178" s="10"/>
      <c r="ER178" s="11"/>
      <c r="ES178" s="69">
        <f t="shared" si="1634"/>
        <v>184</v>
      </c>
      <c r="ET178" s="69">
        <f t="shared" si="1635"/>
        <v>16</v>
      </c>
      <c r="EU178" s="11">
        <v>95</v>
      </c>
      <c r="EV178" s="12">
        <f t="shared" si="1584"/>
        <v>0.53260869565217395</v>
      </c>
      <c r="EW178" s="11">
        <v>3</v>
      </c>
      <c r="EX178" s="12">
        <f t="shared" si="1585"/>
        <v>3.0612244897959183E-2</v>
      </c>
      <c r="EY178" s="13"/>
      <c r="EZ178" s="11"/>
      <c r="FA178" s="11"/>
      <c r="FB178" s="14"/>
      <c r="FC178" s="10"/>
      <c r="FD178" s="11"/>
      <c r="FE178" s="69">
        <f t="shared" si="1636"/>
        <v>849</v>
      </c>
      <c r="FF178" s="69">
        <f t="shared" si="1637"/>
        <v>73</v>
      </c>
      <c r="FG178" s="11">
        <v>526</v>
      </c>
      <c r="FH178" s="12">
        <f t="shared" si="1586"/>
        <v>0.63957597173144876</v>
      </c>
      <c r="FI178" s="11">
        <v>17</v>
      </c>
      <c r="FJ178" s="12">
        <f t="shared" si="1587"/>
        <v>3.1307550644567222E-2</v>
      </c>
      <c r="FK178" s="13"/>
      <c r="FL178" s="11"/>
      <c r="FM178" s="11"/>
      <c r="FN178" s="14"/>
      <c r="FO178" s="10"/>
      <c r="FP178" s="11"/>
      <c r="FQ178" s="69">
        <f t="shared" si="1638"/>
        <v>882</v>
      </c>
      <c r="FR178" s="69">
        <f t="shared" si="1639"/>
        <v>75</v>
      </c>
      <c r="FS178" s="11">
        <v>504</v>
      </c>
      <c r="FT178" s="12">
        <f t="shared" si="1588"/>
        <v>0.59410430839002271</v>
      </c>
      <c r="FU178" s="11">
        <v>20</v>
      </c>
      <c r="FV178" s="12">
        <f t="shared" si="1589"/>
        <v>3.8167938931297711E-2</v>
      </c>
      <c r="FW178" s="13"/>
      <c r="FX178" s="11"/>
      <c r="FY178" s="11"/>
      <c r="FZ178" s="14"/>
      <c r="GA178" s="10"/>
      <c r="GB178" s="11"/>
      <c r="GC178" s="69">
        <f t="shared" si="1640"/>
        <v>882</v>
      </c>
      <c r="GD178" s="69">
        <f t="shared" si="1641"/>
        <v>76</v>
      </c>
      <c r="GE178" s="11">
        <v>452</v>
      </c>
      <c r="GF178" s="12">
        <f t="shared" si="1590"/>
        <v>0.52380952380952384</v>
      </c>
      <c r="GG178" s="11">
        <v>10</v>
      </c>
      <c r="GH178" s="12">
        <f t="shared" si="1591"/>
        <v>2.1645021645021644E-2</v>
      </c>
      <c r="GI178" s="13"/>
      <c r="GJ178" s="11"/>
      <c r="GK178" s="11"/>
      <c r="GL178" s="14"/>
      <c r="GM178" s="10">
        <v>1</v>
      </c>
      <c r="GN178" s="11"/>
      <c r="GO178" s="69">
        <f t="shared" si="1642"/>
        <v>165</v>
      </c>
      <c r="GP178" s="69">
        <f t="shared" si="1643"/>
        <v>17</v>
      </c>
      <c r="GQ178" s="11">
        <v>85</v>
      </c>
      <c r="GR178" s="12">
        <f t="shared" si="1592"/>
        <v>0.53939393939393943</v>
      </c>
      <c r="GS178" s="11">
        <v>4</v>
      </c>
      <c r="GT178" s="12">
        <f t="shared" si="1593"/>
        <v>4.49438202247191E-2</v>
      </c>
      <c r="GU178" s="13"/>
      <c r="GV178" s="11"/>
      <c r="GW178" s="11"/>
      <c r="GX178" s="14"/>
      <c r="GY178" s="10"/>
      <c r="GZ178" s="11"/>
      <c r="HA178" s="69">
        <f t="shared" si="1644"/>
        <v>905</v>
      </c>
      <c r="HB178" s="69">
        <f t="shared" si="1645"/>
        <v>77</v>
      </c>
      <c r="HC178" s="11">
        <v>543</v>
      </c>
      <c r="HD178" s="12">
        <f t="shared" si="1594"/>
        <v>0.61215469613259665</v>
      </c>
      <c r="HE178" s="11">
        <v>11</v>
      </c>
      <c r="HF178" s="12">
        <f t="shared" si="1595"/>
        <v>1.9855595667870037E-2</v>
      </c>
      <c r="HG178" s="13"/>
      <c r="HH178" s="11"/>
      <c r="HI178" s="11"/>
      <c r="HJ178" s="14"/>
      <c r="HK178" s="10">
        <f t="shared" si="1596"/>
        <v>4</v>
      </c>
      <c r="HL178" s="11">
        <f t="shared" si="1597"/>
        <v>0</v>
      </c>
      <c r="HM178" s="11">
        <f t="shared" si="1598"/>
        <v>12015</v>
      </c>
      <c r="HN178" s="11">
        <f t="shared" si="1599"/>
        <v>1032</v>
      </c>
      <c r="HO178" s="11">
        <f t="shared" si="1600"/>
        <v>6960</v>
      </c>
      <c r="HP178" s="95">
        <f t="shared" si="1601"/>
        <v>0.57927590511860172</v>
      </c>
      <c r="HQ178" s="15">
        <f t="shared" si="1602"/>
        <v>217</v>
      </c>
      <c r="HR178" s="12">
        <f t="shared" si="1603"/>
        <v>3.1178160919540229E-2</v>
      </c>
      <c r="HS178" s="16">
        <v>63.9</v>
      </c>
      <c r="HT178" s="17">
        <v>6573</v>
      </c>
      <c r="HU178" s="16">
        <f t="shared" si="1604"/>
        <v>94.439655172413794</v>
      </c>
      <c r="HV178" s="15"/>
      <c r="HW178" s="14"/>
      <c r="HX178" s="73">
        <f t="shared" si="1605"/>
        <v>0.59369259032455601</v>
      </c>
      <c r="HY178" s="73">
        <f t="shared" si="1606"/>
        <v>0.54440635712059837</v>
      </c>
      <c r="HZ178" s="73">
        <f t="shared" si="1607"/>
        <v>0.60790835181079084</v>
      </c>
      <c r="IA178" s="73">
        <f t="shared" si="1608"/>
        <v>0.5748059280169372</v>
      </c>
    </row>
    <row r="179" spans="1:244" x14ac:dyDescent="0.25">
      <c r="A179" s="374"/>
      <c r="B179" s="41">
        <f t="shared" si="1609"/>
        <v>45077</v>
      </c>
      <c r="C179" s="10">
        <v>1</v>
      </c>
      <c r="D179" s="11"/>
      <c r="E179" s="69">
        <f t="shared" si="1610"/>
        <v>826</v>
      </c>
      <c r="F179" s="69">
        <f t="shared" si="1611"/>
        <v>72</v>
      </c>
      <c r="G179" s="11">
        <v>494</v>
      </c>
      <c r="H179" s="12">
        <f t="shared" si="1560"/>
        <v>0.61864406779661019</v>
      </c>
      <c r="I179" s="11">
        <v>17</v>
      </c>
      <c r="J179" s="12">
        <f t="shared" si="1561"/>
        <v>3.3268101761252444E-2</v>
      </c>
      <c r="K179" s="11"/>
      <c r="L179" s="11"/>
      <c r="M179" s="18"/>
      <c r="N179" s="20"/>
      <c r="O179" s="10"/>
      <c r="P179" s="11"/>
      <c r="Q179" s="69">
        <f t="shared" si="1612"/>
        <v>752</v>
      </c>
      <c r="R179" s="69">
        <f t="shared" si="1613"/>
        <v>64</v>
      </c>
      <c r="S179" s="11">
        <v>419</v>
      </c>
      <c r="T179" s="12">
        <f t="shared" si="1562"/>
        <v>0.56914893617021278</v>
      </c>
      <c r="U179" s="11">
        <v>9</v>
      </c>
      <c r="V179" s="12">
        <f t="shared" si="1563"/>
        <v>2.1028037383177569E-2</v>
      </c>
      <c r="W179" s="11"/>
      <c r="X179" s="11"/>
      <c r="Y179" s="18"/>
      <c r="Z179" s="20"/>
      <c r="AA179" s="10"/>
      <c r="AB179" s="11"/>
      <c r="AC179" s="69">
        <f t="shared" si="1614"/>
        <v>169</v>
      </c>
      <c r="AD179" s="69">
        <f t="shared" si="1615"/>
        <v>12</v>
      </c>
      <c r="AE179" s="11">
        <v>91</v>
      </c>
      <c r="AF179" s="12">
        <f t="shared" si="1564"/>
        <v>0.55621301775147924</v>
      </c>
      <c r="AG179" s="11">
        <v>3</v>
      </c>
      <c r="AH179" s="12">
        <f t="shared" si="1565"/>
        <v>3.1914893617021274E-2</v>
      </c>
      <c r="AI179" s="11"/>
      <c r="AJ179" s="11"/>
      <c r="AK179" s="18"/>
      <c r="AL179" s="20"/>
      <c r="AM179" s="10">
        <v>1</v>
      </c>
      <c r="AN179" s="11"/>
      <c r="AO179" s="69">
        <f t="shared" si="1616"/>
        <v>764</v>
      </c>
      <c r="AP179" s="69">
        <f t="shared" si="1617"/>
        <v>63</v>
      </c>
      <c r="AQ179" s="11">
        <v>418</v>
      </c>
      <c r="AR179" s="12">
        <f t="shared" si="1566"/>
        <v>0.56282722513089001</v>
      </c>
      <c r="AS179" s="11">
        <v>12</v>
      </c>
      <c r="AT179" s="12">
        <f t="shared" si="1567"/>
        <v>2.7906976744186046E-2</v>
      </c>
      <c r="AU179" s="11"/>
      <c r="AV179" s="11"/>
      <c r="AW179" s="18"/>
      <c r="AX179" s="20"/>
      <c r="AY179" s="10"/>
      <c r="AZ179" s="11"/>
      <c r="BA179" s="69">
        <f t="shared" si="1618"/>
        <v>753</v>
      </c>
      <c r="BB179" s="69">
        <f t="shared" si="1619"/>
        <v>67</v>
      </c>
      <c r="BC179" s="11">
        <v>443</v>
      </c>
      <c r="BD179" s="12">
        <f t="shared" si="1568"/>
        <v>0.60823373173970785</v>
      </c>
      <c r="BE179" s="11">
        <v>15</v>
      </c>
      <c r="BF179" s="12">
        <f t="shared" si="1569"/>
        <v>3.2751091703056769E-2</v>
      </c>
      <c r="BG179" s="11"/>
      <c r="BH179" s="11"/>
      <c r="BI179" s="18"/>
      <c r="BJ179" s="20"/>
      <c r="BK179" s="10"/>
      <c r="BL179" s="11"/>
      <c r="BM179" s="69">
        <f t="shared" si="1620"/>
        <v>818</v>
      </c>
      <c r="BN179" s="69">
        <f t="shared" si="1621"/>
        <v>70</v>
      </c>
      <c r="BO179" s="11">
        <v>430</v>
      </c>
      <c r="BP179" s="12">
        <f t="shared" si="1570"/>
        <v>0.54523227383863082</v>
      </c>
      <c r="BQ179" s="11">
        <v>16</v>
      </c>
      <c r="BR179" s="12">
        <f t="shared" si="1571"/>
        <v>3.5874439461883408E-2</v>
      </c>
      <c r="BS179" s="11"/>
      <c r="BT179" s="11"/>
      <c r="BU179" s="18"/>
      <c r="BV179" s="20"/>
      <c r="BW179" s="10"/>
      <c r="BX179" s="11"/>
      <c r="BY179" s="69">
        <f t="shared" si="1622"/>
        <v>750</v>
      </c>
      <c r="BZ179" s="69">
        <f t="shared" si="1623"/>
        <v>62</v>
      </c>
      <c r="CA179" s="11">
        <v>427</v>
      </c>
      <c r="CB179" s="12">
        <f t="shared" si="1572"/>
        <v>0.58133333333333337</v>
      </c>
      <c r="CC179" s="11">
        <v>9</v>
      </c>
      <c r="CD179" s="12">
        <f t="shared" si="1573"/>
        <v>2.0642201834862386E-2</v>
      </c>
      <c r="CE179" s="11"/>
      <c r="CF179" s="11"/>
      <c r="CG179" s="18"/>
      <c r="CH179" s="20"/>
      <c r="CI179" s="10"/>
      <c r="CJ179" s="11"/>
      <c r="CK179" s="69">
        <f t="shared" si="1624"/>
        <v>158</v>
      </c>
      <c r="CL179" s="69">
        <f t="shared" si="1625"/>
        <v>14</v>
      </c>
      <c r="CM179" s="11">
        <v>82</v>
      </c>
      <c r="CN179" s="12">
        <f t="shared" si="1574"/>
        <v>0.53164556962025311</v>
      </c>
      <c r="CO179" s="11">
        <v>2</v>
      </c>
      <c r="CP179" s="12">
        <f t="shared" si="1575"/>
        <v>2.3809523809523808E-2</v>
      </c>
      <c r="CQ179" s="11"/>
      <c r="CR179" s="11"/>
      <c r="CS179" s="18"/>
      <c r="CT179" s="20"/>
      <c r="CU179" s="10"/>
      <c r="CV179" s="11"/>
      <c r="CW179" s="69">
        <f t="shared" si="1626"/>
        <v>739</v>
      </c>
      <c r="CX179" s="69">
        <f t="shared" si="1627"/>
        <v>63</v>
      </c>
      <c r="CY179" s="11">
        <v>427</v>
      </c>
      <c r="CZ179" s="12">
        <f t="shared" si="1576"/>
        <v>0.5872801082543978</v>
      </c>
      <c r="DA179" s="11">
        <v>7</v>
      </c>
      <c r="DB179" s="12">
        <f t="shared" si="1577"/>
        <v>1.6129032258064516E-2</v>
      </c>
      <c r="DC179" s="11"/>
      <c r="DD179" s="11"/>
      <c r="DE179" s="18"/>
      <c r="DF179" s="20"/>
      <c r="DG179" s="10"/>
      <c r="DH179" s="11"/>
      <c r="DI179" s="69">
        <f t="shared" si="1628"/>
        <v>744</v>
      </c>
      <c r="DJ179" s="69">
        <f t="shared" si="1629"/>
        <v>66</v>
      </c>
      <c r="DK179" s="11">
        <v>403</v>
      </c>
      <c r="DL179" s="12">
        <f t="shared" si="1578"/>
        <v>0.55107526881720426</v>
      </c>
      <c r="DM179" s="11">
        <v>7</v>
      </c>
      <c r="DN179" s="12">
        <f t="shared" si="1579"/>
        <v>1.7073170731707318E-2</v>
      </c>
      <c r="DO179" s="11"/>
      <c r="DP179" s="11"/>
      <c r="DQ179" s="18"/>
      <c r="DR179" s="20"/>
      <c r="DS179" s="10"/>
      <c r="DT179" s="11"/>
      <c r="DU179" s="69">
        <f t="shared" si="1630"/>
        <v>828</v>
      </c>
      <c r="DV179" s="69">
        <f t="shared" si="1631"/>
        <v>71</v>
      </c>
      <c r="DW179" s="11">
        <v>485</v>
      </c>
      <c r="DX179" s="12">
        <f t="shared" si="1580"/>
        <v>0.61835748792270528</v>
      </c>
      <c r="DY179" s="11">
        <v>27</v>
      </c>
      <c r="DZ179" s="12">
        <f t="shared" si="1581"/>
        <v>5.2734375E-2</v>
      </c>
      <c r="EA179" s="11"/>
      <c r="EB179" s="11"/>
      <c r="EC179" s="18"/>
      <c r="ED179" s="20"/>
      <c r="EE179" s="10"/>
      <c r="EF179" s="11"/>
      <c r="EG179" s="69">
        <f t="shared" si="1632"/>
        <v>845</v>
      </c>
      <c r="EH179" s="69">
        <f t="shared" si="1633"/>
        <v>74</v>
      </c>
      <c r="EI179" s="11">
        <v>437</v>
      </c>
      <c r="EJ179" s="12">
        <f t="shared" si="1582"/>
        <v>0.54437869822485208</v>
      </c>
      <c r="EK179" s="11">
        <v>23</v>
      </c>
      <c r="EL179" s="12">
        <f t="shared" si="1583"/>
        <v>0.05</v>
      </c>
      <c r="EM179" s="11"/>
      <c r="EN179" s="11"/>
      <c r="EO179" s="18"/>
      <c r="EP179" s="20"/>
      <c r="EQ179" s="10"/>
      <c r="ER179" s="11"/>
      <c r="ES179" s="69">
        <f t="shared" si="1634"/>
        <v>184</v>
      </c>
      <c r="ET179" s="69">
        <f t="shared" si="1635"/>
        <v>16</v>
      </c>
      <c r="EU179" s="11">
        <v>84</v>
      </c>
      <c r="EV179" s="12">
        <f t="shared" si="1584"/>
        <v>0.47826086956521741</v>
      </c>
      <c r="EW179" s="11">
        <v>4</v>
      </c>
      <c r="EX179" s="12">
        <f t="shared" si="1585"/>
        <v>4.5454545454545456E-2</v>
      </c>
      <c r="EY179" s="11"/>
      <c r="EZ179" s="11"/>
      <c r="FA179" s="18"/>
      <c r="FB179" s="20"/>
      <c r="FC179" s="10"/>
      <c r="FD179" s="11"/>
      <c r="FE179" s="69">
        <f t="shared" si="1636"/>
        <v>849</v>
      </c>
      <c r="FF179" s="69">
        <f t="shared" si="1637"/>
        <v>73</v>
      </c>
      <c r="FG179" s="11">
        <v>445</v>
      </c>
      <c r="FH179" s="12">
        <f t="shared" si="1586"/>
        <v>0.54770318021201414</v>
      </c>
      <c r="FI179" s="11">
        <v>20</v>
      </c>
      <c r="FJ179" s="12">
        <f t="shared" si="1587"/>
        <v>4.3010752688172046E-2</v>
      </c>
      <c r="FK179" s="11"/>
      <c r="FL179" s="11"/>
      <c r="FM179" s="18"/>
      <c r="FN179" s="20"/>
      <c r="FO179" s="10">
        <v>1</v>
      </c>
      <c r="FP179" s="11"/>
      <c r="FQ179" s="69">
        <f t="shared" si="1638"/>
        <v>881</v>
      </c>
      <c r="FR179" s="69">
        <f t="shared" si="1639"/>
        <v>75</v>
      </c>
      <c r="FS179" s="11">
        <v>476</v>
      </c>
      <c r="FT179" s="12">
        <f t="shared" si="1588"/>
        <v>0.56072644721906928</v>
      </c>
      <c r="FU179" s="11">
        <v>18</v>
      </c>
      <c r="FV179" s="12">
        <f t="shared" si="1589"/>
        <v>3.643724696356275E-2</v>
      </c>
      <c r="FW179" s="11"/>
      <c r="FX179" s="11"/>
      <c r="FY179" s="18"/>
      <c r="FZ179" s="20"/>
      <c r="GA179" s="10"/>
      <c r="GB179" s="11"/>
      <c r="GC179" s="69">
        <f t="shared" si="1640"/>
        <v>882</v>
      </c>
      <c r="GD179" s="69">
        <f t="shared" si="1641"/>
        <v>76</v>
      </c>
      <c r="GE179" s="11">
        <v>465</v>
      </c>
      <c r="GF179" s="12">
        <f t="shared" si="1590"/>
        <v>0.54988662131519273</v>
      </c>
      <c r="GG179" s="11">
        <v>20</v>
      </c>
      <c r="GH179" s="12">
        <f t="shared" si="1591"/>
        <v>4.1237113402061855E-2</v>
      </c>
      <c r="GI179" s="11"/>
      <c r="GJ179" s="11"/>
      <c r="GK179" s="18"/>
      <c r="GL179" s="20"/>
      <c r="GM179" s="10">
        <v>1</v>
      </c>
      <c r="GN179" s="11"/>
      <c r="GO179" s="69">
        <f t="shared" si="1642"/>
        <v>164</v>
      </c>
      <c r="GP179" s="69">
        <f t="shared" si="1643"/>
        <v>17</v>
      </c>
      <c r="GQ179" s="11">
        <v>83</v>
      </c>
      <c r="GR179" s="12">
        <f t="shared" si="1592"/>
        <v>0.53048780487804881</v>
      </c>
      <c r="GS179" s="11">
        <v>4</v>
      </c>
      <c r="GT179" s="12">
        <f t="shared" si="1593"/>
        <v>4.5977011494252873E-2</v>
      </c>
      <c r="GU179" s="11"/>
      <c r="GV179" s="11"/>
      <c r="GW179" s="18"/>
      <c r="GX179" s="20"/>
      <c r="GY179" s="10"/>
      <c r="GZ179" s="11"/>
      <c r="HA179" s="69">
        <f t="shared" si="1644"/>
        <v>905</v>
      </c>
      <c r="HB179" s="69">
        <f t="shared" si="1645"/>
        <v>77</v>
      </c>
      <c r="HC179" s="11">
        <v>467</v>
      </c>
      <c r="HD179" s="12">
        <f t="shared" si="1594"/>
        <v>0.5348066298342542</v>
      </c>
      <c r="HE179" s="11">
        <v>17</v>
      </c>
      <c r="HF179" s="12">
        <f t="shared" si="1595"/>
        <v>3.5123966942148761E-2</v>
      </c>
      <c r="HG179" s="11"/>
      <c r="HH179" s="11"/>
      <c r="HI179" s="18"/>
      <c r="HJ179" s="20"/>
      <c r="HK179" s="10">
        <f t="shared" si="1596"/>
        <v>4</v>
      </c>
      <c r="HL179" s="11">
        <f t="shared" si="1597"/>
        <v>0</v>
      </c>
      <c r="HM179" s="11">
        <f t="shared" si="1598"/>
        <v>12011</v>
      </c>
      <c r="HN179" s="11">
        <f t="shared" si="1599"/>
        <v>1032</v>
      </c>
      <c r="HO179" s="11">
        <f t="shared" si="1600"/>
        <v>6806</v>
      </c>
      <c r="HP179" s="95">
        <f t="shared" si="1601"/>
        <v>0.56664724002997258</v>
      </c>
      <c r="HQ179" s="15">
        <f t="shared" si="1602"/>
        <v>230</v>
      </c>
      <c r="HR179" s="12">
        <f t="shared" si="1603"/>
        <v>3.3793711431090216E-2</v>
      </c>
      <c r="HS179" s="16">
        <v>64</v>
      </c>
      <c r="HT179" s="17">
        <v>6436</v>
      </c>
      <c r="HU179" s="16">
        <f t="shared" si="1604"/>
        <v>94.563620334998532</v>
      </c>
      <c r="HV179" s="18"/>
      <c r="HW179" s="20"/>
      <c r="HX179" s="73">
        <f t="shared" si="1605"/>
        <v>0.58854166666666663</v>
      </c>
      <c r="HY179" s="73">
        <f t="shared" si="1606"/>
        <v>0.5640386413212839</v>
      </c>
      <c r="HZ179" s="73">
        <f t="shared" si="1607"/>
        <v>0.56356245380635628</v>
      </c>
      <c r="IA179" s="73">
        <f t="shared" si="1608"/>
        <v>0.54731638418079098</v>
      </c>
    </row>
    <row r="180" spans="1:244" x14ac:dyDescent="0.25">
      <c r="A180" s="374"/>
      <c r="B180" s="41">
        <f>+B179+1</f>
        <v>45078</v>
      </c>
      <c r="C180" s="10"/>
      <c r="D180" s="11"/>
      <c r="E180" s="69">
        <f t="shared" si="1610"/>
        <v>826</v>
      </c>
      <c r="F180" s="69">
        <f t="shared" si="1611"/>
        <v>72</v>
      </c>
      <c r="G180" s="11">
        <v>491</v>
      </c>
      <c r="H180" s="12">
        <f t="shared" si="1560"/>
        <v>0.60895883777239712</v>
      </c>
      <c r="I180" s="11">
        <v>12</v>
      </c>
      <c r="J180" s="12">
        <f t="shared" si="1561"/>
        <v>2.3856858846918488E-2</v>
      </c>
      <c r="K180" s="13"/>
      <c r="L180" s="13"/>
      <c r="M180" s="25">
        <v>4104</v>
      </c>
      <c r="N180" s="38">
        <v>4370</v>
      </c>
      <c r="O180" s="10"/>
      <c r="P180" s="11"/>
      <c r="Q180" s="69">
        <f t="shared" si="1612"/>
        <v>752</v>
      </c>
      <c r="R180" s="69">
        <f t="shared" si="1613"/>
        <v>64</v>
      </c>
      <c r="S180" s="11">
        <v>418</v>
      </c>
      <c r="T180" s="12">
        <f t="shared" si="1562"/>
        <v>0.5917553191489362</v>
      </c>
      <c r="U180" s="11">
        <v>27</v>
      </c>
      <c r="V180" s="12">
        <f t="shared" si="1563"/>
        <v>6.0674157303370786E-2</v>
      </c>
      <c r="W180" s="13"/>
      <c r="X180" s="13"/>
      <c r="Y180" s="25">
        <v>4104</v>
      </c>
      <c r="Z180" s="38">
        <v>4370</v>
      </c>
      <c r="AA180" s="10"/>
      <c r="AB180" s="11"/>
      <c r="AC180" s="69">
        <f t="shared" si="1614"/>
        <v>169</v>
      </c>
      <c r="AD180" s="69">
        <f t="shared" si="1615"/>
        <v>12</v>
      </c>
      <c r="AE180" s="11">
        <v>88</v>
      </c>
      <c r="AF180" s="12">
        <f t="shared" si="1564"/>
        <v>0.53254437869822491</v>
      </c>
      <c r="AG180" s="11">
        <v>2</v>
      </c>
      <c r="AH180" s="12">
        <f t="shared" si="1565"/>
        <v>2.2222222222222223E-2</v>
      </c>
      <c r="AI180" s="13"/>
      <c r="AJ180" s="13"/>
      <c r="AK180" s="25">
        <v>4104</v>
      </c>
      <c r="AL180" s="38">
        <v>4370</v>
      </c>
      <c r="AM180" s="10"/>
      <c r="AN180" s="11"/>
      <c r="AO180" s="69">
        <f t="shared" si="1616"/>
        <v>764</v>
      </c>
      <c r="AP180" s="69">
        <f t="shared" si="1617"/>
        <v>63</v>
      </c>
      <c r="AQ180" s="11">
        <v>427</v>
      </c>
      <c r="AR180" s="12">
        <f t="shared" si="1566"/>
        <v>0.57329842931937169</v>
      </c>
      <c r="AS180" s="11">
        <v>11</v>
      </c>
      <c r="AT180" s="12">
        <f t="shared" si="1567"/>
        <v>2.5114155251141551E-2</v>
      </c>
      <c r="AU180" s="13"/>
      <c r="AV180" s="13"/>
      <c r="AW180" s="25">
        <v>4104</v>
      </c>
      <c r="AX180" s="38">
        <v>4370</v>
      </c>
      <c r="AY180" s="10"/>
      <c r="AZ180" s="11"/>
      <c r="BA180" s="69">
        <f t="shared" si="1618"/>
        <v>753</v>
      </c>
      <c r="BB180" s="69">
        <f t="shared" si="1619"/>
        <v>67</v>
      </c>
      <c r="BC180" s="11">
        <v>448</v>
      </c>
      <c r="BD180" s="12">
        <f t="shared" si="1568"/>
        <v>0.60026560424966802</v>
      </c>
      <c r="BE180" s="11">
        <v>4</v>
      </c>
      <c r="BF180" s="12">
        <f t="shared" si="1569"/>
        <v>8.8495575221238937E-3</v>
      </c>
      <c r="BG180" s="13"/>
      <c r="BH180" s="13"/>
      <c r="BI180" s="25">
        <v>4104</v>
      </c>
      <c r="BJ180" s="38">
        <v>4370</v>
      </c>
      <c r="BK180" s="10"/>
      <c r="BL180" s="11"/>
      <c r="BM180" s="69">
        <f t="shared" si="1620"/>
        <v>818</v>
      </c>
      <c r="BN180" s="69">
        <f t="shared" si="1621"/>
        <v>70</v>
      </c>
      <c r="BO180" s="11">
        <v>419</v>
      </c>
      <c r="BP180" s="12">
        <f t="shared" si="1570"/>
        <v>0.53789731051344747</v>
      </c>
      <c r="BQ180" s="11">
        <v>21</v>
      </c>
      <c r="BR180" s="12">
        <f t="shared" si="1571"/>
        <v>4.7727272727272729E-2</v>
      </c>
      <c r="BS180" s="13"/>
      <c r="BT180" s="13"/>
      <c r="BU180" s="25">
        <v>4104</v>
      </c>
      <c r="BV180" s="38">
        <v>4370</v>
      </c>
      <c r="BW180" s="10"/>
      <c r="BX180" s="11"/>
      <c r="BY180" s="69">
        <f t="shared" si="1622"/>
        <v>750</v>
      </c>
      <c r="BZ180" s="69">
        <f t="shared" si="1623"/>
        <v>62</v>
      </c>
      <c r="CA180" s="11">
        <v>378</v>
      </c>
      <c r="CB180" s="12">
        <f t="shared" si="1572"/>
        <v>0.52800000000000002</v>
      </c>
      <c r="CC180" s="11">
        <v>18</v>
      </c>
      <c r="CD180" s="12">
        <f t="shared" si="1573"/>
        <v>4.5454545454545456E-2</v>
      </c>
      <c r="CE180" s="13"/>
      <c r="CF180" s="13"/>
      <c r="CG180" s="25">
        <v>4104</v>
      </c>
      <c r="CH180" s="38">
        <v>4370</v>
      </c>
      <c r="CI180" s="10">
        <v>2</v>
      </c>
      <c r="CJ180" s="11"/>
      <c r="CK180" s="69">
        <f t="shared" si="1624"/>
        <v>156</v>
      </c>
      <c r="CL180" s="69">
        <f t="shared" si="1625"/>
        <v>14</v>
      </c>
      <c r="CM180" s="11">
        <v>77</v>
      </c>
      <c r="CN180" s="12">
        <f t="shared" si="1574"/>
        <v>0.53205128205128205</v>
      </c>
      <c r="CO180" s="11">
        <v>6</v>
      </c>
      <c r="CP180" s="12">
        <f t="shared" si="1575"/>
        <v>7.2289156626506021E-2</v>
      </c>
      <c r="CQ180" s="13"/>
      <c r="CR180" s="13"/>
      <c r="CS180" s="25">
        <v>4104</v>
      </c>
      <c r="CT180" s="38">
        <v>4370</v>
      </c>
      <c r="CU180" s="10">
        <v>2</v>
      </c>
      <c r="CV180" s="11"/>
      <c r="CW180" s="69">
        <f t="shared" si="1626"/>
        <v>737</v>
      </c>
      <c r="CX180" s="69">
        <f t="shared" si="1627"/>
        <v>63</v>
      </c>
      <c r="CY180" s="11">
        <v>406</v>
      </c>
      <c r="CZ180" s="12">
        <f t="shared" si="1576"/>
        <v>0.56173677069199457</v>
      </c>
      <c r="DA180" s="11">
        <v>8</v>
      </c>
      <c r="DB180" s="12">
        <f t="shared" si="1577"/>
        <v>1.932367149758454E-2</v>
      </c>
      <c r="DC180" s="13"/>
      <c r="DD180" s="13"/>
      <c r="DE180" s="25">
        <v>4104</v>
      </c>
      <c r="DF180" s="38">
        <v>4370</v>
      </c>
      <c r="DG180" s="10"/>
      <c r="DH180" s="11"/>
      <c r="DI180" s="69">
        <f t="shared" si="1628"/>
        <v>744</v>
      </c>
      <c r="DJ180" s="69">
        <f t="shared" si="1629"/>
        <v>66</v>
      </c>
      <c r="DK180" s="11">
        <v>499</v>
      </c>
      <c r="DL180" s="12">
        <f t="shared" si="1578"/>
        <v>0.70161290322580649</v>
      </c>
      <c r="DM180" s="11">
        <v>23</v>
      </c>
      <c r="DN180" s="12">
        <f t="shared" si="1579"/>
        <v>4.4061302681992334E-2</v>
      </c>
      <c r="DO180" s="13"/>
      <c r="DP180" s="13"/>
      <c r="DQ180" s="25">
        <v>4104</v>
      </c>
      <c r="DR180" s="38">
        <v>4370</v>
      </c>
      <c r="DS180" s="10"/>
      <c r="DT180" s="11"/>
      <c r="DU180" s="69">
        <f t="shared" si="1630"/>
        <v>828</v>
      </c>
      <c r="DV180" s="69">
        <f t="shared" si="1631"/>
        <v>71</v>
      </c>
      <c r="DW180" s="11">
        <v>463</v>
      </c>
      <c r="DX180" s="12">
        <f t="shared" si="1580"/>
        <v>0.58333333333333337</v>
      </c>
      <c r="DY180" s="11">
        <v>20</v>
      </c>
      <c r="DZ180" s="12">
        <f t="shared" si="1581"/>
        <v>4.1407867494824016E-2</v>
      </c>
      <c r="EA180" s="13"/>
      <c r="EB180" s="13"/>
      <c r="EC180" s="25">
        <v>4104</v>
      </c>
      <c r="ED180" s="38">
        <v>4370</v>
      </c>
      <c r="EE180" s="10"/>
      <c r="EF180" s="11">
        <v>1</v>
      </c>
      <c r="EG180" s="69">
        <f t="shared" si="1632"/>
        <v>845</v>
      </c>
      <c r="EH180" s="69">
        <f t="shared" si="1633"/>
        <v>73</v>
      </c>
      <c r="EI180" s="11">
        <v>473</v>
      </c>
      <c r="EJ180" s="12">
        <f t="shared" si="1582"/>
        <v>0.58224852071005917</v>
      </c>
      <c r="EK180" s="11">
        <v>19</v>
      </c>
      <c r="EL180" s="12">
        <f t="shared" si="1583"/>
        <v>3.8617886178861791E-2</v>
      </c>
      <c r="EM180" s="13"/>
      <c r="EN180" s="13"/>
      <c r="EO180" s="25">
        <v>4104</v>
      </c>
      <c r="EP180" s="38">
        <v>4370</v>
      </c>
      <c r="EQ180" s="10">
        <v>1</v>
      </c>
      <c r="ER180" s="11"/>
      <c r="ES180" s="69">
        <f t="shared" si="1634"/>
        <v>183</v>
      </c>
      <c r="ET180" s="69">
        <f t="shared" si="1635"/>
        <v>16</v>
      </c>
      <c r="EU180" s="11">
        <v>104</v>
      </c>
      <c r="EV180" s="12">
        <f t="shared" si="1584"/>
        <v>0.59562841530054644</v>
      </c>
      <c r="EW180" s="11">
        <v>5</v>
      </c>
      <c r="EX180" s="12">
        <f t="shared" si="1585"/>
        <v>4.5871559633027525E-2</v>
      </c>
      <c r="EY180" s="13"/>
      <c r="EZ180" s="13"/>
      <c r="FA180" s="25">
        <v>4104</v>
      </c>
      <c r="FB180" s="38">
        <v>4370</v>
      </c>
      <c r="FC180" s="10"/>
      <c r="FD180" s="11"/>
      <c r="FE180" s="69">
        <f t="shared" si="1636"/>
        <v>849</v>
      </c>
      <c r="FF180" s="69">
        <f t="shared" si="1637"/>
        <v>73</v>
      </c>
      <c r="FG180" s="11">
        <v>485</v>
      </c>
      <c r="FH180" s="12">
        <f t="shared" si="1586"/>
        <v>0.59481743227326267</v>
      </c>
      <c r="FI180" s="11">
        <v>20</v>
      </c>
      <c r="FJ180" s="12">
        <f t="shared" si="1587"/>
        <v>3.9603960396039604E-2</v>
      </c>
      <c r="FK180" s="13"/>
      <c r="FL180" s="13"/>
      <c r="FM180" s="25">
        <v>4104</v>
      </c>
      <c r="FN180" s="38">
        <v>4370</v>
      </c>
      <c r="FO180" s="10"/>
      <c r="FP180" s="11"/>
      <c r="FQ180" s="69">
        <f t="shared" si="1638"/>
        <v>881</v>
      </c>
      <c r="FR180" s="69">
        <f t="shared" si="1639"/>
        <v>75</v>
      </c>
      <c r="FS180" s="11">
        <v>471</v>
      </c>
      <c r="FT180" s="12">
        <f t="shared" si="1588"/>
        <v>0.5629965947786606</v>
      </c>
      <c r="FU180" s="11">
        <v>25</v>
      </c>
      <c r="FV180" s="12">
        <f t="shared" si="1589"/>
        <v>5.040322580645161E-2</v>
      </c>
      <c r="FW180" s="13"/>
      <c r="FX180" s="13"/>
      <c r="FY180" s="25">
        <v>4104</v>
      </c>
      <c r="FZ180" s="38">
        <v>4370</v>
      </c>
      <c r="GA180" s="10"/>
      <c r="GB180" s="11"/>
      <c r="GC180" s="69">
        <f t="shared" si="1640"/>
        <v>882</v>
      </c>
      <c r="GD180" s="69">
        <f t="shared" si="1641"/>
        <v>76</v>
      </c>
      <c r="GE180" s="11">
        <v>468</v>
      </c>
      <c r="GF180" s="12">
        <f t="shared" si="1590"/>
        <v>0.54761904761904767</v>
      </c>
      <c r="GG180" s="11">
        <v>15</v>
      </c>
      <c r="GH180" s="12">
        <f t="shared" si="1591"/>
        <v>3.1055900621118012E-2</v>
      </c>
      <c r="GI180" s="13"/>
      <c r="GJ180" s="13"/>
      <c r="GK180" s="25">
        <v>4104</v>
      </c>
      <c r="GL180" s="38">
        <v>4370</v>
      </c>
      <c r="GM180" s="10"/>
      <c r="GN180" s="11"/>
      <c r="GO180" s="69">
        <f t="shared" si="1642"/>
        <v>164</v>
      </c>
      <c r="GP180" s="69">
        <f t="shared" si="1643"/>
        <v>17</v>
      </c>
      <c r="GQ180" s="11">
        <v>88</v>
      </c>
      <c r="GR180" s="12">
        <f t="shared" si="1592"/>
        <v>0.54878048780487809</v>
      </c>
      <c r="GS180" s="11">
        <v>2</v>
      </c>
      <c r="GT180" s="12">
        <f t="shared" si="1593"/>
        <v>2.2222222222222223E-2</v>
      </c>
      <c r="GU180" s="13"/>
      <c r="GV180" s="13"/>
      <c r="GW180" s="25">
        <v>4104</v>
      </c>
      <c r="GX180" s="38">
        <v>4370</v>
      </c>
      <c r="GY180" s="10"/>
      <c r="GZ180" s="11"/>
      <c r="HA180" s="69">
        <f t="shared" si="1644"/>
        <v>905</v>
      </c>
      <c r="HB180" s="69">
        <f t="shared" si="1645"/>
        <v>77</v>
      </c>
      <c r="HC180" s="11">
        <v>540</v>
      </c>
      <c r="HD180" s="12">
        <f t="shared" si="1594"/>
        <v>0.605524861878453</v>
      </c>
      <c r="HE180" s="11">
        <v>8</v>
      </c>
      <c r="HF180" s="12">
        <f t="shared" si="1595"/>
        <v>1.4598540145985401E-2</v>
      </c>
      <c r="HG180" s="13"/>
      <c r="HH180" s="13"/>
      <c r="HI180" s="25">
        <v>4104</v>
      </c>
      <c r="HJ180" s="38">
        <v>4370</v>
      </c>
      <c r="HK180" s="10">
        <f t="shared" si="1596"/>
        <v>5</v>
      </c>
      <c r="HL180" s="11">
        <f t="shared" si="1597"/>
        <v>1</v>
      </c>
      <c r="HM180" s="11">
        <f t="shared" si="1598"/>
        <v>12006</v>
      </c>
      <c r="HN180" s="11">
        <f t="shared" si="1599"/>
        <v>1031</v>
      </c>
      <c r="HO180" s="11">
        <f t="shared" si="1600"/>
        <v>6989</v>
      </c>
      <c r="HP180" s="95">
        <f t="shared" si="1601"/>
        <v>0.58212560386473433</v>
      </c>
      <c r="HQ180" s="15">
        <f t="shared" si="1602"/>
        <v>246</v>
      </c>
      <c r="HR180" s="12">
        <f t="shared" si="1603"/>
        <v>3.519816855057948E-2</v>
      </c>
      <c r="HS180" s="16">
        <v>63.8</v>
      </c>
      <c r="HT180" s="17">
        <v>6558</v>
      </c>
      <c r="HU180" s="16">
        <f t="shared" si="1604"/>
        <v>93.833166404349683</v>
      </c>
      <c r="HV180" s="23">
        <v>4104</v>
      </c>
      <c r="HW180" s="22">
        <v>4370</v>
      </c>
      <c r="HX180" s="73">
        <f t="shared" si="1605"/>
        <v>0.59068627450980393</v>
      </c>
      <c r="HY180" s="73">
        <f t="shared" si="1606"/>
        <v>0.57878315132605307</v>
      </c>
      <c r="HZ180" s="73">
        <f t="shared" si="1607"/>
        <v>0.58743068391866915</v>
      </c>
      <c r="IA180" s="73">
        <f t="shared" si="1608"/>
        <v>0.57097457627118642</v>
      </c>
    </row>
    <row r="181" spans="1:244" x14ac:dyDescent="0.25">
      <c r="A181" s="374"/>
      <c r="B181" s="41">
        <f t="shared" si="1609"/>
        <v>45079</v>
      </c>
      <c r="C181" s="10"/>
      <c r="D181" s="11"/>
      <c r="E181" s="69">
        <f t="shared" si="1610"/>
        <v>826</v>
      </c>
      <c r="F181" s="69">
        <f t="shared" si="1611"/>
        <v>72</v>
      </c>
      <c r="G181" s="11">
        <v>480</v>
      </c>
      <c r="H181" s="12">
        <f t="shared" si="1560"/>
        <v>0.58595641646489105</v>
      </c>
      <c r="I181" s="11">
        <v>4</v>
      </c>
      <c r="J181" s="12">
        <f t="shared" si="1561"/>
        <v>8.2644628099173556E-3</v>
      </c>
      <c r="K181" s="13"/>
      <c r="L181" s="11"/>
      <c r="M181" s="25">
        <v>4699.25</v>
      </c>
      <c r="N181" s="38">
        <v>4547.33</v>
      </c>
      <c r="O181" s="10"/>
      <c r="P181" s="11"/>
      <c r="Q181" s="69">
        <f t="shared" si="1612"/>
        <v>752</v>
      </c>
      <c r="R181" s="69">
        <f t="shared" si="1613"/>
        <v>64</v>
      </c>
      <c r="S181" s="11">
        <v>446</v>
      </c>
      <c r="T181" s="12">
        <f t="shared" si="1562"/>
        <v>0.60771276595744683</v>
      </c>
      <c r="U181" s="11">
        <v>11</v>
      </c>
      <c r="V181" s="12">
        <f t="shared" si="1563"/>
        <v>2.4070021881838075E-2</v>
      </c>
      <c r="W181" s="13"/>
      <c r="X181" s="11"/>
      <c r="Y181" s="25">
        <v>4707.9411764705883</v>
      </c>
      <c r="Z181" s="38">
        <v>4884</v>
      </c>
      <c r="AA181" s="10"/>
      <c r="AB181" s="11"/>
      <c r="AC181" s="69">
        <f t="shared" si="1614"/>
        <v>169</v>
      </c>
      <c r="AD181" s="69">
        <f t="shared" si="1615"/>
        <v>12</v>
      </c>
      <c r="AE181" s="11">
        <v>109</v>
      </c>
      <c r="AF181" s="12">
        <f t="shared" si="1564"/>
        <v>0.66863905325443784</v>
      </c>
      <c r="AG181" s="11">
        <v>4</v>
      </c>
      <c r="AH181" s="12">
        <f t="shared" si="1565"/>
        <v>3.5398230088495575E-2</v>
      </c>
      <c r="AI181" s="13"/>
      <c r="AJ181" s="11"/>
      <c r="AK181" s="25">
        <v>4685</v>
      </c>
      <c r="AL181" s="38">
        <v>4510</v>
      </c>
      <c r="AM181" s="10"/>
      <c r="AN181" s="11"/>
      <c r="AO181" s="69">
        <f t="shared" si="1616"/>
        <v>764</v>
      </c>
      <c r="AP181" s="69">
        <f t="shared" si="1617"/>
        <v>63</v>
      </c>
      <c r="AQ181" s="11">
        <v>433</v>
      </c>
      <c r="AR181" s="12">
        <f t="shared" si="1566"/>
        <v>0.57460732984293195</v>
      </c>
      <c r="AS181" s="11">
        <v>6</v>
      </c>
      <c r="AT181" s="12">
        <f t="shared" si="1567"/>
        <v>1.366742596810934E-2</v>
      </c>
      <c r="AU181" s="13"/>
      <c r="AV181" s="11"/>
      <c r="AW181" s="25">
        <v>4673.125</v>
      </c>
      <c r="AX181" s="38">
        <v>4715.45</v>
      </c>
      <c r="AY181" s="10"/>
      <c r="AZ181" s="11"/>
      <c r="BA181" s="69">
        <f t="shared" si="1618"/>
        <v>753</v>
      </c>
      <c r="BB181" s="69">
        <f t="shared" si="1619"/>
        <v>67</v>
      </c>
      <c r="BC181" s="11">
        <v>470</v>
      </c>
      <c r="BD181" s="12">
        <f t="shared" si="1568"/>
        <v>0.64276228419654713</v>
      </c>
      <c r="BE181" s="11">
        <v>14</v>
      </c>
      <c r="BF181" s="12">
        <f t="shared" si="1569"/>
        <v>2.8925619834710745E-2</v>
      </c>
      <c r="BG181" s="13"/>
      <c r="BH181" s="11"/>
      <c r="BI181" s="25">
        <v>4819.333333333333</v>
      </c>
      <c r="BJ181" s="38">
        <v>4997.5</v>
      </c>
      <c r="BK181" s="10">
        <v>2</v>
      </c>
      <c r="BL181" s="11"/>
      <c r="BM181" s="69">
        <f t="shared" si="1620"/>
        <v>816</v>
      </c>
      <c r="BN181" s="69">
        <f t="shared" si="1621"/>
        <v>70</v>
      </c>
      <c r="BO181" s="11">
        <v>450</v>
      </c>
      <c r="BP181" s="12">
        <f t="shared" si="1570"/>
        <v>0.57720588235294112</v>
      </c>
      <c r="BQ181" s="11">
        <v>21</v>
      </c>
      <c r="BR181" s="12">
        <f t="shared" si="1571"/>
        <v>4.4585987261146494E-2</v>
      </c>
      <c r="BS181" s="13"/>
      <c r="BT181" s="11"/>
      <c r="BU181" s="25">
        <v>4574.8837209302328</v>
      </c>
      <c r="BV181" s="38">
        <v>4581.67</v>
      </c>
      <c r="BW181" s="10"/>
      <c r="BX181" s="11"/>
      <c r="BY181" s="69">
        <f t="shared" si="1622"/>
        <v>750</v>
      </c>
      <c r="BZ181" s="69">
        <f t="shared" si="1623"/>
        <v>62</v>
      </c>
      <c r="CA181" s="11">
        <v>390</v>
      </c>
      <c r="CB181" s="12">
        <f t="shared" si="1572"/>
        <v>0.53600000000000003</v>
      </c>
      <c r="CC181" s="11">
        <v>12</v>
      </c>
      <c r="CD181" s="12">
        <f t="shared" si="1573"/>
        <v>2.9850746268656716E-2</v>
      </c>
      <c r="CE181" s="13"/>
      <c r="CF181" s="11"/>
      <c r="CG181" s="25">
        <v>4638.604651162791</v>
      </c>
      <c r="CH181" s="38">
        <v>4742.1400000000003</v>
      </c>
      <c r="CI181" s="10">
        <v>2</v>
      </c>
      <c r="CJ181" s="11"/>
      <c r="CK181" s="69">
        <f t="shared" si="1624"/>
        <v>154</v>
      </c>
      <c r="CL181" s="69">
        <f t="shared" si="1625"/>
        <v>14</v>
      </c>
      <c r="CM181" s="11">
        <v>75</v>
      </c>
      <c r="CN181" s="12">
        <f t="shared" si="1574"/>
        <v>0.50649350649350644</v>
      </c>
      <c r="CO181" s="11">
        <v>3</v>
      </c>
      <c r="CP181" s="12">
        <f t="shared" si="1575"/>
        <v>3.8461538461538464E-2</v>
      </c>
      <c r="CQ181" s="13"/>
      <c r="CR181" s="11"/>
      <c r="CS181" s="25">
        <v>4342.2222222222226</v>
      </c>
      <c r="CT181" s="38">
        <v>4437.5</v>
      </c>
      <c r="CU181" s="10"/>
      <c r="CV181" s="11"/>
      <c r="CW181" s="69">
        <f t="shared" si="1626"/>
        <v>737</v>
      </c>
      <c r="CX181" s="69">
        <f t="shared" si="1627"/>
        <v>63</v>
      </c>
      <c r="CY181" s="11">
        <v>373</v>
      </c>
      <c r="CZ181" s="12">
        <f t="shared" si="1576"/>
        <v>0.52238805970149249</v>
      </c>
      <c r="DA181" s="11">
        <v>12</v>
      </c>
      <c r="DB181" s="12">
        <f t="shared" si="1577"/>
        <v>3.1168831168831169E-2</v>
      </c>
      <c r="DC181" s="13"/>
      <c r="DD181" s="11"/>
      <c r="DE181" s="25">
        <v>4600.5128205128203</v>
      </c>
      <c r="DF181" s="38">
        <v>4807.5</v>
      </c>
      <c r="DG181" s="10"/>
      <c r="DH181" s="11"/>
      <c r="DI181" s="69">
        <f t="shared" si="1628"/>
        <v>744</v>
      </c>
      <c r="DJ181" s="69">
        <f t="shared" si="1629"/>
        <v>66</v>
      </c>
      <c r="DK181" s="11">
        <v>423</v>
      </c>
      <c r="DL181" s="12">
        <f t="shared" si="1578"/>
        <v>0.59139784946236562</v>
      </c>
      <c r="DM181" s="11">
        <v>17</v>
      </c>
      <c r="DN181" s="12">
        <f t="shared" si="1579"/>
        <v>3.8636363636363635E-2</v>
      </c>
      <c r="DO181" s="13"/>
      <c r="DP181" s="11"/>
      <c r="DQ181" s="25">
        <v>4777.6923076923076</v>
      </c>
      <c r="DR181" s="38">
        <v>4641.25</v>
      </c>
      <c r="DS181" s="10">
        <v>1</v>
      </c>
      <c r="DT181" s="11"/>
      <c r="DU181" s="69">
        <f t="shared" si="1630"/>
        <v>827</v>
      </c>
      <c r="DV181" s="69">
        <f t="shared" si="1631"/>
        <v>71</v>
      </c>
      <c r="DW181" s="11">
        <v>477</v>
      </c>
      <c r="DX181" s="12">
        <f t="shared" si="1580"/>
        <v>0.60338573155985487</v>
      </c>
      <c r="DY181" s="11">
        <v>22</v>
      </c>
      <c r="DZ181" s="12">
        <f t="shared" si="1581"/>
        <v>4.4088176352705413E-2</v>
      </c>
      <c r="EA181" s="13"/>
      <c r="EB181" s="11"/>
      <c r="EC181" s="25">
        <v>4589.5744680851067</v>
      </c>
      <c r="ED181" s="38">
        <v>4641.25</v>
      </c>
      <c r="EE181" s="10"/>
      <c r="EF181" s="11"/>
      <c r="EG181" s="69">
        <f t="shared" si="1632"/>
        <v>845</v>
      </c>
      <c r="EH181" s="69">
        <f t="shared" si="1633"/>
        <v>73</v>
      </c>
      <c r="EI181" s="11">
        <v>461</v>
      </c>
      <c r="EJ181" s="12">
        <f t="shared" si="1582"/>
        <v>0.570414201183432</v>
      </c>
      <c r="EK181" s="11">
        <v>21</v>
      </c>
      <c r="EL181" s="12">
        <f t="shared" si="1583"/>
        <v>4.3568464730290454E-2</v>
      </c>
      <c r="EM181" s="13"/>
      <c r="EN181" s="11"/>
      <c r="EO181" s="25">
        <v>4774.347826086957</v>
      </c>
      <c r="EP181" s="38">
        <v>4698.57</v>
      </c>
      <c r="EQ181" s="10"/>
      <c r="ER181" s="11"/>
      <c r="ES181" s="69">
        <f t="shared" si="1634"/>
        <v>183</v>
      </c>
      <c r="ET181" s="69">
        <f t="shared" si="1635"/>
        <v>16</v>
      </c>
      <c r="EU181" s="11">
        <v>87</v>
      </c>
      <c r="EV181" s="12">
        <f t="shared" si="1584"/>
        <v>0.50273224043715847</v>
      </c>
      <c r="EW181" s="11">
        <v>5</v>
      </c>
      <c r="EX181" s="12">
        <f t="shared" si="1585"/>
        <v>5.434782608695652E-2</v>
      </c>
      <c r="EY181" s="13"/>
      <c r="EZ181" s="11"/>
      <c r="FA181" s="25">
        <v>4362</v>
      </c>
      <c r="FB181" s="38">
        <v>4470</v>
      </c>
      <c r="FC181" s="10"/>
      <c r="FD181" s="11"/>
      <c r="FE181" s="69">
        <f t="shared" si="1636"/>
        <v>849</v>
      </c>
      <c r="FF181" s="69">
        <f t="shared" si="1637"/>
        <v>73</v>
      </c>
      <c r="FG181" s="11">
        <v>466</v>
      </c>
      <c r="FH181" s="12">
        <f t="shared" si="1586"/>
        <v>0.56890459363957602</v>
      </c>
      <c r="FI181" s="11">
        <v>17</v>
      </c>
      <c r="FJ181" s="12">
        <f t="shared" si="1587"/>
        <v>3.5196687370600416E-2</v>
      </c>
      <c r="FK181" s="13"/>
      <c r="FL181" s="11"/>
      <c r="FM181" s="25">
        <v>4627.105263157895</v>
      </c>
      <c r="FN181" s="38">
        <v>4895.6000000000004</v>
      </c>
      <c r="FO181" s="10"/>
      <c r="FP181" s="11"/>
      <c r="FQ181" s="69">
        <f t="shared" si="1638"/>
        <v>881</v>
      </c>
      <c r="FR181" s="69">
        <f t="shared" si="1639"/>
        <v>75</v>
      </c>
      <c r="FS181" s="11">
        <v>474</v>
      </c>
      <c r="FT181" s="12">
        <f t="shared" si="1588"/>
        <v>0.56072644721906928</v>
      </c>
      <c r="FU181" s="11">
        <v>20</v>
      </c>
      <c r="FV181" s="12">
        <f t="shared" si="1589"/>
        <v>4.048582995951417E-2</v>
      </c>
      <c r="FW181" s="13"/>
      <c r="FX181" s="11"/>
      <c r="FY181" s="25">
        <v>4877.173913043478</v>
      </c>
      <c r="FZ181" s="38">
        <v>4686.67</v>
      </c>
      <c r="GA181" s="10">
        <v>1</v>
      </c>
      <c r="GB181" s="11"/>
      <c r="GC181" s="69">
        <f t="shared" si="1640"/>
        <v>881</v>
      </c>
      <c r="GD181" s="69">
        <f t="shared" si="1641"/>
        <v>76</v>
      </c>
      <c r="GE181" s="11">
        <v>463</v>
      </c>
      <c r="GF181" s="12">
        <f t="shared" si="1590"/>
        <v>0.54256526674233829</v>
      </c>
      <c r="GG181" s="11">
        <v>15</v>
      </c>
      <c r="GH181" s="12">
        <f t="shared" si="1591"/>
        <v>3.1380753138075312E-2</v>
      </c>
      <c r="GI181" s="13"/>
      <c r="GJ181" s="11"/>
      <c r="GK181" s="25">
        <v>4806.666666666667</v>
      </c>
      <c r="GL181" s="38">
        <v>4725.3</v>
      </c>
      <c r="GM181" s="10">
        <v>2</v>
      </c>
      <c r="GN181" s="11"/>
      <c r="GO181" s="69">
        <f t="shared" si="1642"/>
        <v>162</v>
      </c>
      <c r="GP181" s="69">
        <f t="shared" si="1643"/>
        <v>17</v>
      </c>
      <c r="GQ181" s="11">
        <v>76</v>
      </c>
      <c r="GR181" s="12">
        <f t="shared" si="1592"/>
        <v>0.49382716049382713</v>
      </c>
      <c r="GS181" s="11">
        <v>4</v>
      </c>
      <c r="GT181" s="12">
        <f t="shared" si="1593"/>
        <v>0.05</v>
      </c>
      <c r="GU181" s="13"/>
      <c r="GV181" s="11"/>
      <c r="GW181" s="25">
        <v>4537.272727272727</v>
      </c>
      <c r="GX181" s="38">
        <v>4575</v>
      </c>
      <c r="GY181" s="10"/>
      <c r="GZ181" s="11"/>
      <c r="HA181" s="69">
        <f t="shared" si="1644"/>
        <v>905</v>
      </c>
      <c r="HB181" s="69">
        <f t="shared" si="1645"/>
        <v>77</v>
      </c>
      <c r="HC181" s="11">
        <v>496</v>
      </c>
      <c r="HD181" s="12">
        <f t="shared" si="1594"/>
        <v>0.56353591160220995</v>
      </c>
      <c r="HE181" s="11">
        <v>14</v>
      </c>
      <c r="HF181" s="12">
        <f t="shared" si="1595"/>
        <v>2.7450980392156862E-2</v>
      </c>
      <c r="HG181" s="13"/>
      <c r="HH181" s="11"/>
      <c r="HI181" s="25">
        <v>4684.6511627906975</v>
      </c>
      <c r="HJ181" s="38">
        <v>4761.54</v>
      </c>
      <c r="HK181" s="10">
        <f t="shared" si="1596"/>
        <v>8</v>
      </c>
      <c r="HL181" s="11">
        <f t="shared" si="1597"/>
        <v>0</v>
      </c>
      <c r="HM181" s="11">
        <f t="shared" si="1598"/>
        <v>11998</v>
      </c>
      <c r="HN181" s="11">
        <f t="shared" si="1599"/>
        <v>1031</v>
      </c>
      <c r="HO181" s="11">
        <f t="shared" si="1600"/>
        <v>6871</v>
      </c>
      <c r="HP181" s="95">
        <f t="shared" si="1601"/>
        <v>0.57267877979663273</v>
      </c>
      <c r="HQ181" s="15">
        <f t="shared" si="1602"/>
        <v>222</v>
      </c>
      <c r="HR181" s="12">
        <f t="shared" si="1603"/>
        <v>3.230970746616213E-2</v>
      </c>
      <c r="HS181" s="16">
        <v>64</v>
      </c>
      <c r="HT181" s="17">
        <v>6482</v>
      </c>
      <c r="HU181" s="16">
        <f t="shared" si="1604"/>
        <v>94.338524232280591</v>
      </c>
      <c r="HV181" s="23">
        <v>4686.8352365415985</v>
      </c>
      <c r="HW181" s="22">
        <v>4720.4399999999996</v>
      </c>
      <c r="HX181" s="73">
        <f t="shared" si="1605"/>
        <v>0.60569852941176472</v>
      </c>
      <c r="HY181" s="73">
        <f t="shared" si="1606"/>
        <v>0.55482661668228683</v>
      </c>
      <c r="HZ181" s="73">
        <f t="shared" si="1607"/>
        <v>0.57544378698224852</v>
      </c>
      <c r="IA181" s="73">
        <f t="shared" si="1608"/>
        <v>0.55213856486390955</v>
      </c>
    </row>
    <row r="182" spans="1:244" x14ac:dyDescent="0.25">
      <c r="A182" s="374"/>
      <c r="B182" s="41">
        <f t="shared" si="1609"/>
        <v>45080</v>
      </c>
      <c r="C182" s="10">
        <v>1</v>
      </c>
      <c r="D182" s="11"/>
      <c r="E182" s="69">
        <f t="shared" si="1610"/>
        <v>825</v>
      </c>
      <c r="F182" s="69">
        <f t="shared" si="1611"/>
        <v>72</v>
      </c>
      <c r="G182" s="11">
        <v>478</v>
      </c>
      <c r="H182" s="12">
        <f t="shared" si="1560"/>
        <v>0.5951515151515151</v>
      </c>
      <c r="I182" s="11">
        <v>13</v>
      </c>
      <c r="J182" s="12">
        <f t="shared" si="1561"/>
        <v>2.6476578411405296E-2</v>
      </c>
      <c r="K182" s="13"/>
      <c r="L182" s="11"/>
      <c r="M182" s="39">
        <v>80</v>
      </c>
      <c r="N182" s="43">
        <v>100</v>
      </c>
      <c r="O182" s="10"/>
      <c r="P182" s="11"/>
      <c r="Q182" s="69">
        <f t="shared" si="1612"/>
        <v>752</v>
      </c>
      <c r="R182" s="69">
        <f t="shared" si="1613"/>
        <v>64</v>
      </c>
      <c r="S182" s="11">
        <v>434</v>
      </c>
      <c r="T182" s="12">
        <f t="shared" si="1562"/>
        <v>0.5917553191489362</v>
      </c>
      <c r="U182" s="11">
        <v>11</v>
      </c>
      <c r="V182" s="12">
        <f t="shared" si="1563"/>
        <v>2.4719101123595506E-2</v>
      </c>
      <c r="W182" s="13"/>
      <c r="X182" s="11"/>
      <c r="Y182" s="39">
        <v>76.470588235294116</v>
      </c>
      <c r="Z182" s="43">
        <v>93.33</v>
      </c>
      <c r="AA182" s="10"/>
      <c r="AB182" s="11"/>
      <c r="AC182" s="69">
        <f t="shared" si="1614"/>
        <v>169</v>
      </c>
      <c r="AD182" s="69">
        <f t="shared" si="1615"/>
        <v>12</v>
      </c>
      <c r="AE182" s="11">
        <v>91</v>
      </c>
      <c r="AF182" s="12">
        <f t="shared" si="1564"/>
        <v>0.55029585798816572</v>
      </c>
      <c r="AG182" s="11">
        <v>2</v>
      </c>
      <c r="AH182" s="12">
        <f t="shared" si="1565"/>
        <v>2.1505376344086023E-2</v>
      </c>
      <c r="AI182" s="13"/>
      <c r="AJ182" s="11"/>
      <c r="AK182" s="39">
        <v>70</v>
      </c>
      <c r="AL182" s="43">
        <v>100</v>
      </c>
      <c r="AM182" s="10"/>
      <c r="AN182" s="11"/>
      <c r="AO182" s="69">
        <f t="shared" si="1616"/>
        <v>764</v>
      </c>
      <c r="AP182" s="69">
        <f t="shared" si="1617"/>
        <v>63</v>
      </c>
      <c r="AQ182" s="11">
        <v>417</v>
      </c>
      <c r="AR182" s="12">
        <f t="shared" si="1566"/>
        <v>0.55366492146596857</v>
      </c>
      <c r="AS182" s="11">
        <v>6</v>
      </c>
      <c r="AT182" s="12">
        <f t="shared" si="1567"/>
        <v>1.4184397163120567E-2</v>
      </c>
      <c r="AU182" s="13"/>
      <c r="AV182" s="11"/>
      <c r="AW182" s="39">
        <v>81.25</v>
      </c>
      <c r="AX182" s="43">
        <v>100</v>
      </c>
      <c r="AY182" s="10"/>
      <c r="AZ182" s="11"/>
      <c r="BA182" s="69">
        <f t="shared" si="1618"/>
        <v>753</v>
      </c>
      <c r="BB182" s="69">
        <f t="shared" si="1619"/>
        <v>67</v>
      </c>
      <c r="BC182" s="11">
        <v>438</v>
      </c>
      <c r="BD182" s="12">
        <f t="shared" si="1568"/>
        <v>0.59760956175298807</v>
      </c>
      <c r="BE182" s="11">
        <v>12</v>
      </c>
      <c r="BF182" s="12">
        <f t="shared" si="1569"/>
        <v>2.6666666666666668E-2</v>
      </c>
      <c r="BG182" s="13"/>
      <c r="BH182" s="11"/>
      <c r="BI182" s="39">
        <v>83.333333333333329</v>
      </c>
      <c r="BJ182" s="43">
        <v>100</v>
      </c>
      <c r="BK182" s="10"/>
      <c r="BL182" s="11"/>
      <c r="BM182" s="69">
        <f t="shared" si="1620"/>
        <v>816</v>
      </c>
      <c r="BN182" s="69">
        <f t="shared" si="1621"/>
        <v>70</v>
      </c>
      <c r="BO182" s="11">
        <v>481</v>
      </c>
      <c r="BP182" s="12">
        <f t="shared" si="1570"/>
        <v>0.60416666666666663</v>
      </c>
      <c r="BQ182" s="11">
        <v>12</v>
      </c>
      <c r="BR182" s="12">
        <f t="shared" si="1571"/>
        <v>2.434077079107505E-2</v>
      </c>
      <c r="BS182" s="13"/>
      <c r="BT182" s="11"/>
      <c r="BU182" s="39">
        <v>83.720930232558146</v>
      </c>
      <c r="BV182" s="43">
        <v>91.67</v>
      </c>
      <c r="BW182" s="10">
        <v>1</v>
      </c>
      <c r="BX182" s="11"/>
      <c r="BY182" s="69">
        <f t="shared" si="1622"/>
        <v>749</v>
      </c>
      <c r="BZ182" s="69">
        <f t="shared" si="1623"/>
        <v>62</v>
      </c>
      <c r="CA182" s="11">
        <v>415</v>
      </c>
      <c r="CB182" s="12">
        <f t="shared" si="1572"/>
        <v>0.56608811748998666</v>
      </c>
      <c r="CC182" s="11">
        <v>9</v>
      </c>
      <c r="CD182" s="12">
        <f t="shared" si="1573"/>
        <v>2.1226415094339621E-2</v>
      </c>
      <c r="CE182" s="13"/>
      <c r="CF182" s="11"/>
      <c r="CG182" s="39">
        <v>83.720930232558146</v>
      </c>
      <c r="CH182" s="43">
        <v>100</v>
      </c>
      <c r="CI182" s="10"/>
      <c r="CJ182" s="11"/>
      <c r="CK182" s="69">
        <f t="shared" si="1624"/>
        <v>154</v>
      </c>
      <c r="CL182" s="69">
        <f t="shared" si="1625"/>
        <v>14</v>
      </c>
      <c r="CM182" s="11">
        <v>94</v>
      </c>
      <c r="CN182" s="12">
        <f t="shared" si="1574"/>
        <v>0.6558441558441559</v>
      </c>
      <c r="CO182" s="11">
        <v>7</v>
      </c>
      <c r="CP182" s="12">
        <f t="shared" si="1575"/>
        <v>6.9306930693069313E-2</v>
      </c>
      <c r="CQ182" s="13"/>
      <c r="CR182" s="11"/>
      <c r="CS182" s="39">
        <v>100</v>
      </c>
      <c r="CT182" s="43">
        <v>100</v>
      </c>
      <c r="CU182" s="10"/>
      <c r="CV182" s="11"/>
      <c r="CW182" s="69">
        <f t="shared" si="1626"/>
        <v>737</v>
      </c>
      <c r="CX182" s="69">
        <f t="shared" si="1627"/>
        <v>63</v>
      </c>
      <c r="CY182" s="11">
        <v>417</v>
      </c>
      <c r="CZ182" s="12">
        <f t="shared" si="1576"/>
        <v>0.57530529172320222</v>
      </c>
      <c r="DA182" s="11">
        <v>7</v>
      </c>
      <c r="DB182" s="12">
        <f t="shared" si="1577"/>
        <v>1.6509433962264151E-2</v>
      </c>
      <c r="DC182" s="13"/>
      <c r="DD182" s="11"/>
      <c r="DE182" s="39">
        <v>89.743589743589737</v>
      </c>
      <c r="DF182" s="43">
        <v>100</v>
      </c>
      <c r="DG182" s="10"/>
      <c r="DH182" s="11"/>
      <c r="DI182" s="69">
        <f t="shared" si="1628"/>
        <v>744</v>
      </c>
      <c r="DJ182" s="69">
        <f t="shared" si="1629"/>
        <v>66</v>
      </c>
      <c r="DK182" s="11">
        <v>432</v>
      </c>
      <c r="DL182" s="12">
        <f t="shared" si="1578"/>
        <v>0.59677419354838712</v>
      </c>
      <c r="DM182" s="11">
        <v>12</v>
      </c>
      <c r="DN182" s="12">
        <f t="shared" si="1579"/>
        <v>2.7027027027027029E-2</v>
      </c>
      <c r="DO182" s="13"/>
      <c r="DP182" s="11"/>
      <c r="DQ182" s="39">
        <v>84.615384615384613</v>
      </c>
      <c r="DR182" s="43">
        <v>100</v>
      </c>
      <c r="DS182" s="10">
        <v>1</v>
      </c>
      <c r="DT182" s="11"/>
      <c r="DU182" s="69">
        <f t="shared" si="1630"/>
        <v>826</v>
      </c>
      <c r="DV182" s="69">
        <f t="shared" si="1631"/>
        <v>71</v>
      </c>
      <c r="DW182" s="11">
        <v>425</v>
      </c>
      <c r="DX182" s="12">
        <f t="shared" si="1580"/>
        <v>0.53874092009685226</v>
      </c>
      <c r="DY182" s="11">
        <v>20</v>
      </c>
      <c r="DZ182" s="12">
        <f t="shared" si="1581"/>
        <v>4.49438202247191E-2</v>
      </c>
      <c r="EA182" s="13"/>
      <c r="EB182" s="11"/>
      <c r="EC182" s="39">
        <v>72.340425531914889</v>
      </c>
      <c r="ED182" s="43">
        <v>100</v>
      </c>
      <c r="EE182" s="10"/>
      <c r="EF182" s="11"/>
      <c r="EG182" s="69">
        <f t="shared" si="1632"/>
        <v>845</v>
      </c>
      <c r="EH182" s="69">
        <f t="shared" si="1633"/>
        <v>73</v>
      </c>
      <c r="EI182" s="11">
        <v>433</v>
      </c>
      <c r="EJ182" s="12">
        <f t="shared" si="1582"/>
        <v>0.52426035502958579</v>
      </c>
      <c r="EK182" s="11">
        <v>10</v>
      </c>
      <c r="EL182" s="12">
        <f t="shared" si="1583"/>
        <v>2.2573363431151242E-2</v>
      </c>
      <c r="EM182" s="13"/>
      <c r="EN182" s="11"/>
      <c r="EO182" s="39">
        <v>86.956521739130437</v>
      </c>
      <c r="EP182" s="43">
        <v>100</v>
      </c>
      <c r="EQ182" s="10"/>
      <c r="ER182" s="11"/>
      <c r="ES182" s="69">
        <f t="shared" si="1634"/>
        <v>183</v>
      </c>
      <c r="ET182" s="69">
        <f t="shared" si="1635"/>
        <v>16</v>
      </c>
      <c r="EU182" s="11">
        <v>86</v>
      </c>
      <c r="EV182" s="12">
        <f t="shared" si="1584"/>
        <v>0.49180327868852458</v>
      </c>
      <c r="EW182" s="11">
        <v>4</v>
      </c>
      <c r="EX182" s="12">
        <f t="shared" si="1585"/>
        <v>4.4444444444444446E-2</v>
      </c>
      <c r="EY182" s="13"/>
      <c r="EZ182" s="11"/>
      <c r="FA182" s="39">
        <v>46.666666666666664</v>
      </c>
      <c r="FB182" s="43">
        <v>100</v>
      </c>
      <c r="FC182" s="10"/>
      <c r="FD182" s="11"/>
      <c r="FE182" s="69">
        <f t="shared" si="1636"/>
        <v>849</v>
      </c>
      <c r="FF182" s="69">
        <f t="shared" si="1637"/>
        <v>73</v>
      </c>
      <c r="FG182" s="11">
        <v>435</v>
      </c>
      <c r="FH182" s="12">
        <f t="shared" si="1586"/>
        <v>0.52885747938751471</v>
      </c>
      <c r="FI182" s="11">
        <v>14</v>
      </c>
      <c r="FJ182" s="12">
        <f t="shared" si="1587"/>
        <v>3.1180400890868598E-2</v>
      </c>
      <c r="FK182" s="13"/>
      <c r="FL182" s="11"/>
      <c r="FM182" s="39">
        <v>94.736842105263165</v>
      </c>
      <c r="FN182" s="43">
        <v>100</v>
      </c>
      <c r="FO182" s="10">
        <v>1</v>
      </c>
      <c r="FP182" s="11"/>
      <c r="FQ182" s="69">
        <f t="shared" si="1638"/>
        <v>880</v>
      </c>
      <c r="FR182" s="69">
        <f t="shared" si="1639"/>
        <v>75</v>
      </c>
      <c r="FS182" s="11">
        <v>426</v>
      </c>
      <c r="FT182" s="12">
        <f t="shared" si="1588"/>
        <v>0.5</v>
      </c>
      <c r="FU182" s="11">
        <v>14</v>
      </c>
      <c r="FV182" s="12">
        <f t="shared" si="1589"/>
        <v>3.1818181818181815E-2</v>
      </c>
      <c r="FW182" s="13"/>
      <c r="FX182" s="11"/>
      <c r="FY182" s="39">
        <v>84.782608695652172</v>
      </c>
      <c r="FZ182" s="43">
        <v>100</v>
      </c>
      <c r="GA182" s="10"/>
      <c r="GB182" s="11"/>
      <c r="GC182" s="69">
        <f t="shared" si="1640"/>
        <v>881</v>
      </c>
      <c r="GD182" s="69">
        <f t="shared" si="1641"/>
        <v>76</v>
      </c>
      <c r="GE182" s="11">
        <v>428</v>
      </c>
      <c r="GF182" s="12">
        <f t="shared" si="1590"/>
        <v>0.50624290578887632</v>
      </c>
      <c r="GG182" s="11">
        <v>18</v>
      </c>
      <c r="GH182" s="12">
        <f t="shared" si="1591"/>
        <v>4.0358744394618833E-2</v>
      </c>
      <c r="GI182" s="13"/>
      <c r="GJ182" s="11"/>
      <c r="GK182" s="39">
        <v>89.583333333333329</v>
      </c>
      <c r="GL182" s="43">
        <v>100</v>
      </c>
      <c r="GM182" s="10"/>
      <c r="GN182" s="11"/>
      <c r="GO182" s="69">
        <f t="shared" si="1642"/>
        <v>162</v>
      </c>
      <c r="GP182" s="69">
        <f t="shared" si="1643"/>
        <v>17</v>
      </c>
      <c r="GQ182" s="11">
        <v>78</v>
      </c>
      <c r="GR182" s="12">
        <f t="shared" si="1592"/>
        <v>0.51851851851851849</v>
      </c>
      <c r="GS182" s="11">
        <v>6</v>
      </c>
      <c r="GT182" s="12">
        <f t="shared" si="1593"/>
        <v>7.1428571428571425E-2</v>
      </c>
      <c r="GU182" s="13"/>
      <c r="GV182" s="11"/>
      <c r="GW182" s="39">
        <v>100</v>
      </c>
      <c r="GX182" s="43">
        <v>100</v>
      </c>
      <c r="GY182" s="10"/>
      <c r="GZ182" s="11"/>
      <c r="HA182" s="69">
        <f t="shared" si="1644"/>
        <v>905</v>
      </c>
      <c r="HB182" s="69">
        <f t="shared" si="1645"/>
        <v>77</v>
      </c>
      <c r="HC182" s="11">
        <v>510</v>
      </c>
      <c r="HD182" s="12">
        <f t="shared" si="1594"/>
        <v>0.57900552486187851</v>
      </c>
      <c r="HE182" s="11">
        <v>14</v>
      </c>
      <c r="HF182" s="12">
        <f t="shared" si="1595"/>
        <v>2.6717557251908396E-2</v>
      </c>
      <c r="HG182" s="13"/>
      <c r="HH182" s="11"/>
      <c r="HI182" s="39">
        <v>76.744186046511629</v>
      </c>
      <c r="HJ182" s="43">
        <v>100</v>
      </c>
      <c r="HK182" s="10">
        <f t="shared" si="1596"/>
        <v>4</v>
      </c>
      <c r="HL182" s="11">
        <f t="shared" si="1597"/>
        <v>0</v>
      </c>
      <c r="HM182" s="11">
        <f t="shared" si="1598"/>
        <v>11994</v>
      </c>
      <c r="HN182" s="11">
        <f t="shared" si="1599"/>
        <v>1031</v>
      </c>
      <c r="HO182" s="11">
        <f t="shared" si="1600"/>
        <v>6709</v>
      </c>
      <c r="HP182" s="95">
        <f t="shared" si="1601"/>
        <v>0.55936301484075368</v>
      </c>
      <c r="HQ182" s="15">
        <f t="shared" si="1602"/>
        <v>191</v>
      </c>
      <c r="HR182" s="12">
        <f t="shared" si="1603"/>
        <v>2.8469220450141601E-2</v>
      </c>
      <c r="HS182" s="16">
        <v>64.400000000000006</v>
      </c>
      <c r="HT182" s="17">
        <v>6379</v>
      </c>
      <c r="HU182" s="16">
        <f t="shared" si="1604"/>
        <v>95.081234163064536</v>
      </c>
      <c r="HV182" s="23">
        <v>80.750407830342581</v>
      </c>
      <c r="HW182" s="22">
        <v>92.2</v>
      </c>
      <c r="HX182" s="73">
        <f t="shared" si="1605"/>
        <v>0.58289917254060686</v>
      </c>
      <c r="HY182" s="73">
        <f t="shared" si="1606"/>
        <v>0.58937499999999998</v>
      </c>
      <c r="HZ182" s="73">
        <f t="shared" si="1607"/>
        <v>0.52793192748797635</v>
      </c>
      <c r="IA182" s="73">
        <f t="shared" si="1608"/>
        <v>0.52828854314002827</v>
      </c>
      <c r="IF182" s="85">
        <f>IF183/IF184</f>
        <v>2.7506112469437654E-3</v>
      </c>
      <c r="IG182" s="85">
        <f>IG183/IG184</f>
        <v>3.425724073497353E-3</v>
      </c>
      <c r="IH182" s="85">
        <f>IH183/IH184</f>
        <v>5.5187637969094927E-3</v>
      </c>
      <c r="II182" s="85">
        <f>II183/II184</f>
        <v>3.1723651744800848E-3</v>
      </c>
      <c r="IJ182" s="88" t="s">
        <v>90</v>
      </c>
    </row>
    <row r="183" spans="1:244" ht="19.5" thickBot="1" x14ac:dyDescent="0.3">
      <c r="A183" s="374"/>
      <c r="B183" s="42"/>
      <c r="C183" s="26">
        <f>SUM(C176:C182)</f>
        <v>3</v>
      </c>
      <c r="D183" s="27">
        <f>SUM(D176:D182)</f>
        <v>0</v>
      </c>
      <c r="E183" s="27"/>
      <c r="F183" s="27"/>
      <c r="G183" s="27">
        <f>SUM(G176:G182)</f>
        <v>3358</v>
      </c>
      <c r="H183" s="28">
        <f>((G183+I183)/7)/E182</f>
        <v>0.59705627705627706</v>
      </c>
      <c r="I183" s="27">
        <f>SUM(I176:I182)</f>
        <v>90</v>
      </c>
      <c r="J183" s="28">
        <f>(I183/(I183+G183))</f>
        <v>2.6102088167053363E-2</v>
      </c>
      <c r="K183" s="27"/>
      <c r="L183" s="27"/>
      <c r="M183" s="29">
        <f>M181/M180*100-100</f>
        <v>14.504142300194928</v>
      </c>
      <c r="N183" s="67">
        <f>N181/N180*100-100</f>
        <v>4.0578947368421012</v>
      </c>
      <c r="O183" s="26">
        <f>SUM(O176:O182)</f>
        <v>2</v>
      </c>
      <c r="P183" s="27">
        <f>SUM(P176:P182)</f>
        <v>0</v>
      </c>
      <c r="Q183" s="27"/>
      <c r="R183" s="27"/>
      <c r="S183" s="27">
        <f>SUM(S176:S182)</f>
        <v>3036</v>
      </c>
      <c r="T183" s="28">
        <f>((S183+U183)/7)/Q182</f>
        <v>0.59764437689969607</v>
      </c>
      <c r="U183" s="27">
        <f>SUM(U176:U182)</f>
        <v>110</v>
      </c>
      <c r="V183" s="28">
        <f>(U183/(U183+S183))</f>
        <v>3.4965034965034968E-2</v>
      </c>
      <c r="W183" s="27"/>
      <c r="X183" s="27"/>
      <c r="Y183" s="29">
        <f>Y181/Y180*100-100</f>
        <v>14.715915606008494</v>
      </c>
      <c r="Z183" s="67">
        <f>Z181/Z180*100-100</f>
        <v>11.762013729977113</v>
      </c>
      <c r="AA183" s="26">
        <f>SUM(AA176:AA182)</f>
        <v>1</v>
      </c>
      <c r="AB183" s="27">
        <f>SUM(AB176:AB182)</f>
        <v>1</v>
      </c>
      <c r="AC183" s="27"/>
      <c r="AD183" s="27"/>
      <c r="AE183" s="27">
        <f>SUM(AE176:AE182)</f>
        <v>667</v>
      </c>
      <c r="AF183" s="28">
        <f>((AE183+AG183)/7)/AC182</f>
        <v>0.58241758241758246</v>
      </c>
      <c r="AG183" s="27">
        <f>SUM(AG176:AG182)</f>
        <v>22</v>
      </c>
      <c r="AH183" s="28">
        <f>(AG183/(AG183+AE183))</f>
        <v>3.1930333817126268E-2</v>
      </c>
      <c r="AI183" s="27"/>
      <c r="AJ183" s="27"/>
      <c r="AK183" s="29">
        <f>AK181/AK180*100-100</f>
        <v>14.156920077972714</v>
      </c>
      <c r="AL183" s="67">
        <f>AL181/AL180*100-100</f>
        <v>3.2036613272311172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2943</v>
      </c>
      <c r="AR183" s="28">
        <f>((AQ183+AS183)/7)/AO182</f>
        <v>0.56264023934180996</v>
      </c>
      <c r="AS183" s="27">
        <f>SUM(AS176:AS182)</f>
        <v>66</v>
      </c>
      <c r="AT183" s="28">
        <f>(AS183/(AS183+AQ183))</f>
        <v>2.1934197407776669E-2</v>
      </c>
      <c r="AU183" s="27"/>
      <c r="AV183" s="27"/>
      <c r="AW183" s="29">
        <f>AW181/AW180*100-100</f>
        <v>13.867568226120852</v>
      </c>
      <c r="AX183" s="67">
        <f>AX181/AX180*100-100</f>
        <v>7.9050343249427897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3224</v>
      </c>
      <c r="BD183" s="28">
        <f>((BC183+BE183)/7)/BA182</f>
        <v>0.62872320242838176</v>
      </c>
      <c r="BE183" s="27">
        <f>SUM(BE176:BE182)</f>
        <v>90</v>
      </c>
      <c r="BF183" s="28">
        <f>(BE183/(BE183+BC183))</f>
        <v>2.715751357875679E-2</v>
      </c>
      <c r="BG183" s="27"/>
      <c r="BH183" s="27"/>
      <c r="BI183" s="29">
        <f>BI181/BI180*100-100</f>
        <v>17.430149447693296</v>
      </c>
      <c r="BJ183" s="67">
        <f>BJ181/BJ180*100-100</f>
        <v>14.359267734553782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3079</v>
      </c>
      <c r="BP183" s="28">
        <f>((BO183+BQ183)/7)/BM182</f>
        <v>0.56004901960784315</v>
      </c>
      <c r="BQ183" s="27">
        <f>SUM(BQ176:BQ182)</f>
        <v>120</v>
      </c>
      <c r="BR183" s="28">
        <f>(BQ183/(BQ183+BO183))</f>
        <v>3.7511722413254144E-2</v>
      </c>
      <c r="BS183" s="27"/>
      <c r="BT183" s="27"/>
      <c r="BU183" s="29">
        <f>BU181/BU180*100-100</f>
        <v>11.473774876467658</v>
      </c>
      <c r="BV183" s="67">
        <f>BV181/BV180*100-100</f>
        <v>4.8437070938215072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2807</v>
      </c>
      <c r="CB183" s="28">
        <f>((CA183+CC183)/7)/BY182</f>
        <v>0.55235552164791146</v>
      </c>
      <c r="CC183" s="27">
        <f>SUM(CC176:CC182)</f>
        <v>89</v>
      </c>
      <c r="CD183" s="28">
        <f>(CC183/(CC183+CA183))</f>
        <v>3.0732044198895029E-2</v>
      </c>
      <c r="CE183" s="27"/>
      <c r="CF183" s="27"/>
      <c r="CG183" s="29">
        <f>CG181/CG180*100-100</f>
        <v>13.026429121900378</v>
      </c>
      <c r="CH183" s="67">
        <f>CH181/CH180*100-100</f>
        <v>8.5157894736842081</v>
      </c>
      <c r="CI183" s="26">
        <f>SUM(CI176:CI182)</f>
        <v>4</v>
      </c>
      <c r="CJ183" s="27">
        <f>SUM(CJ176:CJ182)</f>
        <v>0</v>
      </c>
      <c r="CK183" s="27"/>
      <c r="CL183" s="27"/>
      <c r="CM183" s="27">
        <f>SUM(CM176:CM182)</f>
        <v>586</v>
      </c>
      <c r="CN183" s="28">
        <f>((CM183+CO183)/7)/CK182</f>
        <v>0.56679035250463827</v>
      </c>
      <c r="CO183" s="27">
        <f>SUM(CO176:CO182)</f>
        <v>25</v>
      </c>
      <c r="CP183" s="28">
        <f>(CO183/(CO183+CM183))</f>
        <v>4.0916530278232409E-2</v>
      </c>
      <c r="CQ183" s="27"/>
      <c r="CR183" s="27"/>
      <c r="CS183" s="29">
        <f>CS181/CS180*100-100</f>
        <v>5.8046350444011381</v>
      </c>
      <c r="CT183" s="67">
        <f>CT181/CT180*100-100</f>
        <v>1.5446224256292993</v>
      </c>
      <c r="CU183" s="26">
        <f>SUM(CU176:CU182)</f>
        <v>4</v>
      </c>
      <c r="CV183" s="27">
        <f>SUM(CV176:CV182)</f>
        <v>0</v>
      </c>
      <c r="CW183" s="27"/>
      <c r="CX183" s="27"/>
      <c r="CY183" s="27">
        <f>SUM(CY176:CY182)</f>
        <v>2843</v>
      </c>
      <c r="CZ183" s="28">
        <f>((CY183+DA183)/7)/CW182</f>
        <v>0.56289978678038377</v>
      </c>
      <c r="DA183" s="27">
        <f>SUM(DA176:DA182)</f>
        <v>61</v>
      </c>
      <c r="DB183" s="28">
        <f>(DA183/(DA183+CY183))</f>
        <v>2.1005509641873279E-2</v>
      </c>
      <c r="DC183" s="27"/>
      <c r="DD183" s="27"/>
      <c r="DE183" s="29">
        <f>DE181/DE180*100-100</f>
        <v>12.098265607037533</v>
      </c>
      <c r="DF183" s="67">
        <f>DF181/DF180*100-100</f>
        <v>10.011441647597266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3033</v>
      </c>
      <c r="DL183" s="28">
        <f>((DK183+DM183)/7)/DI182</f>
        <v>0.60234254992319514</v>
      </c>
      <c r="DM183" s="27">
        <f>SUM(DM176:DM182)</f>
        <v>104</v>
      </c>
      <c r="DN183" s="28">
        <f>(DM183/(DM183+DK183))</f>
        <v>3.3152693656359582E-2</v>
      </c>
      <c r="DO183" s="27"/>
      <c r="DP183" s="27"/>
      <c r="DQ183" s="29">
        <f>DQ181/DQ180*100-100</f>
        <v>16.415504573399303</v>
      </c>
      <c r="DR183" s="67">
        <f>DR181/DR180*100-100</f>
        <v>6.2070938215102984</v>
      </c>
      <c r="DS183" s="26">
        <f>SUM(DS176:DS182)</f>
        <v>9</v>
      </c>
      <c r="DT183" s="27">
        <f>SUM(DT176:DT182)</f>
        <v>0</v>
      </c>
      <c r="DU183" s="27"/>
      <c r="DV183" s="27"/>
      <c r="DW183" s="27">
        <f>SUM(DW176:DW182)</f>
        <v>3355</v>
      </c>
      <c r="DX183" s="28">
        <f>((DW183+DY183)/7)/DU182</f>
        <v>0.60515392597717055</v>
      </c>
      <c r="DY183" s="27">
        <f>SUM(DY176:DY182)</f>
        <v>144</v>
      </c>
      <c r="DZ183" s="28">
        <f>(DY183/(DY183+DW183))</f>
        <v>4.1154615604458419E-2</v>
      </c>
      <c r="EA183" s="27"/>
      <c r="EB183" s="27"/>
      <c r="EC183" s="29">
        <f>EC181/EC180*100-100</f>
        <v>11.831736551781361</v>
      </c>
      <c r="ED183" s="67">
        <f>ED181/ED180*100-100</f>
        <v>6.2070938215102984</v>
      </c>
      <c r="EE183" s="26">
        <f>SUM(EE176:EE182)</f>
        <v>1</v>
      </c>
      <c r="EF183" s="27">
        <f>SUM(EF176:EF182)</f>
        <v>1</v>
      </c>
      <c r="EG183" s="27"/>
      <c r="EH183" s="27"/>
      <c r="EI183" s="27">
        <f>SUM(EI176:EI182)</f>
        <v>3289</v>
      </c>
      <c r="EJ183" s="28">
        <f>((EI183+EK183)/7)/EG182</f>
        <v>0.57836010143702454</v>
      </c>
      <c r="EK183" s="27">
        <f>SUM(EK176:EK182)</f>
        <v>132</v>
      </c>
      <c r="EL183" s="28">
        <f>(EK183/(EK183+EI183))</f>
        <v>3.8585209003215437E-2</v>
      </c>
      <c r="EM183" s="27"/>
      <c r="EN183" s="27"/>
      <c r="EO183" s="29">
        <f>EO181/EO180*100-100</f>
        <v>16.334011356894678</v>
      </c>
      <c r="EP183" s="67">
        <f>EP181/EP180*100-100</f>
        <v>7.5187643020594948</v>
      </c>
      <c r="EQ183" s="26">
        <f>SUM(EQ176:EQ182)</f>
        <v>2</v>
      </c>
      <c r="ER183" s="27">
        <f>SUM(ER176:ER182)</f>
        <v>0</v>
      </c>
      <c r="ES183" s="27"/>
      <c r="ET183" s="27"/>
      <c r="EU183" s="27">
        <f>SUM(EU176:EU182)</f>
        <v>674</v>
      </c>
      <c r="EV183" s="28">
        <f>((EU183+EW183)/7)/ES182</f>
        <v>0.54800936768149888</v>
      </c>
      <c r="EW183" s="27">
        <f>SUM(EW176:EW182)</f>
        <v>28</v>
      </c>
      <c r="EX183" s="28">
        <f>(EW183/(EW183+EU183))</f>
        <v>3.9886039886039885E-2</v>
      </c>
      <c r="EY183" s="27"/>
      <c r="EZ183" s="27"/>
      <c r="FA183" s="29">
        <f>FA181/FA180*100-100</f>
        <v>6.2865497076023473</v>
      </c>
      <c r="FB183" s="67">
        <f>FB181/FB180*100-100</f>
        <v>2.288329519450798</v>
      </c>
      <c r="FC183" s="26">
        <f>SUM(FC176:FC182)</f>
        <v>3</v>
      </c>
      <c r="FD183" s="27">
        <f>SUM(FD176:FD182)</f>
        <v>1</v>
      </c>
      <c r="FE183" s="27"/>
      <c r="FF183" s="27"/>
      <c r="FG183" s="27">
        <f>SUM(FG176:FG182)</f>
        <v>3400</v>
      </c>
      <c r="FH183" s="28">
        <f>((FG183+FI183)/7)/FE182</f>
        <v>0.59313478041393231</v>
      </c>
      <c r="FI183" s="27">
        <f>SUM(FI176:FI182)</f>
        <v>125</v>
      </c>
      <c r="FJ183" s="28">
        <f>(FI183/(FI183+FG183))</f>
        <v>3.5460992907801421E-2</v>
      </c>
      <c r="FK183" s="27"/>
      <c r="FL183" s="27"/>
      <c r="FM183" s="29">
        <f>FM181/FM180*100-100</f>
        <v>12.746229609110486</v>
      </c>
      <c r="FN183" s="67">
        <f>FN181/FN180*100-100</f>
        <v>12.027459954233422</v>
      </c>
      <c r="FO183" s="26">
        <f>SUM(FO176:FO182)</f>
        <v>4</v>
      </c>
      <c r="FP183" s="27">
        <f>SUM(FP176:FP182)</f>
        <v>0</v>
      </c>
      <c r="FQ183" s="27"/>
      <c r="FR183" s="27"/>
      <c r="FS183" s="27">
        <f>SUM(FS176:FS182)</f>
        <v>3382</v>
      </c>
      <c r="FT183" s="28">
        <f>((FS183+FU183)/7)/FQ182</f>
        <v>0.57094155844155847</v>
      </c>
      <c r="FU183" s="27">
        <f>SUM(FU176:FU182)</f>
        <v>135</v>
      </c>
      <c r="FV183" s="28">
        <f>(FU183/(FU183+FS183))</f>
        <v>3.8384987205004266E-2</v>
      </c>
      <c r="FW183" s="27"/>
      <c r="FX183" s="27"/>
      <c r="FY183" s="29">
        <f>FY181/FY180*100-100</f>
        <v>18.839520298330356</v>
      </c>
      <c r="FZ183" s="67">
        <f>FZ181/FZ180*100-100</f>
        <v>7.2464530892448522</v>
      </c>
      <c r="GA183" s="26">
        <f>SUM(GA176:GA182)</f>
        <v>1</v>
      </c>
      <c r="GB183" s="27">
        <f>SUM(GB176:GB182)</f>
        <v>0</v>
      </c>
      <c r="GC183" s="27"/>
      <c r="GD183" s="27"/>
      <c r="GE183" s="27">
        <f>SUM(GE176:GE182)</f>
        <v>3304</v>
      </c>
      <c r="GF183" s="28">
        <f>((GE183+GG183)/7)/GC182</f>
        <v>0.55472677152586347</v>
      </c>
      <c r="GG183" s="27">
        <f>SUM(GG176:GG182)</f>
        <v>117</v>
      </c>
      <c r="GH183" s="28">
        <f>(GG183/(GG183+GE183))</f>
        <v>3.4200526161940956E-2</v>
      </c>
      <c r="GI183" s="27"/>
      <c r="GJ183" s="27"/>
      <c r="GK183" s="29">
        <f>GK181/GK180*100-100</f>
        <v>17.121507472384678</v>
      </c>
      <c r="GL183" s="67">
        <f>GL181/GL180*100-100</f>
        <v>8.1304347826087024</v>
      </c>
      <c r="GM183" s="26">
        <f>SUM(GM176:GM182)</f>
        <v>4</v>
      </c>
      <c r="GN183" s="27">
        <f>SUM(GN176:GN182)</f>
        <v>0</v>
      </c>
      <c r="GO183" s="27"/>
      <c r="GP183" s="27"/>
      <c r="GQ183" s="27">
        <f>SUM(GQ176:GQ182)</f>
        <v>600</v>
      </c>
      <c r="GR183" s="28">
        <f>((GQ183+GS183)/7)/GO182</f>
        <v>0.55467372134038806</v>
      </c>
      <c r="GS183" s="27">
        <f>SUM(GS176:GS182)</f>
        <v>29</v>
      </c>
      <c r="GT183" s="28">
        <f>(GS183/(GS183+GQ183))</f>
        <v>4.6104928457869634E-2</v>
      </c>
      <c r="GU183" s="27"/>
      <c r="GV183" s="27"/>
      <c r="GW183" s="29">
        <f>GW181/GW180*100-100</f>
        <v>10.557327662590808</v>
      </c>
      <c r="GX183" s="67">
        <f>GX181/GX180*100-100</f>
        <v>4.6910755148741288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3632</v>
      </c>
      <c r="HD183" s="28">
        <f>((HC183+HE183)/7)/HA182</f>
        <v>0.58705603788476723</v>
      </c>
      <c r="HE183" s="27">
        <f>SUM(HE176:HE182)</f>
        <v>87</v>
      </c>
      <c r="HF183" s="28">
        <f>(HE183/(HE183+HC183))</f>
        <v>2.3393385318634042E-2</v>
      </c>
      <c r="HG183" s="27"/>
      <c r="HH183" s="27"/>
      <c r="HI183" s="29">
        <f>HI181/HI180*100-100</f>
        <v>14.148420145972153</v>
      </c>
      <c r="HJ183" s="67">
        <f>HJ181/HJ180*100-100</f>
        <v>8.959725400457657</v>
      </c>
      <c r="HK183" s="26">
        <f t="shared" si="1596"/>
        <v>44</v>
      </c>
      <c r="HL183" s="27">
        <f t="shared" si="1597"/>
        <v>3</v>
      </c>
      <c r="HM183" s="27">
        <f t="shared" si="1598"/>
        <v>0</v>
      </c>
      <c r="HN183" s="27">
        <f t="shared" si="1599"/>
        <v>0</v>
      </c>
      <c r="HO183" s="27">
        <f t="shared" si="1600"/>
        <v>48786</v>
      </c>
      <c r="HP183" s="96">
        <f>+((HO183)/HM182)/7</f>
        <v>0.58107625241192029</v>
      </c>
      <c r="HQ183" s="62">
        <f t="shared" si="1602"/>
        <v>1574</v>
      </c>
      <c r="HR183" s="52">
        <f t="shared" si="1603"/>
        <v>3.2263354240970772E-2</v>
      </c>
      <c r="HS183" s="53">
        <f>SUM(HS176:HS182)/7</f>
        <v>63.871428571428574</v>
      </c>
      <c r="HT183" s="54">
        <f>SUM(HT176:HT182)</f>
        <v>46045</v>
      </c>
      <c r="HU183" s="53">
        <f>AVERAGE(HU176:HU182)</f>
        <v>94.387031772609859</v>
      </c>
      <c r="HV183" s="63">
        <f>HV181/HV180*100-100</f>
        <v>14.201638317290417</v>
      </c>
      <c r="HW183" s="67">
        <f>HW181/HW180*100-100</f>
        <v>8.0192219679633894</v>
      </c>
      <c r="HX183" s="73">
        <f>SUM(G183,I183,S183,U183,AE183,AG183,AQ183,AS183,BC183,BE183)/7/SUM(E182,Q182,AC182,AO182,BA182)</f>
        <v>0.59568320126089047</v>
      </c>
      <c r="HY183" s="73">
        <f>SUM(BO183,BQ183,CA183,CC183,CM183,CO183,CY183,DA183,DK183,DM183)/7/SUM(BM182,BY182,CK182,CW182,DI182)</f>
        <v>0.56906250000000003</v>
      </c>
      <c r="HZ183" s="73">
        <f>SUM(DW183,DY183,EI183,EK183,EU183,EW183,FG183,FI183)/7/SUM(DU182,EG182,ES182,FE182)</f>
        <v>0.58913376671423279</v>
      </c>
      <c r="IA183" s="73">
        <f>SUM(FS183,FU183,GE183,GG183,GQ183,GS183,HC183,HE183)/7/SUM(FQ182,GC182,GO182,HA182)</f>
        <v>0.5701151747827844</v>
      </c>
      <c r="IB183" s="84">
        <f>SUM(I183,U183,AG183,AS183,BE183)/SUM(G183,I183,S183,U183,AE183,AG183,AQ183,AS183,BC183,BE183)</f>
        <v>2.7781860943701307E-2</v>
      </c>
      <c r="IC183" s="84">
        <f>SUM(BQ183,CC183,CO183,DA183,DM183)/SUM(BO183,BQ183,CA183,CC183,CM183,CO183,CY183,DA183,DK183,DM183)</f>
        <v>3.130148270181219E-2</v>
      </c>
      <c r="ID183" s="84">
        <f>SUM(DY183,EK183,EW183,FI183)/SUM(DW183,DY183,EI183,EK183,EU183,EW183,FG183,FI183)</f>
        <v>3.8485691217367904E-2</v>
      </c>
      <c r="IE183" s="84">
        <f>SUM(FU183,GG183,GS183,HE183)/SUM(FS183,FU183,GE183,GG183,GQ183,GS183,HC183,HE183)</f>
        <v>3.2606769448874709E-2</v>
      </c>
      <c r="IF183" s="86">
        <f>SUM(C183,O183,AA183,AM183,AY183)</f>
        <v>9</v>
      </c>
      <c r="IG183" s="86">
        <f>SUM(BK183,BW183,CI183,CU183,DG183)</f>
        <v>11</v>
      </c>
      <c r="IH183" s="86">
        <f>SUM(DS183,EE183,EQ183,FC183)</f>
        <v>15</v>
      </c>
      <c r="II183" s="86">
        <f>SUM(FO183,GA183,GM183,GY183)</f>
        <v>9</v>
      </c>
      <c r="IJ183" s="88" t="s">
        <v>89</v>
      </c>
    </row>
    <row r="184" spans="1:244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HK183/HM176</f>
        <v>3.6590436590436589E-3</v>
      </c>
      <c r="HL184" s="66">
        <f>HL183/HN176</f>
        <v>2.9041626331074541E-3</v>
      </c>
      <c r="HM184" s="45"/>
      <c r="HN184" s="45"/>
      <c r="HO184" s="45"/>
      <c r="HP184" s="98"/>
      <c r="HQ184" s="45"/>
      <c r="HR184" s="45"/>
      <c r="HS184" s="45"/>
      <c r="HT184" s="55"/>
      <c r="HU184" s="45"/>
      <c r="HV184" s="45"/>
      <c r="HW184" s="46"/>
      <c r="HY184" s="72"/>
      <c r="HZ184" s="72"/>
      <c r="IA184" s="72"/>
      <c r="IF184" s="86">
        <f>SUM(E173,Q173,AC173,AO173,BA173)</f>
        <v>3272</v>
      </c>
      <c r="IG184" s="86">
        <f>SUM(BM173,BY173,CK173,CW173,DI173)</f>
        <v>3211</v>
      </c>
      <c r="IH184" s="86">
        <f>SUM(DU173,EG173,ES173,FE173)</f>
        <v>2718</v>
      </c>
      <c r="II184" s="86">
        <f>SUM(FQ173,GC173,GO173,HA173)</f>
        <v>2837</v>
      </c>
      <c r="IJ184" s="88" t="s">
        <v>84</v>
      </c>
    </row>
    <row r="185" spans="1:244" x14ac:dyDescent="0.25">
      <c r="A185" s="373">
        <v>45</v>
      </c>
      <c r="B185" s="68">
        <f>B182+1</f>
        <v>45081</v>
      </c>
      <c r="C185" s="33">
        <v>1</v>
      </c>
      <c r="D185" s="34"/>
      <c r="E185" s="34">
        <f>E182-C185</f>
        <v>824</v>
      </c>
      <c r="F185" s="34">
        <f>F182-D185</f>
        <v>72</v>
      </c>
      <c r="G185" s="34">
        <v>480</v>
      </c>
      <c r="H185" s="35">
        <f t="shared" ref="H185:H191" si="1646">((G185+I185)/E185)</f>
        <v>0.60315533980582525</v>
      </c>
      <c r="I185" s="34">
        <v>17</v>
      </c>
      <c r="J185" s="35">
        <f t="shared" ref="J185:J191" si="1647">I185/(G185+I185)</f>
        <v>3.4205231388329982E-2</v>
      </c>
      <c r="K185" s="36"/>
      <c r="L185" s="34"/>
      <c r="M185" s="34"/>
      <c r="N185" s="37"/>
      <c r="O185" s="33"/>
      <c r="P185" s="34"/>
      <c r="Q185" s="34">
        <f>Q182-O185</f>
        <v>752</v>
      </c>
      <c r="R185" s="34">
        <f>R182-P185</f>
        <v>64</v>
      </c>
      <c r="S185" s="34">
        <v>419</v>
      </c>
      <c r="T185" s="35">
        <f t="shared" ref="T185:T191" si="1648">((S185+U185)/Q185)</f>
        <v>0.57446808510638303</v>
      </c>
      <c r="U185" s="34">
        <v>13</v>
      </c>
      <c r="V185" s="35">
        <f t="shared" ref="V185:V191" si="1649">U185/(S185+U185)</f>
        <v>3.0092592592592591E-2</v>
      </c>
      <c r="W185" s="36"/>
      <c r="X185" s="34"/>
      <c r="Y185" s="34"/>
      <c r="Z185" s="37"/>
      <c r="AA185" s="33"/>
      <c r="AB185" s="34"/>
      <c r="AC185" s="34">
        <f>AC182-AA185</f>
        <v>169</v>
      </c>
      <c r="AD185" s="34">
        <f>AD182-AB185</f>
        <v>12</v>
      </c>
      <c r="AE185" s="34">
        <v>100</v>
      </c>
      <c r="AF185" s="35">
        <v>0.06</v>
      </c>
      <c r="AG185" s="34">
        <v>6</v>
      </c>
      <c r="AH185" s="35">
        <f t="shared" ref="AH185:AH191" si="1650">AG185/(AE185+AG185)</f>
        <v>5.6603773584905662E-2</v>
      </c>
      <c r="AI185" s="36"/>
      <c r="AJ185" s="34"/>
      <c r="AK185" s="34"/>
      <c r="AL185" s="37"/>
      <c r="AM185" s="33"/>
      <c r="AN185" s="34"/>
      <c r="AO185" s="34">
        <f>AO182-AM185</f>
        <v>764</v>
      </c>
      <c r="AP185" s="34">
        <f>AP182-AN185</f>
        <v>63</v>
      </c>
      <c r="AQ185" s="34">
        <v>419</v>
      </c>
      <c r="AR185" s="35">
        <f t="shared" ref="AR185:AR191" si="1651">((AQ185+AS185)/AO185)</f>
        <v>0.56282722513089001</v>
      </c>
      <c r="AS185" s="34">
        <v>11</v>
      </c>
      <c r="AT185" s="35">
        <f t="shared" ref="AT185:AT191" si="1652">AS185/(AQ185+AS185)</f>
        <v>2.5581395348837209E-2</v>
      </c>
      <c r="AU185" s="36"/>
      <c r="AV185" s="34"/>
      <c r="AW185" s="34"/>
      <c r="AX185" s="37"/>
      <c r="AY185" s="33"/>
      <c r="AZ185" s="34"/>
      <c r="BA185" s="34">
        <f>BA182-AY185</f>
        <v>753</v>
      </c>
      <c r="BB185" s="34">
        <f>BB182-AZ185</f>
        <v>67</v>
      </c>
      <c r="BC185" s="34">
        <v>438</v>
      </c>
      <c r="BD185" s="35">
        <f t="shared" ref="BD185:BD191" si="1653">((BC185+BE185)/BA185)</f>
        <v>0.59760956175298807</v>
      </c>
      <c r="BE185" s="34">
        <v>12</v>
      </c>
      <c r="BF185" s="35">
        <f t="shared" ref="BF185:BF191" si="1654">BE185/(BC185+BE185)</f>
        <v>2.6666666666666668E-2</v>
      </c>
      <c r="BG185" s="36"/>
      <c r="BH185" s="34"/>
      <c r="BI185" s="34"/>
      <c r="BJ185" s="37"/>
      <c r="BK185" s="33"/>
      <c r="BL185" s="34"/>
      <c r="BM185" s="34">
        <f>BM182-BK185</f>
        <v>816</v>
      </c>
      <c r="BN185" s="34">
        <f>BN182-BL185</f>
        <v>70</v>
      </c>
      <c r="BO185" s="34">
        <v>456</v>
      </c>
      <c r="BP185" s="35">
        <f t="shared" ref="BP185:BP191" si="1655">((BO185+BQ185)/BM185)</f>
        <v>0.5759803921568627</v>
      </c>
      <c r="BQ185" s="34">
        <v>14</v>
      </c>
      <c r="BR185" s="35">
        <f t="shared" ref="BR185:BR191" si="1656">BQ185/(BO185+BQ185)</f>
        <v>2.9787234042553193E-2</v>
      </c>
      <c r="BS185" s="36"/>
      <c r="BT185" s="34"/>
      <c r="BU185" s="34"/>
      <c r="BV185" s="37"/>
      <c r="BW185" s="33"/>
      <c r="BX185" s="34"/>
      <c r="BY185" s="34">
        <f>BY182-BW185</f>
        <v>749</v>
      </c>
      <c r="BZ185" s="34">
        <f>BZ182-BX185</f>
        <v>62</v>
      </c>
      <c r="CA185" s="34">
        <v>410</v>
      </c>
      <c r="CB185" s="35">
        <f t="shared" ref="CB185:CB191" si="1657">((CA185+CC185)/BY185)</f>
        <v>0.56341789052069424</v>
      </c>
      <c r="CC185" s="34">
        <v>12</v>
      </c>
      <c r="CD185" s="35">
        <f t="shared" ref="CD185:CD191" si="1658">CC185/(CA185+CC185)</f>
        <v>2.843601895734597E-2</v>
      </c>
      <c r="CE185" s="36"/>
      <c r="CF185" s="34"/>
      <c r="CG185" s="34"/>
      <c r="CH185" s="37"/>
      <c r="CI185" s="33"/>
      <c r="CJ185" s="34"/>
      <c r="CK185" s="34">
        <f>CK182-CI185</f>
        <v>154</v>
      </c>
      <c r="CL185" s="34">
        <f>CL182-CJ185</f>
        <v>14</v>
      </c>
      <c r="CM185" s="34">
        <v>66</v>
      </c>
      <c r="CN185" s="35">
        <f t="shared" ref="CN185:CN191" si="1659">((CM185+CO185)/CK185)</f>
        <v>0.42857142857142855</v>
      </c>
      <c r="CO185" s="34">
        <v>0</v>
      </c>
      <c r="CP185" s="35">
        <f t="shared" ref="CP185:CP191" si="1660">CO185/(CM185+CO185)</f>
        <v>0</v>
      </c>
      <c r="CQ185" s="36"/>
      <c r="CR185" s="34"/>
      <c r="CS185" s="34"/>
      <c r="CT185" s="37"/>
      <c r="CU185" s="33"/>
      <c r="CV185" s="34"/>
      <c r="CW185" s="34">
        <f>CW182-CU185</f>
        <v>737</v>
      </c>
      <c r="CX185" s="34">
        <f>CX182-CV185</f>
        <v>63</v>
      </c>
      <c r="CY185" s="34">
        <v>418</v>
      </c>
      <c r="CZ185" s="35">
        <f t="shared" ref="CZ185:CZ191" si="1661">((CY185+DA185)/CW185)</f>
        <v>0.58344640434192674</v>
      </c>
      <c r="DA185" s="34">
        <v>12</v>
      </c>
      <c r="DB185" s="35">
        <f t="shared" ref="DB185:DB191" si="1662">DA185/(CY185+DA185)</f>
        <v>2.7906976744186046E-2</v>
      </c>
      <c r="DC185" s="36"/>
      <c r="DD185" s="34"/>
      <c r="DE185" s="34"/>
      <c r="DF185" s="37"/>
      <c r="DG185" s="33"/>
      <c r="DH185" s="34"/>
      <c r="DI185" s="34">
        <f>DI182-DG185</f>
        <v>744</v>
      </c>
      <c r="DJ185" s="34">
        <f>DJ182-DH185</f>
        <v>66</v>
      </c>
      <c r="DK185" s="34">
        <v>455</v>
      </c>
      <c r="DL185" s="35">
        <f t="shared" ref="DL185:DL191" si="1663">((DK185+DM185)/DI185)</f>
        <v>0.63709677419354838</v>
      </c>
      <c r="DM185" s="34">
        <v>19</v>
      </c>
      <c r="DN185" s="35">
        <f t="shared" ref="DN185:DN191" si="1664">DM185/(DK185+DM185)</f>
        <v>4.0084388185654012E-2</v>
      </c>
      <c r="DO185" s="36"/>
      <c r="DP185" s="34"/>
      <c r="DQ185" s="34"/>
      <c r="DR185" s="37"/>
      <c r="DS185" s="33"/>
      <c r="DT185" s="34"/>
      <c r="DU185" s="34">
        <f>DU182-DS185</f>
        <v>826</v>
      </c>
      <c r="DV185" s="34">
        <f>DV182-DT185</f>
        <v>71</v>
      </c>
      <c r="DW185" s="34">
        <v>449</v>
      </c>
      <c r="DX185" s="35">
        <f t="shared" ref="DX185:DX191" si="1665">((DW185+DY185)/DU185)</f>
        <v>0.57263922518159804</v>
      </c>
      <c r="DY185" s="34">
        <v>24</v>
      </c>
      <c r="DZ185" s="35">
        <f t="shared" ref="DZ185:DZ191" si="1666">DY185/(DW185+DY185)</f>
        <v>5.0739957716701901E-2</v>
      </c>
      <c r="EA185" s="36"/>
      <c r="EB185" s="34"/>
      <c r="EC185" s="34"/>
      <c r="ED185" s="37"/>
      <c r="EE185" s="33"/>
      <c r="EF185" s="34"/>
      <c r="EG185" s="34">
        <f>EG182-EE185</f>
        <v>845</v>
      </c>
      <c r="EH185" s="34">
        <f>EH182-EF185</f>
        <v>73</v>
      </c>
      <c r="EI185" s="34">
        <v>443</v>
      </c>
      <c r="EJ185" s="35">
        <f t="shared" ref="EJ185:EJ191" si="1667">((EI185+EK185)/EG185)</f>
        <v>0.5420118343195266</v>
      </c>
      <c r="EK185" s="34">
        <v>15</v>
      </c>
      <c r="EL185" s="35">
        <f t="shared" ref="EL185:EL191" si="1668">EK185/(EI185+EK185)</f>
        <v>3.2751091703056769E-2</v>
      </c>
      <c r="EM185" s="36"/>
      <c r="EN185" s="34"/>
      <c r="EO185" s="34"/>
      <c r="EP185" s="37"/>
      <c r="EQ185" s="33">
        <v>1</v>
      </c>
      <c r="ER185" s="34"/>
      <c r="ES185" s="34">
        <f>ES182-EQ185</f>
        <v>182</v>
      </c>
      <c r="ET185" s="34">
        <f>ET182-ER185</f>
        <v>16</v>
      </c>
      <c r="EU185" s="34">
        <v>92</v>
      </c>
      <c r="EV185" s="35">
        <f t="shared" ref="EV185:EV191" si="1669">((EU185+EW185)/ES185)</f>
        <v>0.52747252747252749</v>
      </c>
      <c r="EW185" s="34">
        <v>4</v>
      </c>
      <c r="EX185" s="35">
        <f t="shared" ref="EX185:EX190" si="1670">EW185/(EU185+EW185)</f>
        <v>4.1666666666666664E-2</v>
      </c>
      <c r="EY185" s="36"/>
      <c r="EZ185" s="34"/>
      <c r="FA185" s="34"/>
      <c r="FB185" s="37"/>
      <c r="FC185" s="33"/>
      <c r="FD185" s="34"/>
      <c r="FE185" s="34">
        <f>FE182-FC185</f>
        <v>849</v>
      </c>
      <c r="FF185" s="34">
        <f>FF182-FD185</f>
        <v>73</v>
      </c>
      <c r="FG185" s="34">
        <v>451</v>
      </c>
      <c r="FH185" s="35">
        <f t="shared" ref="FH185:FH191" si="1671">((FG185+FI185)/FE185)</f>
        <v>0.54888103651354536</v>
      </c>
      <c r="FI185" s="34">
        <v>15</v>
      </c>
      <c r="FJ185" s="35">
        <f t="shared" ref="FJ185:FJ191" si="1672">FI185/(FG185+FI185)</f>
        <v>3.2188841201716736E-2</v>
      </c>
      <c r="FK185" s="36"/>
      <c r="FL185" s="34"/>
      <c r="FM185" s="34"/>
      <c r="FN185" s="37"/>
      <c r="FO185" s="33"/>
      <c r="FP185" s="34"/>
      <c r="FQ185" s="34">
        <f>FQ182-FO185</f>
        <v>880</v>
      </c>
      <c r="FR185" s="34">
        <f>FR182-FP185</f>
        <v>75</v>
      </c>
      <c r="FS185" s="34">
        <v>474</v>
      </c>
      <c r="FT185" s="35">
        <f t="shared" ref="FT185:FT191" si="1673">((FS185+FU185)/FQ185)</f>
        <v>0.55340909090909096</v>
      </c>
      <c r="FU185" s="34">
        <v>13</v>
      </c>
      <c r="FV185" s="35">
        <f t="shared" ref="FV185:FV191" si="1674">FU185/(FS185+FU185)</f>
        <v>2.6694045174537988E-2</v>
      </c>
      <c r="FW185" s="36"/>
      <c r="FX185" s="34"/>
      <c r="FY185" s="34"/>
      <c r="FZ185" s="37"/>
      <c r="GA185" s="33"/>
      <c r="GB185" s="34"/>
      <c r="GC185" s="34">
        <f>GC182-GA185</f>
        <v>881</v>
      </c>
      <c r="GD185" s="34">
        <f>GD182-GB185</f>
        <v>76</v>
      </c>
      <c r="GE185" s="34">
        <v>441</v>
      </c>
      <c r="GF185" s="35">
        <f t="shared" ref="GF185:GF191" si="1675">((GE185+GG185)/GC185)</f>
        <v>0.52213393870601588</v>
      </c>
      <c r="GG185" s="34">
        <v>19</v>
      </c>
      <c r="GH185" s="35">
        <f t="shared" ref="GH185:GH191" si="1676">GG185/(GE185+GG185)</f>
        <v>4.1304347826086954E-2</v>
      </c>
      <c r="GI185" s="36"/>
      <c r="GJ185" s="34"/>
      <c r="GK185" s="34"/>
      <c r="GL185" s="37"/>
      <c r="GM185" s="33"/>
      <c r="GN185" s="34"/>
      <c r="GO185" s="34">
        <f>GO182-GM185</f>
        <v>162</v>
      </c>
      <c r="GP185" s="34">
        <f>GP182-GN185</f>
        <v>17</v>
      </c>
      <c r="GQ185" s="34">
        <v>92</v>
      </c>
      <c r="GR185" s="35">
        <f t="shared" ref="GR185:GR191" si="1677">((GQ185+GS185)/GO185)</f>
        <v>0.58024691358024694</v>
      </c>
      <c r="GS185" s="34">
        <v>2</v>
      </c>
      <c r="GT185" s="35">
        <f t="shared" ref="GT185:GT191" si="1678">GS185/(GQ185+GS185)</f>
        <v>2.1276595744680851E-2</v>
      </c>
      <c r="GU185" s="36"/>
      <c r="GV185" s="34"/>
      <c r="GW185" s="34"/>
      <c r="GX185" s="37"/>
      <c r="GY185" s="33"/>
      <c r="GZ185" s="34"/>
      <c r="HA185" s="34">
        <f>HA182-GY185</f>
        <v>905</v>
      </c>
      <c r="HB185" s="34">
        <f>HB182-GZ185</f>
        <v>77</v>
      </c>
      <c r="HC185" s="34">
        <v>518</v>
      </c>
      <c r="HD185" s="35">
        <f t="shared" ref="HD185:HD191" si="1679">((HC185+HE185)/HA185)</f>
        <v>0.58674033149171267</v>
      </c>
      <c r="HE185" s="34">
        <v>13</v>
      </c>
      <c r="HF185" s="35">
        <f t="shared" ref="HF185:HF191" si="1680">HE185/(HC185+HE185)</f>
        <v>2.4482109227871938E-2</v>
      </c>
      <c r="HG185" s="36"/>
      <c r="HH185" s="34"/>
      <c r="HI185" s="34"/>
      <c r="HJ185" s="37"/>
      <c r="HK185" s="33">
        <f t="shared" ref="HK185:HK192" si="1681">+C185+O185+AA185+AM185+AY185+BK185+BW185+CI185+CU185+DG185+DS185+EE185+EQ185+FC185+FO185+GA185+GM185+GY185</f>
        <v>2</v>
      </c>
      <c r="HL185" s="34">
        <f t="shared" ref="HL185:HL192" si="1682">+D185+P185+AB185+AN185+AZ185+BL185+BX185+CJ185+CV185+DH185+DT185+EF185+ER185+FD185+FP185+GB185+GN185+GZ185</f>
        <v>0</v>
      </c>
      <c r="HM185" s="34">
        <f t="shared" ref="HM185:HM192" si="1683">+E185+Q185+AC185+AO185+BA185+BM185+BY185+CK185+CW185+DI185+DU185+EG185+ES185+FE185+FQ185+GC185+GO185+HA185</f>
        <v>11992</v>
      </c>
      <c r="HN185" s="34">
        <f t="shared" ref="HN185:HN192" si="1684">+F185+R185+AD185+AP185+BB185+BN185+BZ185+CL185+CX185+DJ185+DV185+EH185+ET185+FF185+FR185+GD185+GP185+HB185</f>
        <v>1031</v>
      </c>
      <c r="HO185" s="34">
        <f t="shared" ref="HO185:HO192" si="1685">+G185+S185+AE185+AQ185+BC185+BO185+CA185+CM185+CY185+DK185+DW185+EI185+EU185+FG185+FS185+GE185+GQ185+HC185+I185+U185+AG185+AS185+BE185+BQ185+CC185+CO185+DA185+DM185+DY185+EK185+EW185+FI185+FU185+GG185+GS185+HE185</f>
        <v>6842</v>
      </c>
      <c r="HP185" s="94">
        <f t="shared" ref="HP185:HP191" si="1686">+(HO185)/HM185</f>
        <v>0.57054703135423612</v>
      </c>
      <c r="HQ185" s="48">
        <f t="shared" ref="HQ185:HQ192" si="1687">+I185+U185+AG185+AS185+BE185+BQ185+CC185+CO185+DA185+DM185+DY185+EK185+EW185+FI185+FU185+GG185+GS185+HE185</f>
        <v>221</v>
      </c>
      <c r="HR185" s="35">
        <f t="shared" ref="HR185:HR192" si="1688">+(HQ185/(HO185))</f>
        <v>3.2300496930722011E-2</v>
      </c>
      <c r="HS185" s="49">
        <v>64.2</v>
      </c>
      <c r="HT185" s="50">
        <v>6464</v>
      </c>
      <c r="HU185" s="49">
        <f t="shared" ref="HU185:HU191" si="1689">+HT185/HO185*100</f>
        <v>94.475299619994161</v>
      </c>
      <c r="HV185" s="48"/>
      <c r="HW185" s="37"/>
      <c r="HX185" s="73">
        <f t="shared" ref="HX185:HX191" si="1690">SUM(G185,I185,S185,U185,AE185,AG185,AQ185,AS185,BC185,BE185)/SUM(E185,Q185,AC185,AO185,BA185)</f>
        <v>0.58706315144083387</v>
      </c>
      <c r="HY185" s="73">
        <f t="shared" ref="HY185:HY191" si="1691">SUM(BO185,BQ185,CA185,CC185,CM185,CO185,CY185,DA185,DK185,DM185)/SUM(BM185,BY185,CK185,CW185,DI185)</f>
        <v>0.58187500000000003</v>
      </c>
      <c r="HZ185" s="73">
        <f t="shared" ref="HZ185:HZ191" si="1692">SUM(DW185,DY185,EI185,EK185,EU185,EW185,FG185,FI185)/SUM(DU185,EG185,ES185,FE185)</f>
        <v>0.55255366395262773</v>
      </c>
      <c r="IA185" s="73">
        <f t="shared" ref="IA185:IA191" si="1693">SUM(FS185,FU185,GE185,GG185,GQ185,GS185,HC185,HE185)/SUM(FQ185,GC185,GO185,HA185)</f>
        <v>0.55586987270155586</v>
      </c>
    </row>
    <row r="186" spans="1:244" x14ac:dyDescent="0.25">
      <c r="A186" s="374"/>
      <c r="B186" s="41">
        <f t="shared" ref="B186:B191" si="1694">+B185+1</f>
        <v>45082</v>
      </c>
      <c r="C186" s="10"/>
      <c r="D186" s="11"/>
      <c r="E186" s="69">
        <f t="shared" ref="E186:E191" si="1695">E185-C186</f>
        <v>824</v>
      </c>
      <c r="F186" s="69">
        <f t="shared" ref="F186:F191" si="1696">F185-D186</f>
        <v>72</v>
      </c>
      <c r="G186" s="11">
        <v>477</v>
      </c>
      <c r="H186" s="12">
        <f t="shared" si="1646"/>
        <v>0.59830097087378642</v>
      </c>
      <c r="I186" s="11">
        <v>16</v>
      </c>
      <c r="J186" s="12">
        <f t="shared" si="1647"/>
        <v>3.2454361054766734E-2</v>
      </c>
      <c r="K186" s="13"/>
      <c r="L186" s="11"/>
      <c r="M186" s="11"/>
      <c r="N186" s="14"/>
      <c r="O186" s="10">
        <v>1</v>
      </c>
      <c r="P186" s="11"/>
      <c r="Q186" s="69">
        <f t="shared" ref="Q186:Q191" si="1697">Q185-O186</f>
        <v>751</v>
      </c>
      <c r="R186" s="69">
        <f t="shared" ref="R186:R191" si="1698">R185-P186</f>
        <v>64</v>
      </c>
      <c r="S186" s="11">
        <v>420</v>
      </c>
      <c r="T186" s="12">
        <f t="shared" si="1648"/>
        <v>0.57922769640479366</v>
      </c>
      <c r="U186" s="11">
        <v>15</v>
      </c>
      <c r="V186" s="12">
        <f t="shared" si="1649"/>
        <v>3.4482758620689655E-2</v>
      </c>
      <c r="W186" s="13"/>
      <c r="X186" s="11"/>
      <c r="Y186" s="11"/>
      <c r="Z186" s="14"/>
      <c r="AA186" s="10">
        <v>1</v>
      </c>
      <c r="AB186" s="11"/>
      <c r="AC186" s="69">
        <f t="shared" ref="AC186:AC191" si="1699">AC185-AA186</f>
        <v>168</v>
      </c>
      <c r="AD186" s="69">
        <f t="shared" ref="AD186:AD191" si="1700">AD185-AB186</f>
        <v>12</v>
      </c>
      <c r="AE186" s="11">
        <v>91</v>
      </c>
      <c r="AF186" s="12">
        <f t="shared" ref="AF186:AF191" si="1701">((AE186+AG186)/AC186)</f>
        <v>0.56547619047619047</v>
      </c>
      <c r="AG186" s="11">
        <v>4</v>
      </c>
      <c r="AH186" s="12">
        <f t="shared" si="1650"/>
        <v>4.2105263157894736E-2</v>
      </c>
      <c r="AI186" s="13"/>
      <c r="AJ186" s="11"/>
      <c r="AK186" s="11"/>
      <c r="AL186" s="14"/>
      <c r="AM186" s="10"/>
      <c r="AN186" s="11"/>
      <c r="AO186" s="69">
        <f t="shared" ref="AO186:AO191" si="1702">AO185-AM186</f>
        <v>764</v>
      </c>
      <c r="AP186" s="69">
        <f t="shared" ref="AP186:AP191" si="1703">AP185-AN186</f>
        <v>63</v>
      </c>
      <c r="AQ186" s="11">
        <v>423</v>
      </c>
      <c r="AR186" s="12">
        <f t="shared" si="1651"/>
        <v>0.56675392670157065</v>
      </c>
      <c r="AS186" s="11">
        <v>10</v>
      </c>
      <c r="AT186" s="12">
        <f t="shared" si="1652"/>
        <v>2.3094688221709007E-2</v>
      </c>
      <c r="AU186" s="13"/>
      <c r="AV186" s="11"/>
      <c r="AW186" s="11"/>
      <c r="AX186" s="14"/>
      <c r="AY186" s="10"/>
      <c r="AZ186" s="11"/>
      <c r="BA186" s="69">
        <f t="shared" ref="BA186:BA191" si="1704">BA185-AY186</f>
        <v>753</v>
      </c>
      <c r="BB186" s="69">
        <f t="shared" ref="BB186:BB191" si="1705">BB185-AZ186</f>
        <v>67</v>
      </c>
      <c r="BC186" s="11">
        <v>481</v>
      </c>
      <c r="BD186" s="12">
        <f t="shared" si="1653"/>
        <v>0.65073041168658696</v>
      </c>
      <c r="BE186" s="11">
        <v>9</v>
      </c>
      <c r="BF186" s="12">
        <f t="shared" si="1654"/>
        <v>1.8367346938775512E-2</v>
      </c>
      <c r="BG186" s="13"/>
      <c r="BH186" s="11"/>
      <c r="BI186" s="11"/>
      <c r="BJ186" s="14"/>
      <c r="BK186" s="10"/>
      <c r="BL186" s="11"/>
      <c r="BM186" s="69">
        <f t="shared" ref="BM186:BM191" si="1706">BM185-BK186</f>
        <v>816</v>
      </c>
      <c r="BN186" s="69">
        <f t="shared" ref="BN186:BN191" si="1707">BN185-BL186</f>
        <v>70</v>
      </c>
      <c r="BO186" s="11">
        <v>486</v>
      </c>
      <c r="BP186" s="12">
        <f t="shared" si="1655"/>
        <v>0.6115196078431373</v>
      </c>
      <c r="BQ186" s="11">
        <v>13</v>
      </c>
      <c r="BR186" s="12">
        <f t="shared" si="1656"/>
        <v>2.6052104208416832E-2</v>
      </c>
      <c r="BS186" s="13"/>
      <c r="BT186" s="11"/>
      <c r="BU186" s="11"/>
      <c r="BV186" s="14"/>
      <c r="BW186" s="10"/>
      <c r="BX186" s="11">
        <v>1</v>
      </c>
      <c r="BY186" s="69">
        <f t="shared" ref="BY186:BY191" si="1708">BY185-BW186</f>
        <v>749</v>
      </c>
      <c r="BZ186" s="69">
        <f t="shared" ref="BZ186:BZ191" si="1709">BZ185-BX186</f>
        <v>61</v>
      </c>
      <c r="CA186" s="11">
        <v>398</v>
      </c>
      <c r="CB186" s="12">
        <f t="shared" si="1657"/>
        <v>0.53938584779706278</v>
      </c>
      <c r="CC186" s="11">
        <v>6</v>
      </c>
      <c r="CD186" s="12">
        <f t="shared" si="1658"/>
        <v>1.4851485148514851E-2</v>
      </c>
      <c r="CE186" s="13"/>
      <c r="CF186" s="11"/>
      <c r="CG186" s="11"/>
      <c r="CH186" s="14"/>
      <c r="CI186" s="10"/>
      <c r="CJ186" s="11"/>
      <c r="CK186" s="69">
        <f t="shared" ref="CK186:CK191" si="1710">CK185-CI186</f>
        <v>154</v>
      </c>
      <c r="CL186" s="69">
        <f t="shared" ref="CL186:CL191" si="1711">CL185-CJ186</f>
        <v>14</v>
      </c>
      <c r="CM186" s="11">
        <v>82</v>
      </c>
      <c r="CN186" s="12">
        <f t="shared" si="1659"/>
        <v>0.53896103896103897</v>
      </c>
      <c r="CO186" s="11">
        <v>1</v>
      </c>
      <c r="CP186" s="12">
        <f t="shared" si="1660"/>
        <v>1.2048192771084338E-2</v>
      </c>
      <c r="CQ186" s="13"/>
      <c r="CR186" s="11"/>
      <c r="CS186" s="11"/>
      <c r="CT186" s="14"/>
      <c r="CU186" s="10"/>
      <c r="CV186" s="11"/>
      <c r="CW186" s="69">
        <f t="shared" ref="CW186:CW191" si="1712">CW185-CU186</f>
        <v>737</v>
      </c>
      <c r="CX186" s="69">
        <f t="shared" ref="CX186:CX191" si="1713">CX185-CV186</f>
        <v>63</v>
      </c>
      <c r="CY186" s="11">
        <v>398</v>
      </c>
      <c r="CZ186" s="12">
        <f t="shared" si="1661"/>
        <v>0.54816824966078692</v>
      </c>
      <c r="DA186" s="11">
        <v>6</v>
      </c>
      <c r="DB186" s="12">
        <f t="shared" si="1662"/>
        <v>1.4851485148514851E-2</v>
      </c>
      <c r="DC186" s="13"/>
      <c r="DD186" s="11"/>
      <c r="DE186" s="11"/>
      <c r="DF186" s="14"/>
      <c r="DG186" s="10"/>
      <c r="DH186" s="11"/>
      <c r="DI186" s="69">
        <f t="shared" ref="DI186:DI191" si="1714">DI185-DG186</f>
        <v>744</v>
      </c>
      <c r="DJ186" s="69">
        <f t="shared" ref="DJ186:DJ191" si="1715">DJ185-DH186</f>
        <v>66</v>
      </c>
      <c r="DK186" s="11">
        <v>421</v>
      </c>
      <c r="DL186" s="12">
        <f t="shared" si="1663"/>
        <v>0.5873655913978495</v>
      </c>
      <c r="DM186" s="11">
        <v>16</v>
      </c>
      <c r="DN186" s="12">
        <f t="shared" si="1664"/>
        <v>3.6613272311212815E-2</v>
      </c>
      <c r="DO186" s="13"/>
      <c r="DP186" s="11"/>
      <c r="DQ186" s="11"/>
      <c r="DR186" s="14"/>
      <c r="DS186" s="10"/>
      <c r="DT186" s="11"/>
      <c r="DU186" s="69">
        <f t="shared" ref="DU186:DU191" si="1716">DU185-DS186</f>
        <v>826</v>
      </c>
      <c r="DV186" s="69">
        <f t="shared" ref="DV186:DV191" si="1717">DV185-DT186</f>
        <v>71</v>
      </c>
      <c r="DW186" s="11">
        <v>419</v>
      </c>
      <c r="DX186" s="12">
        <f t="shared" si="1665"/>
        <v>0.5290556900726392</v>
      </c>
      <c r="DY186" s="11">
        <v>18</v>
      </c>
      <c r="DZ186" s="12">
        <f t="shared" si="1666"/>
        <v>4.1189931350114416E-2</v>
      </c>
      <c r="EA186" s="13"/>
      <c r="EB186" s="11"/>
      <c r="EC186" s="11"/>
      <c r="ED186" s="14"/>
      <c r="EE186" s="10"/>
      <c r="EF186" s="11"/>
      <c r="EG186" s="69">
        <f t="shared" ref="EG186:EG191" si="1718">EG185-EE186</f>
        <v>845</v>
      </c>
      <c r="EH186" s="69">
        <f t="shared" ref="EH186:EH191" si="1719">EH185-EF186</f>
        <v>73</v>
      </c>
      <c r="EI186" s="11">
        <v>413</v>
      </c>
      <c r="EJ186" s="12">
        <f t="shared" si="1667"/>
        <v>0.50769230769230766</v>
      </c>
      <c r="EK186" s="11">
        <v>16</v>
      </c>
      <c r="EL186" s="12">
        <f t="shared" si="1668"/>
        <v>3.7296037296037296E-2</v>
      </c>
      <c r="EM186" s="13"/>
      <c r="EN186" s="11"/>
      <c r="EO186" s="11"/>
      <c r="EP186" s="14"/>
      <c r="EQ186" s="10"/>
      <c r="ER186" s="11"/>
      <c r="ES186" s="69">
        <f t="shared" ref="ES186:ES191" si="1720">ES185-EQ186</f>
        <v>182</v>
      </c>
      <c r="ET186" s="69">
        <f t="shared" ref="ET186:ET191" si="1721">ET185-ER186</f>
        <v>16</v>
      </c>
      <c r="EU186" s="11">
        <v>90</v>
      </c>
      <c r="EV186" s="12">
        <f t="shared" si="1669"/>
        <v>0.51098901098901095</v>
      </c>
      <c r="EW186" s="11">
        <v>3</v>
      </c>
      <c r="EX186" s="12">
        <f t="shared" si="1670"/>
        <v>3.2258064516129031E-2</v>
      </c>
      <c r="EY186" s="13"/>
      <c r="EZ186" s="11"/>
      <c r="FA186" s="11"/>
      <c r="FB186" s="14"/>
      <c r="FC186" s="10"/>
      <c r="FD186" s="11"/>
      <c r="FE186" s="69">
        <f t="shared" ref="FE186:FE191" si="1722">FE185-FC186</f>
        <v>849</v>
      </c>
      <c r="FF186" s="69">
        <f t="shared" ref="FF186:FF191" si="1723">FF185-FD186</f>
        <v>73</v>
      </c>
      <c r="FG186" s="11">
        <v>474</v>
      </c>
      <c r="FH186" s="12">
        <f t="shared" si="1671"/>
        <v>0.57361601884570079</v>
      </c>
      <c r="FI186" s="11">
        <v>13</v>
      </c>
      <c r="FJ186" s="12">
        <f t="shared" si="1672"/>
        <v>2.6694045174537988E-2</v>
      </c>
      <c r="FK186" s="13"/>
      <c r="FL186" s="11"/>
      <c r="FM186" s="11"/>
      <c r="FN186" s="14"/>
      <c r="FO186" s="10"/>
      <c r="FP186" s="11"/>
      <c r="FQ186" s="69">
        <f t="shared" ref="FQ186:FQ191" si="1724">FQ185-FO186</f>
        <v>880</v>
      </c>
      <c r="FR186" s="69">
        <f t="shared" ref="FR186:FR191" si="1725">FR185-FP186</f>
        <v>75</v>
      </c>
      <c r="FS186" s="11">
        <v>455</v>
      </c>
      <c r="FT186" s="12">
        <f t="shared" si="1673"/>
        <v>0.53863636363636369</v>
      </c>
      <c r="FU186" s="11">
        <v>19</v>
      </c>
      <c r="FV186" s="12">
        <f t="shared" si="1674"/>
        <v>4.0084388185654012E-2</v>
      </c>
      <c r="FW186" s="13"/>
      <c r="FX186" s="11"/>
      <c r="FY186" s="11"/>
      <c r="FZ186" s="14"/>
      <c r="GA186" s="10">
        <v>1</v>
      </c>
      <c r="GB186" s="11"/>
      <c r="GC186" s="69">
        <f t="shared" ref="GC186:GC191" si="1726">GC185-GA186</f>
        <v>880</v>
      </c>
      <c r="GD186" s="69">
        <f t="shared" ref="GD186:GD191" si="1727">GD185-GB186</f>
        <v>76</v>
      </c>
      <c r="GE186" s="11">
        <v>437</v>
      </c>
      <c r="GF186" s="12">
        <f t="shared" si="1675"/>
        <v>0.52386363636363631</v>
      </c>
      <c r="GG186" s="11">
        <v>24</v>
      </c>
      <c r="GH186" s="12">
        <f t="shared" si="1676"/>
        <v>5.2060737527114966E-2</v>
      </c>
      <c r="GI186" s="13"/>
      <c r="GJ186" s="11"/>
      <c r="GK186" s="11"/>
      <c r="GL186" s="14"/>
      <c r="GM186" s="10">
        <v>1</v>
      </c>
      <c r="GN186" s="11"/>
      <c r="GO186" s="69">
        <f t="shared" ref="GO186:GO191" si="1728">GO185-GM186</f>
        <v>161</v>
      </c>
      <c r="GP186" s="69">
        <f t="shared" ref="GP186:GP191" si="1729">GP185-GN186</f>
        <v>17</v>
      </c>
      <c r="GQ186" s="11">
        <v>85</v>
      </c>
      <c r="GR186" s="12">
        <f t="shared" si="1677"/>
        <v>0.55279503105590067</v>
      </c>
      <c r="GS186" s="11">
        <v>4</v>
      </c>
      <c r="GT186" s="12">
        <f t="shared" si="1678"/>
        <v>4.49438202247191E-2</v>
      </c>
      <c r="GU186" s="13"/>
      <c r="GV186" s="11"/>
      <c r="GW186" s="11"/>
      <c r="GX186" s="14"/>
      <c r="GY186" s="10">
        <v>1</v>
      </c>
      <c r="GZ186" s="11"/>
      <c r="HA186" s="69">
        <f t="shared" ref="HA186:HA191" si="1730">HA185-GY186</f>
        <v>904</v>
      </c>
      <c r="HB186" s="69">
        <f t="shared" ref="HB186:HB191" si="1731">HB185-GZ186</f>
        <v>77</v>
      </c>
      <c r="HC186" s="11">
        <v>531</v>
      </c>
      <c r="HD186" s="12">
        <f t="shared" si="1679"/>
        <v>0.60508849557522126</v>
      </c>
      <c r="HE186" s="11">
        <v>16</v>
      </c>
      <c r="HF186" s="12">
        <f t="shared" si="1680"/>
        <v>2.9250457038391225E-2</v>
      </c>
      <c r="HG186" s="13"/>
      <c r="HH186" s="11"/>
      <c r="HI186" s="11"/>
      <c r="HJ186" s="14"/>
      <c r="HK186" s="10">
        <f t="shared" si="1681"/>
        <v>5</v>
      </c>
      <c r="HL186" s="11">
        <f t="shared" si="1682"/>
        <v>1</v>
      </c>
      <c r="HM186" s="11">
        <f t="shared" si="1683"/>
        <v>11987</v>
      </c>
      <c r="HN186" s="11">
        <f t="shared" si="1684"/>
        <v>1030</v>
      </c>
      <c r="HO186" s="11">
        <f t="shared" si="1685"/>
        <v>6790</v>
      </c>
      <c r="HP186" s="95">
        <f t="shared" si="1686"/>
        <v>0.56644698423291895</v>
      </c>
      <c r="HQ186" s="15">
        <f t="shared" si="1687"/>
        <v>209</v>
      </c>
      <c r="HR186" s="12">
        <f t="shared" si="1688"/>
        <v>3.078055964653903E-2</v>
      </c>
      <c r="HS186" s="16">
        <v>64.400000000000006</v>
      </c>
      <c r="HT186" s="17">
        <v>6426</v>
      </c>
      <c r="HU186" s="16">
        <f t="shared" si="1689"/>
        <v>94.639175257731949</v>
      </c>
      <c r="HV186" s="15"/>
      <c r="HW186" s="14"/>
      <c r="HX186" s="73">
        <f t="shared" si="1690"/>
        <v>0.59693251533742331</v>
      </c>
      <c r="HY186" s="73">
        <f t="shared" si="1691"/>
        <v>0.57093749999999999</v>
      </c>
      <c r="HZ186" s="73">
        <f t="shared" si="1692"/>
        <v>0.53515914137675791</v>
      </c>
      <c r="IA186" s="73">
        <f t="shared" si="1693"/>
        <v>0.55610619469026545</v>
      </c>
    </row>
    <row r="187" spans="1:244" x14ac:dyDescent="0.25">
      <c r="A187" s="374"/>
      <c r="B187" s="41">
        <f t="shared" si="1694"/>
        <v>45083</v>
      </c>
      <c r="C187" s="10">
        <v>1</v>
      </c>
      <c r="D187" s="11"/>
      <c r="E187" s="69">
        <f t="shared" si="1695"/>
        <v>823</v>
      </c>
      <c r="F187" s="69">
        <f t="shared" si="1696"/>
        <v>72</v>
      </c>
      <c r="G187" s="11">
        <v>465</v>
      </c>
      <c r="H187" s="12">
        <f t="shared" si="1646"/>
        <v>0.5893074119076549</v>
      </c>
      <c r="I187" s="11">
        <v>20</v>
      </c>
      <c r="J187" s="12">
        <f t="shared" si="1647"/>
        <v>4.1237113402061855E-2</v>
      </c>
      <c r="K187" s="13"/>
      <c r="L187" s="11"/>
      <c r="M187" s="11"/>
      <c r="N187" s="14"/>
      <c r="O187" s="10"/>
      <c r="P187" s="11"/>
      <c r="Q187" s="69">
        <f t="shared" si="1697"/>
        <v>751</v>
      </c>
      <c r="R187" s="69">
        <f t="shared" si="1698"/>
        <v>64</v>
      </c>
      <c r="S187" s="11">
        <v>423</v>
      </c>
      <c r="T187" s="12">
        <f t="shared" si="1648"/>
        <v>0.58854860186418112</v>
      </c>
      <c r="U187" s="11">
        <v>19</v>
      </c>
      <c r="V187" s="12">
        <f t="shared" si="1649"/>
        <v>4.2986425339366516E-2</v>
      </c>
      <c r="W187" s="13"/>
      <c r="X187" s="11"/>
      <c r="Y187" s="11"/>
      <c r="Z187" s="14"/>
      <c r="AA187" s="10"/>
      <c r="AB187" s="11"/>
      <c r="AC187" s="69">
        <f t="shared" si="1699"/>
        <v>168</v>
      </c>
      <c r="AD187" s="69">
        <f t="shared" si="1700"/>
        <v>12</v>
      </c>
      <c r="AE187" s="11">
        <v>104</v>
      </c>
      <c r="AF187" s="12">
        <f t="shared" si="1701"/>
        <v>0.63690476190476186</v>
      </c>
      <c r="AG187" s="11">
        <v>3</v>
      </c>
      <c r="AH187" s="12">
        <f t="shared" si="1650"/>
        <v>2.8037383177570093E-2</v>
      </c>
      <c r="AI187" s="13"/>
      <c r="AJ187" s="11"/>
      <c r="AK187" s="11"/>
      <c r="AL187" s="14"/>
      <c r="AM187" s="10"/>
      <c r="AN187" s="11"/>
      <c r="AO187" s="69">
        <f t="shared" si="1702"/>
        <v>764</v>
      </c>
      <c r="AP187" s="69">
        <f t="shared" si="1703"/>
        <v>63</v>
      </c>
      <c r="AQ187" s="11">
        <v>446</v>
      </c>
      <c r="AR187" s="12">
        <f t="shared" si="1651"/>
        <v>0.59685863874345546</v>
      </c>
      <c r="AS187" s="11">
        <v>10</v>
      </c>
      <c r="AT187" s="12">
        <f t="shared" si="1652"/>
        <v>2.1929824561403508E-2</v>
      </c>
      <c r="AU187" s="13"/>
      <c r="AV187" s="11"/>
      <c r="AW187" s="11"/>
      <c r="AX187" s="14"/>
      <c r="AY187" s="10"/>
      <c r="AZ187" s="11">
        <v>1</v>
      </c>
      <c r="BA187" s="69">
        <f t="shared" si="1704"/>
        <v>753</v>
      </c>
      <c r="BB187" s="69">
        <f t="shared" si="1705"/>
        <v>66</v>
      </c>
      <c r="BC187" s="11">
        <v>498</v>
      </c>
      <c r="BD187" s="12">
        <f t="shared" si="1653"/>
        <v>0.68525896414342624</v>
      </c>
      <c r="BE187" s="11">
        <v>18</v>
      </c>
      <c r="BF187" s="12">
        <f t="shared" si="1654"/>
        <v>3.4883720930232558E-2</v>
      </c>
      <c r="BG187" s="13"/>
      <c r="BH187" s="11"/>
      <c r="BI187" s="11"/>
      <c r="BJ187" s="14"/>
      <c r="BK187" s="10"/>
      <c r="BL187" s="11"/>
      <c r="BM187" s="69">
        <f t="shared" si="1706"/>
        <v>816</v>
      </c>
      <c r="BN187" s="69">
        <f t="shared" si="1707"/>
        <v>70</v>
      </c>
      <c r="BO187" s="11">
        <v>495</v>
      </c>
      <c r="BP187" s="12">
        <f t="shared" si="1655"/>
        <v>0.62622549019607843</v>
      </c>
      <c r="BQ187" s="11">
        <v>16</v>
      </c>
      <c r="BR187" s="12">
        <f t="shared" si="1656"/>
        <v>3.131115459882583E-2</v>
      </c>
      <c r="BS187" s="13"/>
      <c r="BT187" s="11"/>
      <c r="BU187" s="11"/>
      <c r="BV187" s="14"/>
      <c r="BW187" s="10"/>
      <c r="BX187" s="11"/>
      <c r="BY187" s="69">
        <f t="shared" si="1708"/>
        <v>749</v>
      </c>
      <c r="BZ187" s="69">
        <f t="shared" si="1709"/>
        <v>61</v>
      </c>
      <c r="CA187" s="11">
        <v>431</v>
      </c>
      <c r="CB187" s="12">
        <f t="shared" si="1657"/>
        <v>0.58878504672897192</v>
      </c>
      <c r="CC187" s="11">
        <v>10</v>
      </c>
      <c r="CD187" s="12">
        <f t="shared" si="1658"/>
        <v>2.2675736961451247E-2</v>
      </c>
      <c r="CE187" s="13"/>
      <c r="CF187" s="11"/>
      <c r="CG187" s="11"/>
      <c r="CH187" s="14"/>
      <c r="CI187" s="10"/>
      <c r="CJ187" s="11"/>
      <c r="CK187" s="69">
        <f t="shared" si="1710"/>
        <v>154</v>
      </c>
      <c r="CL187" s="69">
        <f t="shared" si="1711"/>
        <v>14</v>
      </c>
      <c r="CM187" s="11">
        <v>82</v>
      </c>
      <c r="CN187" s="12">
        <f t="shared" si="1659"/>
        <v>0.55844155844155841</v>
      </c>
      <c r="CO187" s="11">
        <v>4</v>
      </c>
      <c r="CP187" s="12">
        <f t="shared" si="1660"/>
        <v>4.6511627906976744E-2</v>
      </c>
      <c r="CQ187" s="13"/>
      <c r="CR187" s="11"/>
      <c r="CS187" s="11"/>
      <c r="CT187" s="14"/>
      <c r="CU187" s="10"/>
      <c r="CV187" s="11"/>
      <c r="CW187" s="69">
        <f t="shared" si="1712"/>
        <v>737</v>
      </c>
      <c r="CX187" s="69">
        <f t="shared" si="1713"/>
        <v>63</v>
      </c>
      <c r="CY187" s="11">
        <v>428</v>
      </c>
      <c r="CZ187" s="12">
        <f t="shared" si="1661"/>
        <v>0.58887381275440975</v>
      </c>
      <c r="DA187" s="11">
        <v>6</v>
      </c>
      <c r="DB187" s="12">
        <f t="shared" si="1662"/>
        <v>1.3824884792626729E-2</v>
      </c>
      <c r="DC187" s="13"/>
      <c r="DD187" s="11"/>
      <c r="DE187" s="11"/>
      <c r="DF187" s="14"/>
      <c r="DG187" s="10"/>
      <c r="DH187" s="11"/>
      <c r="DI187" s="69">
        <f t="shared" si="1714"/>
        <v>744</v>
      </c>
      <c r="DJ187" s="69">
        <f t="shared" si="1715"/>
        <v>66</v>
      </c>
      <c r="DK187" s="11">
        <v>475</v>
      </c>
      <c r="DL187" s="12">
        <f t="shared" si="1663"/>
        <v>0.65591397849462363</v>
      </c>
      <c r="DM187" s="11">
        <v>13</v>
      </c>
      <c r="DN187" s="12">
        <f t="shared" si="1664"/>
        <v>2.663934426229508E-2</v>
      </c>
      <c r="DO187" s="13"/>
      <c r="DP187" s="11"/>
      <c r="DQ187" s="11"/>
      <c r="DR187" s="14"/>
      <c r="DS187" s="10"/>
      <c r="DT187" s="11"/>
      <c r="DU187" s="69">
        <f t="shared" si="1716"/>
        <v>826</v>
      </c>
      <c r="DV187" s="69">
        <f t="shared" si="1717"/>
        <v>71</v>
      </c>
      <c r="DW187" s="11">
        <v>459</v>
      </c>
      <c r="DX187" s="12">
        <f t="shared" si="1665"/>
        <v>0.58232445520581111</v>
      </c>
      <c r="DY187" s="11">
        <v>22</v>
      </c>
      <c r="DZ187" s="12">
        <f t="shared" si="1666"/>
        <v>4.5738045738045741E-2</v>
      </c>
      <c r="EA187" s="13"/>
      <c r="EB187" s="11"/>
      <c r="EC187" s="11"/>
      <c r="ED187" s="14"/>
      <c r="EE187" s="10"/>
      <c r="EF187" s="11"/>
      <c r="EG187" s="69">
        <f t="shared" si="1718"/>
        <v>845</v>
      </c>
      <c r="EH187" s="69">
        <f t="shared" si="1719"/>
        <v>73</v>
      </c>
      <c r="EI187" s="11">
        <v>472</v>
      </c>
      <c r="EJ187" s="12">
        <f t="shared" si="1667"/>
        <v>0.57396449704142016</v>
      </c>
      <c r="EK187" s="11">
        <v>13</v>
      </c>
      <c r="EL187" s="12">
        <f t="shared" si="1668"/>
        <v>2.6804123711340205E-2</v>
      </c>
      <c r="EM187" s="13"/>
      <c r="EN187" s="11"/>
      <c r="EO187" s="11"/>
      <c r="EP187" s="14"/>
      <c r="EQ187" s="10">
        <v>1</v>
      </c>
      <c r="ER187" s="11"/>
      <c r="ES187" s="69">
        <f t="shared" si="1720"/>
        <v>181</v>
      </c>
      <c r="ET187" s="69">
        <f t="shared" si="1721"/>
        <v>16</v>
      </c>
      <c r="EU187" s="11">
        <v>89</v>
      </c>
      <c r="EV187" s="12">
        <f t="shared" si="1669"/>
        <v>0.53591160220994472</v>
      </c>
      <c r="EW187" s="11">
        <v>8</v>
      </c>
      <c r="EX187" s="12">
        <f t="shared" si="1670"/>
        <v>8.247422680412371E-2</v>
      </c>
      <c r="EY187" s="13"/>
      <c r="EZ187" s="11"/>
      <c r="FA187" s="11"/>
      <c r="FB187" s="14"/>
      <c r="FC187" s="10"/>
      <c r="FD187" s="11"/>
      <c r="FE187" s="69">
        <f t="shared" si="1722"/>
        <v>849</v>
      </c>
      <c r="FF187" s="69">
        <f t="shared" si="1723"/>
        <v>73</v>
      </c>
      <c r="FG187" s="11">
        <v>477</v>
      </c>
      <c r="FH187" s="12">
        <f t="shared" si="1671"/>
        <v>0.5795053003533569</v>
      </c>
      <c r="FI187" s="11">
        <v>15</v>
      </c>
      <c r="FJ187" s="12">
        <f t="shared" si="1672"/>
        <v>3.048780487804878E-2</v>
      </c>
      <c r="FK187" s="13"/>
      <c r="FL187" s="11"/>
      <c r="FM187" s="11"/>
      <c r="FN187" s="14"/>
      <c r="FO187" s="10"/>
      <c r="FP187" s="11"/>
      <c r="FQ187" s="69">
        <f t="shared" si="1724"/>
        <v>880</v>
      </c>
      <c r="FR187" s="69">
        <f t="shared" si="1725"/>
        <v>75</v>
      </c>
      <c r="FS187" s="11">
        <v>510</v>
      </c>
      <c r="FT187" s="12">
        <f t="shared" si="1673"/>
        <v>0.59659090909090906</v>
      </c>
      <c r="FU187" s="11">
        <v>15</v>
      </c>
      <c r="FV187" s="12">
        <f t="shared" si="1674"/>
        <v>2.8571428571428571E-2</v>
      </c>
      <c r="FW187" s="13"/>
      <c r="FX187" s="11"/>
      <c r="FY187" s="11"/>
      <c r="FZ187" s="14"/>
      <c r="GA187" s="10">
        <v>1</v>
      </c>
      <c r="GB187" s="11"/>
      <c r="GC187" s="69">
        <f t="shared" si="1726"/>
        <v>879</v>
      </c>
      <c r="GD187" s="69">
        <f t="shared" si="1727"/>
        <v>76</v>
      </c>
      <c r="GE187" s="11">
        <v>490</v>
      </c>
      <c r="GF187" s="12">
        <f t="shared" si="1675"/>
        <v>0.5756541524459613</v>
      </c>
      <c r="GG187" s="11">
        <v>16</v>
      </c>
      <c r="GH187" s="12">
        <f t="shared" si="1676"/>
        <v>3.1620553359683792E-2</v>
      </c>
      <c r="GI187" s="13"/>
      <c r="GJ187" s="11"/>
      <c r="GK187" s="11"/>
      <c r="GL187" s="14"/>
      <c r="GM187" s="10"/>
      <c r="GN187" s="11"/>
      <c r="GO187" s="69">
        <f t="shared" si="1728"/>
        <v>161</v>
      </c>
      <c r="GP187" s="69">
        <f t="shared" si="1729"/>
        <v>17</v>
      </c>
      <c r="GQ187" s="11">
        <v>85</v>
      </c>
      <c r="GR187" s="12">
        <f t="shared" si="1677"/>
        <v>0.53416149068322982</v>
      </c>
      <c r="GS187" s="11">
        <v>1</v>
      </c>
      <c r="GT187" s="12">
        <f t="shared" si="1678"/>
        <v>1.1627906976744186E-2</v>
      </c>
      <c r="GU187" s="13"/>
      <c r="GV187" s="11"/>
      <c r="GW187" s="11"/>
      <c r="GX187" s="14"/>
      <c r="GY187" s="10"/>
      <c r="GZ187" s="11"/>
      <c r="HA187" s="69">
        <f t="shared" si="1730"/>
        <v>904</v>
      </c>
      <c r="HB187" s="69">
        <f t="shared" si="1731"/>
        <v>77</v>
      </c>
      <c r="HC187" s="11">
        <v>531</v>
      </c>
      <c r="HD187" s="12">
        <f t="shared" si="1679"/>
        <v>0.6084070796460177</v>
      </c>
      <c r="HE187" s="11">
        <v>19</v>
      </c>
      <c r="HF187" s="12">
        <f t="shared" si="1680"/>
        <v>3.4545454545454546E-2</v>
      </c>
      <c r="HG187" s="13"/>
      <c r="HH187" s="11"/>
      <c r="HI187" s="11"/>
      <c r="HJ187" s="14"/>
      <c r="HK187" s="10">
        <f t="shared" si="1681"/>
        <v>3</v>
      </c>
      <c r="HL187" s="11">
        <f t="shared" si="1682"/>
        <v>1</v>
      </c>
      <c r="HM187" s="11">
        <f t="shared" si="1683"/>
        <v>11984</v>
      </c>
      <c r="HN187" s="11">
        <f t="shared" si="1684"/>
        <v>1029</v>
      </c>
      <c r="HO187" s="11">
        <f t="shared" si="1685"/>
        <v>7188</v>
      </c>
      <c r="HP187" s="95">
        <f t="shared" si="1686"/>
        <v>0.59979973297730305</v>
      </c>
      <c r="HQ187" s="15">
        <f t="shared" si="1687"/>
        <v>228</v>
      </c>
      <c r="HR187" s="12">
        <f t="shared" si="1688"/>
        <v>3.1719532554257093E-2</v>
      </c>
      <c r="HS187" s="16">
        <v>64.400000000000006</v>
      </c>
      <c r="HT187" s="17">
        <v>6807</v>
      </c>
      <c r="HU187" s="16">
        <f t="shared" si="1689"/>
        <v>94.699499165275455</v>
      </c>
      <c r="HV187" s="15"/>
      <c r="HW187" s="14"/>
      <c r="HX187" s="73">
        <f t="shared" si="1690"/>
        <v>0.61552623504142379</v>
      </c>
      <c r="HY187" s="73">
        <f t="shared" si="1691"/>
        <v>0.61250000000000004</v>
      </c>
      <c r="HZ187" s="73">
        <f t="shared" si="1692"/>
        <v>0.57571269900037025</v>
      </c>
      <c r="IA187" s="73">
        <f t="shared" si="1693"/>
        <v>0.5902974504249292</v>
      </c>
    </row>
    <row r="188" spans="1:244" x14ac:dyDescent="0.25">
      <c r="A188" s="374"/>
      <c r="B188" s="41">
        <f t="shared" si="1694"/>
        <v>45084</v>
      </c>
      <c r="C188" s="10"/>
      <c r="D188" s="11"/>
      <c r="E188" s="69">
        <f t="shared" si="1695"/>
        <v>823</v>
      </c>
      <c r="F188" s="69">
        <f t="shared" si="1696"/>
        <v>72</v>
      </c>
      <c r="G188" s="11">
        <v>490</v>
      </c>
      <c r="H188" s="12">
        <f t="shared" si="1646"/>
        <v>0.61603888213851765</v>
      </c>
      <c r="I188" s="11">
        <v>17</v>
      </c>
      <c r="J188" s="12">
        <f t="shared" si="1647"/>
        <v>3.3530571992110451E-2</v>
      </c>
      <c r="K188" s="11"/>
      <c r="L188" s="11"/>
      <c r="M188" s="18"/>
      <c r="N188" s="20"/>
      <c r="O188" s="10"/>
      <c r="P188" s="11"/>
      <c r="Q188" s="69">
        <f t="shared" si="1697"/>
        <v>751</v>
      </c>
      <c r="R188" s="69">
        <f t="shared" si="1698"/>
        <v>64</v>
      </c>
      <c r="S188" s="11">
        <v>411</v>
      </c>
      <c r="T188" s="12">
        <f t="shared" si="1648"/>
        <v>0.56191744340878824</v>
      </c>
      <c r="U188" s="11">
        <v>11</v>
      </c>
      <c r="V188" s="12">
        <f t="shared" si="1649"/>
        <v>2.6066350710900472E-2</v>
      </c>
      <c r="W188" s="11"/>
      <c r="X188" s="11"/>
      <c r="Y188" s="18"/>
      <c r="Z188" s="20"/>
      <c r="AA188" s="10"/>
      <c r="AB188" s="11"/>
      <c r="AC188" s="69">
        <f t="shared" si="1699"/>
        <v>168</v>
      </c>
      <c r="AD188" s="69">
        <f t="shared" si="1700"/>
        <v>12</v>
      </c>
      <c r="AE188" s="11">
        <v>96</v>
      </c>
      <c r="AF188" s="12">
        <f t="shared" si="1701"/>
        <v>0.59523809523809523</v>
      </c>
      <c r="AG188" s="11">
        <v>4</v>
      </c>
      <c r="AH188" s="12">
        <f t="shared" si="1650"/>
        <v>0.04</v>
      </c>
      <c r="AI188" s="11"/>
      <c r="AJ188" s="11"/>
      <c r="AK188" s="18"/>
      <c r="AL188" s="20"/>
      <c r="AM188" s="10"/>
      <c r="AN188" s="11"/>
      <c r="AO188" s="69">
        <f t="shared" si="1702"/>
        <v>764</v>
      </c>
      <c r="AP188" s="69">
        <f t="shared" si="1703"/>
        <v>63</v>
      </c>
      <c r="AQ188" s="11">
        <v>413</v>
      </c>
      <c r="AR188" s="12">
        <f t="shared" si="1651"/>
        <v>0.55366492146596857</v>
      </c>
      <c r="AS188" s="11">
        <v>10</v>
      </c>
      <c r="AT188" s="12">
        <f t="shared" si="1652"/>
        <v>2.3640661938534278E-2</v>
      </c>
      <c r="AU188" s="11"/>
      <c r="AV188" s="11"/>
      <c r="AW188" s="18"/>
      <c r="AX188" s="20"/>
      <c r="AY188" s="10"/>
      <c r="AZ188" s="11"/>
      <c r="BA188" s="69">
        <f t="shared" si="1704"/>
        <v>753</v>
      </c>
      <c r="BB188" s="69">
        <f t="shared" si="1705"/>
        <v>66</v>
      </c>
      <c r="BC188" s="11">
        <v>436</v>
      </c>
      <c r="BD188" s="12">
        <f t="shared" si="1653"/>
        <v>0.60026560424966802</v>
      </c>
      <c r="BE188" s="11">
        <v>16</v>
      </c>
      <c r="BF188" s="12">
        <f t="shared" si="1654"/>
        <v>3.5398230088495575E-2</v>
      </c>
      <c r="BG188" s="11"/>
      <c r="BH188" s="11"/>
      <c r="BI188" s="18"/>
      <c r="BJ188" s="20"/>
      <c r="BK188" s="10"/>
      <c r="BL188" s="11"/>
      <c r="BM188" s="69">
        <f t="shared" si="1706"/>
        <v>816</v>
      </c>
      <c r="BN188" s="69">
        <f t="shared" si="1707"/>
        <v>70</v>
      </c>
      <c r="BO188" s="11">
        <v>480</v>
      </c>
      <c r="BP188" s="12">
        <f t="shared" si="1655"/>
        <v>0.60784313725490191</v>
      </c>
      <c r="BQ188" s="11">
        <v>16</v>
      </c>
      <c r="BR188" s="12">
        <f t="shared" si="1656"/>
        <v>3.2258064516129031E-2</v>
      </c>
      <c r="BS188" s="11"/>
      <c r="BT188" s="11"/>
      <c r="BU188" s="18"/>
      <c r="BV188" s="20"/>
      <c r="BW188" s="10"/>
      <c r="BX188" s="11"/>
      <c r="BY188" s="69">
        <f t="shared" si="1708"/>
        <v>749</v>
      </c>
      <c r="BZ188" s="69">
        <f t="shared" si="1709"/>
        <v>61</v>
      </c>
      <c r="CA188" s="11">
        <v>425</v>
      </c>
      <c r="CB188" s="12">
        <f t="shared" si="1657"/>
        <v>0.58210947930574097</v>
      </c>
      <c r="CC188" s="11">
        <v>11</v>
      </c>
      <c r="CD188" s="12">
        <f t="shared" si="1658"/>
        <v>2.5229357798165139E-2</v>
      </c>
      <c r="CE188" s="11"/>
      <c r="CF188" s="11"/>
      <c r="CG188" s="18"/>
      <c r="CH188" s="20"/>
      <c r="CI188" s="10"/>
      <c r="CJ188" s="11"/>
      <c r="CK188" s="69">
        <f t="shared" si="1710"/>
        <v>154</v>
      </c>
      <c r="CL188" s="69">
        <f t="shared" si="1711"/>
        <v>14</v>
      </c>
      <c r="CM188" s="11">
        <v>75</v>
      </c>
      <c r="CN188" s="12">
        <f t="shared" si="1659"/>
        <v>0.5</v>
      </c>
      <c r="CO188" s="11">
        <v>2</v>
      </c>
      <c r="CP188" s="12">
        <f t="shared" si="1660"/>
        <v>2.5974025974025976E-2</v>
      </c>
      <c r="CQ188" s="11"/>
      <c r="CR188" s="11"/>
      <c r="CS188" s="18"/>
      <c r="CT188" s="20"/>
      <c r="CU188" s="10"/>
      <c r="CV188" s="11"/>
      <c r="CW188" s="69">
        <f t="shared" si="1712"/>
        <v>737</v>
      </c>
      <c r="CX188" s="69">
        <f t="shared" si="1713"/>
        <v>63</v>
      </c>
      <c r="CY188" s="11">
        <v>424</v>
      </c>
      <c r="CZ188" s="12">
        <f t="shared" si="1661"/>
        <v>0.59430122116689277</v>
      </c>
      <c r="DA188" s="11">
        <v>14</v>
      </c>
      <c r="DB188" s="12">
        <f t="shared" si="1662"/>
        <v>3.1963470319634701E-2</v>
      </c>
      <c r="DC188" s="11"/>
      <c r="DD188" s="11"/>
      <c r="DE188" s="18"/>
      <c r="DF188" s="20"/>
      <c r="DG188" s="10"/>
      <c r="DH188" s="11"/>
      <c r="DI188" s="69">
        <f t="shared" si="1714"/>
        <v>744</v>
      </c>
      <c r="DJ188" s="69">
        <f t="shared" si="1715"/>
        <v>66</v>
      </c>
      <c r="DK188" s="11">
        <v>440</v>
      </c>
      <c r="DL188" s="12">
        <f t="shared" si="1663"/>
        <v>0.60483870967741937</v>
      </c>
      <c r="DM188" s="11">
        <v>10</v>
      </c>
      <c r="DN188" s="12">
        <f t="shared" si="1664"/>
        <v>2.2222222222222223E-2</v>
      </c>
      <c r="DO188" s="11"/>
      <c r="DP188" s="11"/>
      <c r="DQ188" s="18"/>
      <c r="DR188" s="20"/>
      <c r="DS188" s="10"/>
      <c r="DT188" s="11"/>
      <c r="DU188" s="69">
        <f t="shared" si="1716"/>
        <v>826</v>
      </c>
      <c r="DV188" s="69">
        <f t="shared" si="1717"/>
        <v>71</v>
      </c>
      <c r="DW188" s="11">
        <v>440</v>
      </c>
      <c r="DX188" s="12">
        <f t="shared" si="1665"/>
        <v>0.54963680387409197</v>
      </c>
      <c r="DY188" s="11">
        <v>14</v>
      </c>
      <c r="DZ188" s="12">
        <f t="shared" si="1666"/>
        <v>3.0837004405286344E-2</v>
      </c>
      <c r="EA188" s="11"/>
      <c r="EB188" s="11"/>
      <c r="EC188" s="18"/>
      <c r="ED188" s="20"/>
      <c r="EE188" s="10"/>
      <c r="EF188" s="11"/>
      <c r="EG188" s="69">
        <f t="shared" si="1718"/>
        <v>845</v>
      </c>
      <c r="EH188" s="69">
        <f t="shared" si="1719"/>
        <v>73</v>
      </c>
      <c r="EI188" s="11">
        <v>454</v>
      </c>
      <c r="EJ188" s="12">
        <f t="shared" si="1667"/>
        <v>0.5514792899408284</v>
      </c>
      <c r="EK188" s="11">
        <v>12</v>
      </c>
      <c r="EL188" s="12">
        <f t="shared" si="1668"/>
        <v>2.575107296137339E-2</v>
      </c>
      <c r="EM188" s="11"/>
      <c r="EN188" s="11"/>
      <c r="EO188" s="18"/>
      <c r="EP188" s="20"/>
      <c r="EQ188" s="10"/>
      <c r="ER188" s="11"/>
      <c r="ES188" s="69">
        <f t="shared" si="1720"/>
        <v>181</v>
      </c>
      <c r="ET188" s="69">
        <f t="shared" si="1721"/>
        <v>16</v>
      </c>
      <c r="EU188" s="11">
        <v>79</v>
      </c>
      <c r="EV188" s="12">
        <f t="shared" si="1669"/>
        <v>0.44751381215469616</v>
      </c>
      <c r="EW188" s="11">
        <v>2</v>
      </c>
      <c r="EX188" s="12">
        <f t="shared" si="1670"/>
        <v>2.4691358024691357E-2</v>
      </c>
      <c r="EY188" s="11"/>
      <c r="EZ188" s="11"/>
      <c r="FA188" s="18"/>
      <c r="FB188" s="20"/>
      <c r="FC188" s="10"/>
      <c r="FD188" s="11"/>
      <c r="FE188" s="69">
        <f t="shared" si="1722"/>
        <v>849</v>
      </c>
      <c r="FF188" s="69">
        <f t="shared" si="1723"/>
        <v>73</v>
      </c>
      <c r="FG188" s="11">
        <v>464</v>
      </c>
      <c r="FH188" s="12">
        <f t="shared" si="1671"/>
        <v>0.55594817432273258</v>
      </c>
      <c r="FI188" s="11">
        <v>8</v>
      </c>
      <c r="FJ188" s="12">
        <f t="shared" si="1672"/>
        <v>1.6949152542372881E-2</v>
      </c>
      <c r="FK188" s="11"/>
      <c r="FL188" s="11"/>
      <c r="FM188" s="18"/>
      <c r="FN188" s="20"/>
      <c r="FO188" s="10">
        <v>1</v>
      </c>
      <c r="FP188" s="11"/>
      <c r="FQ188" s="69">
        <f t="shared" si="1724"/>
        <v>879</v>
      </c>
      <c r="FR188" s="69">
        <f t="shared" si="1725"/>
        <v>75</v>
      </c>
      <c r="FS188" s="11">
        <v>430</v>
      </c>
      <c r="FT188" s="12">
        <f t="shared" si="1673"/>
        <v>0.51080773606370877</v>
      </c>
      <c r="FU188" s="11">
        <v>19</v>
      </c>
      <c r="FV188" s="12">
        <f t="shared" si="1674"/>
        <v>4.2316258351893093E-2</v>
      </c>
      <c r="FW188" s="11"/>
      <c r="FX188" s="11"/>
      <c r="FY188" s="18"/>
      <c r="FZ188" s="20"/>
      <c r="GA188" s="10"/>
      <c r="GB188" s="11"/>
      <c r="GC188" s="69">
        <f t="shared" si="1726"/>
        <v>879</v>
      </c>
      <c r="GD188" s="69">
        <f t="shared" si="1727"/>
        <v>76</v>
      </c>
      <c r="GE188" s="11">
        <v>440</v>
      </c>
      <c r="GF188" s="12">
        <f t="shared" si="1675"/>
        <v>0.52104664391353817</v>
      </c>
      <c r="GG188" s="11">
        <v>18</v>
      </c>
      <c r="GH188" s="12">
        <f t="shared" si="1676"/>
        <v>3.9301310043668124E-2</v>
      </c>
      <c r="GI188" s="11"/>
      <c r="GJ188" s="11"/>
      <c r="GK188" s="18"/>
      <c r="GL188" s="20"/>
      <c r="GM188" s="10">
        <v>1</v>
      </c>
      <c r="GN188" s="11"/>
      <c r="GO188" s="69">
        <f t="shared" si="1728"/>
        <v>160</v>
      </c>
      <c r="GP188" s="69">
        <f t="shared" si="1729"/>
        <v>17</v>
      </c>
      <c r="GQ188" s="11">
        <v>76</v>
      </c>
      <c r="GR188" s="12">
        <f t="shared" si="1677"/>
        <v>0.51249999999999996</v>
      </c>
      <c r="GS188" s="11">
        <v>6</v>
      </c>
      <c r="GT188" s="12">
        <f t="shared" si="1678"/>
        <v>7.3170731707317069E-2</v>
      </c>
      <c r="GU188" s="11"/>
      <c r="GV188" s="11"/>
      <c r="GW188" s="18"/>
      <c r="GX188" s="20"/>
      <c r="GY188" s="10"/>
      <c r="GZ188" s="11"/>
      <c r="HA188" s="69">
        <f t="shared" si="1730"/>
        <v>904</v>
      </c>
      <c r="HB188" s="69">
        <f t="shared" si="1731"/>
        <v>77</v>
      </c>
      <c r="HC188" s="11">
        <v>497</v>
      </c>
      <c r="HD188" s="12">
        <f t="shared" si="1679"/>
        <v>0.56305309734513276</v>
      </c>
      <c r="HE188" s="11">
        <v>12</v>
      </c>
      <c r="HF188" s="12">
        <f t="shared" si="1680"/>
        <v>2.3575638506876228E-2</v>
      </c>
      <c r="HG188" s="11"/>
      <c r="HH188" s="11"/>
      <c r="HI188" s="18"/>
      <c r="HJ188" s="20"/>
      <c r="HK188" s="10">
        <f t="shared" si="1681"/>
        <v>2</v>
      </c>
      <c r="HL188" s="11">
        <f t="shared" si="1682"/>
        <v>0</v>
      </c>
      <c r="HM188" s="11">
        <f t="shared" si="1683"/>
        <v>11982</v>
      </c>
      <c r="HN188" s="11">
        <f t="shared" si="1684"/>
        <v>1029</v>
      </c>
      <c r="HO188" s="11">
        <f t="shared" si="1685"/>
        <v>6772</v>
      </c>
      <c r="HP188" s="95">
        <f t="shared" si="1686"/>
        <v>0.56518110499081953</v>
      </c>
      <c r="HQ188" s="15">
        <f t="shared" si="1687"/>
        <v>202</v>
      </c>
      <c r="HR188" s="12">
        <f t="shared" si="1688"/>
        <v>2.9828706438275249E-2</v>
      </c>
      <c r="HS188" s="16">
        <v>64.400000000000006</v>
      </c>
      <c r="HT188" s="17">
        <v>6415</v>
      </c>
      <c r="HU188" s="16">
        <f t="shared" si="1689"/>
        <v>94.7282929710573</v>
      </c>
      <c r="HV188" s="18"/>
      <c r="HW188" s="20"/>
      <c r="HX188" s="73">
        <f t="shared" si="1690"/>
        <v>0.58422829088677508</v>
      </c>
      <c r="HY188" s="73">
        <f t="shared" si="1691"/>
        <v>0.59281249999999996</v>
      </c>
      <c r="HZ188" s="73">
        <f t="shared" si="1692"/>
        <v>0.54535357275083307</v>
      </c>
      <c r="IA188" s="73">
        <f t="shared" si="1693"/>
        <v>0.5308291991495393</v>
      </c>
    </row>
    <row r="189" spans="1:244" x14ac:dyDescent="0.25">
      <c r="A189" s="374"/>
      <c r="B189" s="41">
        <f>+B188+1</f>
        <v>45085</v>
      </c>
      <c r="C189" s="10"/>
      <c r="D189" s="11"/>
      <c r="E189" s="69">
        <f t="shared" si="1695"/>
        <v>823</v>
      </c>
      <c r="F189" s="69">
        <f t="shared" si="1696"/>
        <v>72</v>
      </c>
      <c r="G189" s="11">
        <v>496</v>
      </c>
      <c r="H189" s="12">
        <f t="shared" si="1646"/>
        <v>0.62211421628189545</v>
      </c>
      <c r="I189" s="11">
        <v>16</v>
      </c>
      <c r="J189" s="12">
        <f t="shared" si="1647"/>
        <v>3.125E-2</v>
      </c>
      <c r="K189" s="13"/>
      <c r="L189" s="13"/>
      <c r="M189" s="25"/>
      <c r="N189" s="38">
        <v>4385</v>
      </c>
      <c r="O189" s="10">
        <v>1</v>
      </c>
      <c r="P189" s="11"/>
      <c r="Q189" s="69">
        <f t="shared" si="1697"/>
        <v>750</v>
      </c>
      <c r="R189" s="69">
        <f t="shared" si="1698"/>
        <v>64</v>
      </c>
      <c r="S189" s="11">
        <v>453</v>
      </c>
      <c r="T189" s="12">
        <f t="shared" si="1648"/>
        <v>0.62133333333333329</v>
      </c>
      <c r="U189" s="11">
        <v>13</v>
      </c>
      <c r="V189" s="12">
        <f t="shared" si="1649"/>
        <v>2.7896995708154508E-2</v>
      </c>
      <c r="W189" s="13"/>
      <c r="X189" s="13"/>
      <c r="Y189" s="25"/>
      <c r="Z189" s="38">
        <v>4385</v>
      </c>
      <c r="AA189" s="10">
        <v>1</v>
      </c>
      <c r="AB189" s="11"/>
      <c r="AC189" s="69">
        <f t="shared" si="1699"/>
        <v>167</v>
      </c>
      <c r="AD189" s="69">
        <f t="shared" si="1700"/>
        <v>12</v>
      </c>
      <c r="AE189" s="11">
        <v>92</v>
      </c>
      <c r="AF189" s="12">
        <f t="shared" si="1701"/>
        <v>0.57485029940119758</v>
      </c>
      <c r="AG189" s="11">
        <v>4</v>
      </c>
      <c r="AH189" s="12">
        <f t="shared" si="1650"/>
        <v>4.1666666666666664E-2</v>
      </c>
      <c r="AI189" s="13"/>
      <c r="AJ189" s="13"/>
      <c r="AK189" s="25"/>
      <c r="AL189" s="38">
        <v>4385</v>
      </c>
      <c r="AM189" s="10"/>
      <c r="AN189" s="11"/>
      <c r="AO189" s="69">
        <f t="shared" si="1702"/>
        <v>764</v>
      </c>
      <c r="AP189" s="69">
        <f t="shared" si="1703"/>
        <v>63</v>
      </c>
      <c r="AQ189" s="11">
        <v>435</v>
      </c>
      <c r="AR189" s="12">
        <f t="shared" si="1651"/>
        <v>0.58246073298429324</v>
      </c>
      <c r="AS189" s="11">
        <v>10</v>
      </c>
      <c r="AT189" s="12">
        <f t="shared" si="1652"/>
        <v>2.247191011235955E-2</v>
      </c>
      <c r="AU189" s="13"/>
      <c r="AV189" s="13"/>
      <c r="AW189" s="25"/>
      <c r="AX189" s="38">
        <v>4385</v>
      </c>
      <c r="AY189" s="10"/>
      <c r="AZ189" s="11"/>
      <c r="BA189" s="69">
        <f t="shared" si="1704"/>
        <v>753</v>
      </c>
      <c r="BB189" s="69">
        <f t="shared" si="1705"/>
        <v>66</v>
      </c>
      <c r="BC189" s="11">
        <v>478</v>
      </c>
      <c r="BD189" s="12">
        <f t="shared" si="1653"/>
        <v>0.65737051792828682</v>
      </c>
      <c r="BE189" s="11">
        <v>17</v>
      </c>
      <c r="BF189" s="12">
        <f t="shared" si="1654"/>
        <v>3.4343434343434343E-2</v>
      </c>
      <c r="BG189" s="13"/>
      <c r="BH189" s="13"/>
      <c r="BI189" s="25"/>
      <c r="BJ189" s="38">
        <v>4385</v>
      </c>
      <c r="BK189" s="10">
        <v>1</v>
      </c>
      <c r="BL189" s="11"/>
      <c r="BM189" s="69">
        <f t="shared" si="1706"/>
        <v>815</v>
      </c>
      <c r="BN189" s="69">
        <f t="shared" si="1707"/>
        <v>70</v>
      </c>
      <c r="BO189" s="11">
        <v>504</v>
      </c>
      <c r="BP189" s="12">
        <f t="shared" si="1655"/>
        <v>0.63312883435582823</v>
      </c>
      <c r="BQ189" s="11">
        <v>12</v>
      </c>
      <c r="BR189" s="12">
        <f t="shared" si="1656"/>
        <v>2.3255813953488372E-2</v>
      </c>
      <c r="BS189" s="13"/>
      <c r="BT189" s="13"/>
      <c r="BU189" s="25"/>
      <c r="BV189" s="38">
        <v>4385</v>
      </c>
      <c r="BW189" s="10"/>
      <c r="BX189" s="11"/>
      <c r="BY189" s="69">
        <f t="shared" si="1708"/>
        <v>749</v>
      </c>
      <c r="BZ189" s="69">
        <f t="shared" si="1709"/>
        <v>61</v>
      </c>
      <c r="CA189" s="11">
        <v>446</v>
      </c>
      <c r="CB189" s="12">
        <f t="shared" si="1657"/>
        <v>0.6141522029372497</v>
      </c>
      <c r="CC189" s="11">
        <v>14</v>
      </c>
      <c r="CD189" s="12">
        <f t="shared" si="1658"/>
        <v>3.0434782608695653E-2</v>
      </c>
      <c r="CE189" s="13"/>
      <c r="CF189" s="13"/>
      <c r="CG189" s="25"/>
      <c r="CH189" s="38">
        <v>4385</v>
      </c>
      <c r="CI189" s="10"/>
      <c r="CJ189" s="11"/>
      <c r="CK189" s="69">
        <f t="shared" si="1710"/>
        <v>154</v>
      </c>
      <c r="CL189" s="69">
        <f t="shared" si="1711"/>
        <v>14</v>
      </c>
      <c r="CM189" s="11">
        <v>92</v>
      </c>
      <c r="CN189" s="12">
        <f t="shared" si="1659"/>
        <v>0.61038961038961037</v>
      </c>
      <c r="CO189" s="11">
        <v>2</v>
      </c>
      <c r="CP189" s="12">
        <f t="shared" si="1660"/>
        <v>2.1276595744680851E-2</v>
      </c>
      <c r="CQ189" s="13"/>
      <c r="CR189" s="13"/>
      <c r="CS189" s="25"/>
      <c r="CT189" s="38">
        <v>4385</v>
      </c>
      <c r="CU189" s="10"/>
      <c r="CV189" s="11"/>
      <c r="CW189" s="69">
        <f t="shared" si="1712"/>
        <v>737</v>
      </c>
      <c r="CX189" s="69">
        <f t="shared" si="1713"/>
        <v>63</v>
      </c>
      <c r="CY189" s="11">
        <v>416</v>
      </c>
      <c r="CZ189" s="12">
        <f t="shared" si="1661"/>
        <v>0.57394843962008146</v>
      </c>
      <c r="DA189" s="11">
        <v>7</v>
      </c>
      <c r="DB189" s="12">
        <f t="shared" si="1662"/>
        <v>1.6548463356973995E-2</v>
      </c>
      <c r="DC189" s="13"/>
      <c r="DD189" s="13"/>
      <c r="DE189" s="25"/>
      <c r="DF189" s="38">
        <v>4385</v>
      </c>
      <c r="DG189" s="10"/>
      <c r="DH189" s="11"/>
      <c r="DI189" s="69">
        <f t="shared" si="1714"/>
        <v>744</v>
      </c>
      <c r="DJ189" s="69">
        <f t="shared" si="1715"/>
        <v>66</v>
      </c>
      <c r="DK189" s="11">
        <v>445</v>
      </c>
      <c r="DL189" s="12">
        <f t="shared" si="1663"/>
        <v>0.61290322580645162</v>
      </c>
      <c r="DM189" s="11">
        <v>11</v>
      </c>
      <c r="DN189" s="12">
        <f t="shared" si="1664"/>
        <v>2.4122807017543858E-2</v>
      </c>
      <c r="DO189" s="13"/>
      <c r="DP189" s="13"/>
      <c r="DQ189" s="25"/>
      <c r="DR189" s="38">
        <v>4385</v>
      </c>
      <c r="DS189" s="10"/>
      <c r="DT189" s="11"/>
      <c r="DU189" s="69">
        <f t="shared" si="1716"/>
        <v>826</v>
      </c>
      <c r="DV189" s="69">
        <f t="shared" si="1717"/>
        <v>71</v>
      </c>
      <c r="DW189" s="11">
        <v>441</v>
      </c>
      <c r="DX189" s="12">
        <f t="shared" si="1665"/>
        <v>0.55932203389830504</v>
      </c>
      <c r="DY189" s="11">
        <v>21</v>
      </c>
      <c r="DZ189" s="12">
        <f t="shared" si="1666"/>
        <v>4.5454545454545456E-2</v>
      </c>
      <c r="EA189" s="13"/>
      <c r="EB189" s="13"/>
      <c r="EC189" s="25"/>
      <c r="ED189" s="38">
        <v>4385</v>
      </c>
      <c r="EE189" s="10"/>
      <c r="EF189" s="11"/>
      <c r="EG189" s="69">
        <f t="shared" si="1718"/>
        <v>845</v>
      </c>
      <c r="EH189" s="69">
        <f t="shared" si="1719"/>
        <v>73</v>
      </c>
      <c r="EI189" s="11">
        <v>497</v>
      </c>
      <c r="EJ189" s="12">
        <f t="shared" si="1667"/>
        <v>0.60591715976331362</v>
      </c>
      <c r="EK189" s="11">
        <v>15</v>
      </c>
      <c r="EL189" s="12">
        <f t="shared" si="1668"/>
        <v>2.9296875E-2</v>
      </c>
      <c r="EM189" s="13"/>
      <c r="EN189" s="13"/>
      <c r="EO189" s="25"/>
      <c r="EP189" s="38">
        <v>4385</v>
      </c>
      <c r="EQ189" s="10"/>
      <c r="ER189" s="11"/>
      <c r="ES189" s="69">
        <f t="shared" si="1720"/>
        <v>181</v>
      </c>
      <c r="ET189" s="69">
        <f t="shared" si="1721"/>
        <v>16</v>
      </c>
      <c r="EU189" s="11">
        <v>100</v>
      </c>
      <c r="EV189" s="12">
        <f t="shared" si="1669"/>
        <v>0.58011049723756902</v>
      </c>
      <c r="EW189" s="11">
        <v>5</v>
      </c>
      <c r="EX189" s="12">
        <f t="shared" si="1670"/>
        <v>4.7619047619047616E-2</v>
      </c>
      <c r="EY189" s="13"/>
      <c r="EZ189" s="13"/>
      <c r="FA189" s="25"/>
      <c r="FB189" s="38">
        <v>4385</v>
      </c>
      <c r="FC189" s="10"/>
      <c r="FD189" s="11"/>
      <c r="FE189" s="69">
        <f t="shared" si="1722"/>
        <v>849</v>
      </c>
      <c r="FF189" s="69">
        <f t="shared" si="1723"/>
        <v>73</v>
      </c>
      <c r="FG189" s="11">
        <v>500</v>
      </c>
      <c r="FH189" s="12">
        <f t="shared" si="1671"/>
        <v>0.59835100117785633</v>
      </c>
      <c r="FI189" s="11">
        <v>8</v>
      </c>
      <c r="FJ189" s="12">
        <f t="shared" si="1672"/>
        <v>1.5748031496062992E-2</v>
      </c>
      <c r="FK189" s="13"/>
      <c r="FL189" s="13"/>
      <c r="FM189" s="25"/>
      <c r="FN189" s="38">
        <v>4385</v>
      </c>
      <c r="FO189" s="10"/>
      <c r="FP189" s="11"/>
      <c r="FQ189" s="69">
        <f t="shared" si="1724"/>
        <v>879</v>
      </c>
      <c r="FR189" s="69">
        <f t="shared" si="1725"/>
        <v>75</v>
      </c>
      <c r="FS189" s="11">
        <v>484</v>
      </c>
      <c r="FT189" s="12">
        <f t="shared" si="1673"/>
        <v>0.57337883959044367</v>
      </c>
      <c r="FU189" s="11">
        <v>20</v>
      </c>
      <c r="FV189" s="12">
        <f t="shared" si="1674"/>
        <v>3.968253968253968E-2</v>
      </c>
      <c r="FW189" s="13"/>
      <c r="FX189" s="13"/>
      <c r="FY189" s="25"/>
      <c r="FZ189" s="38">
        <v>4385</v>
      </c>
      <c r="GA189" s="10"/>
      <c r="GB189" s="11"/>
      <c r="GC189" s="69">
        <f t="shared" si="1726"/>
        <v>879</v>
      </c>
      <c r="GD189" s="69">
        <f t="shared" si="1727"/>
        <v>76</v>
      </c>
      <c r="GE189" s="11">
        <v>494</v>
      </c>
      <c r="GF189" s="12">
        <f t="shared" si="1675"/>
        <v>0.58361774744027306</v>
      </c>
      <c r="GG189" s="11">
        <v>19</v>
      </c>
      <c r="GH189" s="12">
        <f t="shared" si="1676"/>
        <v>3.7037037037037035E-2</v>
      </c>
      <c r="GI189" s="13"/>
      <c r="GJ189" s="13"/>
      <c r="GK189" s="25"/>
      <c r="GL189" s="38">
        <v>4385</v>
      </c>
      <c r="GM189" s="10">
        <v>1</v>
      </c>
      <c r="GN189" s="11"/>
      <c r="GO189" s="69">
        <f t="shared" si="1728"/>
        <v>159</v>
      </c>
      <c r="GP189" s="69">
        <f t="shared" si="1729"/>
        <v>17</v>
      </c>
      <c r="GQ189" s="11">
        <v>86</v>
      </c>
      <c r="GR189" s="12">
        <f t="shared" si="1677"/>
        <v>0.54088050314465408</v>
      </c>
      <c r="GS189" s="11">
        <v>0</v>
      </c>
      <c r="GT189" s="12">
        <f t="shared" si="1678"/>
        <v>0</v>
      </c>
      <c r="GU189" s="13"/>
      <c r="GV189" s="13"/>
      <c r="GW189" s="25"/>
      <c r="GX189" s="38">
        <v>4385</v>
      </c>
      <c r="GY189" s="10"/>
      <c r="GZ189" s="11"/>
      <c r="HA189" s="69">
        <f t="shared" si="1730"/>
        <v>904</v>
      </c>
      <c r="HB189" s="69">
        <f t="shared" si="1731"/>
        <v>77</v>
      </c>
      <c r="HC189" s="11">
        <v>556</v>
      </c>
      <c r="HD189" s="12">
        <f t="shared" si="1679"/>
        <v>0.63384955752212391</v>
      </c>
      <c r="HE189" s="11">
        <v>17</v>
      </c>
      <c r="HF189" s="12">
        <f t="shared" si="1680"/>
        <v>2.9668411867364748E-2</v>
      </c>
      <c r="HG189" s="13"/>
      <c r="HH189" s="13"/>
      <c r="HI189" s="25"/>
      <c r="HJ189" s="38">
        <v>4385</v>
      </c>
      <c r="HK189" s="10">
        <f t="shared" si="1681"/>
        <v>4</v>
      </c>
      <c r="HL189" s="11">
        <f t="shared" si="1682"/>
        <v>0</v>
      </c>
      <c r="HM189" s="11">
        <f t="shared" si="1683"/>
        <v>11978</v>
      </c>
      <c r="HN189" s="11">
        <f t="shared" si="1684"/>
        <v>1029</v>
      </c>
      <c r="HO189" s="11">
        <f t="shared" si="1685"/>
        <v>7226</v>
      </c>
      <c r="HP189" s="95">
        <f t="shared" si="1686"/>
        <v>0.6032726665553515</v>
      </c>
      <c r="HQ189" s="15">
        <f t="shared" si="1687"/>
        <v>211</v>
      </c>
      <c r="HR189" s="12">
        <f t="shared" si="1688"/>
        <v>2.9200110711320233E-2</v>
      </c>
      <c r="HS189" s="16">
        <v>64.400000000000006</v>
      </c>
      <c r="HT189" s="17">
        <v>6837</v>
      </c>
      <c r="HU189" s="16">
        <f t="shared" si="1689"/>
        <v>94.616662053694995</v>
      </c>
      <c r="HV189" s="23"/>
      <c r="HW189" s="22">
        <v>4385</v>
      </c>
      <c r="HX189" s="73">
        <f t="shared" si="1690"/>
        <v>0.61836045440589504</v>
      </c>
      <c r="HY189" s="73">
        <f t="shared" si="1691"/>
        <v>0.60925289152860274</v>
      </c>
      <c r="HZ189" s="73">
        <f t="shared" si="1692"/>
        <v>0.58756016290262869</v>
      </c>
      <c r="IA189" s="73">
        <f t="shared" si="1693"/>
        <v>0.59411556185749737</v>
      </c>
    </row>
    <row r="190" spans="1:244" x14ac:dyDescent="0.25">
      <c r="A190" s="374"/>
      <c r="B190" s="41">
        <f t="shared" si="1694"/>
        <v>45086</v>
      </c>
      <c r="C190" s="10"/>
      <c r="D190" s="11"/>
      <c r="E190" s="69">
        <f t="shared" si="1695"/>
        <v>823</v>
      </c>
      <c r="F190" s="69">
        <f t="shared" si="1696"/>
        <v>72</v>
      </c>
      <c r="G190" s="11">
        <v>469</v>
      </c>
      <c r="H190" s="12">
        <f t="shared" si="1646"/>
        <v>0.60388821385176183</v>
      </c>
      <c r="I190" s="11">
        <v>28</v>
      </c>
      <c r="J190" s="12">
        <f t="shared" si="1647"/>
        <v>5.6338028169014086E-2</v>
      </c>
      <c r="K190" s="13"/>
      <c r="L190" s="11"/>
      <c r="M190" s="25"/>
      <c r="N190" s="38">
        <v>4441.333333333333</v>
      </c>
      <c r="O190" s="10"/>
      <c r="P190" s="11"/>
      <c r="Q190" s="69">
        <f t="shared" si="1697"/>
        <v>750</v>
      </c>
      <c r="R190" s="69">
        <f t="shared" si="1698"/>
        <v>64</v>
      </c>
      <c r="S190" s="11">
        <v>432</v>
      </c>
      <c r="T190" s="12">
        <f t="shared" si="1648"/>
        <v>0.59599999999999997</v>
      </c>
      <c r="U190" s="11">
        <v>15</v>
      </c>
      <c r="V190" s="12">
        <f t="shared" si="1649"/>
        <v>3.3557046979865772E-2</v>
      </c>
      <c r="W190" s="13"/>
      <c r="X190" s="11"/>
      <c r="Y190" s="25"/>
      <c r="Z190" s="38">
        <v>4890.7142857142853</v>
      </c>
      <c r="AA190" s="10">
        <v>1</v>
      </c>
      <c r="AB190" s="11"/>
      <c r="AC190" s="69">
        <f t="shared" si="1699"/>
        <v>166</v>
      </c>
      <c r="AD190" s="69">
        <f t="shared" si="1700"/>
        <v>12</v>
      </c>
      <c r="AE190" s="11">
        <v>100</v>
      </c>
      <c r="AF190" s="12">
        <f t="shared" si="1701"/>
        <v>0.62048192771084343</v>
      </c>
      <c r="AG190" s="11">
        <v>3</v>
      </c>
      <c r="AH190" s="12">
        <f t="shared" si="1650"/>
        <v>2.9126213592233011E-2</v>
      </c>
      <c r="AI190" s="13"/>
      <c r="AJ190" s="11"/>
      <c r="AK190" s="25"/>
      <c r="AL190" s="38">
        <v>4386.666666666667</v>
      </c>
      <c r="AM190" s="10"/>
      <c r="AN190" s="11"/>
      <c r="AO190" s="69">
        <f t="shared" si="1702"/>
        <v>764</v>
      </c>
      <c r="AP190" s="69">
        <f t="shared" si="1703"/>
        <v>63</v>
      </c>
      <c r="AQ190" s="11">
        <v>452</v>
      </c>
      <c r="AR190" s="12">
        <f t="shared" si="1651"/>
        <v>0.60732984293193715</v>
      </c>
      <c r="AS190" s="11">
        <v>12</v>
      </c>
      <c r="AT190" s="12">
        <f t="shared" si="1652"/>
        <v>2.5862068965517241E-2</v>
      </c>
      <c r="AU190" s="13"/>
      <c r="AV190" s="11"/>
      <c r="AW190" s="25"/>
      <c r="AX190" s="38">
        <v>4675.454545454545</v>
      </c>
      <c r="AY190" s="10"/>
      <c r="AZ190" s="11"/>
      <c r="BA190" s="69">
        <f t="shared" si="1704"/>
        <v>753</v>
      </c>
      <c r="BB190" s="69">
        <f t="shared" si="1705"/>
        <v>66</v>
      </c>
      <c r="BC190" s="11">
        <v>471</v>
      </c>
      <c r="BD190" s="12">
        <f t="shared" si="1653"/>
        <v>0.64010624169986718</v>
      </c>
      <c r="BE190" s="11">
        <v>11</v>
      </c>
      <c r="BF190" s="12">
        <f t="shared" si="1654"/>
        <v>2.2821576763485476E-2</v>
      </c>
      <c r="BG190" s="13"/>
      <c r="BH190" s="11"/>
      <c r="BI190" s="25"/>
      <c r="BJ190" s="38">
        <v>4716</v>
      </c>
      <c r="BK190" s="10"/>
      <c r="BL190" s="11"/>
      <c r="BM190" s="69">
        <f t="shared" si="1706"/>
        <v>815</v>
      </c>
      <c r="BN190" s="69">
        <f t="shared" si="1707"/>
        <v>70</v>
      </c>
      <c r="BO190" s="11">
        <v>462</v>
      </c>
      <c r="BP190" s="12">
        <f t="shared" si="1655"/>
        <v>0.58527607361963185</v>
      </c>
      <c r="BQ190" s="11">
        <v>15</v>
      </c>
      <c r="BR190" s="12">
        <f t="shared" si="1656"/>
        <v>3.1446540880503145E-2</v>
      </c>
      <c r="BS190" s="13"/>
      <c r="BT190" s="11"/>
      <c r="BU190" s="25"/>
      <c r="BV190" s="38">
        <v>4613.5714285714284</v>
      </c>
      <c r="BW190" s="10">
        <v>1</v>
      </c>
      <c r="BX190" s="11"/>
      <c r="BY190" s="69">
        <f t="shared" si="1708"/>
        <v>748</v>
      </c>
      <c r="BZ190" s="69">
        <f t="shared" si="1709"/>
        <v>61</v>
      </c>
      <c r="CA190" s="11">
        <v>418</v>
      </c>
      <c r="CB190" s="12">
        <f t="shared" si="1657"/>
        <v>0.57352941176470584</v>
      </c>
      <c r="CC190" s="11">
        <v>11</v>
      </c>
      <c r="CD190" s="12">
        <f t="shared" si="1658"/>
        <v>2.564102564102564E-2</v>
      </c>
      <c r="CE190" s="13"/>
      <c r="CF190" s="11"/>
      <c r="CG190" s="25"/>
      <c r="CH190" s="38">
        <v>4783.0769230769229</v>
      </c>
      <c r="CI190" s="10">
        <v>1</v>
      </c>
      <c r="CJ190" s="11"/>
      <c r="CK190" s="69">
        <f t="shared" si="1710"/>
        <v>153</v>
      </c>
      <c r="CL190" s="69">
        <f t="shared" si="1711"/>
        <v>14</v>
      </c>
      <c r="CM190" s="11">
        <v>73</v>
      </c>
      <c r="CN190" s="12">
        <f t="shared" si="1659"/>
        <v>0.50980392156862742</v>
      </c>
      <c r="CO190" s="11">
        <v>5</v>
      </c>
      <c r="CP190" s="12">
        <f t="shared" si="1660"/>
        <v>6.4102564102564097E-2</v>
      </c>
      <c r="CQ190" s="13"/>
      <c r="CR190" s="11"/>
      <c r="CS190" s="25"/>
      <c r="CT190" s="38">
        <v>4230</v>
      </c>
      <c r="CU190" s="10"/>
      <c r="CV190" s="11"/>
      <c r="CW190" s="69">
        <f t="shared" si="1712"/>
        <v>737</v>
      </c>
      <c r="CX190" s="69">
        <f t="shared" si="1713"/>
        <v>63</v>
      </c>
      <c r="CY190" s="11">
        <v>415</v>
      </c>
      <c r="CZ190" s="12">
        <f t="shared" si="1661"/>
        <v>0.57530529172320222</v>
      </c>
      <c r="DA190" s="11">
        <v>9</v>
      </c>
      <c r="DB190" s="12">
        <f t="shared" si="1662"/>
        <v>2.1226415094339621E-2</v>
      </c>
      <c r="DC190" s="13"/>
      <c r="DD190" s="11"/>
      <c r="DE190" s="25"/>
      <c r="DF190" s="38">
        <v>4738.5714285714284</v>
      </c>
      <c r="DG190" s="10"/>
      <c r="DH190" s="11"/>
      <c r="DI190" s="69">
        <f t="shared" si="1714"/>
        <v>744</v>
      </c>
      <c r="DJ190" s="69">
        <f t="shared" si="1715"/>
        <v>66</v>
      </c>
      <c r="DK190" s="11">
        <v>454</v>
      </c>
      <c r="DL190" s="12">
        <f t="shared" si="1663"/>
        <v>0.62768817204301075</v>
      </c>
      <c r="DM190" s="11">
        <v>13</v>
      </c>
      <c r="DN190" s="12">
        <f t="shared" si="1664"/>
        <v>2.7837259100642397E-2</v>
      </c>
      <c r="DO190" s="13"/>
      <c r="DP190" s="11"/>
      <c r="DQ190" s="25"/>
      <c r="DR190" s="38">
        <v>4970</v>
      </c>
      <c r="DS190" s="10"/>
      <c r="DT190" s="11"/>
      <c r="DU190" s="69">
        <f t="shared" si="1716"/>
        <v>826</v>
      </c>
      <c r="DV190" s="69">
        <f t="shared" si="1717"/>
        <v>71</v>
      </c>
      <c r="DW190" s="11">
        <v>442</v>
      </c>
      <c r="DX190" s="12">
        <f t="shared" si="1665"/>
        <v>0.56900726392251821</v>
      </c>
      <c r="DY190" s="11">
        <v>28</v>
      </c>
      <c r="DZ190" s="12">
        <f t="shared" si="1666"/>
        <v>5.9574468085106386E-2</v>
      </c>
      <c r="EA190" s="13"/>
      <c r="EB190" s="11"/>
      <c r="EC190" s="25"/>
      <c r="ED190" s="38">
        <v>4471.25</v>
      </c>
      <c r="EE190" s="10"/>
      <c r="EF190" s="11"/>
      <c r="EG190" s="69">
        <f t="shared" si="1718"/>
        <v>845</v>
      </c>
      <c r="EH190" s="69">
        <f t="shared" si="1719"/>
        <v>73</v>
      </c>
      <c r="EI190" s="11">
        <v>515</v>
      </c>
      <c r="EJ190" s="12">
        <f t="shared" si="1667"/>
        <v>0.62130177514792895</v>
      </c>
      <c r="EK190" s="11">
        <v>10</v>
      </c>
      <c r="EL190" s="12">
        <f t="shared" si="1668"/>
        <v>1.9047619047619049E-2</v>
      </c>
      <c r="EM190" s="13"/>
      <c r="EN190" s="11"/>
      <c r="EO190" s="25"/>
      <c r="EP190" s="38">
        <v>4809.2857142857147</v>
      </c>
      <c r="EQ190" s="10">
        <v>1</v>
      </c>
      <c r="ER190" s="11"/>
      <c r="ES190" s="69">
        <f t="shared" si="1720"/>
        <v>180</v>
      </c>
      <c r="ET190" s="69">
        <f t="shared" si="1721"/>
        <v>16</v>
      </c>
      <c r="EU190" s="11">
        <v>101</v>
      </c>
      <c r="EV190" s="12">
        <f t="shared" si="1669"/>
        <v>0.57777777777777772</v>
      </c>
      <c r="EW190" s="11">
        <v>3</v>
      </c>
      <c r="EX190" s="12">
        <f t="shared" si="1670"/>
        <v>2.8846153846153848E-2</v>
      </c>
      <c r="EY190" s="13"/>
      <c r="EZ190" s="11"/>
      <c r="FA190" s="25"/>
      <c r="FB190" s="38">
        <v>4597.5</v>
      </c>
      <c r="FC190" s="10"/>
      <c r="FD190" s="11"/>
      <c r="FE190" s="69">
        <f t="shared" si="1722"/>
        <v>849</v>
      </c>
      <c r="FF190" s="69">
        <f t="shared" si="1723"/>
        <v>73</v>
      </c>
      <c r="FG190" s="11">
        <v>550</v>
      </c>
      <c r="FH190" s="12">
        <f t="shared" si="1671"/>
        <v>0.66077738515901063</v>
      </c>
      <c r="FI190" s="11">
        <v>11</v>
      </c>
      <c r="FJ190" s="12">
        <f t="shared" si="1672"/>
        <v>1.9607843137254902E-2</v>
      </c>
      <c r="FK190" s="13"/>
      <c r="FL190" s="11"/>
      <c r="FM190" s="25"/>
      <c r="FN190" s="38">
        <v>4622.3076923076924</v>
      </c>
      <c r="FO190" s="10"/>
      <c r="FP190" s="11"/>
      <c r="FQ190" s="69">
        <f t="shared" si="1724"/>
        <v>879</v>
      </c>
      <c r="FR190" s="69">
        <f t="shared" si="1725"/>
        <v>75</v>
      </c>
      <c r="FS190" s="11">
        <v>511</v>
      </c>
      <c r="FT190" s="12">
        <f t="shared" si="1673"/>
        <v>0.59954493742889647</v>
      </c>
      <c r="FU190" s="11">
        <v>16</v>
      </c>
      <c r="FV190" s="12">
        <f t="shared" si="1674"/>
        <v>3.0360531309297913E-2</v>
      </c>
      <c r="FW190" s="13"/>
      <c r="FX190" s="11"/>
      <c r="FY190" s="25"/>
      <c r="FZ190" s="38">
        <v>4525.7142857142853</v>
      </c>
      <c r="GA190" s="10"/>
      <c r="GB190" s="11"/>
      <c r="GC190" s="69">
        <f t="shared" si="1726"/>
        <v>879</v>
      </c>
      <c r="GD190" s="69">
        <f t="shared" si="1727"/>
        <v>76</v>
      </c>
      <c r="GE190" s="11">
        <v>510</v>
      </c>
      <c r="GF190" s="12">
        <f t="shared" si="1675"/>
        <v>0.59954493742889647</v>
      </c>
      <c r="GG190" s="11">
        <v>17</v>
      </c>
      <c r="GH190" s="12">
        <f t="shared" si="1676"/>
        <v>3.2258064516129031E-2</v>
      </c>
      <c r="GI190" s="13"/>
      <c r="GJ190" s="11"/>
      <c r="GK190" s="25"/>
      <c r="GL190" s="38">
        <v>4688.5714285714284</v>
      </c>
      <c r="GM190" s="10"/>
      <c r="GN190" s="11"/>
      <c r="GO190" s="69">
        <f t="shared" si="1728"/>
        <v>159</v>
      </c>
      <c r="GP190" s="69">
        <f t="shared" si="1729"/>
        <v>17</v>
      </c>
      <c r="GQ190" s="11">
        <v>94</v>
      </c>
      <c r="GR190" s="12">
        <f t="shared" si="1677"/>
        <v>0.62264150943396224</v>
      </c>
      <c r="GS190" s="11">
        <v>5</v>
      </c>
      <c r="GT190" s="12">
        <f t="shared" si="1678"/>
        <v>5.0505050505050504E-2</v>
      </c>
      <c r="GU190" s="13"/>
      <c r="GV190" s="11"/>
      <c r="GW190" s="25"/>
      <c r="GX190" s="38">
        <v>4320</v>
      </c>
      <c r="GY190" s="10"/>
      <c r="GZ190" s="11"/>
      <c r="HA190" s="69">
        <f t="shared" si="1730"/>
        <v>904</v>
      </c>
      <c r="HB190" s="69">
        <f t="shared" si="1731"/>
        <v>77</v>
      </c>
      <c r="HC190" s="11">
        <v>543</v>
      </c>
      <c r="HD190" s="12">
        <f t="shared" si="1679"/>
        <v>0.61504424778761058</v>
      </c>
      <c r="HE190" s="11">
        <v>13</v>
      </c>
      <c r="HF190" s="12">
        <f t="shared" si="1680"/>
        <v>2.3381294964028777E-2</v>
      </c>
      <c r="HG190" s="13"/>
      <c r="HH190" s="11"/>
      <c r="HI190" s="25"/>
      <c r="HJ190" s="38">
        <v>4746.875</v>
      </c>
      <c r="HK190" s="10">
        <f t="shared" si="1681"/>
        <v>4</v>
      </c>
      <c r="HL190" s="11">
        <f t="shared" si="1682"/>
        <v>0</v>
      </c>
      <c r="HM190" s="11">
        <f t="shared" si="1683"/>
        <v>11974</v>
      </c>
      <c r="HN190" s="11">
        <f t="shared" si="1684"/>
        <v>1029</v>
      </c>
      <c r="HO190" s="11">
        <f t="shared" si="1685"/>
        <v>7237</v>
      </c>
      <c r="HP190" s="95">
        <f t="shared" si="1686"/>
        <v>0.60439285117755137</v>
      </c>
      <c r="HQ190" s="15">
        <f t="shared" si="1687"/>
        <v>225</v>
      </c>
      <c r="HR190" s="12">
        <f t="shared" si="1688"/>
        <v>3.1090230758601629E-2</v>
      </c>
      <c r="HS190" s="16">
        <v>64.3</v>
      </c>
      <c r="HT190" s="17">
        <v>6863</v>
      </c>
      <c r="HU190" s="16">
        <f t="shared" si="1689"/>
        <v>94.832112753903559</v>
      </c>
      <c r="HV190" s="23"/>
      <c r="HW190" s="22">
        <v>4672.5242718446598</v>
      </c>
      <c r="HX190" s="73">
        <f t="shared" si="1690"/>
        <v>0.61210073710073709</v>
      </c>
      <c r="HY190" s="73">
        <f t="shared" si="1691"/>
        <v>0.58648733187363156</v>
      </c>
      <c r="HZ190" s="73">
        <f t="shared" si="1692"/>
        <v>0.61481481481481481</v>
      </c>
      <c r="IA190" s="73">
        <f t="shared" si="1693"/>
        <v>0.60581354129741227</v>
      </c>
    </row>
    <row r="191" spans="1:244" x14ac:dyDescent="0.25">
      <c r="A191" s="374"/>
      <c r="B191" s="41">
        <f t="shared" si="1694"/>
        <v>45087</v>
      </c>
      <c r="C191" s="10">
        <v>1</v>
      </c>
      <c r="D191" s="11"/>
      <c r="E191" s="69">
        <f t="shared" si="1695"/>
        <v>822</v>
      </c>
      <c r="F191" s="69">
        <f t="shared" si="1696"/>
        <v>72</v>
      </c>
      <c r="G191" s="11">
        <v>510</v>
      </c>
      <c r="H191" s="12">
        <f t="shared" si="1646"/>
        <v>0.64476885644768855</v>
      </c>
      <c r="I191" s="11">
        <v>20</v>
      </c>
      <c r="J191" s="12">
        <f t="shared" si="1647"/>
        <v>3.7735849056603772E-2</v>
      </c>
      <c r="K191" s="13"/>
      <c r="L191" s="11"/>
      <c r="M191" s="39"/>
      <c r="N191" s="43">
        <v>100</v>
      </c>
      <c r="O191" s="10"/>
      <c r="P191" s="11"/>
      <c r="Q191" s="69">
        <f t="shared" si="1697"/>
        <v>750</v>
      </c>
      <c r="R191" s="69">
        <f t="shared" si="1698"/>
        <v>64</v>
      </c>
      <c r="S191" s="11">
        <v>451</v>
      </c>
      <c r="T191" s="12">
        <f t="shared" si="1648"/>
        <v>0.61466666666666669</v>
      </c>
      <c r="U191" s="11">
        <v>10</v>
      </c>
      <c r="V191" s="12">
        <f t="shared" si="1649"/>
        <v>2.1691973969631236E-2</v>
      </c>
      <c r="W191" s="13"/>
      <c r="X191" s="11"/>
      <c r="Y191" s="39"/>
      <c r="Z191" s="43">
        <v>100</v>
      </c>
      <c r="AA191" s="10"/>
      <c r="AB191" s="11"/>
      <c r="AC191" s="69">
        <f t="shared" si="1699"/>
        <v>166</v>
      </c>
      <c r="AD191" s="69">
        <f t="shared" si="1700"/>
        <v>12</v>
      </c>
      <c r="AE191" s="11">
        <v>95</v>
      </c>
      <c r="AF191" s="12">
        <f t="shared" si="1701"/>
        <v>0.61445783132530118</v>
      </c>
      <c r="AG191" s="11">
        <v>7</v>
      </c>
      <c r="AH191" s="12">
        <f t="shared" si="1650"/>
        <v>6.8627450980392163E-2</v>
      </c>
      <c r="AI191" s="13"/>
      <c r="AJ191" s="11"/>
      <c r="AK191" s="39"/>
      <c r="AL191" s="43">
        <v>100</v>
      </c>
      <c r="AM191" s="10"/>
      <c r="AN191" s="11"/>
      <c r="AO191" s="69">
        <f t="shared" si="1702"/>
        <v>764</v>
      </c>
      <c r="AP191" s="69">
        <f t="shared" si="1703"/>
        <v>63</v>
      </c>
      <c r="AQ191" s="11">
        <v>452</v>
      </c>
      <c r="AR191" s="12">
        <f t="shared" si="1651"/>
        <v>0.60994764397905754</v>
      </c>
      <c r="AS191" s="11">
        <v>14</v>
      </c>
      <c r="AT191" s="12">
        <f t="shared" si="1652"/>
        <v>3.0042918454935622E-2</v>
      </c>
      <c r="AU191" s="13"/>
      <c r="AV191" s="11"/>
      <c r="AW191" s="39"/>
      <c r="AX191" s="43">
        <v>100</v>
      </c>
      <c r="AY191" s="10"/>
      <c r="AZ191" s="11"/>
      <c r="BA191" s="69">
        <f t="shared" si="1704"/>
        <v>753</v>
      </c>
      <c r="BB191" s="69">
        <f t="shared" si="1705"/>
        <v>66</v>
      </c>
      <c r="BC191" s="11">
        <v>471</v>
      </c>
      <c r="BD191" s="12">
        <f t="shared" si="1653"/>
        <v>0.64010624169986718</v>
      </c>
      <c r="BE191" s="11">
        <v>11</v>
      </c>
      <c r="BF191" s="12">
        <f t="shared" si="1654"/>
        <v>2.2821576763485476E-2</v>
      </c>
      <c r="BG191" s="13"/>
      <c r="BH191" s="11"/>
      <c r="BI191" s="39"/>
      <c r="BJ191" s="43">
        <v>100</v>
      </c>
      <c r="BK191" s="10">
        <v>1</v>
      </c>
      <c r="BL191" s="11"/>
      <c r="BM191" s="69">
        <f t="shared" si="1706"/>
        <v>814</v>
      </c>
      <c r="BN191" s="69">
        <f t="shared" si="1707"/>
        <v>70</v>
      </c>
      <c r="BO191" s="11">
        <v>471</v>
      </c>
      <c r="BP191" s="12">
        <f t="shared" si="1655"/>
        <v>0.59090909090909094</v>
      </c>
      <c r="BQ191" s="11">
        <v>10</v>
      </c>
      <c r="BR191" s="12">
        <f t="shared" si="1656"/>
        <v>2.0790020790020791E-2</v>
      </c>
      <c r="BS191" s="13"/>
      <c r="BT191" s="11"/>
      <c r="BU191" s="39"/>
      <c r="BV191" s="43">
        <v>92.857142857142861</v>
      </c>
      <c r="BW191" s="10"/>
      <c r="BX191" s="11"/>
      <c r="BY191" s="69">
        <f t="shared" si="1708"/>
        <v>748</v>
      </c>
      <c r="BZ191" s="69">
        <f t="shared" si="1709"/>
        <v>61</v>
      </c>
      <c r="CA191" s="11">
        <v>414</v>
      </c>
      <c r="CB191" s="12">
        <f t="shared" si="1657"/>
        <v>0.5668449197860963</v>
      </c>
      <c r="CC191" s="11">
        <v>10</v>
      </c>
      <c r="CD191" s="12">
        <f t="shared" si="1658"/>
        <v>2.358490566037736E-2</v>
      </c>
      <c r="CE191" s="13"/>
      <c r="CF191" s="11"/>
      <c r="CG191" s="39"/>
      <c r="CH191" s="43">
        <v>100</v>
      </c>
      <c r="CI191" s="10">
        <v>1</v>
      </c>
      <c r="CJ191" s="11"/>
      <c r="CK191" s="69">
        <f t="shared" si="1710"/>
        <v>152</v>
      </c>
      <c r="CL191" s="69">
        <f t="shared" si="1711"/>
        <v>14</v>
      </c>
      <c r="CM191" s="11">
        <v>74</v>
      </c>
      <c r="CN191" s="12">
        <f t="shared" si="1659"/>
        <v>0.5</v>
      </c>
      <c r="CO191" s="11">
        <v>2</v>
      </c>
      <c r="CP191" s="12">
        <f t="shared" si="1660"/>
        <v>2.6315789473684209E-2</v>
      </c>
      <c r="CQ191" s="13"/>
      <c r="CR191" s="11"/>
      <c r="CS191" s="39"/>
      <c r="CT191" s="43">
        <v>100</v>
      </c>
      <c r="CU191" s="10"/>
      <c r="CV191" s="11"/>
      <c r="CW191" s="69">
        <f t="shared" si="1712"/>
        <v>737</v>
      </c>
      <c r="CX191" s="69">
        <f t="shared" si="1713"/>
        <v>63</v>
      </c>
      <c r="CY191" s="11">
        <v>416</v>
      </c>
      <c r="CZ191" s="12">
        <f t="shared" si="1661"/>
        <v>0.57937584803256448</v>
      </c>
      <c r="DA191" s="11">
        <v>11</v>
      </c>
      <c r="DB191" s="12">
        <f t="shared" si="1662"/>
        <v>2.576112412177986E-2</v>
      </c>
      <c r="DC191" s="13"/>
      <c r="DD191" s="11"/>
      <c r="DE191" s="39"/>
      <c r="DF191" s="43">
        <v>100</v>
      </c>
      <c r="DG191" s="10">
        <v>1</v>
      </c>
      <c r="DH191" s="11"/>
      <c r="DI191" s="69">
        <f t="shared" si="1714"/>
        <v>743</v>
      </c>
      <c r="DJ191" s="69">
        <f t="shared" si="1715"/>
        <v>66</v>
      </c>
      <c r="DK191" s="11">
        <v>450</v>
      </c>
      <c r="DL191" s="12">
        <f t="shared" si="1663"/>
        <v>0.62045760430686403</v>
      </c>
      <c r="DM191" s="11">
        <v>11</v>
      </c>
      <c r="DN191" s="12">
        <f t="shared" si="1664"/>
        <v>2.3861171366594359E-2</v>
      </c>
      <c r="DO191" s="13"/>
      <c r="DP191" s="11"/>
      <c r="DQ191" s="39"/>
      <c r="DR191" s="43">
        <v>100</v>
      </c>
      <c r="DS191" s="10"/>
      <c r="DT191" s="11"/>
      <c r="DU191" s="69">
        <f t="shared" si="1716"/>
        <v>826</v>
      </c>
      <c r="DV191" s="69">
        <f t="shared" si="1717"/>
        <v>71</v>
      </c>
      <c r="DW191" s="11">
        <v>455</v>
      </c>
      <c r="DX191" s="12">
        <f t="shared" si="1665"/>
        <v>0.57263922518159804</v>
      </c>
      <c r="DY191" s="11">
        <v>18</v>
      </c>
      <c r="DZ191" s="12">
        <f t="shared" si="1666"/>
        <v>3.8054968287526428E-2</v>
      </c>
      <c r="EA191" s="13"/>
      <c r="EB191" s="11"/>
      <c r="EC191" s="39"/>
      <c r="ED191" s="43">
        <v>93.75</v>
      </c>
      <c r="EE191" s="10"/>
      <c r="EF191" s="11"/>
      <c r="EG191" s="69">
        <f t="shared" si="1718"/>
        <v>845</v>
      </c>
      <c r="EH191" s="69">
        <f t="shared" si="1719"/>
        <v>73</v>
      </c>
      <c r="EI191" s="11">
        <v>471</v>
      </c>
      <c r="EJ191" s="12">
        <f t="shared" si="1667"/>
        <v>0.58343195266272185</v>
      </c>
      <c r="EK191" s="11">
        <v>22</v>
      </c>
      <c r="EL191" s="12">
        <f t="shared" si="1668"/>
        <v>4.4624746450304259E-2</v>
      </c>
      <c r="EM191" s="13"/>
      <c r="EN191" s="11"/>
      <c r="EO191" s="39"/>
      <c r="EP191" s="43">
        <v>100</v>
      </c>
      <c r="EQ191" s="10"/>
      <c r="ER191" s="11"/>
      <c r="ES191" s="69">
        <f t="shared" si="1720"/>
        <v>180</v>
      </c>
      <c r="ET191" s="69">
        <f t="shared" si="1721"/>
        <v>16</v>
      </c>
      <c r="EU191" s="11">
        <v>87</v>
      </c>
      <c r="EV191" s="12">
        <f t="shared" si="1669"/>
        <v>0.52777777777777779</v>
      </c>
      <c r="EW191" s="11">
        <v>8</v>
      </c>
      <c r="EX191" s="12">
        <v>0.08</v>
      </c>
      <c r="EY191" s="13"/>
      <c r="EZ191" s="11"/>
      <c r="FA191" s="39"/>
      <c r="FB191" s="43">
        <v>100</v>
      </c>
      <c r="FC191" s="10"/>
      <c r="FD191" s="11"/>
      <c r="FE191" s="69">
        <f t="shared" si="1722"/>
        <v>849</v>
      </c>
      <c r="FF191" s="69">
        <f t="shared" si="1723"/>
        <v>73</v>
      </c>
      <c r="FG191" s="11">
        <v>509</v>
      </c>
      <c r="FH191" s="12">
        <f t="shared" si="1671"/>
        <v>0.60659599528857477</v>
      </c>
      <c r="FI191" s="11">
        <v>6</v>
      </c>
      <c r="FJ191" s="12">
        <f t="shared" si="1672"/>
        <v>1.1650485436893204E-2</v>
      </c>
      <c r="FK191" s="13"/>
      <c r="FL191" s="11"/>
      <c r="FM191" s="39"/>
      <c r="FN191" s="43">
        <v>100</v>
      </c>
      <c r="FO191" s="10"/>
      <c r="FP191" s="11"/>
      <c r="FQ191" s="69">
        <f t="shared" si="1724"/>
        <v>879</v>
      </c>
      <c r="FR191" s="69">
        <f t="shared" si="1725"/>
        <v>75</v>
      </c>
      <c r="FS191" s="11">
        <v>489</v>
      </c>
      <c r="FT191" s="12">
        <f t="shared" si="1673"/>
        <v>0.58020477815699656</v>
      </c>
      <c r="FU191" s="11">
        <v>21</v>
      </c>
      <c r="FV191" s="12">
        <f t="shared" si="1674"/>
        <v>4.1176470588235294E-2</v>
      </c>
      <c r="FW191" s="13"/>
      <c r="FX191" s="11"/>
      <c r="FY191" s="39"/>
      <c r="FZ191" s="43">
        <v>92.857142857142861</v>
      </c>
      <c r="GA191" s="10">
        <v>1</v>
      </c>
      <c r="GB191" s="11"/>
      <c r="GC191" s="69">
        <f t="shared" si="1726"/>
        <v>878</v>
      </c>
      <c r="GD191" s="69">
        <f t="shared" si="1727"/>
        <v>76</v>
      </c>
      <c r="GE191" s="11">
        <v>492</v>
      </c>
      <c r="GF191" s="12">
        <f t="shared" si="1675"/>
        <v>0.57403189066059224</v>
      </c>
      <c r="GG191" s="11">
        <v>12</v>
      </c>
      <c r="GH191" s="12">
        <f t="shared" si="1676"/>
        <v>2.3809523809523808E-2</v>
      </c>
      <c r="GI191" s="13"/>
      <c r="GJ191" s="11"/>
      <c r="GK191" s="39"/>
      <c r="GL191" s="43">
        <v>100</v>
      </c>
      <c r="GM191" s="10">
        <v>1</v>
      </c>
      <c r="GN191" s="11"/>
      <c r="GO191" s="69">
        <f t="shared" si="1728"/>
        <v>158</v>
      </c>
      <c r="GP191" s="69">
        <f t="shared" si="1729"/>
        <v>17</v>
      </c>
      <c r="GQ191" s="11">
        <v>89</v>
      </c>
      <c r="GR191" s="12">
        <f t="shared" si="1677"/>
        <v>0.57594936708860756</v>
      </c>
      <c r="GS191" s="11">
        <v>2</v>
      </c>
      <c r="GT191" s="12">
        <f t="shared" si="1678"/>
        <v>2.197802197802198E-2</v>
      </c>
      <c r="GU191" s="13"/>
      <c r="GV191" s="11"/>
      <c r="GW191" s="39"/>
      <c r="GX191" s="43">
        <v>75</v>
      </c>
      <c r="GY191" s="10"/>
      <c r="GZ191" s="11"/>
      <c r="HA191" s="69">
        <f t="shared" si="1730"/>
        <v>904</v>
      </c>
      <c r="HB191" s="69">
        <f t="shared" si="1731"/>
        <v>77</v>
      </c>
      <c r="HC191" s="11">
        <v>548</v>
      </c>
      <c r="HD191" s="12">
        <f t="shared" si="1679"/>
        <v>0.62278761061946908</v>
      </c>
      <c r="HE191" s="11">
        <v>15</v>
      </c>
      <c r="HF191" s="12">
        <f t="shared" si="1680"/>
        <v>2.664298401420959E-2</v>
      </c>
      <c r="HG191" s="13"/>
      <c r="HH191" s="11"/>
      <c r="HI191" s="39"/>
      <c r="HJ191" s="43">
        <v>100</v>
      </c>
      <c r="HK191" s="10">
        <f t="shared" si="1681"/>
        <v>6</v>
      </c>
      <c r="HL191" s="11">
        <f t="shared" si="1682"/>
        <v>0</v>
      </c>
      <c r="HM191" s="11">
        <f t="shared" si="1683"/>
        <v>11968</v>
      </c>
      <c r="HN191" s="11">
        <f t="shared" si="1684"/>
        <v>1029</v>
      </c>
      <c r="HO191" s="11">
        <f t="shared" si="1685"/>
        <v>7154</v>
      </c>
      <c r="HP191" s="95">
        <f t="shared" si="1686"/>
        <v>0.59776069518716579</v>
      </c>
      <c r="HQ191" s="15">
        <f t="shared" si="1687"/>
        <v>210</v>
      </c>
      <c r="HR191" s="12">
        <f t="shared" si="1688"/>
        <v>2.9354207436399216E-2</v>
      </c>
      <c r="HS191" s="16">
        <v>64.099999999999994</v>
      </c>
      <c r="HT191" s="17">
        <v>6795</v>
      </c>
      <c r="HU191" s="16">
        <f t="shared" si="1689"/>
        <v>94.981828347777466</v>
      </c>
      <c r="HV191" s="23"/>
      <c r="HW191" s="22">
        <v>92.233009708737896</v>
      </c>
      <c r="HX191" s="73">
        <f t="shared" si="1690"/>
        <v>0.62703533026113667</v>
      </c>
      <c r="HY191" s="73">
        <f t="shared" si="1691"/>
        <v>0.58515967438948024</v>
      </c>
      <c r="HZ191" s="73">
        <f t="shared" si="1692"/>
        <v>0.58370370370370372</v>
      </c>
      <c r="IA191" s="73">
        <f t="shared" si="1693"/>
        <v>0.59169918410783962</v>
      </c>
      <c r="IF191" s="85">
        <f>IF192/IF193</f>
        <v>2.4517315353968739E-3</v>
      </c>
      <c r="IG191" s="85">
        <f>IG192/IG193</f>
        <v>1.8749999999999999E-3</v>
      </c>
      <c r="IH191" s="85">
        <f>IH192/IH193</f>
        <v>1.1098779134295228E-3</v>
      </c>
      <c r="II191" s="85">
        <f>II192/II193</f>
        <v>3.1824611032531826E-3</v>
      </c>
      <c r="IJ191" s="88" t="s">
        <v>90</v>
      </c>
    </row>
    <row r="192" spans="1:244" ht="19.5" thickBot="1" x14ac:dyDescent="0.3">
      <c r="A192" s="374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3387</v>
      </c>
      <c r="H192" s="28">
        <f>((G192+I192)/7)/E191</f>
        <v>0.61192214111922139</v>
      </c>
      <c r="I192" s="27">
        <f>SUM(I185:I191)</f>
        <v>134</v>
      </c>
      <c r="J192" s="28">
        <f>(I192/(I192+G192))</f>
        <v>3.8057370065322352E-2</v>
      </c>
      <c r="K192" s="27"/>
      <c r="L192" s="27"/>
      <c r="M192" s="29" t="e">
        <f>M190/M189*100-100</f>
        <v>#DIV/0!</v>
      </c>
      <c r="N192" s="67">
        <f>N190/N189*100-100</f>
        <v>1.2846826301786223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3009</v>
      </c>
      <c r="T192" s="28">
        <f>((S192+U192)/7)/Q191</f>
        <v>0.59142857142857141</v>
      </c>
      <c r="U192" s="27">
        <f>SUM(U185:U191)</f>
        <v>96</v>
      </c>
      <c r="V192" s="28">
        <f>(U192/(U192+S192))</f>
        <v>3.0917874396135265E-2</v>
      </c>
      <c r="W192" s="27"/>
      <c r="X192" s="27"/>
      <c r="Y192" s="29" t="e">
        <f>Y190/Y189*100-100</f>
        <v>#DIV/0!</v>
      </c>
      <c r="Z192" s="67">
        <f>Z190/Z189*100-100</f>
        <v>11.532822935331495</v>
      </c>
      <c r="AA192" s="26">
        <f>SUM(AA185:AA191)</f>
        <v>3</v>
      </c>
      <c r="AB192" s="27">
        <f>SUM(AB185:AB191)</f>
        <v>0</v>
      </c>
      <c r="AC192" s="27"/>
      <c r="AD192" s="27"/>
      <c r="AE192" s="27">
        <f>SUM(AE185:AE191)</f>
        <v>678</v>
      </c>
      <c r="AF192" s="28">
        <f>((AE192+AG192)/7)/AC191</f>
        <v>0.61015490533562822</v>
      </c>
      <c r="AG192" s="27">
        <f>SUM(AG185:AG191)</f>
        <v>31</v>
      </c>
      <c r="AH192" s="28">
        <f>(AG192/(AG192+AE192))</f>
        <v>4.372355430183357E-2</v>
      </c>
      <c r="AI192" s="27"/>
      <c r="AJ192" s="27"/>
      <c r="AK192" s="29" t="e">
        <f>AK190/AK189*100-100</f>
        <v>#DIV/0!</v>
      </c>
      <c r="AL192" s="67">
        <f>AL190/AL189*100-100</f>
        <v>3.8008361839601434E-2</v>
      </c>
      <c r="AM192" s="26">
        <f>SUM(AM185:AM191)</f>
        <v>0</v>
      </c>
      <c r="AN192" s="27">
        <f>SUM(AN185:AN191)</f>
        <v>0</v>
      </c>
      <c r="AO192" s="27"/>
      <c r="AP192" s="27"/>
      <c r="AQ192" s="27">
        <f>SUM(AQ185:AQ191)</f>
        <v>3040</v>
      </c>
      <c r="AR192" s="28">
        <f>((AQ192+AS192)/7)/AO191</f>
        <v>0.58283470456245323</v>
      </c>
      <c r="AS192" s="27">
        <f>SUM(AS185:AS191)</f>
        <v>77</v>
      </c>
      <c r="AT192" s="28">
        <f>(AS192/(AS192+AQ192))</f>
        <v>2.4703240295155599E-2</v>
      </c>
      <c r="AU192" s="27"/>
      <c r="AV192" s="27"/>
      <c r="AW192" s="29" t="e">
        <f>AW190/AW189*100-100</f>
        <v>#DIV/0!</v>
      </c>
      <c r="AX192" s="67">
        <f>AX190/AX189*100-100</f>
        <v>6.6238208769565716</v>
      </c>
      <c r="AY192" s="26">
        <f>SUM(AY185:AY191)</f>
        <v>0</v>
      </c>
      <c r="AZ192" s="27">
        <f>SUM(AZ185:AZ191)</f>
        <v>1</v>
      </c>
      <c r="BA192" s="27"/>
      <c r="BB192" s="27"/>
      <c r="BC192" s="27">
        <f>SUM(BC185:BC191)</f>
        <v>3273</v>
      </c>
      <c r="BD192" s="28">
        <f>((BC192+BE192)/7)/BA191</f>
        <v>0.63877822045152721</v>
      </c>
      <c r="BE192" s="27">
        <f>SUM(BE185:BE191)</f>
        <v>94</v>
      </c>
      <c r="BF192" s="28">
        <f>(BE192/(BE192+BC192))</f>
        <v>2.7918027918027919E-2</v>
      </c>
      <c r="BG192" s="27"/>
      <c r="BH192" s="27"/>
      <c r="BI192" s="29" t="e">
        <f>BI190/BI189*100-100</f>
        <v>#DIV/0!</v>
      </c>
      <c r="BJ192" s="67">
        <f>BJ190/BJ189*100-100</f>
        <v>7.5484606613454872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3354</v>
      </c>
      <c r="BP192" s="28">
        <f>((BO192+BQ192)/7)/BM191</f>
        <v>0.60547560547560542</v>
      </c>
      <c r="BQ192" s="27">
        <f>SUM(BQ185:BQ191)</f>
        <v>96</v>
      </c>
      <c r="BR192" s="28">
        <f>(BQ192/(BQ192+BO192))</f>
        <v>2.782608695652174E-2</v>
      </c>
      <c r="BS192" s="27"/>
      <c r="BT192" s="27"/>
      <c r="BU192" s="29" t="e">
        <f>BU190/BU189*100-100</f>
        <v>#DIV/0!</v>
      </c>
      <c r="BV192" s="67">
        <f>BV190/BV189*100-100</f>
        <v>5.2125753380029209</v>
      </c>
      <c r="BW192" s="26">
        <f>SUM(BW185:BW191)</f>
        <v>1</v>
      </c>
      <c r="BX192" s="27">
        <f>SUM(BX185:BX191)</f>
        <v>1</v>
      </c>
      <c r="BY192" s="27"/>
      <c r="BZ192" s="27"/>
      <c r="CA192" s="27">
        <f>SUM(CA185:CA191)</f>
        <v>2942</v>
      </c>
      <c r="CB192" s="28">
        <f>((CA192+CC192)/7)/BY191</f>
        <v>0.5760122230710466</v>
      </c>
      <c r="CC192" s="27">
        <f>SUM(CC185:CC191)</f>
        <v>74</v>
      </c>
      <c r="CD192" s="28">
        <f>(CC192/(CC192+CA192))</f>
        <v>2.4535809018567639E-2</v>
      </c>
      <c r="CE192" s="27"/>
      <c r="CF192" s="27"/>
      <c r="CG192" s="29" t="e">
        <f>CG190/CG189*100-100</f>
        <v>#DIV/0!</v>
      </c>
      <c r="CH192" s="67">
        <f>CH190/CH189*100-100</f>
        <v>9.0781510393825045</v>
      </c>
      <c r="CI192" s="26">
        <f>SUM(CI185:CI191)</f>
        <v>2</v>
      </c>
      <c r="CJ192" s="27">
        <f>SUM(CJ185:CJ191)</f>
        <v>0</v>
      </c>
      <c r="CK192" s="27"/>
      <c r="CL192" s="27"/>
      <c r="CM192" s="27">
        <f>SUM(CM185:CM191)</f>
        <v>544</v>
      </c>
      <c r="CN192" s="28">
        <f>((CM192+CO192)/7)/CK191</f>
        <v>0.52631578947368418</v>
      </c>
      <c r="CO192" s="27">
        <f>SUM(CO185:CO191)</f>
        <v>16</v>
      </c>
      <c r="CP192" s="28">
        <f>(CO192/(CO192+CM192))</f>
        <v>2.8571428571428571E-2</v>
      </c>
      <c r="CQ192" s="27"/>
      <c r="CR192" s="27"/>
      <c r="CS192" s="29" t="e">
        <f>CS190/CS189*100-100</f>
        <v>#DIV/0!</v>
      </c>
      <c r="CT192" s="67">
        <f>CT190/CT189*100-100</f>
        <v>-3.534777651083246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2915</v>
      </c>
      <c r="CZ192" s="28">
        <f>((CY192+DA192)/7)/CW191</f>
        <v>0.57763132389998062</v>
      </c>
      <c r="DA192" s="27">
        <f>SUM(DA185:DA191)</f>
        <v>65</v>
      </c>
      <c r="DB192" s="28">
        <f>(DA192/(DA192+CY192))</f>
        <v>2.1812080536912751E-2</v>
      </c>
      <c r="DC192" s="27"/>
      <c r="DD192" s="27"/>
      <c r="DE192" s="29" t="e">
        <f>DE190/DE189*100-100</f>
        <v>#DIV/0!</v>
      </c>
      <c r="DF192" s="67">
        <f>DF190/DF189*100-100</f>
        <v>8.0632024759732701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3140</v>
      </c>
      <c r="DL192" s="28">
        <f>((DK192+DM192)/7)/DI191</f>
        <v>0.62161122860988272</v>
      </c>
      <c r="DM192" s="27">
        <f>SUM(DM185:DM191)</f>
        <v>93</v>
      </c>
      <c r="DN192" s="28">
        <f>(DM192/(DM192+DK192))</f>
        <v>2.8765852149706155E-2</v>
      </c>
      <c r="DO192" s="27"/>
      <c r="DP192" s="27"/>
      <c r="DQ192" s="29" t="e">
        <f>DQ190/DQ189*100-100</f>
        <v>#DIV/0!</v>
      </c>
      <c r="DR192" s="67">
        <f>DR190/DR189*100-100</f>
        <v>13.340935005701255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3105</v>
      </c>
      <c r="DX192" s="28">
        <f>((DW192+DY192)/7)/DU191</f>
        <v>0.56208924247665171</v>
      </c>
      <c r="DY192" s="27">
        <f>SUM(DY185:DY191)</f>
        <v>145</v>
      </c>
      <c r="DZ192" s="28">
        <f>(DY192/(DY192+DW192))</f>
        <v>4.4615384615384612E-2</v>
      </c>
      <c r="EA192" s="27"/>
      <c r="EB192" s="27"/>
      <c r="EC192" s="29" t="e">
        <f>EC190/EC189*100-100</f>
        <v>#DIV/0!</v>
      </c>
      <c r="ED192" s="67">
        <f>ED190/ED189*100-100</f>
        <v>1.9669327251995412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3265</v>
      </c>
      <c r="EJ192" s="28">
        <f>((EI192+EK192)/7)/EG191</f>
        <v>0.56939983093829249</v>
      </c>
      <c r="EK192" s="27">
        <f>SUM(EK185:EK191)</f>
        <v>103</v>
      </c>
      <c r="EL192" s="28">
        <f>(EK192/(EK192+EI192))</f>
        <v>3.0581947743467935E-2</v>
      </c>
      <c r="EM192" s="27"/>
      <c r="EN192" s="27"/>
      <c r="EO192" s="29" t="e">
        <f>EO190/EO189*100-100</f>
        <v>#DIV/0!</v>
      </c>
      <c r="EP192" s="67">
        <f>EP190/EP189*100-100</f>
        <v>9.6758429711679526</v>
      </c>
      <c r="EQ192" s="26">
        <f>SUM(EQ185:EQ191)</f>
        <v>3</v>
      </c>
      <c r="ER192" s="27">
        <f>SUM(ER185:ER191)</f>
        <v>0</v>
      </c>
      <c r="ES192" s="27"/>
      <c r="ET192" s="27"/>
      <c r="EU192" s="27">
        <f>SUM(EU185:EU191)</f>
        <v>638</v>
      </c>
      <c r="EV192" s="28">
        <f>((EU192+EW192)/7)/ES191</f>
        <v>0.53253968253968254</v>
      </c>
      <c r="EW192" s="27">
        <f>SUM(EW185:EW191)</f>
        <v>33</v>
      </c>
      <c r="EX192" s="28">
        <f>(EW192/(EW192+EU192))</f>
        <v>4.9180327868852458E-2</v>
      </c>
      <c r="EY192" s="27"/>
      <c r="EZ192" s="27"/>
      <c r="FA192" s="29" t="e">
        <f>FA190/FA189*100-100</f>
        <v>#DIV/0!</v>
      </c>
      <c r="FB192" s="67">
        <f>FB190/FB189*100-100</f>
        <v>4.8460661345496021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3425</v>
      </c>
      <c r="FH192" s="28">
        <f>((FG192+FI192)/7)/FE191</f>
        <v>0.58909641595153961</v>
      </c>
      <c r="FI192" s="27">
        <f>SUM(FI185:FI191)</f>
        <v>76</v>
      </c>
      <c r="FJ192" s="28">
        <f>(FI192/(FI192+FG192))</f>
        <v>2.1708083404741504E-2</v>
      </c>
      <c r="FK192" s="27"/>
      <c r="FL192" s="27"/>
      <c r="FM192" s="29" t="e">
        <f>FM190/FM189*100-100</f>
        <v>#DIV/0!</v>
      </c>
      <c r="FN192" s="67">
        <f>FN190/FN189*100-100</f>
        <v>5.4118059819314084</v>
      </c>
      <c r="FO192" s="26">
        <f>SUM(FO185:FO191)</f>
        <v>1</v>
      </c>
      <c r="FP192" s="27">
        <f>SUM(FP185:FP191)</f>
        <v>0</v>
      </c>
      <c r="FQ192" s="27"/>
      <c r="FR192" s="27"/>
      <c r="FS192" s="27">
        <f>SUM(FS185:FS191)</f>
        <v>3353</v>
      </c>
      <c r="FT192" s="28">
        <f>((FS192+FU192)/7)/FQ191</f>
        <v>0.56492767755566387</v>
      </c>
      <c r="FU192" s="27">
        <f>SUM(FU185:FU191)</f>
        <v>123</v>
      </c>
      <c r="FV192" s="28">
        <f>(FU192/(FU192+FS192))</f>
        <v>3.5385500575373992E-2</v>
      </c>
      <c r="FW192" s="27"/>
      <c r="FX192" s="27"/>
      <c r="FY192" s="29" t="e">
        <f>FY190/FY189*100-100</f>
        <v>#DIV/0!</v>
      </c>
      <c r="FZ192" s="67">
        <f>FZ190/FZ189*100-100</f>
        <v>3.2089916924580564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3304</v>
      </c>
      <c r="GF192" s="28">
        <f>((GE192+GG192)/7)/GC191</f>
        <v>0.55792385291246338</v>
      </c>
      <c r="GG192" s="27">
        <f>SUM(GG185:GG191)</f>
        <v>125</v>
      </c>
      <c r="GH192" s="28">
        <f>(GG192/(GG192+GE192))</f>
        <v>3.6453776611256927E-2</v>
      </c>
      <c r="GI192" s="27"/>
      <c r="GJ192" s="27"/>
      <c r="GK192" s="29" t="e">
        <f>GK190/GK189*100-100</f>
        <v>#DIV/0!</v>
      </c>
      <c r="GL192" s="67">
        <f>GL190/GL189*100-100</f>
        <v>6.9229516207851276</v>
      </c>
      <c r="GM192" s="26">
        <f>SUM(GM185:GM191)</f>
        <v>4</v>
      </c>
      <c r="GN192" s="27">
        <f>SUM(GN185:GN191)</f>
        <v>0</v>
      </c>
      <c r="GO192" s="27"/>
      <c r="GP192" s="27"/>
      <c r="GQ192" s="27">
        <f>SUM(GQ185:GQ191)</f>
        <v>607</v>
      </c>
      <c r="GR192" s="28">
        <f>((GQ192+GS192)/7)/GO191</f>
        <v>0.56690777576853524</v>
      </c>
      <c r="GS192" s="27">
        <f>SUM(GS185:GS191)</f>
        <v>20</v>
      </c>
      <c r="GT192" s="28">
        <f>(GS192/(GS192+GQ192))</f>
        <v>3.1897926634768738E-2</v>
      </c>
      <c r="GU192" s="27"/>
      <c r="GV192" s="27"/>
      <c r="GW192" s="29" t="e">
        <f>GW190/GW189*100-100</f>
        <v>#DIV/0!</v>
      </c>
      <c r="GX192" s="67">
        <f>GX190/GX189*100-100</f>
        <v>-1.4823261117445838</v>
      </c>
      <c r="GY192" s="26">
        <f>SUM(GY185:GY191)</f>
        <v>1</v>
      </c>
      <c r="GZ192" s="27">
        <f>SUM(GZ185:GZ191)</f>
        <v>0</v>
      </c>
      <c r="HA192" s="27"/>
      <c r="HB192" s="27"/>
      <c r="HC192" s="27">
        <f>SUM(HC185:HC191)</f>
        <v>3724</v>
      </c>
      <c r="HD192" s="28">
        <f>((HC192+HE192)/7)/HA191</f>
        <v>0.60508849557522126</v>
      </c>
      <c r="HE192" s="27">
        <f>SUM(HE185:HE191)</f>
        <v>105</v>
      </c>
      <c r="HF192" s="28">
        <f>(HE192/(HE192+HC192))</f>
        <v>2.7422303473491772E-2</v>
      </c>
      <c r="HG192" s="27"/>
      <c r="HH192" s="27"/>
      <c r="HI192" s="29" t="e">
        <f>HI190/HI189*100-100</f>
        <v>#DIV/0!</v>
      </c>
      <c r="HJ192" s="67">
        <f>HJ190/HJ189*100-100</f>
        <v>8.2525655644241738</v>
      </c>
      <c r="HK192" s="26">
        <f t="shared" si="1681"/>
        <v>26</v>
      </c>
      <c r="HL192" s="27">
        <f t="shared" si="1682"/>
        <v>2</v>
      </c>
      <c r="HM192" s="27">
        <f t="shared" si="1683"/>
        <v>0</v>
      </c>
      <c r="HN192" s="27">
        <f t="shared" si="1684"/>
        <v>0</v>
      </c>
      <c r="HO192" s="27">
        <f t="shared" si="1685"/>
        <v>49209</v>
      </c>
      <c r="HP192" s="96">
        <f>+((HO192)/HM191)/7</f>
        <v>0.58738779602750191</v>
      </c>
      <c r="HQ192" s="62">
        <f t="shared" si="1687"/>
        <v>1506</v>
      </c>
      <c r="HR192" s="52">
        <f t="shared" si="1688"/>
        <v>3.0604157776016581E-2</v>
      </c>
      <c r="HS192" s="53">
        <f>SUM(HS185:HS191)/7</f>
        <v>64.314285714285717</v>
      </c>
      <c r="HT192" s="54">
        <f>SUM(HT185:HT191)</f>
        <v>46607</v>
      </c>
      <c r="HU192" s="53">
        <f>AVERAGE(HU185:HU191)</f>
        <v>94.710410024204975</v>
      </c>
      <c r="HV192" s="63" t="e">
        <f>HV190/HV189*100-100</f>
        <v>#DIV/0!</v>
      </c>
      <c r="HW192" s="67">
        <f>HW190/HW189*100-100</f>
        <v>6.556995937164416</v>
      </c>
      <c r="HX192" s="73">
        <f>SUM(G192,I192,S192,U192,AE192,AG192,AQ192,AS192,BC192,BE192)/7/SUM(E191,Q191,AC191,AO191,BA191)</f>
        <v>0.60649550142637698</v>
      </c>
      <c r="HY192" s="73">
        <f>SUM(BO192,BQ192,CA192,CC192,CM192,CO192,CY192,DA192,DK192,DM192)/7/SUM(BM191,BY191,CK191,CW191,DI191)</f>
        <v>0.59213704266929057</v>
      </c>
      <c r="HZ192" s="73">
        <f>SUM(DW192,DY192,EI192,EK192,EU192,EW192,FG192,FI192)/7/SUM(DU191,EG191,ES191,FE191)</f>
        <v>0.57089947089947091</v>
      </c>
      <c r="IA192" s="73">
        <f>SUM(FS192,FU192,GE192,GG192,GQ192,GS192,HC192,HE192)/7/SUM(FQ191,GC191,GO191,HA191)</f>
        <v>0.57573607662291593</v>
      </c>
      <c r="IB192" s="84">
        <f>SUM(I192,U192,AG192,AS192,BE192)/SUM(G192,I192,S192,U192,AE192,AG192,AQ192,AS192,BC192,BE192)</f>
        <v>3.1261306896302195E-2</v>
      </c>
      <c r="IC192" s="84">
        <f>SUM(BQ192,CC192,CO192,DA192,DM192)/SUM(BO192,BQ192,CA192,CC192,CM192,CO192,CY192,DA192,DK192,DM192)</f>
        <v>2.5983835637132715E-2</v>
      </c>
      <c r="ID192" s="84">
        <f>SUM(DY192,EK192,EW192,FI192)/SUM(DW192,DY192,EI192,EK192,EU192,EW192,FG192,FI192)</f>
        <v>3.3086190917516217E-2</v>
      </c>
      <c r="IE192" s="84">
        <f>SUM(FU192,GG192,GS192,HE192)/SUM(FS192,FU192,GE192,GG192,GQ192,GS192,HC192,HE192)</f>
        <v>3.2831616935128947E-2</v>
      </c>
      <c r="IF192" s="86">
        <f>SUM(C192,O192,AA192,AM192,AY192)</f>
        <v>8</v>
      </c>
      <c r="IG192" s="86">
        <f>SUM(BK192,BW192,CI192,CU192,DG192)</f>
        <v>6</v>
      </c>
      <c r="IH192" s="86">
        <f>SUM(DS192,EE192,EQ192,FC192)</f>
        <v>3</v>
      </c>
      <c r="II192" s="86">
        <f>SUM(FO192,GA192,GM192,GY192)</f>
        <v>9</v>
      </c>
      <c r="IJ192" s="88" t="s">
        <v>89</v>
      </c>
    </row>
    <row r="193" spans="1:244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HK192/HM185</f>
        <v>2.1681120747164776E-3</v>
      </c>
      <c r="HL193" s="66">
        <f>HL192/HN185</f>
        <v>1.9398642095053346E-3</v>
      </c>
      <c r="HM193" s="45"/>
      <c r="HN193" s="45"/>
      <c r="HO193" s="45"/>
      <c r="HP193" s="98"/>
      <c r="HQ193" s="45"/>
      <c r="HR193" s="45"/>
      <c r="HS193" s="45"/>
      <c r="HT193" s="55"/>
      <c r="HU193" s="45"/>
      <c r="HV193" s="45"/>
      <c r="HW193" s="46"/>
      <c r="HY193" s="72"/>
      <c r="HZ193" s="72"/>
      <c r="IA193" s="72"/>
      <c r="IF193" s="86">
        <f>SUM(E182,Q182,AC182,AO182,BA182)</f>
        <v>3263</v>
      </c>
      <c r="IG193" s="86">
        <f>SUM(BM182,BY182,CK182,CW182,DI182)</f>
        <v>3200</v>
      </c>
      <c r="IH193" s="86">
        <f>SUM(DU182,EG182,ES182,FE182)</f>
        <v>2703</v>
      </c>
      <c r="II193" s="86">
        <f>SUM(FQ182,GC182,GO182,HA182)</f>
        <v>2828</v>
      </c>
      <c r="IJ193" s="88" t="s">
        <v>84</v>
      </c>
    </row>
    <row r="194" spans="1:244" x14ac:dyDescent="0.25">
      <c r="A194" s="373">
        <v>46</v>
      </c>
      <c r="B194" s="68">
        <f>B191+1</f>
        <v>45088</v>
      </c>
      <c r="C194" s="33"/>
      <c r="D194" s="34"/>
      <c r="E194" s="34">
        <f>E191-C194</f>
        <v>822</v>
      </c>
      <c r="F194" s="34">
        <f>F191-D194</f>
        <v>72</v>
      </c>
      <c r="G194" s="34">
        <v>451</v>
      </c>
      <c r="H194" s="35">
        <f t="shared" ref="H194:H200" si="1732">((G194+I194)/E194)</f>
        <v>0.56934306569343063</v>
      </c>
      <c r="I194" s="34">
        <v>17</v>
      </c>
      <c r="J194" s="35">
        <f t="shared" ref="J194:J200" si="1733">I194/(G194+I194)</f>
        <v>3.6324786324786328E-2</v>
      </c>
      <c r="K194" s="36"/>
      <c r="L194" s="34"/>
      <c r="M194" s="34"/>
      <c r="N194" s="37"/>
      <c r="O194" s="33"/>
      <c r="P194" s="34"/>
      <c r="Q194" s="34">
        <f>Q191-O194</f>
        <v>750</v>
      </c>
      <c r="R194" s="34">
        <f>R191-P194</f>
        <v>64</v>
      </c>
      <c r="S194" s="34">
        <v>410</v>
      </c>
      <c r="T194" s="35">
        <f t="shared" ref="T194:T200" si="1734">((S194+U194)/Q194)</f>
        <v>0.56933333333333336</v>
      </c>
      <c r="U194" s="34">
        <v>17</v>
      </c>
      <c r="V194" s="35">
        <f t="shared" ref="V194:V200" si="1735">U194/(S194+U194)</f>
        <v>3.9812646370023422E-2</v>
      </c>
      <c r="W194" s="36"/>
      <c r="X194" s="34"/>
      <c r="Y194" s="34"/>
      <c r="Z194" s="37"/>
      <c r="AA194" s="33"/>
      <c r="AB194" s="34"/>
      <c r="AC194" s="34">
        <f>AC191-AA194</f>
        <v>166</v>
      </c>
      <c r="AD194" s="34">
        <f>AD191-AB194</f>
        <v>12</v>
      </c>
      <c r="AE194" s="34">
        <v>80</v>
      </c>
      <c r="AF194" s="35">
        <f t="shared" ref="AF194:AF200" si="1736">((AE194+AG194)/AC194)</f>
        <v>0.5</v>
      </c>
      <c r="AG194" s="34">
        <v>3</v>
      </c>
      <c r="AH194" s="35">
        <f t="shared" ref="AH194:AH200" si="1737">AG194/(AE194+AG194)</f>
        <v>3.614457831325301E-2</v>
      </c>
      <c r="AI194" s="36"/>
      <c r="AJ194" s="34"/>
      <c r="AK194" s="34"/>
      <c r="AL194" s="37"/>
      <c r="AM194" s="33"/>
      <c r="AN194" s="34"/>
      <c r="AO194" s="34">
        <f>AO191-AM194</f>
        <v>764</v>
      </c>
      <c r="AP194" s="34">
        <f>AP191-AN194</f>
        <v>63</v>
      </c>
      <c r="AQ194" s="34">
        <v>404</v>
      </c>
      <c r="AR194" s="35">
        <f t="shared" ref="AR194:AR200" si="1738">((AQ194+AS194)/AO194)</f>
        <v>0.53664921465968585</v>
      </c>
      <c r="AS194" s="34">
        <v>6</v>
      </c>
      <c r="AT194" s="35">
        <f t="shared" ref="AT194:AT200" si="1739">AS194/(AQ194+AS194)</f>
        <v>1.4634146341463415E-2</v>
      </c>
      <c r="AU194" s="36"/>
      <c r="AV194" s="34"/>
      <c r="AW194" s="34"/>
      <c r="AX194" s="37"/>
      <c r="AY194" s="33"/>
      <c r="AZ194" s="34"/>
      <c r="BA194" s="34">
        <f>BA191-AY194</f>
        <v>753</v>
      </c>
      <c r="BB194" s="34">
        <f>BB191-AZ194</f>
        <v>66</v>
      </c>
      <c r="BC194" s="34">
        <v>445</v>
      </c>
      <c r="BD194" s="35">
        <f t="shared" ref="BD194:BD200" si="1740">((BC194+BE194)/BA194)</f>
        <v>0.60159362549800799</v>
      </c>
      <c r="BE194" s="34">
        <v>8</v>
      </c>
      <c r="BF194" s="35">
        <f t="shared" ref="BF194:BF200" si="1741">BE194/(BC194+BE194)</f>
        <v>1.7660044150110375E-2</v>
      </c>
      <c r="BG194" s="36"/>
      <c r="BH194" s="34"/>
      <c r="BI194" s="34"/>
      <c r="BJ194" s="37"/>
      <c r="BK194" s="33">
        <v>1</v>
      </c>
      <c r="BL194" s="34"/>
      <c r="BM194" s="34">
        <f>BM191-BK194</f>
        <v>813</v>
      </c>
      <c r="BN194" s="34">
        <f>BN191-BL194</f>
        <v>70</v>
      </c>
      <c r="BO194" s="34">
        <v>472</v>
      </c>
      <c r="BP194" s="35">
        <f t="shared" ref="BP194:BP200" si="1742">((BO194+BQ194)/BM194)</f>
        <v>0.61008610086100856</v>
      </c>
      <c r="BQ194" s="34">
        <v>24</v>
      </c>
      <c r="BR194" s="35">
        <f t="shared" ref="BR194:BR200" si="1743">BQ194/(BO194+BQ194)</f>
        <v>4.8387096774193547E-2</v>
      </c>
      <c r="BS194" s="36"/>
      <c r="BT194" s="34"/>
      <c r="BU194" s="34"/>
      <c r="BV194" s="37"/>
      <c r="BW194" s="33"/>
      <c r="BX194" s="34"/>
      <c r="BY194" s="34">
        <f>BY191-BW194</f>
        <v>748</v>
      </c>
      <c r="BZ194" s="34">
        <f>BZ191-BX194</f>
        <v>61</v>
      </c>
      <c r="CA194" s="34">
        <v>405</v>
      </c>
      <c r="CB194" s="35">
        <f t="shared" ref="CB194:CB200" si="1744">((CA194+CC194)/BY194)</f>
        <v>0.55614973262032086</v>
      </c>
      <c r="CC194" s="34">
        <v>11</v>
      </c>
      <c r="CD194" s="35">
        <f t="shared" ref="CD194:CD200" si="1745">CC194/(CA194+CC194)</f>
        <v>2.6442307692307692E-2</v>
      </c>
      <c r="CE194" s="36"/>
      <c r="CF194" s="34"/>
      <c r="CG194" s="34"/>
      <c r="CH194" s="37"/>
      <c r="CI194" s="33"/>
      <c r="CJ194" s="34"/>
      <c r="CK194" s="34">
        <f>CK191-CI194</f>
        <v>152</v>
      </c>
      <c r="CL194" s="34">
        <f>CL191-CJ194</f>
        <v>14</v>
      </c>
      <c r="CM194" s="34">
        <v>75</v>
      </c>
      <c r="CN194" s="35">
        <f t="shared" ref="CN194:CN200" si="1746">((CM194+CO194)/CK194)</f>
        <v>0.50657894736842102</v>
      </c>
      <c r="CO194" s="34">
        <v>2</v>
      </c>
      <c r="CP194" s="35">
        <f t="shared" ref="CP194:CP200" si="1747">CO194/(CM194+CO194)</f>
        <v>2.5974025974025976E-2</v>
      </c>
      <c r="CQ194" s="36"/>
      <c r="CR194" s="34"/>
      <c r="CS194" s="34"/>
      <c r="CT194" s="37"/>
      <c r="CU194" s="33"/>
      <c r="CV194" s="34"/>
      <c r="CW194" s="34">
        <f>CW191-CU194</f>
        <v>737</v>
      </c>
      <c r="CX194" s="34">
        <f>CX191-CV194</f>
        <v>63</v>
      </c>
      <c r="CY194" s="34">
        <v>407</v>
      </c>
      <c r="CZ194" s="35">
        <f t="shared" ref="CZ194:CZ200" si="1748">((CY194+DA194)/CW194)</f>
        <v>0.57394843962008146</v>
      </c>
      <c r="DA194" s="34">
        <v>16</v>
      </c>
      <c r="DB194" s="35">
        <f t="shared" ref="DB194:DB200" si="1749">DA194/(CY194+DA194)</f>
        <v>3.7825059101654845E-2</v>
      </c>
      <c r="DC194" s="36"/>
      <c r="DD194" s="34"/>
      <c r="DE194" s="34"/>
      <c r="DF194" s="37"/>
      <c r="DG194" s="33"/>
      <c r="DH194" s="34"/>
      <c r="DI194" s="34">
        <f>DI191-DG194</f>
        <v>743</v>
      </c>
      <c r="DJ194" s="34">
        <f>DJ191-DH194</f>
        <v>66</v>
      </c>
      <c r="DK194" s="34">
        <v>427</v>
      </c>
      <c r="DL194" s="35">
        <f t="shared" ref="DL194:DL200" si="1750">((DK194+DM194)/DI194)</f>
        <v>0.60699865410497977</v>
      </c>
      <c r="DM194" s="34">
        <v>24</v>
      </c>
      <c r="DN194" s="35">
        <f t="shared" ref="DN194:DN200" si="1751">DM194/(DK194+DM194)</f>
        <v>5.3215077605321508E-2</v>
      </c>
      <c r="DO194" s="36"/>
      <c r="DP194" s="34"/>
      <c r="DQ194" s="34"/>
      <c r="DR194" s="37"/>
      <c r="DS194" s="33"/>
      <c r="DT194" s="34"/>
      <c r="DU194" s="34">
        <f>DU191-DS194</f>
        <v>826</v>
      </c>
      <c r="DV194" s="34">
        <f>DV191-DT194</f>
        <v>71</v>
      </c>
      <c r="DW194" s="34">
        <v>468</v>
      </c>
      <c r="DX194" s="35">
        <f t="shared" ref="DX194:DX200" si="1752">((DW194+DY194)/DU194)</f>
        <v>0.57869249394673128</v>
      </c>
      <c r="DY194" s="34">
        <v>10</v>
      </c>
      <c r="DZ194" s="35">
        <f t="shared" ref="DZ194:DZ200" si="1753">DY194/(DW194+DY194)</f>
        <v>2.0920502092050208E-2</v>
      </c>
      <c r="EA194" s="36"/>
      <c r="EB194" s="34"/>
      <c r="EC194" s="34"/>
      <c r="ED194" s="37"/>
      <c r="EE194" s="33"/>
      <c r="EF194" s="34"/>
      <c r="EG194" s="34">
        <f>EG191-EE194</f>
        <v>845</v>
      </c>
      <c r="EH194" s="34">
        <f>EH191-EF194</f>
        <v>73</v>
      </c>
      <c r="EI194" s="34">
        <v>482</v>
      </c>
      <c r="EJ194" s="35">
        <f t="shared" ref="EJ194:EJ200" si="1754">((EI194+EK194)/EG194)</f>
        <v>0.58106508875739649</v>
      </c>
      <c r="EK194" s="34">
        <v>9</v>
      </c>
      <c r="EL194" s="35">
        <f t="shared" ref="EL194:EL200" si="1755">EK194/(EI194+EK194)</f>
        <v>1.8329938900203666E-2</v>
      </c>
      <c r="EM194" s="36"/>
      <c r="EN194" s="34"/>
      <c r="EO194" s="34"/>
      <c r="EP194" s="37"/>
      <c r="EQ194" s="33"/>
      <c r="ER194" s="34"/>
      <c r="ES194" s="34">
        <f>ES191-EQ194</f>
        <v>180</v>
      </c>
      <c r="ET194" s="34">
        <f>ET191-ER194</f>
        <v>16</v>
      </c>
      <c r="EU194" s="34">
        <v>81</v>
      </c>
      <c r="EV194" s="35">
        <f t="shared" ref="EV194:EV200" si="1756">((EU194+EW194)/ES194)</f>
        <v>0.4777777777777778</v>
      </c>
      <c r="EW194" s="34">
        <v>5</v>
      </c>
      <c r="EX194" s="35">
        <f t="shared" ref="EX194:EX200" si="1757">EW194/(EU194+EW194)</f>
        <v>5.8139534883720929E-2</v>
      </c>
      <c r="EY194" s="36"/>
      <c r="EZ194" s="34"/>
      <c r="FA194" s="34"/>
      <c r="FB194" s="37"/>
      <c r="FC194" s="33"/>
      <c r="FD194" s="34"/>
      <c r="FE194" s="34">
        <f>FE191-FC194</f>
        <v>849</v>
      </c>
      <c r="FF194" s="34">
        <f>FF191-FD194</f>
        <v>73</v>
      </c>
      <c r="FG194" s="34">
        <v>502</v>
      </c>
      <c r="FH194" s="35">
        <f t="shared" ref="FH194:FH200" si="1758">((FG194+FI194)/FE194)</f>
        <v>0.60306242638398111</v>
      </c>
      <c r="FI194" s="34">
        <v>10</v>
      </c>
      <c r="FJ194" s="35">
        <f t="shared" ref="FJ194:FJ200" si="1759">FI194/(FG194+FI194)</f>
        <v>1.953125E-2</v>
      </c>
      <c r="FK194" s="36"/>
      <c r="FL194" s="34"/>
      <c r="FM194" s="34"/>
      <c r="FN194" s="37"/>
      <c r="FO194" s="33"/>
      <c r="FP194" s="34"/>
      <c r="FQ194" s="34">
        <f>FQ191-FO194</f>
        <v>879</v>
      </c>
      <c r="FR194" s="34">
        <f>FR191-FP194</f>
        <v>75</v>
      </c>
      <c r="FS194" s="34">
        <v>468</v>
      </c>
      <c r="FT194" s="35">
        <f t="shared" ref="FT194:FT200" si="1760">((FS194+FU194)/FQ194)</f>
        <v>0.55517633674630262</v>
      </c>
      <c r="FU194" s="34">
        <v>20</v>
      </c>
      <c r="FV194" s="35">
        <f t="shared" ref="FV194:FV200" si="1761">FU194/(FS194+FU194)</f>
        <v>4.0983606557377046E-2</v>
      </c>
      <c r="FW194" s="36"/>
      <c r="FX194" s="34"/>
      <c r="FY194" s="34"/>
      <c r="FZ194" s="37"/>
      <c r="GA194" s="33"/>
      <c r="GB194" s="34"/>
      <c r="GC194" s="34">
        <f>GC191-GA194</f>
        <v>878</v>
      </c>
      <c r="GD194" s="34">
        <f>GD191-GB194</f>
        <v>76</v>
      </c>
      <c r="GE194" s="34">
        <v>479</v>
      </c>
      <c r="GF194" s="35">
        <f t="shared" ref="GF194:GF200" si="1762">((GE194+GG194)/GC194)</f>
        <v>0.5637813211845103</v>
      </c>
      <c r="GG194" s="34">
        <v>16</v>
      </c>
      <c r="GH194" s="35">
        <f t="shared" ref="GH194:GH200" si="1763">GG194/(GE194+GG194)</f>
        <v>3.2323232323232323E-2</v>
      </c>
      <c r="GI194" s="36"/>
      <c r="GJ194" s="34"/>
      <c r="GK194" s="34"/>
      <c r="GL194" s="37"/>
      <c r="GM194" s="33"/>
      <c r="GN194" s="34"/>
      <c r="GO194" s="34">
        <f>GO191-GM194</f>
        <v>158</v>
      </c>
      <c r="GP194" s="34">
        <f>GP191-GN194</f>
        <v>17</v>
      </c>
      <c r="GQ194" s="34">
        <v>83</v>
      </c>
      <c r="GR194" s="35">
        <f t="shared" ref="GR194:GR200" si="1764">((GQ194+GS194)/GO194)</f>
        <v>0.54430379746835444</v>
      </c>
      <c r="GS194" s="34">
        <v>3</v>
      </c>
      <c r="GT194" s="35">
        <f t="shared" ref="GT194:GT200" si="1765">GS194/(GQ194+GS194)</f>
        <v>3.4883720930232558E-2</v>
      </c>
      <c r="GU194" s="36"/>
      <c r="GV194" s="34"/>
      <c r="GW194" s="34"/>
      <c r="GX194" s="37"/>
      <c r="GY194" s="33"/>
      <c r="GZ194" s="34"/>
      <c r="HA194" s="34">
        <f>HA191-GY194</f>
        <v>904</v>
      </c>
      <c r="HB194" s="34">
        <f>HB191-GZ194</f>
        <v>77</v>
      </c>
      <c r="HC194" s="34">
        <v>524</v>
      </c>
      <c r="HD194" s="35">
        <f t="shared" ref="HD194:HD200" si="1766">((HC194+HE194)/HA194)</f>
        <v>0.59845132743362828</v>
      </c>
      <c r="HE194" s="34">
        <v>17</v>
      </c>
      <c r="HF194" s="35">
        <f t="shared" ref="HF194:HF200" si="1767">HE194/(HC194+HE194)</f>
        <v>3.1423290203327174E-2</v>
      </c>
      <c r="HG194" s="36"/>
      <c r="HH194" s="34"/>
      <c r="HI194" s="34"/>
      <c r="HJ194" s="37"/>
      <c r="HK194" s="33">
        <f t="shared" ref="HK194:HK201" si="1768">+C194+O194+AA194+AM194+AY194+BK194+BW194+CI194+CU194+DG194+DS194+EE194+EQ194+FC194+FO194+GA194+GM194+GY194</f>
        <v>1</v>
      </c>
      <c r="HL194" s="34">
        <f t="shared" ref="HL194:HL201" si="1769">+D194+P194+AB194+AN194+AZ194+BL194+BX194+CJ194+CV194+DH194+DT194+EF194+ER194+FD194+FP194+GB194+GN194+GZ194</f>
        <v>0</v>
      </c>
      <c r="HM194" s="34">
        <f t="shared" ref="HM194:HM201" si="1770">+E194+Q194+AC194+AO194+BA194+BM194+BY194+CK194+CW194+DI194+DU194+EG194+ES194+FE194+FQ194+GC194+GO194+HA194</f>
        <v>11967</v>
      </c>
      <c r="HN194" s="34">
        <f t="shared" ref="HN194:HN201" si="1771">+F194+R194+AD194+AP194+BB194+BN194+BZ194+CL194+CX194+DJ194+DV194+EH194+ET194+FF194+FR194+GD194+GP194+HB194</f>
        <v>1029</v>
      </c>
      <c r="HO194" s="34">
        <f t="shared" ref="HO194:HO201" si="1772">+G194+S194+AE194+AQ194+BC194+BO194+CA194+CM194+CY194+DK194+DW194+EI194+EU194+FG194+FS194+GE194+GQ194+HC194+I194+U194+AG194+AS194+BE194+BQ194+CC194+CO194+DA194+DM194+DY194+EK194+EW194+FI194+FU194+GG194+GS194+HE194</f>
        <v>6881</v>
      </c>
      <c r="HP194" s="94">
        <f t="shared" ref="HP194:HP200" si="1773">+(HO194)/HM194</f>
        <v>0.57499791092170138</v>
      </c>
      <c r="HQ194" s="48">
        <f t="shared" ref="HQ194:HQ201" si="1774">+I194+U194+AG194+AS194+BE194+BQ194+CC194+CO194+DA194+DM194+DY194+EK194+EW194+FI194+FU194+GG194+GS194+HE194</f>
        <v>218</v>
      </c>
      <c r="HR194" s="35">
        <f t="shared" ref="HR194:HR201" si="1775">+(HQ194/(HO194))</f>
        <v>3.1681441650922834E-2</v>
      </c>
      <c r="HS194" s="49">
        <v>64.5</v>
      </c>
      <c r="HT194" s="50">
        <v>6503</v>
      </c>
      <c r="HU194" s="49">
        <f t="shared" ref="HU194:HU200" si="1776">+HT194/HO194*100</f>
        <v>94.506612410986776</v>
      </c>
      <c r="HV194" s="48"/>
      <c r="HW194" s="37"/>
      <c r="HX194" s="73">
        <f t="shared" ref="HX194:HX200" si="1777">SUM(G194,I194,S194,U194,AE194,AG194,AQ194,AS194,BC194,BE194)/SUM(E194,Q194,AC194,AO194,BA194)</f>
        <v>0.56559139784946233</v>
      </c>
      <c r="HY194" s="73">
        <f t="shared" ref="HY194:HY200" si="1778">SUM(BO194,BQ194,CA194,CC194,CM194,CO194,CY194,DA194,DK194,DM194)/SUM(BM194,BY194,CK194,CW194,DI194)</f>
        <v>0.58346382712182898</v>
      </c>
      <c r="HZ194" s="73">
        <f t="shared" ref="HZ194:HZ200" si="1779">SUM(DW194,DY194,EI194,EK194,EU194,EW194,FG194,FI194)/SUM(DU194,EG194,ES194,FE194)</f>
        <v>0.58037037037037043</v>
      </c>
      <c r="IA194" s="73">
        <f t="shared" ref="IA194:IA200" si="1780">SUM(FS194,FU194,GE194,GG194,GQ194,GS194,HC194,HE194)/SUM(FQ194,GC194,GO194,HA194)</f>
        <v>0.57112451223838245</v>
      </c>
    </row>
    <row r="195" spans="1:244" x14ac:dyDescent="0.25">
      <c r="A195" s="374"/>
      <c r="B195" s="41">
        <f t="shared" ref="B195:B200" si="1781">+B194+1</f>
        <v>45089</v>
      </c>
      <c r="C195" s="10"/>
      <c r="D195" s="11"/>
      <c r="E195" s="69">
        <f t="shared" ref="E195:E200" si="1782">E194-C195</f>
        <v>822</v>
      </c>
      <c r="F195" s="69">
        <f t="shared" ref="F195:F200" si="1783">F194-D195</f>
        <v>72</v>
      </c>
      <c r="G195" s="11">
        <v>474</v>
      </c>
      <c r="H195" s="12">
        <f t="shared" si="1732"/>
        <v>0.5948905109489051</v>
      </c>
      <c r="I195" s="11">
        <v>15</v>
      </c>
      <c r="J195" s="12">
        <f t="shared" si="1733"/>
        <v>3.0674846625766871E-2</v>
      </c>
      <c r="K195" s="13"/>
      <c r="L195" s="11"/>
      <c r="M195" s="11"/>
      <c r="N195" s="14"/>
      <c r="O195" s="10"/>
      <c r="P195" s="11"/>
      <c r="Q195" s="69">
        <f t="shared" ref="Q195:Q200" si="1784">Q194-O195</f>
        <v>750</v>
      </c>
      <c r="R195" s="69">
        <f t="shared" ref="R195:R200" si="1785">R194-P195</f>
        <v>64</v>
      </c>
      <c r="S195" s="11">
        <v>418</v>
      </c>
      <c r="T195" s="12">
        <f t="shared" si="1734"/>
        <v>0.57066666666666666</v>
      </c>
      <c r="U195" s="11">
        <v>10</v>
      </c>
      <c r="V195" s="12">
        <f t="shared" si="1735"/>
        <v>2.336448598130841E-2</v>
      </c>
      <c r="W195" s="13"/>
      <c r="X195" s="11"/>
      <c r="Y195" s="11"/>
      <c r="Z195" s="14"/>
      <c r="AA195" s="10">
        <v>2</v>
      </c>
      <c r="AB195" s="11"/>
      <c r="AC195" s="69">
        <f t="shared" ref="AC195:AC200" si="1786">AC194-AA195</f>
        <v>164</v>
      </c>
      <c r="AD195" s="69">
        <f t="shared" ref="AD195:AD200" si="1787">AD194-AB195</f>
        <v>12</v>
      </c>
      <c r="AE195" s="11">
        <v>84</v>
      </c>
      <c r="AF195" s="12">
        <f t="shared" si="1736"/>
        <v>0.53048780487804881</v>
      </c>
      <c r="AG195" s="11">
        <v>3</v>
      </c>
      <c r="AH195" s="12">
        <f t="shared" si="1737"/>
        <v>3.4482758620689655E-2</v>
      </c>
      <c r="AI195" s="13"/>
      <c r="AJ195" s="11"/>
      <c r="AK195" s="11"/>
      <c r="AL195" s="14"/>
      <c r="AM195" s="10"/>
      <c r="AN195" s="11"/>
      <c r="AO195" s="69">
        <f t="shared" ref="AO195:AO200" si="1788">AO194-AM195</f>
        <v>764</v>
      </c>
      <c r="AP195" s="69">
        <f t="shared" ref="AP195:AP200" si="1789">AP194-AN195</f>
        <v>63</v>
      </c>
      <c r="AQ195" s="11">
        <v>373</v>
      </c>
      <c r="AR195" s="12">
        <f t="shared" si="1738"/>
        <v>0.50130890052356025</v>
      </c>
      <c r="AS195" s="11">
        <v>10</v>
      </c>
      <c r="AT195" s="12">
        <f t="shared" si="1739"/>
        <v>2.6109660574412531E-2</v>
      </c>
      <c r="AU195" s="13"/>
      <c r="AV195" s="11"/>
      <c r="AW195" s="11"/>
      <c r="AX195" s="14"/>
      <c r="AY195" s="10"/>
      <c r="AZ195" s="11"/>
      <c r="BA195" s="69">
        <f t="shared" ref="BA195:BA200" si="1790">BA194-AY195</f>
        <v>753</v>
      </c>
      <c r="BB195" s="69">
        <f t="shared" ref="BB195:BB200" si="1791">BB194-AZ195</f>
        <v>66</v>
      </c>
      <c r="BC195" s="11">
        <v>426</v>
      </c>
      <c r="BD195" s="12">
        <f t="shared" si="1740"/>
        <v>0.58698539176626829</v>
      </c>
      <c r="BE195" s="11">
        <v>16</v>
      </c>
      <c r="BF195" s="12">
        <f t="shared" si="1741"/>
        <v>3.6199095022624438E-2</v>
      </c>
      <c r="BG195" s="13"/>
      <c r="BH195" s="11"/>
      <c r="BI195" s="11"/>
      <c r="BJ195" s="14"/>
      <c r="BK195" s="10"/>
      <c r="BL195" s="11"/>
      <c r="BM195" s="69">
        <f t="shared" ref="BM195:BM200" si="1792">BM194-BK195</f>
        <v>813</v>
      </c>
      <c r="BN195" s="69">
        <f t="shared" ref="BN195:BN200" si="1793">BN194-BL195</f>
        <v>70</v>
      </c>
      <c r="BO195" s="11">
        <v>462</v>
      </c>
      <c r="BP195" s="12">
        <f t="shared" si="1742"/>
        <v>0.59163591635916357</v>
      </c>
      <c r="BQ195" s="11">
        <v>19</v>
      </c>
      <c r="BR195" s="12">
        <f t="shared" si="1743"/>
        <v>3.9501039501039503E-2</v>
      </c>
      <c r="BS195" s="13"/>
      <c r="BT195" s="11"/>
      <c r="BU195" s="11"/>
      <c r="BV195" s="14"/>
      <c r="BW195" s="10"/>
      <c r="BX195" s="11"/>
      <c r="BY195" s="69">
        <f t="shared" ref="BY195:BY200" si="1794">BY194-BW195</f>
        <v>748</v>
      </c>
      <c r="BZ195" s="69">
        <f t="shared" ref="BZ195:BZ200" si="1795">BZ194-BX195</f>
        <v>61</v>
      </c>
      <c r="CA195" s="11">
        <v>433</v>
      </c>
      <c r="CB195" s="12">
        <f t="shared" si="1744"/>
        <v>0.59491978609625673</v>
      </c>
      <c r="CC195" s="11">
        <v>12</v>
      </c>
      <c r="CD195" s="12">
        <f t="shared" si="1745"/>
        <v>2.6966292134831461E-2</v>
      </c>
      <c r="CE195" s="13"/>
      <c r="CF195" s="11"/>
      <c r="CG195" s="11"/>
      <c r="CH195" s="14"/>
      <c r="CI195" s="10">
        <v>1</v>
      </c>
      <c r="CJ195" s="11"/>
      <c r="CK195" s="69">
        <f t="shared" ref="CK195:CK200" si="1796">CK194-CI195</f>
        <v>151</v>
      </c>
      <c r="CL195" s="69">
        <f t="shared" ref="CL195:CL200" si="1797">CL194-CJ195</f>
        <v>14</v>
      </c>
      <c r="CM195" s="11">
        <v>94</v>
      </c>
      <c r="CN195" s="12">
        <f t="shared" si="1746"/>
        <v>0.63576158940397354</v>
      </c>
      <c r="CO195" s="11">
        <v>2</v>
      </c>
      <c r="CP195" s="12">
        <f t="shared" si="1747"/>
        <v>2.0833333333333332E-2</v>
      </c>
      <c r="CQ195" s="13"/>
      <c r="CR195" s="11"/>
      <c r="CS195" s="11"/>
      <c r="CT195" s="14"/>
      <c r="CU195" s="10"/>
      <c r="CV195" s="11"/>
      <c r="CW195" s="69">
        <f t="shared" ref="CW195:CW200" si="1798">CW194-CU195</f>
        <v>737</v>
      </c>
      <c r="CX195" s="69">
        <f t="shared" ref="CX195:CX200" si="1799">CX194-CV195</f>
        <v>63</v>
      </c>
      <c r="CY195" s="11">
        <v>434</v>
      </c>
      <c r="CZ195" s="12">
        <f t="shared" si="1748"/>
        <v>0.60922659430122117</v>
      </c>
      <c r="DA195" s="11">
        <v>15</v>
      </c>
      <c r="DB195" s="12">
        <f t="shared" si="1749"/>
        <v>3.34075723830735E-2</v>
      </c>
      <c r="DC195" s="13"/>
      <c r="DD195" s="11"/>
      <c r="DE195" s="11"/>
      <c r="DF195" s="14"/>
      <c r="DG195" s="10"/>
      <c r="DH195" s="11">
        <v>1</v>
      </c>
      <c r="DI195" s="69">
        <f t="shared" ref="DI195:DI200" si="1800">DI194-DG195</f>
        <v>743</v>
      </c>
      <c r="DJ195" s="69">
        <f t="shared" ref="DJ195:DJ200" si="1801">DJ194-DH195</f>
        <v>65</v>
      </c>
      <c r="DK195" s="11">
        <v>445</v>
      </c>
      <c r="DL195" s="12">
        <f t="shared" si="1750"/>
        <v>0.62314939434724093</v>
      </c>
      <c r="DM195" s="11">
        <v>18</v>
      </c>
      <c r="DN195" s="12">
        <f t="shared" si="1751"/>
        <v>3.8876889848812095E-2</v>
      </c>
      <c r="DO195" s="13"/>
      <c r="DP195" s="11"/>
      <c r="DQ195" s="11"/>
      <c r="DR195" s="14"/>
      <c r="DS195" s="10"/>
      <c r="DT195" s="11"/>
      <c r="DU195" s="69">
        <f t="shared" ref="DU195:DU200" si="1802">DU194-DS195</f>
        <v>826</v>
      </c>
      <c r="DV195" s="69">
        <f t="shared" ref="DV195:DV200" si="1803">DV194-DT195</f>
        <v>71</v>
      </c>
      <c r="DW195" s="11">
        <v>474</v>
      </c>
      <c r="DX195" s="12">
        <f t="shared" si="1752"/>
        <v>0.6004842615012107</v>
      </c>
      <c r="DY195" s="11">
        <v>22</v>
      </c>
      <c r="DZ195" s="12">
        <f t="shared" si="1753"/>
        <v>4.4354838709677422E-2</v>
      </c>
      <c r="EA195" s="13"/>
      <c r="EB195" s="11"/>
      <c r="EC195" s="11"/>
      <c r="ED195" s="14"/>
      <c r="EE195" s="10"/>
      <c r="EF195" s="11"/>
      <c r="EG195" s="69">
        <f t="shared" ref="EG195:EG200" si="1804">EG194-EE195</f>
        <v>845</v>
      </c>
      <c r="EH195" s="69">
        <f t="shared" ref="EH195:EH200" si="1805">EH194-EF195</f>
        <v>73</v>
      </c>
      <c r="EI195" s="11">
        <v>493</v>
      </c>
      <c r="EJ195" s="12">
        <f t="shared" si="1754"/>
        <v>0.6</v>
      </c>
      <c r="EK195" s="11">
        <v>14</v>
      </c>
      <c r="EL195" s="12">
        <f t="shared" si="1755"/>
        <v>2.7613412228796843E-2</v>
      </c>
      <c r="EM195" s="13"/>
      <c r="EN195" s="11"/>
      <c r="EO195" s="11"/>
      <c r="EP195" s="14"/>
      <c r="EQ195" s="10"/>
      <c r="ER195" s="11"/>
      <c r="ES195" s="69">
        <f t="shared" ref="ES195:ES200" si="1806">ES194-EQ195</f>
        <v>180</v>
      </c>
      <c r="ET195" s="69">
        <f t="shared" ref="ET195:ET200" si="1807">ET194-ER195</f>
        <v>16</v>
      </c>
      <c r="EU195" s="11">
        <v>86</v>
      </c>
      <c r="EV195" s="12">
        <f t="shared" si="1756"/>
        <v>0.50555555555555554</v>
      </c>
      <c r="EW195" s="11">
        <v>5</v>
      </c>
      <c r="EX195" s="12">
        <f t="shared" si="1757"/>
        <v>5.4945054945054944E-2</v>
      </c>
      <c r="EY195" s="13"/>
      <c r="EZ195" s="11"/>
      <c r="FA195" s="11"/>
      <c r="FB195" s="14"/>
      <c r="FC195" s="10"/>
      <c r="FD195" s="11"/>
      <c r="FE195" s="69">
        <f t="shared" ref="FE195:FE200" si="1808">FE194-FC195</f>
        <v>849</v>
      </c>
      <c r="FF195" s="69">
        <f t="shared" ref="FF195:FF200" si="1809">FF194-FD195</f>
        <v>73</v>
      </c>
      <c r="FG195" s="11">
        <v>515</v>
      </c>
      <c r="FH195" s="12">
        <f t="shared" si="1758"/>
        <v>0.6136631330977621</v>
      </c>
      <c r="FI195" s="11">
        <v>6</v>
      </c>
      <c r="FJ195" s="12">
        <f t="shared" si="1759"/>
        <v>1.1516314779270634E-2</v>
      </c>
      <c r="FK195" s="13"/>
      <c r="FL195" s="11"/>
      <c r="FM195" s="11"/>
      <c r="FN195" s="14"/>
      <c r="FO195" s="10"/>
      <c r="FP195" s="11"/>
      <c r="FQ195" s="69">
        <f t="shared" ref="FQ195:FQ200" si="1810">FQ194-FO195</f>
        <v>879</v>
      </c>
      <c r="FR195" s="69">
        <f t="shared" ref="FR195:FR200" si="1811">FR194-FP195</f>
        <v>75</v>
      </c>
      <c r="FS195" s="11">
        <v>496</v>
      </c>
      <c r="FT195" s="12">
        <f t="shared" si="1760"/>
        <v>0.58703071672354945</v>
      </c>
      <c r="FU195" s="11">
        <v>20</v>
      </c>
      <c r="FV195" s="12">
        <f t="shared" si="1761"/>
        <v>3.875968992248062E-2</v>
      </c>
      <c r="FW195" s="13"/>
      <c r="FX195" s="11"/>
      <c r="FY195" s="11"/>
      <c r="FZ195" s="14"/>
      <c r="GA195" s="10"/>
      <c r="GB195" s="11"/>
      <c r="GC195" s="69">
        <f t="shared" ref="GC195:GC200" si="1812">GC194-GA195</f>
        <v>878</v>
      </c>
      <c r="GD195" s="69">
        <f t="shared" ref="GD195:GD200" si="1813">GD194-GB195</f>
        <v>76</v>
      </c>
      <c r="GE195" s="11">
        <v>495</v>
      </c>
      <c r="GF195" s="12">
        <f t="shared" si="1762"/>
        <v>0.59339407744874717</v>
      </c>
      <c r="GG195" s="11">
        <v>26</v>
      </c>
      <c r="GH195" s="12">
        <f t="shared" si="1763"/>
        <v>4.9904030710172742E-2</v>
      </c>
      <c r="GI195" s="13"/>
      <c r="GJ195" s="11"/>
      <c r="GK195" s="11"/>
      <c r="GL195" s="14"/>
      <c r="GM195" s="10">
        <v>2</v>
      </c>
      <c r="GN195" s="11">
        <v>1</v>
      </c>
      <c r="GO195" s="69">
        <f t="shared" ref="GO195:GO200" si="1814">GO194-GM195</f>
        <v>156</v>
      </c>
      <c r="GP195" s="69">
        <f t="shared" ref="GP195:GP200" si="1815">GP194-GN195</f>
        <v>16</v>
      </c>
      <c r="GQ195" s="11">
        <v>85</v>
      </c>
      <c r="GR195" s="12">
        <f t="shared" si="1764"/>
        <v>0.5641025641025641</v>
      </c>
      <c r="GS195" s="11">
        <v>3</v>
      </c>
      <c r="GT195" s="12">
        <f t="shared" si="1765"/>
        <v>3.4090909090909088E-2</v>
      </c>
      <c r="GU195" s="13"/>
      <c r="GV195" s="11"/>
      <c r="GW195" s="11"/>
      <c r="GX195" s="14"/>
      <c r="GY195" s="10"/>
      <c r="GZ195" s="11"/>
      <c r="HA195" s="69">
        <f t="shared" ref="HA195:HA200" si="1816">HA194-GY195</f>
        <v>904</v>
      </c>
      <c r="HB195" s="69">
        <f t="shared" ref="HB195:HB200" si="1817">HB194-GZ195</f>
        <v>77</v>
      </c>
      <c r="HC195" s="11">
        <v>515</v>
      </c>
      <c r="HD195" s="12">
        <f t="shared" si="1766"/>
        <v>0.58628318584070793</v>
      </c>
      <c r="HE195" s="11">
        <v>15</v>
      </c>
      <c r="HF195" s="12">
        <f t="shared" si="1767"/>
        <v>2.8301886792452831E-2</v>
      </c>
      <c r="HG195" s="13"/>
      <c r="HH195" s="11"/>
      <c r="HI195" s="11"/>
      <c r="HJ195" s="14"/>
      <c r="HK195" s="10">
        <f t="shared" si="1768"/>
        <v>5</v>
      </c>
      <c r="HL195" s="11">
        <f t="shared" si="1769"/>
        <v>2</v>
      </c>
      <c r="HM195" s="11">
        <f t="shared" si="1770"/>
        <v>11962</v>
      </c>
      <c r="HN195" s="11">
        <f t="shared" si="1771"/>
        <v>1027</v>
      </c>
      <c r="HO195" s="11">
        <f t="shared" si="1772"/>
        <v>7033</v>
      </c>
      <c r="HP195" s="95">
        <f t="shared" si="1773"/>
        <v>0.58794515967229555</v>
      </c>
      <c r="HQ195" s="15">
        <f t="shared" si="1774"/>
        <v>231</v>
      </c>
      <c r="HR195" s="12">
        <f t="shared" si="1775"/>
        <v>3.2845158538319354E-2</v>
      </c>
      <c r="HS195" s="16">
        <v>64.3</v>
      </c>
      <c r="HT195" s="17">
        <v>6630</v>
      </c>
      <c r="HU195" s="16">
        <f t="shared" si="1776"/>
        <v>94.269870609981524</v>
      </c>
      <c r="HV195" s="15"/>
      <c r="HW195" s="14"/>
      <c r="HX195" s="73">
        <f t="shared" si="1777"/>
        <v>0.56225023055640944</v>
      </c>
      <c r="HY195" s="73">
        <f t="shared" si="1778"/>
        <v>0.60588972431077692</v>
      </c>
      <c r="HZ195" s="73">
        <f t="shared" si="1779"/>
        <v>0.5981481481481481</v>
      </c>
      <c r="IA195" s="73">
        <f t="shared" si="1780"/>
        <v>0.58750443734469293</v>
      </c>
    </row>
    <row r="196" spans="1:244" x14ac:dyDescent="0.25">
      <c r="A196" s="374"/>
      <c r="B196" s="41">
        <f t="shared" si="1781"/>
        <v>45090</v>
      </c>
      <c r="C196" s="10"/>
      <c r="D196" s="11"/>
      <c r="E196" s="69">
        <f t="shared" si="1782"/>
        <v>822</v>
      </c>
      <c r="F196" s="69">
        <f t="shared" si="1783"/>
        <v>72</v>
      </c>
      <c r="G196" s="11">
        <v>479</v>
      </c>
      <c r="H196" s="12">
        <f t="shared" si="1732"/>
        <v>0.60462287104622869</v>
      </c>
      <c r="I196" s="11">
        <v>18</v>
      </c>
      <c r="J196" s="12">
        <f t="shared" si="1733"/>
        <v>3.6217303822937627E-2</v>
      </c>
      <c r="K196" s="13"/>
      <c r="L196" s="11"/>
      <c r="M196" s="11"/>
      <c r="N196" s="14"/>
      <c r="O196" s="10"/>
      <c r="P196" s="11"/>
      <c r="Q196" s="69">
        <f t="shared" si="1784"/>
        <v>750</v>
      </c>
      <c r="R196" s="69">
        <f t="shared" si="1785"/>
        <v>64</v>
      </c>
      <c r="S196" s="11">
        <v>439</v>
      </c>
      <c r="T196" s="12">
        <f t="shared" si="1734"/>
        <v>0.60399999999999998</v>
      </c>
      <c r="U196" s="11">
        <v>14</v>
      </c>
      <c r="V196" s="12">
        <f t="shared" si="1735"/>
        <v>3.0905077262693158E-2</v>
      </c>
      <c r="W196" s="13"/>
      <c r="X196" s="11"/>
      <c r="Y196" s="11"/>
      <c r="Z196" s="14"/>
      <c r="AA196" s="10">
        <v>1</v>
      </c>
      <c r="AB196" s="11"/>
      <c r="AC196" s="69">
        <f t="shared" si="1786"/>
        <v>163</v>
      </c>
      <c r="AD196" s="69">
        <f t="shared" si="1787"/>
        <v>12</v>
      </c>
      <c r="AE196" s="11">
        <v>95</v>
      </c>
      <c r="AF196" s="12">
        <f t="shared" si="1736"/>
        <v>0.61349693251533743</v>
      </c>
      <c r="AG196" s="11">
        <v>5</v>
      </c>
      <c r="AH196" s="12">
        <f t="shared" si="1737"/>
        <v>0.05</v>
      </c>
      <c r="AI196" s="13"/>
      <c r="AJ196" s="11"/>
      <c r="AK196" s="11"/>
      <c r="AL196" s="14"/>
      <c r="AM196" s="10"/>
      <c r="AN196" s="11"/>
      <c r="AO196" s="69">
        <f t="shared" si="1788"/>
        <v>764</v>
      </c>
      <c r="AP196" s="69">
        <f t="shared" si="1789"/>
        <v>63</v>
      </c>
      <c r="AQ196" s="11">
        <v>438</v>
      </c>
      <c r="AR196" s="12">
        <f t="shared" si="1738"/>
        <v>0.59031413612565442</v>
      </c>
      <c r="AS196" s="11">
        <v>13</v>
      </c>
      <c r="AT196" s="12">
        <f t="shared" si="1739"/>
        <v>2.8824833702882482E-2</v>
      </c>
      <c r="AU196" s="13"/>
      <c r="AV196" s="11"/>
      <c r="AW196" s="11"/>
      <c r="AX196" s="14"/>
      <c r="AY196" s="10"/>
      <c r="AZ196" s="11"/>
      <c r="BA196" s="69">
        <f t="shared" si="1790"/>
        <v>753</v>
      </c>
      <c r="BB196" s="69">
        <f t="shared" si="1791"/>
        <v>66</v>
      </c>
      <c r="BC196" s="11">
        <v>451</v>
      </c>
      <c r="BD196" s="12">
        <f t="shared" si="1740"/>
        <v>0.62151394422310757</v>
      </c>
      <c r="BE196" s="11">
        <v>17</v>
      </c>
      <c r="BF196" s="12">
        <f t="shared" si="1741"/>
        <v>3.6324786324786328E-2</v>
      </c>
      <c r="BG196" s="13"/>
      <c r="BH196" s="11"/>
      <c r="BI196" s="11"/>
      <c r="BJ196" s="14"/>
      <c r="BK196" s="10"/>
      <c r="BL196" s="11"/>
      <c r="BM196" s="69">
        <f t="shared" si="1792"/>
        <v>813</v>
      </c>
      <c r="BN196" s="69">
        <f t="shared" si="1793"/>
        <v>70</v>
      </c>
      <c r="BO196" s="11">
        <v>469</v>
      </c>
      <c r="BP196" s="12">
        <f t="shared" si="1742"/>
        <v>0.59655596555965562</v>
      </c>
      <c r="BQ196" s="11">
        <v>16</v>
      </c>
      <c r="BR196" s="12">
        <f t="shared" si="1743"/>
        <v>3.2989690721649485E-2</v>
      </c>
      <c r="BS196" s="13"/>
      <c r="BT196" s="11"/>
      <c r="BU196" s="11"/>
      <c r="BV196" s="14"/>
      <c r="BW196" s="10"/>
      <c r="BX196" s="11"/>
      <c r="BY196" s="69">
        <f t="shared" si="1794"/>
        <v>748</v>
      </c>
      <c r="BZ196" s="69">
        <f t="shared" si="1795"/>
        <v>61</v>
      </c>
      <c r="CA196" s="11">
        <v>421</v>
      </c>
      <c r="CB196" s="12">
        <f t="shared" si="1744"/>
        <v>0.58155080213903743</v>
      </c>
      <c r="CC196" s="11">
        <v>14</v>
      </c>
      <c r="CD196" s="12">
        <f t="shared" si="1745"/>
        <v>3.2183908045977011E-2</v>
      </c>
      <c r="CE196" s="13"/>
      <c r="CF196" s="11"/>
      <c r="CG196" s="11"/>
      <c r="CH196" s="14"/>
      <c r="CI196" s="10">
        <v>1</v>
      </c>
      <c r="CJ196" s="11"/>
      <c r="CK196" s="69">
        <f t="shared" si="1796"/>
        <v>150</v>
      </c>
      <c r="CL196" s="69">
        <f t="shared" si="1797"/>
        <v>14</v>
      </c>
      <c r="CM196" s="11">
        <v>77</v>
      </c>
      <c r="CN196" s="12">
        <f t="shared" si="1746"/>
        <v>0.52</v>
      </c>
      <c r="CO196" s="11">
        <v>1</v>
      </c>
      <c r="CP196" s="12">
        <f t="shared" si="1747"/>
        <v>1.282051282051282E-2</v>
      </c>
      <c r="CQ196" s="13"/>
      <c r="CR196" s="11"/>
      <c r="CS196" s="11"/>
      <c r="CT196" s="14"/>
      <c r="CU196" s="10"/>
      <c r="CV196" s="11"/>
      <c r="CW196" s="69">
        <f t="shared" si="1798"/>
        <v>737</v>
      </c>
      <c r="CX196" s="69">
        <f t="shared" si="1799"/>
        <v>63</v>
      </c>
      <c r="CY196" s="11">
        <v>430</v>
      </c>
      <c r="CZ196" s="12">
        <f t="shared" si="1748"/>
        <v>0.59158751696065126</v>
      </c>
      <c r="DA196" s="11">
        <v>6</v>
      </c>
      <c r="DB196" s="12">
        <f t="shared" si="1749"/>
        <v>1.3761467889908258E-2</v>
      </c>
      <c r="DC196" s="13"/>
      <c r="DD196" s="11"/>
      <c r="DE196" s="11"/>
      <c r="DF196" s="14"/>
      <c r="DG196" s="10"/>
      <c r="DH196" s="11"/>
      <c r="DI196" s="69">
        <f t="shared" si="1800"/>
        <v>743</v>
      </c>
      <c r="DJ196" s="69">
        <f t="shared" si="1801"/>
        <v>65</v>
      </c>
      <c r="DK196" s="11">
        <v>468</v>
      </c>
      <c r="DL196" s="12">
        <f t="shared" si="1750"/>
        <v>0.64333781965006731</v>
      </c>
      <c r="DM196" s="11">
        <v>10</v>
      </c>
      <c r="DN196" s="12">
        <f t="shared" si="1751"/>
        <v>2.0920502092050208E-2</v>
      </c>
      <c r="DO196" s="13"/>
      <c r="DP196" s="11"/>
      <c r="DQ196" s="11"/>
      <c r="DR196" s="14"/>
      <c r="DS196" s="10"/>
      <c r="DT196" s="11"/>
      <c r="DU196" s="69">
        <f t="shared" si="1802"/>
        <v>826</v>
      </c>
      <c r="DV196" s="69">
        <f t="shared" si="1803"/>
        <v>71</v>
      </c>
      <c r="DW196" s="11">
        <v>487</v>
      </c>
      <c r="DX196" s="12">
        <f t="shared" si="1752"/>
        <v>0.61259079903147695</v>
      </c>
      <c r="DY196" s="11">
        <v>19</v>
      </c>
      <c r="DZ196" s="12">
        <f t="shared" si="1753"/>
        <v>3.7549407114624504E-2</v>
      </c>
      <c r="EA196" s="13"/>
      <c r="EB196" s="11"/>
      <c r="EC196" s="11"/>
      <c r="ED196" s="14"/>
      <c r="EE196" s="10"/>
      <c r="EF196" s="11"/>
      <c r="EG196" s="69">
        <f t="shared" si="1804"/>
        <v>845</v>
      </c>
      <c r="EH196" s="69">
        <f t="shared" si="1805"/>
        <v>73</v>
      </c>
      <c r="EI196" s="11">
        <v>448</v>
      </c>
      <c r="EJ196" s="12">
        <f t="shared" si="1754"/>
        <v>0.54792899408284024</v>
      </c>
      <c r="EK196" s="11">
        <v>15</v>
      </c>
      <c r="EL196" s="12">
        <f t="shared" si="1755"/>
        <v>3.2397408207343416E-2</v>
      </c>
      <c r="EM196" s="13"/>
      <c r="EN196" s="11"/>
      <c r="EO196" s="11"/>
      <c r="EP196" s="14"/>
      <c r="EQ196" s="10">
        <v>1</v>
      </c>
      <c r="ER196" s="11"/>
      <c r="ES196" s="69">
        <f t="shared" si="1806"/>
        <v>179</v>
      </c>
      <c r="ET196" s="69">
        <f t="shared" si="1807"/>
        <v>16</v>
      </c>
      <c r="EU196" s="11">
        <v>86</v>
      </c>
      <c r="EV196" s="12">
        <f t="shared" si="1756"/>
        <v>0.5027932960893855</v>
      </c>
      <c r="EW196" s="11">
        <v>4</v>
      </c>
      <c r="EX196" s="12">
        <f t="shared" si="1757"/>
        <v>4.4444444444444446E-2</v>
      </c>
      <c r="EY196" s="13"/>
      <c r="EZ196" s="11"/>
      <c r="FA196" s="11"/>
      <c r="FB196" s="14"/>
      <c r="FC196" s="10"/>
      <c r="FD196" s="11"/>
      <c r="FE196" s="69">
        <f t="shared" si="1808"/>
        <v>849</v>
      </c>
      <c r="FF196" s="69">
        <f t="shared" si="1809"/>
        <v>73</v>
      </c>
      <c r="FG196" s="11">
        <v>499</v>
      </c>
      <c r="FH196" s="12">
        <f t="shared" si="1758"/>
        <v>0.60659599528857477</v>
      </c>
      <c r="FI196" s="11">
        <v>16</v>
      </c>
      <c r="FJ196" s="12">
        <f t="shared" si="1759"/>
        <v>3.1067961165048542E-2</v>
      </c>
      <c r="FK196" s="13"/>
      <c r="FL196" s="11"/>
      <c r="FM196" s="11"/>
      <c r="FN196" s="14"/>
      <c r="FO196" s="10">
        <v>1</v>
      </c>
      <c r="FP196" s="11"/>
      <c r="FQ196" s="69">
        <f t="shared" si="1810"/>
        <v>878</v>
      </c>
      <c r="FR196" s="69">
        <f t="shared" si="1811"/>
        <v>75</v>
      </c>
      <c r="FS196" s="11">
        <v>491</v>
      </c>
      <c r="FT196" s="12">
        <f t="shared" si="1760"/>
        <v>0.59111617312072895</v>
      </c>
      <c r="FU196" s="11">
        <v>28</v>
      </c>
      <c r="FV196" s="12">
        <f t="shared" si="1761"/>
        <v>5.3949903660886318E-2</v>
      </c>
      <c r="FW196" s="13"/>
      <c r="FX196" s="11"/>
      <c r="FY196" s="11"/>
      <c r="FZ196" s="14"/>
      <c r="GA196" s="10">
        <v>2</v>
      </c>
      <c r="GB196" s="11"/>
      <c r="GC196" s="69">
        <f t="shared" si="1812"/>
        <v>876</v>
      </c>
      <c r="GD196" s="69">
        <f t="shared" si="1813"/>
        <v>76</v>
      </c>
      <c r="GE196" s="11">
        <v>454</v>
      </c>
      <c r="GF196" s="12">
        <f t="shared" si="1762"/>
        <v>0.53767123287671237</v>
      </c>
      <c r="GG196" s="11">
        <v>17</v>
      </c>
      <c r="GH196" s="12">
        <f t="shared" si="1763"/>
        <v>3.6093418259023353E-2</v>
      </c>
      <c r="GI196" s="13"/>
      <c r="GJ196" s="11"/>
      <c r="GK196" s="11"/>
      <c r="GL196" s="14"/>
      <c r="GM196" s="10"/>
      <c r="GN196" s="11"/>
      <c r="GO196" s="69">
        <f t="shared" si="1814"/>
        <v>156</v>
      </c>
      <c r="GP196" s="69">
        <f t="shared" si="1815"/>
        <v>16</v>
      </c>
      <c r="GQ196" s="11">
        <v>86</v>
      </c>
      <c r="GR196" s="12">
        <f t="shared" si="1764"/>
        <v>0.58333333333333337</v>
      </c>
      <c r="GS196" s="11">
        <v>5</v>
      </c>
      <c r="GT196" s="12">
        <f t="shared" si="1765"/>
        <v>5.4945054945054944E-2</v>
      </c>
      <c r="GU196" s="13"/>
      <c r="GV196" s="11"/>
      <c r="GW196" s="11"/>
      <c r="GX196" s="14"/>
      <c r="GY196" s="10"/>
      <c r="GZ196" s="11"/>
      <c r="HA196" s="69">
        <f t="shared" si="1816"/>
        <v>904</v>
      </c>
      <c r="HB196" s="69">
        <f t="shared" si="1817"/>
        <v>77</v>
      </c>
      <c r="HC196" s="11">
        <v>535</v>
      </c>
      <c r="HD196" s="12">
        <f t="shared" si="1766"/>
        <v>0.61283185840707965</v>
      </c>
      <c r="HE196" s="11">
        <v>19</v>
      </c>
      <c r="HF196" s="12">
        <f t="shared" si="1767"/>
        <v>3.4296028880866428E-2</v>
      </c>
      <c r="HG196" s="13"/>
      <c r="HH196" s="11"/>
      <c r="HI196" s="11"/>
      <c r="HJ196" s="14"/>
      <c r="HK196" s="10">
        <f t="shared" si="1768"/>
        <v>6</v>
      </c>
      <c r="HL196" s="11">
        <f t="shared" si="1769"/>
        <v>0</v>
      </c>
      <c r="HM196" s="11">
        <f t="shared" si="1770"/>
        <v>11956</v>
      </c>
      <c r="HN196" s="11">
        <f t="shared" si="1771"/>
        <v>1027</v>
      </c>
      <c r="HO196" s="11">
        <f t="shared" si="1772"/>
        <v>7090</v>
      </c>
      <c r="HP196" s="95">
        <f t="shared" si="1773"/>
        <v>0.59300769488123117</v>
      </c>
      <c r="HQ196" s="15">
        <f t="shared" si="1774"/>
        <v>237</v>
      </c>
      <c r="HR196" s="12">
        <f t="shared" si="1775"/>
        <v>3.3427362482369535E-2</v>
      </c>
      <c r="HS196" s="16">
        <v>64.5</v>
      </c>
      <c r="HT196" s="17">
        <v>6699</v>
      </c>
      <c r="HU196" s="16">
        <f t="shared" si="1776"/>
        <v>94.485190409026799</v>
      </c>
      <c r="HV196" s="15"/>
      <c r="HW196" s="14"/>
      <c r="HX196" s="73">
        <f t="shared" si="1777"/>
        <v>0.60547355473554731</v>
      </c>
      <c r="HY196" s="73">
        <f t="shared" si="1778"/>
        <v>0.59918520839862111</v>
      </c>
      <c r="HZ196" s="73">
        <f t="shared" si="1779"/>
        <v>0.58317895516858098</v>
      </c>
      <c r="IA196" s="73">
        <f t="shared" si="1780"/>
        <v>0.58102345415778256</v>
      </c>
    </row>
    <row r="197" spans="1:244" x14ac:dyDescent="0.25">
      <c r="A197" s="374"/>
      <c r="B197" s="41">
        <f t="shared" si="1781"/>
        <v>45091</v>
      </c>
      <c r="C197" s="10"/>
      <c r="D197" s="11"/>
      <c r="E197" s="69">
        <f t="shared" si="1782"/>
        <v>822</v>
      </c>
      <c r="F197" s="69">
        <f t="shared" si="1783"/>
        <v>72</v>
      </c>
      <c r="G197" s="11">
        <v>460</v>
      </c>
      <c r="H197" s="12">
        <f t="shared" si="1732"/>
        <v>0.57907542579075422</v>
      </c>
      <c r="I197" s="11">
        <v>16</v>
      </c>
      <c r="J197" s="12">
        <f t="shared" si="1733"/>
        <v>3.3613445378151259E-2</v>
      </c>
      <c r="K197" s="11"/>
      <c r="L197" s="11"/>
      <c r="M197" s="18"/>
      <c r="N197" s="20"/>
      <c r="O197" s="10"/>
      <c r="P197" s="11"/>
      <c r="Q197" s="69">
        <f t="shared" si="1784"/>
        <v>750</v>
      </c>
      <c r="R197" s="69">
        <f t="shared" si="1785"/>
        <v>64</v>
      </c>
      <c r="S197" s="11">
        <v>437</v>
      </c>
      <c r="T197" s="12">
        <f t="shared" si="1734"/>
        <v>0.60399999999999998</v>
      </c>
      <c r="U197" s="11">
        <v>16</v>
      </c>
      <c r="V197" s="12">
        <f t="shared" si="1735"/>
        <v>3.5320088300220751E-2</v>
      </c>
      <c r="W197" s="11"/>
      <c r="X197" s="11"/>
      <c r="Y197" s="18"/>
      <c r="Z197" s="20"/>
      <c r="AA197" s="10">
        <v>1</v>
      </c>
      <c r="AB197" s="11"/>
      <c r="AC197" s="69">
        <f t="shared" si="1786"/>
        <v>162</v>
      </c>
      <c r="AD197" s="69">
        <f t="shared" si="1787"/>
        <v>12</v>
      </c>
      <c r="AE197" s="11">
        <v>98</v>
      </c>
      <c r="AF197" s="12">
        <f t="shared" si="1736"/>
        <v>0.62962962962962965</v>
      </c>
      <c r="AG197" s="11">
        <v>4</v>
      </c>
      <c r="AH197" s="12">
        <f t="shared" si="1737"/>
        <v>3.9215686274509803E-2</v>
      </c>
      <c r="AI197" s="11"/>
      <c r="AJ197" s="11"/>
      <c r="AK197" s="18"/>
      <c r="AL197" s="20"/>
      <c r="AM197" s="10">
        <v>1</v>
      </c>
      <c r="AN197" s="11"/>
      <c r="AO197" s="69">
        <f t="shared" si="1788"/>
        <v>763</v>
      </c>
      <c r="AP197" s="69">
        <f t="shared" si="1789"/>
        <v>63</v>
      </c>
      <c r="AQ197" s="11">
        <v>426</v>
      </c>
      <c r="AR197" s="12">
        <f t="shared" si="1738"/>
        <v>0.58191349934469205</v>
      </c>
      <c r="AS197" s="11">
        <v>18</v>
      </c>
      <c r="AT197" s="12">
        <f t="shared" si="1739"/>
        <v>4.0540540540540543E-2</v>
      </c>
      <c r="AU197" s="11"/>
      <c r="AV197" s="11"/>
      <c r="AW197" s="18"/>
      <c r="AX197" s="20"/>
      <c r="AY197" s="10"/>
      <c r="AZ197" s="11"/>
      <c r="BA197" s="69">
        <f t="shared" si="1790"/>
        <v>753</v>
      </c>
      <c r="BB197" s="69">
        <f t="shared" si="1791"/>
        <v>66</v>
      </c>
      <c r="BC197" s="11">
        <v>443</v>
      </c>
      <c r="BD197" s="12">
        <f t="shared" si="1740"/>
        <v>0.60823373173970785</v>
      </c>
      <c r="BE197" s="11">
        <v>15</v>
      </c>
      <c r="BF197" s="12">
        <f t="shared" si="1741"/>
        <v>3.2751091703056769E-2</v>
      </c>
      <c r="BG197" s="11"/>
      <c r="BH197" s="11"/>
      <c r="BI197" s="18"/>
      <c r="BJ197" s="20"/>
      <c r="BK197" s="10"/>
      <c r="BL197" s="11"/>
      <c r="BM197" s="69">
        <f t="shared" si="1792"/>
        <v>813</v>
      </c>
      <c r="BN197" s="69">
        <f t="shared" si="1793"/>
        <v>70</v>
      </c>
      <c r="BO197" s="11">
        <v>473</v>
      </c>
      <c r="BP197" s="12">
        <f t="shared" si="1742"/>
        <v>0.60024600246002457</v>
      </c>
      <c r="BQ197" s="11">
        <v>15</v>
      </c>
      <c r="BR197" s="12">
        <f t="shared" si="1743"/>
        <v>3.0737704918032786E-2</v>
      </c>
      <c r="BS197" s="11"/>
      <c r="BT197" s="11"/>
      <c r="BU197" s="18"/>
      <c r="BV197" s="20"/>
      <c r="BW197" s="10"/>
      <c r="BX197" s="11"/>
      <c r="BY197" s="69">
        <f t="shared" si="1794"/>
        <v>748</v>
      </c>
      <c r="BZ197" s="69">
        <f t="shared" si="1795"/>
        <v>61</v>
      </c>
      <c r="CA197" s="11">
        <v>429</v>
      </c>
      <c r="CB197" s="12">
        <f t="shared" si="1744"/>
        <v>0.58957219251336901</v>
      </c>
      <c r="CC197" s="11">
        <v>12</v>
      </c>
      <c r="CD197" s="12">
        <f t="shared" si="1745"/>
        <v>2.7210884353741496E-2</v>
      </c>
      <c r="CE197" s="11"/>
      <c r="CF197" s="11"/>
      <c r="CG197" s="18"/>
      <c r="CH197" s="20"/>
      <c r="CI197" s="10"/>
      <c r="CJ197" s="11"/>
      <c r="CK197" s="69">
        <f t="shared" si="1796"/>
        <v>150</v>
      </c>
      <c r="CL197" s="69">
        <f t="shared" si="1797"/>
        <v>14</v>
      </c>
      <c r="CM197" s="11">
        <v>79</v>
      </c>
      <c r="CN197" s="12">
        <f t="shared" si="1746"/>
        <v>0.54666666666666663</v>
      </c>
      <c r="CO197" s="11">
        <v>3</v>
      </c>
      <c r="CP197" s="12">
        <f t="shared" si="1747"/>
        <v>3.6585365853658534E-2</v>
      </c>
      <c r="CQ197" s="11"/>
      <c r="CR197" s="11"/>
      <c r="CS197" s="18"/>
      <c r="CT197" s="20"/>
      <c r="CU197" s="10"/>
      <c r="CV197" s="11"/>
      <c r="CW197" s="69">
        <f t="shared" si="1798"/>
        <v>737</v>
      </c>
      <c r="CX197" s="69">
        <f t="shared" si="1799"/>
        <v>63</v>
      </c>
      <c r="CY197" s="11">
        <v>386</v>
      </c>
      <c r="CZ197" s="12">
        <f t="shared" si="1748"/>
        <v>0.53867028493894165</v>
      </c>
      <c r="DA197" s="11">
        <v>11</v>
      </c>
      <c r="DB197" s="12">
        <f t="shared" si="1749"/>
        <v>2.7707808564231738E-2</v>
      </c>
      <c r="DC197" s="11"/>
      <c r="DD197" s="11"/>
      <c r="DE197" s="18"/>
      <c r="DF197" s="20"/>
      <c r="DG197" s="10"/>
      <c r="DH197" s="11"/>
      <c r="DI197" s="69">
        <f t="shared" si="1800"/>
        <v>743</v>
      </c>
      <c r="DJ197" s="69">
        <f t="shared" si="1801"/>
        <v>65</v>
      </c>
      <c r="DK197" s="11">
        <v>470</v>
      </c>
      <c r="DL197" s="12">
        <f t="shared" si="1750"/>
        <v>0.65006729475100944</v>
      </c>
      <c r="DM197" s="11">
        <v>13</v>
      </c>
      <c r="DN197" s="12">
        <f t="shared" si="1751"/>
        <v>2.6915113871635612E-2</v>
      </c>
      <c r="DO197" s="11"/>
      <c r="DP197" s="11"/>
      <c r="DQ197" s="18"/>
      <c r="DR197" s="20"/>
      <c r="DS197" s="10">
        <v>1</v>
      </c>
      <c r="DT197" s="11"/>
      <c r="DU197" s="69">
        <f t="shared" si="1802"/>
        <v>825</v>
      </c>
      <c r="DV197" s="69">
        <f t="shared" si="1803"/>
        <v>71</v>
      </c>
      <c r="DW197" s="11">
        <v>448</v>
      </c>
      <c r="DX197" s="12">
        <f t="shared" si="1752"/>
        <v>0.56727272727272726</v>
      </c>
      <c r="DY197" s="11">
        <v>20</v>
      </c>
      <c r="DZ197" s="12">
        <f t="shared" si="1753"/>
        <v>4.2735042735042736E-2</v>
      </c>
      <c r="EA197" s="11"/>
      <c r="EB197" s="11"/>
      <c r="EC197" s="18"/>
      <c r="ED197" s="20"/>
      <c r="EE197" s="10"/>
      <c r="EF197" s="11"/>
      <c r="EG197" s="69">
        <f t="shared" si="1804"/>
        <v>845</v>
      </c>
      <c r="EH197" s="69">
        <f t="shared" si="1805"/>
        <v>73</v>
      </c>
      <c r="EI197" s="11">
        <v>482</v>
      </c>
      <c r="EJ197" s="12">
        <f t="shared" si="1754"/>
        <v>0.59881656804733729</v>
      </c>
      <c r="EK197" s="11">
        <v>24</v>
      </c>
      <c r="EL197" s="12">
        <f t="shared" si="1755"/>
        <v>4.7430830039525688E-2</v>
      </c>
      <c r="EM197" s="11"/>
      <c r="EN197" s="11"/>
      <c r="EO197" s="18"/>
      <c r="EP197" s="20"/>
      <c r="EQ197" s="10"/>
      <c r="ER197" s="11"/>
      <c r="ES197" s="69">
        <f t="shared" si="1806"/>
        <v>179</v>
      </c>
      <c r="ET197" s="69">
        <f t="shared" si="1807"/>
        <v>16</v>
      </c>
      <c r="EU197" s="11">
        <v>98</v>
      </c>
      <c r="EV197" s="12">
        <f t="shared" si="1756"/>
        <v>0.55865921787709494</v>
      </c>
      <c r="EW197" s="11">
        <v>2</v>
      </c>
      <c r="EX197" s="12">
        <f t="shared" si="1757"/>
        <v>0.02</v>
      </c>
      <c r="EY197" s="11"/>
      <c r="EZ197" s="11"/>
      <c r="FA197" s="18"/>
      <c r="FB197" s="20"/>
      <c r="FC197" s="10"/>
      <c r="FD197" s="11"/>
      <c r="FE197" s="69">
        <f t="shared" si="1808"/>
        <v>849</v>
      </c>
      <c r="FF197" s="69">
        <f t="shared" si="1809"/>
        <v>73</v>
      </c>
      <c r="FG197" s="11">
        <v>513</v>
      </c>
      <c r="FH197" s="12">
        <f t="shared" si="1758"/>
        <v>0.61130742049469966</v>
      </c>
      <c r="FI197" s="11">
        <v>6</v>
      </c>
      <c r="FJ197" s="12">
        <f t="shared" si="1759"/>
        <v>1.1560693641618497E-2</v>
      </c>
      <c r="FK197" s="11"/>
      <c r="FL197" s="11"/>
      <c r="FM197" s="18"/>
      <c r="FN197" s="20"/>
      <c r="FO197" s="10"/>
      <c r="FP197" s="11"/>
      <c r="FQ197" s="69">
        <f t="shared" si="1810"/>
        <v>878</v>
      </c>
      <c r="FR197" s="69">
        <f t="shared" si="1811"/>
        <v>75</v>
      </c>
      <c r="FS197" s="11">
        <v>439</v>
      </c>
      <c r="FT197" s="12">
        <f t="shared" si="1760"/>
        <v>0.51480637813211849</v>
      </c>
      <c r="FU197" s="11">
        <v>13</v>
      </c>
      <c r="FV197" s="12">
        <f t="shared" si="1761"/>
        <v>2.8761061946902654E-2</v>
      </c>
      <c r="FW197" s="11"/>
      <c r="FX197" s="11"/>
      <c r="FY197" s="18"/>
      <c r="FZ197" s="20"/>
      <c r="GA197" s="10"/>
      <c r="GB197" s="11"/>
      <c r="GC197" s="69">
        <f t="shared" si="1812"/>
        <v>876</v>
      </c>
      <c r="GD197" s="69">
        <f t="shared" si="1813"/>
        <v>76</v>
      </c>
      <c r="GE197" s="11">
        <v>443</v>
      </c>
      <c r="GF197" s="12">
        <f t="shared" si="1762"/>
        <v>0.52625570776255703</v>
      </c>
      <c r="GG197" s="11">
        <v>18</v>
      </c>
      <c r="GH197" s="12">
        <f t="shared" si="1763"/>
        <v>3.9045553145336226E-2</v>
      </c>
      <c r="GI197" s="11"/>
      <c r="GJ197" s="11"/>
      <c r="GK197" s="18"/>
      <c r="GL197" s="20"/>
      <c r="GM197" s="10"/>
      <c r="GN197" s="11"/>
      <c r="GO197" s="69">
        <f t="shared" si="1814"/>
        <v>156</v>
      </c>
      <c r="GP197" s="69">
        <f t="shared" si="1815"/>
        <v>16</v>
      </c>
      <c r="GQ197" s="11">
        <v>78</v>
      </c>
      <c r="GR197" s="12">
        <f t="shared" si="1764"/>
        <v>0.5</v>
      </c>
      <c r="GS197" s="11">
        <v>0</v>
      </c>
      <c r="GT197" s="12">
        <f t="shared" si="1765"/>
        <v>0</v>
      </c>
      <c r="GU197" s="11"/>
      <c r="GV197" s="11"/>
      <c r="GW197" s="18"/>
      <c r="GX197" s="20"/>
      <c r="GY197" s="10"/>
      <c r="GZ197" s="11"/>
      <c r="HA197" s="69">
        <f t="shared" si="1816"/>
        <v>904</v>
      </c>
      <c r="HB197" s="69">
        <f t="shared" si="1817"/>
        <v>77</v>
      </c>
      <c r="HC197" s="11">
        <v>494</v>
      </c>
      <c r="HD197" s="12">
        <f t="shared" si="1766"/>
        <v>0.55641592920353977</v>
      </c>
      <c r="HE197" s="11">
        <v>9</v>
      </c>
      <c r="HF197" s="12">
        <f t="shared" si="1767"/>
        <v>1.7892644135188866E-2</v>
      </c>
      <c r="HG197" s="11"/>
      <c r="HH197" s="11"/>
      <c r="HI197" s="18"/>
      <c r="HJ197" s="20"/>
      <c r="HK197" s="10">
        <f t="shared" si="1768"/>
        <v>3</v>
      </c>
      <c r="HL197" s="11">
        <f t="shared" si="1769"/>
        <v>0</v>
      </c>
      <c r="HM197" s="11">
        <f t="shared" si="1770"/>
        <v>11953</v>
      </c>
      <c r="HN197" s="11">
        <f t="shared" si="1771"/>
        <v>1027</v>
      </c>
      <c r="HO197" s="11">
        <f t="shared" si="1772"/>
        <v>6911</v>
      </c>
      <c r="HP197" s="95">
        <f t="shared" si="1773"/>
        <v>0.57818120973814102</v>
      </c>
      <c r="HQ197" s="15">
        <f t="shared" si="1774"/>
        <v>215</v>
      </c>
      <c r="HR197" s="12">
        <f t="shared" si="1775"/>
        <v>3.1109824916799304E-2</v>
      </c>
      <c r="HS197" s="16">
        <v>64</v>
      </c>
      <c r="HT197" s="17">
        <v>6551</v>
      </c>
      <c r="HU197" s="16">
        <f t="shared" si="1776"/>
        <v>94.790913037187096</v>
      </c>
      <c r="HV197" s="18"/>
      <c r="HW197" s="20"/>
      <c r="HX197" s="73">
        <f t="shared" si="1777"/>
        <v>0.59476923076923072</v>
      </c>
      <c r="HY197" s="73">
        <f t="shared" si="1778"/>
        <v>0.59260419931056096</v>
      </c>
      <c r="HZ197" s="73">
        <f t="shared" si="1779"/>
        <v>0.59043736100815414</v>
      </c>
      <c r="IA197" s="73">
        <f t="shared" si="1780"/>
        <v>0.53091684434968012</v>
      </c>
    </row>
    <row r="198" spans="1:244" x14ac:dyDescent="0.25">
      <c r="A198" s="374"/>
      <c r="B198" s="339">
        <f t="shared" si="1781"/>
        <v>45092</v>
      </c>
      <c r="C198" s="10"/>
      <c r="D198" s="11"/>
      <c r="E198" s="69">
        <f t="shared" si="1782"/>
        <v>822</v>
      </c>
      <c r="F198" s="69">
        <f t="shared" si="1783"/>
        <v>72</v>
      </c>
      <c r="G198" s="11">
        <v>472</v>
      </c>
      <c r="H198" s="12">
        <f t="shared" si="1732"/>
        <v>0.5997566909975669</v>
      </c>
      <c r="I198" s="11">
        <v>21</v>
      </c>
      <c r="J198" s="12">
        <f t="shared" si="1733"/>
        <v>4.2596348884381338E-2</v>
      </c>
      <c r="K198" s="13"/>
      <c r="L198" s="13"/>
      <c r="M198" s="25">
        <v>4140</v>
      </c>
      <c r="N198" s="38">
        <v>4400</v>
      </c>
      <c r="O198" s="10"/>
      <c r="P198" s="11"/>
      <c r="Q198" s="69">
        <f t="shared" si="1784"/>
        <v>750</v>
      </c>
      <c r="R198" s="69">
        <f t="shared" si="1785"/>
        <v>64</v>
      </c>
      <c r="S198" s="11">
        <v>426</v>
      </c>
      <c r="T198" s="12">
        <f t="shared" si="1734"/>
        <v>0.59733333333333338</v>
      </c>
      <c r="U198" s="11">
        <v>22</v>
      </c>
      <c r="V198" s="12">
        <f t="shared" si="1735"/>
        <v>4.9107142857142856E-2</v>
      </c>
      <c r="W198" s="13"/>
      <c r="X198" s="13"/>
      <c r="Y198" s="25">
        <v>4140</v>
      </c>
      <c r="Z198" s="38">
        <v>4400</v>
      </c>
      <c r="AA198" s="10"/>
      <c r="AB198" s="11"/>
      <c r="AC198" s="69">
        <f t="shared" si="1786"/>
        <v>162</v>
      </c>
      <c r="AD198" s="69">
        <f t="shared" si="1787"/>
        <v>12</v>
      </c>
      <c r="AE198" s="11">
        <v>91</v>
      </c>
      <c r="AF198" s="12">
        <f t="shared" si="1736"/>
        <v>0.60493827160493829</v>
      </c>
      <c r="AG198" s="11">
        <v>7</v>
      </c>
      <c r="AH198" s="12">
        <f t="shared" si="1737"/>
        <v>7.1428571428571425E-2</v>
      </c>
      <c r="AI198" s="13"/>
      <c r="AJ198" s="13"/>
      <c r="AK198" s="25">
        <v>4140</v>
      </c>
      <c r="AL198" s="38">
        <v>4400</v>
      </c>
      <c r="AM198" s="10"/>
      <c r="AN198" s="11"/>
      <c r="AO198" s="69">
        <f t="shared" si="1788"/>
        <v>763</v>
      </c>
      <c r="AP198" s="69">
        <f t="shared" si="1789"/>
        <v>63</v>
      </c>
      <c r="AQ198" s="11">
        <v>438</v>
      </c>
      <c r="AR198" s="12">
        <f t="shared" si="1738"/>
        <v>0.58322411533420704</v>
      </c>
      <c r="AS198" s="11">
        <v>7</v>
      </c>
      <c r="AT198" s="12">
        <f t="shared" si="1739"/>
        <v>1.5730337078651686E-2</v>
      </c>
      <c r="AU198" s="13"/>
      <c r="AV198" s="13"/>
      <c r="AW198" s="25">
        <v>4140</v>
      </c>
      <c r="AX198" s="38">
        <v>4400</v>
      </c>
      <c r="AY198" s="10"/>
      <c r="AZ198" s="11"/>
      <c r="BA198" s="69">
        <f t="shared" si="1790"/>
        <v>753</v>
      </c>
      <c r="BB198" s="69">
        <f t="shared" si="1791"/>
        <v>66</v>
      </c>
      <c r="BC198" s="11">
        <v>461</v>
      </c>
      <c r="BD198" s="12">
        <f t="shared" si="1740"/>
        <v>0.62682602921646746</v>
      </c>
      <c r="BE198" s="11">
        <v>11</v>
      </c>
      <c r="BF198" s="12">
        <f t="shared" si="1741"/>
        <v>2.3305084745762712E-2</v>
      </c>
      <c r="BG198" s="13"/>
      <c r="BH198" s="13"/>
      <c r="BI198" s="25">
        <v>4140</v>
      </c>
      <c r="BJ198" s="38">
        <v>4400</v>
      </c>
      <c r="BK198" s="10"/>
      <c r="BL198" s="11"/>
      <c r="BM198" s="69">
        <f t="shared" si="1792"/>
        <v>813</v>
      </c>
      <c r="BN198" s="69">
        <f t="shared" si="1793"/>
        <v>70</v>
      </c>
      <c r="BO198" s="11">
        <v>479</v>
      </c>
      <c r="BP198" s="12">
        <f t="shared" si="1742"/>
        <v>0.60639606396063961</v>
      </c>
      <c r="BQ198" s="11">
        <v>14</v>
      </c>
      <c r="BR198" s="12">
        <f t="shared" si="1743"/>
        <v>2.8397565922920892E-2</v>
      </c>
      <c r="BS198" s="13"/>
      <c r="BT198" s="13"/>
      <c r="BU198" s="25">
        <v>4140</v>
      </c>
      <c r="BV198" s="38">
        <v>4400</v>
      </c>
      <c r="BW198" s="10"/>
      <c r="BX198" s="11"/>
      <c r="BY198" s="69">
        <f t="shared" si="1794"/>
        <v>748</v>
      </c>
      <c r="BZ198" s="69">
        <f t="shared" si="1795"/>
        <v>61</v>
      </c>
      <c r="CA198" s="11">
        <v>444</v>
      </c>
      <c r="CB198" s="12">
        <f t="shared" si="1744"/>
        <v>0.60561497326203206</v>
      </c>
      <c r="CC198" s="11">
        <v>9</v>
      </c>
      <c r="CD198" s="12">
        <f t="shared" si="1745"/>
        <v>1.9867549668874173E-2</v>
      </c>
      <c r="CE198" s="13"/>
      <c r="CF198" s="13"/>
      <c r="CG198" s="25">
        <v>4140</v>
      </c>
      <c r="CH198" s="38">
        <v>4400</v>
      </c>
      <c r="CI198" s="10"/>
      <c r="CJ198" s="11"/>
      <c r="CK198" s="69">
        <f t="shared" si="1796"/>
        <v>150</v>
      </c>
      <c r="CL198" s="69">
        <f t="shared" si="1797"/>
        <v>14</v>
      </c>
      <c r="CM198" s="11">
        <v>71</v>
      </c>
      <c r="CN198" s="12">
        <f t="shared" si="1746"/>
        <v>0.48</v>
      </c>
      <c r="CO198" s="11">
        <v>1</v>
      </c>
      <c r="CP198" s="12">
        <f t="shared" si="1747"/>
        <v>1.3888888888888888E-2</v>
      </c>
      <c r="CQ198" s="13"/>
      <c r="CR198" s="13"/>
      <c r="CS198" s="25">
        <v>4140</v>
      </c>
      <c r="CT198" s="38">
        <v>4400</v>
      </c>
      <c r="CU198" s="10"/>
      <c r="CV198" s="11"/>
      <c r="CW198" s="69">
        <f t="shared" si="1798"/>
        <v>737</v>
      </c>
      <c r="CX198" s="69">
        <f t="shared" si="1799"/>
        <v>63</v>
      </c>
      <c r="CY198" s="11">
        <v>418</v>
      </c>
      <c r="CZ198" s="12">
        <f t="shared" si="1748"/>
        <v>0.57123473541383984</v>
      </c>
      <c r="DA198" s="11">
        <v>3</v>
      </c>
      <c r="DB198" s="12">
        <f t="shared" si="1749"/>
        <v>7.1258907363420431E-3</v>
      </c>
      <c r="DC198" s="13"/>
      <c r="DD198" s="13"/>
      <c r="DE198" s="25">
        <v>4140</v>
      </c>
      <c r="DF198" s="38">
        <v>4400</v>
      </c>
      <c r="DG198" s="10">
        <v>1</v>
      </c>
      <c r="DH198" s="11"/>
      <c r="DI198" s="69">
        <f t="shared" si="1800"/>
        <v>742</v>
      </c>
      <c r="DJ198" s="69">
        <f t="shared" si="1801"/>
        <v>65</v>
      </c>
      <c r="DK198" s="11">
        <v>449</v>
      </c>
      <c r="DL198" s="12">
        <f t="shared" si="1750"/>
        <v>0.61051212938005395</v>
      </c>
      <c r="DM198" s="11">
        <v>4</v>
      </c>
      <c r="DN198" s="12">
        <f t="shared" si="1751"/>
        <v>8.8300220750551876E-3</v>
      </c>
      <c r="DO198" s="13"/>
      <c r="DP198" s="13"/>
      <c r="DQ198" s="25">
        <v>4140</v>
      </c>
      <c r="DR198" s="38">
        <v>4400</v>
      </c>
      <c r="DS198" s="10"/>
      <c r="DT198" s="11"/>
      <c r="DU198" s="69">
        <f t="shared" si="1802"/>
        <v>825</v>
      </c>
      <c r="DV198" s="69">
        <f t="shared" si="1803"/>
        <v>71</v>
      </c>
      <c r="DW198" s="11">
        <v>450</v>
      </c>
      <c r="DX198" s="12">
        <f t="shared" si="1752"/>
        <v>0.56000000000000005</v>
      </c>
      <c r="DY198" s="11">
        <v>12</v>
      </c>
      <c r="DZ198" s="12">
        <f t="shared" si="1753"/>
        <v>2.5974025974025976E-2</v>
      </c>
      <c r="EA198" s="13"/>
      <c r="EB198" s="13"/>
      <c r="EC198" s="25">
        <v>4140</v>
      </c>
      <c r="ED198" s="38">
        <v>4400</v>
      </c>
      <c r="EE198" s="10"/>
      <c r="EF198" s="11"/>
      <c r="EG198" s="69">
        <f t="shared" si="1804"/>
        <v>845</v>
      </c>
      <c r="EH198" s="69">
        <f t="shared" si="1805"/>
        <v>73</v>
      </c>
      <c r="EI198" s="11">
        <v>454</v>
      </c>
      <c r="EJ198" s="12">
        <f t="shared" si="1754"/>
        <v>0.55739644970414204</v>
      </c>
      <c r="EK198" s="11">
        <v>17</v>
      </c>
      <c r="EL198" s="12">
        <f t="shared" si="1755"/>
        <v>3.6093418259023353E-2</v>
      </c>
      <c r="EM198" s="13"/>
      <c r="EN198" s="13"/>
      <c r="EO198" s="25">
        <v>4140</v>
      </c>
      <c r="EP198" s="38">
        <v>4400</v>
      </c>
      <c r="EQ198" s="10"/>
      <c r="ER198" s="11"/>
      <c r="ES198" s="69">
        <f t="shared" si="1806"/>
        <v>179</v>
      </c>
      <c r="ET198" s="69">
        <f t="shared" si="1807"/>
        <v>16</v>
      </c>
      <c r="EU198" s="11">
        <v>84</v>
      </c>
      <c r="EV198" s="12">
        <f t="shared" si="1756"/>
        <v>0.49162011173184356</v>
      </c>
      <c r="EW198" s="11">
        <v>4</v>
      </c>
      <c r="EX198" s="12">
        <f t="shared" si="1757"/>
        <v>4.5454545454545456E-2</v>
      </c>
      <c r="EY198" s="13"/>
      <c r="EZ198" s="13"/>
      <c r="FA198" s="25">
        <v>4140</v>
      </c>
      <c r="FB198" s="38">
        <v>4400</v>
      </c>
      <c r="FC198" s="10"/>
      <c r="FD198" s="11"/>
      <c r="FE198" s="69">
        <f t="shared" si="1808"/>
        <v>849</v>
      </c>
      <c r="FF198" s="69">
        <f t="shared" si="1809"/>
        <v>73</v>
      </c>
      <c r="FG198" s="11">
        <v>468</v>
      </c>
      <c r="FH198" s="12">
        <f t="shared" si="1758"/>
        <v>0.57597173144876324</v>
      </c>
      <c r="FI198" s="11">
        <v>21</v>
      </c>
      <c r="FJ198" s="12">
        <f t="shared" si="1759"/>
        <v>4.2944785276073622E-2</v>
      </c>
      <c r="FK198" s="13"/>
      <c r="FL198" s="13"/>
      <c r="FM198" s="25">
        <v>4140</v>
      </c>
      <c r="FN198" s="38">
        <v>4400</v>
      </c>
      <c r="FO198" s="10"/>
      <c r="FP198" s="11"/>
      <c r="FQ198" s="69">
        <f t="shared" si="1810"/>
        <v>878</v>
      </c>
      <c r="FR198" s="69">
        <f t="shared" si="1811"/>
        <v>75</v>
      </c>
      <c r="FS198" s="11">
        <v>515</v>
      </c>
      <c r="FT198" s="12">
        <f t="shared" si="1760"/>
        <v>0.61047835990888377</v>
      </c>
      <c r="FU198" s="11">
        <v>21</v>
      </c>
      <c r="FV198" s="12">
        <f t="shared" si="1761"/>
        <v>3.9179104477611942E-2</v>
      </c>
      <c r="FW198" s="13"/>
      <c r="FX198" s="13"/>
      <c r="FY198" s="25">
        <v>4140</v>
      </c>
      <c r="FZ198" s="38">
        <v>4400</v>
      </c>
      <c r="GA198" s="10"/>
      <c r="GB198" s="11"/>
      <c r="GC198" s="69">
        <f t="shared" si="1812"/>
        <v>876</v>
      </c>
      <c r="GD198" s="69">
        <f t="shared" si="1813"/>
        <v>76</v>
      </c>
      <c r="GE198" s="11">
        <v>510</v>
      </c>
      <c r="GF198" s="12">
        <f t="shared" si="1762"/>
        <v>0.60730593607305938</v>
      </c>
      <c r="GG198" s="11">
        <v>22</v>
      </c>
      <c r="GH198" s="12">
        <f t="shared" si="1763"/>
        <v>4.1353383458646614E-2</v>
      </c>
      <c r="GI198" s="13"/>
      <c r="GJ198" s="13"/>
      <c r="GK198" s="25">
        <v>4140</v>
      </c>
      <c r="GL198" s="38">
        <v>4400</v>
      </c>
      <c r="GM198" s="10"/>
      <c r="GN198" s="11"/>
      <c r="GO198" s="69">
        <f t="shared" si="1814"/>
        <v>156</v>
      </c>
      <c r="GP198" s="69">
        <f t="shared" si="1815"/>
        <v>16</v>
      </c>
      <c r="GQ198" s="11">
        <v>87</v>
      </c>
      <c r="GR198" s="12">
        <f t="shared" si="1764"/>
        <v>0.57051282051282048</v>
      </c>
      <c r="GS198" s="11">
        <v>2</v>
      </c>
      <c r="GT198" s="12">
        <f t="shared" si="1765"/>
        <v>2.247191011235955E-2</v>
      </c>
      <c r="GU198" s="13"/>
      <c r="GV198" s="13"/>
      <c r="GW198" s="25">
        <v>4140</v>
      </c>
      <c r="GX198" s="38">
        <v>4400</v>
      </c>
      <c r="GY198" s="10"/>
      <c r="GZ198" s="11"/>
      <c r="HA198" s="69">
        <f t="shared" si="1816"/>
        <v>904</v>
      </c>
      <c r="HB198" s="69">
        <f t="shared" si="1817"/>
        <v>77</v>
      </c>
      <c r="HC198" s="11">
        <v>545</v>
      </c>
      <c r="HD198" s="12">
        <f t="shared" si="1766"/>
        <v>0.61946902654867253</v>
      </c>
      <c r="HE198" s="11">
        <v>15</v>
      </c>
      <c r="HF198" s="12">
        <f t="shared" si="1767"/>
        <v>2.6785714285714284E-2</v>
      </c>
      <c r="HG198" s="13"/>
      <c r="HH198" s="13"/>
      <c r="HI198" s="25">
        <v>4140</v>
      </c>
      <c r="HJ198" s="38">
        <v>4400</v>
      </c>
      <c r="HK198" s="10">
        <f t="shared" si="1768"/>
        <v>1</v>
      </c>
      <c r="HL198" s="11">
        <f t="shared" si="1769"/>
        <v>0</v>
      </c>
      <c r="HM198" s="11">
        <f t="shared" si="1770"/>
        <v>11952</v>
      </c>
      <c r="HN198" s="11">
        <f t="shared" si="1771"/>
        <v>1027</v>
      </c>
      <c r="HO198" s="11">
        <f t="shared" si="1772"/>
        <v>7075</v>
      </c>
      <c r="HP198" s="95">
        <f t="shared" si="1773"/>
        <v>0.59195113788487286</v>
      </c>
      <c r="HQ198" s="15">
        <f t="shared" si="1774"/>
        <v>213</v>
      </c>
      <c r="HR198" s="12">
        <f t="shared" si="1775"/>
        <v>3.010600706713781E-2</v>
      </c>
      <c r="HS198" s="16">
        <v>64.2</v>
      </c>
      <c r="HT198" s="17">
        <v>6678</v>
      </c>
      <c r="HU198" s="16">
        <f t="shared" si="1776"/>
        <v>94.388692579505289</v>
      </c>
      <c r="HV198" s="23">
        <v>4140</v>
      </c>
      <c r="HW198" s="22">
        <v>4400</v>
      </c>
      <c r="HX198" s="73">
        <f t="shared" si="1777"/>
        <v>0.60184615384615381</v>
      </c>
      <c r="HY198" s="73">
        <f t="shared" si="1778"/>
        <v>0.59310344827586203</v>
      </c>
      <c r="HZ198" s="73">
        <f t="shared" si="1779"/>
        <v>0.55967383246849522</v>
      </c>
      <c r="IA198" s="73">
        <f t="shared" si="1780"/>
        <v>0.61016346837242363</v>
      </c>
    </row>
    <row r="199" spans="1:244" x14ac:dyDescent="0.25">
      <c r="A199" s="374"/>
      <c r="B199" s="339">
        <f t="shared" si="1781"/>
        <v>45093</v>
      </c>
      <c r="C199" s="10"/>
      <c r="D199" s="11"/>
      <c r="E199" s="69">
        <f t="shared" si="1782"/>
        <v>822</v>
      </c>
      <c r="F199" s="69">
        <v>70</v>
      </c>
      <c r="G199" s="11">
        <v>516</v>
      </c>
      <c r="H199" s="12">
        <f t="shared" si="1732"/>
        <v>0.65450121654501214</v>
      </c>
      <c r="I199" s="11">
        <v>22</v>
      </c>
      <c r="J199" s="12">
        <f t="shared" si="1733"/>
        <v>4.0892193308550186E-2</v>
      </c>
      <c r="K199" s="13"/>
      <c r="L199" s="11"/>
      <c r="M199" s="25">
        <v>4846.8599999999997</v>
      </c>
      <c r="N199" s="38">
        <v>4448.57</v>
      </c>
      <c r="O199" s="10">
        <v>1</v>
      </c>
      <c r="P199" s="11"/>
      <c r="Q199" s="69">
        <f t="shared" si="1784"/>
        <v>749</v>
      </c>
      <c r="R199" s="69">
        <v>64</v>
      </c>
      <c r="S199" s="11">
        <v>439</v>
      </c>
      <c r="T199" s="12">
        <f t="shared" si="1734"/>
        <v>0.60881174899866486</v>
      </c>
      <c r="U199" s="11">
        <v>17</v>
      </c>
      <c r="V199" s="12">
        <f t="shared" si="1735"/>
        <v>3.7280701754385963E-2</v>
      </c>
      <c r="W199" s="13"/>
      <c r="X199" s="11"/>
      <c r="Y199" s="25">
        <v>4717.3</v>
      </c>
      <c r="Z199" s="38">
        <v>4769.2299999999996</v>
      </c>
      <c r="AA199" s="10"/>
      <c r="AB199" s="11"/>
      <c r="AC199" s="69">
        <f t="shared" si="1786"/>
        <v>162</v>
      </c>
      <c r="AD199" s="69">
        <v>14</v>
      </c>
      <c r="AE199" s="11">
        <v>109</v>
      </c>
      <c r="AF199" s="12">
        <f t="shared" si="1736"/>
        <v>0.70370370370370372</v>
      </c>
      <c r="AG199" s="11">
        <v>5</v>
      </c>
      <c r="AH199" s="12">
        <f t="shared" si="1737"/>
        <v>4.3859649122807015E-2</v>
      </c>
      <c r="AI199" s="13"/>
      <c r="AJ199" s="11"/>
      <c r="AK199" s="25">
        <v>4662</v>
      </c>
      <c r="AL199" s="38">
        <v>4367.5</v>
      </c>
      <c r="AM199" s="10"/>
      <c r="AN199" s="11"/>
      <c r="AO199" s="69">
        <f t="shared" si="1788"/>
        <v>763</v>
      </c>
      <c r="AP199" s="69">
        <v>65</v>
      </c>
      <c r="AQ199" s="11">
        <v>426</v>
      </c>
      <c r="AR199" s="12">
        <f t="shared" si="1738"/>
        <v>0.57011795543905641</v>
      </c>
      <c r="AS199" s="11">
        <v>9</v>
      </c>
      <c r="AT199" s="12">
        <f t="shared" si="1739"/>
        <v>2.0689655172413793E-2</v>
      </c>
      <c r="AU199" s="13"/>
      <c r="AV199" s="11"/>
      <c r="AW199" s="25">
        <v>4786.8599999999997</v>
      </c>
      <c r="AX199" s="38">
        <v>4859.17</v>
      </c>
      <c r="AY199" s="10"/>
      <c r="AZ199" s="11"/>
      <c r="BA199" s="69">
        <f t="shared" si="1790"/>
        <v>753</v>
      </c>
      <c r="BB199" s="69">
        <v>64</v>
      </c>
      <c r="BC199" s="11">
        <v>468</v>
      </c>
      <c r="BD199" s="12">
        <f t="shared" si="1740"/>
        <v>0.63745019920318724</v>
      </c>
      <c r="BE199" s="11">
        <v>12</v>
      </c>
      <c r="BF199" s="12">
        <f t="shared" si="1741"/>
        <v>2.5000000000000001E-2</v>
      </c>
      <c r="BG199" s="13"/>
      <c r="BH199" s="11"/>
      <c r="BI199" s="25">
        <v>4841.32</v>
      </c>
      <c r="BJ199" s="38">
        <v>5145</v>
      </c>
      <c r="BK199" s="10"/>
      <c r="BL199" s="11"/>
      <c r="BM199" s="69">
        <f t="shared" si="1792"/>
        <v>813</v>
      </c>
      <c r="BN199" s="69">
        <v>68</v>
      </c>
      <c r="BO199" s="11">
        <v>452</v>
      </c>
      <c r="BP199" s="12">
        <f t="shared" si="1742"/>
        <v>0.56826568265682653</v>
      </c>
      <c r="BQ199" s="11">
        <v>10</v>
      </c>
      <c r="BR199" s="12">
        <f t="shared" si="1743"/>
        <v>2.1645021645021644E-2</v>
      </c>
      <c r="BS199" s="13"/>
      <c r="BT199" s="11"/>
      <c r="BU199" s="25">
        <v>4647.22</v>
      </c>
      <c r="BV199" s="38">
        <v>4383.33</v>
      </c>
      <c r="BW199" s="10"/>
      <c r="BX199" s="11"/>
      <c r="BY199" s="69">
        <f t="shared" si="1794"/>
        <v>748</v>
      </c>
      <c r="BZ199" s="69">
        <v>63</v>
      </c>
      <c r="CA199" s="11">
        <v>429</v>
      </c>
      <c r="CB199" s="12">
        <f t="shared" si="1744"/>
        <v>0.59090909090909094</v>
      </c>
      <c r="CC199" s="11">
        <v>13</v>
      </c>
      <c r="CD199" s="12">
        <f t="shared" si="1745"/>
        <v>2.9411764705882353E-2</v>
      </c>
      <c r="CE199" s="13"/>
      <c r="CF199" s="11"/>
      <c r="CG199" s="25">
        <v>4668.1099999999997</v>
      </c>
      <c r="CH199" s="38">
        <v>4677.1400000000003</v>
      </c>
      <c r="CI199" s="10">
        <v>1</v>
      </c>
      <c r="CJ199" s="11"/>
      <c r="CK199" s="69">
        <f t="shared" si="1796"/>
        <v>149</v>
      </c>
      <c r="CL199" s="69">
        <v>13</v>
      </c>
      <c r="CM199" s="11">
        <v>80</v>
      </c>
      <c r="CN199" s="12">
        <f t="shared" si="1746"/>
        <v>0.55033557046979864</v>
      </c>
      <c r="CO199" s="11">
        <v>2</v>
      </c>
      <c r="CP199" s="12">
        <f t="shared" si="1747"/>
        <v>2.4390243902439025E-2</v>
      </c>
      <c r="CQ199" s="13"/>
      <c r="CR199" s="11"/>
      <c r="CS199" s="25">
        <v>4745</v>
      </c>
      <c r="CT199" s="38">
        <v>4402.5</v>
      </c>
      <c r="CU199" s="10"/>
      <c r="CV199" s="11"/>
      <c r="CW199" s="69">
        <f t="shared" si="1798"/>
        <v>737</v>
      </c>
      <c r="CX199" s="69">
        <v>64</v>
      </c>
      <c r="CY199" s="11">
        <v>417</v>
      </c>
      <c r="CZ199" s="12">
        <f t="shared" si="1748"/>
        <v>0.58073270013568523</v>
      </c>
      <c r="DA199" s="11">
        <v>11</v>
      </c>
      <c r="DB199" s="12">
        <f t="shared" si="1749"/>
        <v>2.5700934579439252E-2</v>
      </c>
      <c r="DC199" s="13"/>
      <c r="DD199" s="11"/>
      <c r="DE199" s="25">
        <v>4746</v>
      </c>
      <c r="DF199" s="38">
        <v>4638.67</v>
      </c>
      <c r="DG199" s="10"/>
      <c r="DH199" s="11"/>
      <c r="DI199" s="69">
        <f t="shared" si="1800"/>
        <v>742</v>
      </c>
      <c r="DJ199" s="69">
        <v>64</v>
      </c>
      <c r="DK199" s="11">
        <v>440</v>
      </c>
      <c r="DL199" s="12">
        <f t="shared" si="1750"/>
        <v>0.62398921832884102</v>
      </c>
      <c r="DM199" s="11">
        <v>23</v>
      </c>
      <c r="DN199" s="12">
        <f t="shared" si="1751"/>
        <v>4.9676025917926567E-2</v>
      </c>
      <c r="DO199" s="13"/>
      <c r="DP199" s="11"/>
      <c r="DQ199" s="25">
        <v>4809.75</v>
      </c>
      <c r="DR199" s="38">
        <v>5040</v>
      </c>
      <c r="DS199" s="10"/>
      <c r="DT199" s="11"/>
      <c r="DU199" s="69">
        <f t="shared" si="1802"/>
        <v>825</v>
      </c>
      <c r="DV199" s="69">
        <v>72</v>
      </c>
      <c r="DW199" s="11">
        <v>487</v>
      </c>
      <c r="DX199" s="12">
        <f t="shared" si="1752"/>
        <v>0.60606060606060608</v>
      </c>
      <c r="DY199" s="11">
        <v>13</v>
      </c>
      <c r="DZ199" s="12">
        <f t="shared" si="1753"/>
        <v>2.5999999999999999E-2</v>
      </c>
      <c r="EA199" s="13"/>
      <c r="EB199" s="11"/>
      <c r="EC199" s="25">
        <v>4631.3599999999997</v>
      </c>
      <c r="ED199" s="38">
        <v>4534.62</v>
      </c>
      <c r="EE199" s="10"/>
      <c r="EF199" s="11"/>
      <c r="EG199" s="69">
        <f t="shared" si="1804"/>
        <v>845</v>
      </c>
      <c r="EH199" s="69">
        <v>73</v>
      </c>
      <c r="EI199" s="11">
        <v>480</v>
      </c>
      <c r="EJ199" s="12">
        <f t="shared" si="1754"/>
        <v>0.58816568047337281</v>
      </c>
      <c r="EK199" s="11">
        <v>17</v>
      </c>
      <c r="EL199" s="12">
        <f t="shared" si="1755"/>
        <v>3.4205231388329982E-2</v>
      </c>
      <c r="EM199" s="13"/>
      <c r="EN199" s="11"/>
      <c r="EO199" s="25">
        <v>4668.41</v>
      </c>
      <c r="EP199" s="38">
        <v>4695</v>
      </c>
      <c r="EQ199" s="10"/>
      <c r="ER199" s="11"/>
      <c r="ES199" s="69">
        <f t="shared" si="1806"/>
        <v>179</v>
      </c>
      <c r="ET199" s="69">
        <v>15</v>
      </c>
      <c r="EU199" s="11">
        <v>83</v>
      </c>
      <c r="EV199" s="12">
        <f t="shared" si="1756"/>
        <v>0.47486033519553073</v>
      </c>
      <c r="EW199" s="11">
        <v>2</v>
      </c>
      <c r="EX199" s="12">
        <f t="shared" si="1757"/>
        <v>2.3529411764705882E-2</v>
      </c>
      <c r="EY199" s="13"/>
      <c r="EZ199" s="11"/>
      <c r="FA199" s="25">
        <v>4432.8599999999997</v>
      </c>
      <c r="FB199" s="38">
        <v>4087.5</v>
      </c>
      <c r="FC199" s="10"/>
      <c r="FD199" s="11"/>
      <c r="FE199" s="69">
        <f t="shared" si="1808"/>
        <v>849</v>
      </c>
      <c r="FF199" s="69">
        <v>73</v>
      </c>
      <c r="FG199" s="11">
        <v>550</v>
      </c>
      <c r="FH199" s="12">
        <f t="shared" si="1758"/>
        <v>0.67844522968197885</v>
      </c>
      <c r="FI199" s="11">
        <v>26</v>
      </c>
      <c r="FJ199" s="12">
        <f t="shared" si="1759"/>
        <v>4.5138888888888888E-2</v>
      </c>
      <c r="FK199" s="13"/>
      <c r="FL199" s="11"/>
      <c r="FM199" s="25">
        <v>4773</v>
      </c>
      <c r="FN199" s="38">
        <v>4960.8999999999996</v>
      </c>
      <c r="FO199" s="10">
        <v>1</v>
      </c>
      <c r="FP199" s="11"/>
      <c r="FQ199" s="69">
        <f t="shared" si="1810"/>
        <v>877</v>
      </c>
      <c r="FR199" s="69">
        <v>75</v>
      </c>
      <c r="FS199" s="11">
        <v>448</v>
      </c>
      <c r="FT199" s="12">
        <f t="shared" si="1760"/>
        <v>0.54732041049030788</v>
      </c>
      <c r="FU199" s="11">
        <v>32</v>
      </c>
      <c r="FV199" s="12">
        <f t="shared" si="1761"/>
        <v>6.6666666666666666E-2</v>
      </c>
      <c r="FW199" s="13"/>
      <c r="FX199" s="11"/>
      <c r="FY199" s="25">
        <v>4901.71</v>
      </c>
      <c r="FZ199" s="38">
        <v>4544.17</v>
      </c>
      <c r="GA199" s="10"/>
      <c r="GB199" s="11"/>
      <c r="GC199" s="69">
        <f t="shared" si="1812"/>
        <v>876</v>
      </c>
      <c r="GD199" s="69">
        <v>76</v>
      </c>
      <c r="GE199" s="11">
        <v>529</v>
      </c>
      <c r="GF199" s="12">
        <f t="shared" si="1762"/>
        <v>0.63698630136986301</v>
      </c>
      <c r="GG199" s="11">
        <v>29</v>
      </c>
      <c r="GH199" s="12">
        <f t="shared" si="1763"/>
        <v>5.197132616487455E-2</v>
      </c>
      <c r="GI199" s="13"/>
      <c r="GJ199" s="11"/>
      <c r="GK199" s="25">
        <v>4640.8999999999996</v>
      </c>
      <c r="GL199" s="38">
        <v>4709.3999999999996</v>
      </c>
      <c r="GM199" s="10"/>
      <c r="GN199" s="11">
        <v>1</v>
      </c>
      <c r="GO199" s="69">
        <f t="shared" si="1814"/>
        <v>156</v>
      </c>
      <c r="GP199" s="69">
        <v>14</v>
      </c>
      <c r="GQ199" s="11">
        <v>96</v>
      </c>
      <c r="GR199" s="12">
        <f t="shared" si="1764"/>
        <v>0.64743589743589747</v>
      </c>
      <c r="GS199" s="11">
        <v>5</v>
      </c>
      <c r="GT199" s="12">
        <f t="shared" si="1765"/>
        <v>4.9504950495049507E-2</v>
      </c>
      <c r="GU199" s="13"/>
      <c r="GV199" s="11"/>
      <c r="GW199" s="25">
        <v>4281</v>
      </c>
      <c r="GX199" s="38">
        <v>4262.5</v>
      </c>
      <c r="GY199" s="10"/>
      <c r="GZ199" s="11"/>
      <c r="HA199" s="69">
        <f t="shared" si="1816"/>
        <v>904</v>
      </c>
      <c r="HB199" s="69">
        <v>78</v>
      </c>
      <c r="HC199" s="11">
        <v>546</v>
      </c>
      <c r="HD199" s="12">
        <f t="shared" si="1766"/>
        <v>0.61725663716814161</v>
      </c>
      <c r="HE199" s="11">
        <v>12</v>
      </c>
      <c r="HF199" s="12">
        <f t="shared" si="1767"/>
        <v>2.1505376344086023E-2</v>
      </c>
      <c r="HG199" s="13"/>
      <c r="HH199" s="11"/>
      <c r="HI199" s="25">
        <v>4797.1400000000003</v>
      </c>
      <c r="HJ199" s="38">
        <v>5004.29</v>
      </c>
      <c r="HK199" s="10">
        <f t="shared" si="1768"/>
        <v>3</v>
      </c>
      <c r="HL199" s="11">
        <v>2</v>
      </c>
      <c r="HM199" s="11">
        <f t="shared" si="1770"/>
        <v>11949</v>
      </c>
      <c r="HN199" s="11">
        <f t="shared" si="1771"/>
        <v>1025</v>
      </c>
      <c r="HO199" s="11">
        <f t="shared" si="1772"/>
        <v>7255</v>
      </c>
      <c r="HP199" s="95">
        <f t="shared" si="1773"/>
        <v>0.60716377939576538</v>
      </c>
      <c r="HQ199" s="15">
        <f t="shared" si="1774"/>
        <v>260</v>
      </c>
      <c r="HR199" s="12">
        <f t="shared" si="1775"/>
        <v>3.5837353549276363E-2</v>
      </c>
      <c r="HS199" s="16">
        <v>64.2</v>
      </c>
      <c r="HT199" s="17">
        <v>6829</v>
      </c>
      <c r="HU199" s="16">
        <f t="shared" si="1776"/>
        <v>94.128187456926256</v>
      </c>
      <c r="HV199" s="23">
        <v>4730.63</v>
      </c>
      <c r="HW199" s="22">
        <v>4694.3900000000003</v>
      </c>
      <c r="HX199" s="73">
        <f t="shared" si="1777"/>
        <v>0.62265312403816564</v>
      </c>
      <c r="HY199" s="73">
        <f t="shared" si="1778"/>
        <v>0.58858576356224523</v>
      </c>
      <c r="HZ199" s="73">
        <f t="shared" si="1779"/>
        <v>0.61452928094885095</v>
      </c>
      <c r="IA199" s="73">
        <f t="shared" si="1780"/>
        <v>0.60327052968361183</v>
      </c>
    </row>
    <row r="200" spans="1:244" x14ac:dyDescent="0.25">
      <c r="A200" s="374"/>
      <c r="B200" s="41">
        <f t="shared" si="1781"/>
        <v>45094</v>
      </c>
      <c r="C200" s="10"/>
      <c r="D200" s="11">
        <v>4</v>
      </c>
      <c r="E200" s="69">
        <f t="shared" si="1782"/>
        <v>822</v>
      </c>
      <c r="F200" s="69">
        <f t="shared" si="1783"/>
        <v>66</v>
      </c>
      <c r="G200" s="11">
        <v>468</v>
      </c>
      <c r="H200" s="12">
        <f t="shared" si="1732"/>
        <v>0.58394160583941601</v>
      </c>
      <c r="I200" s="11">
        <v>12</v>
      </c>
      <c r="J200" s="12">
        <f t="shared" si="1733"/>
        <v>2.5000000000000001E-2</v>
      </c>
      <c r="K200" s="13"/>
      <c r="L200" s="11"/>
      <c r="M200" s="39">
        <v>94.3</v>
      </c>
      <c r="N200" s="43">
        <v>100</v>
      </c>
      <c r="O200" s="10"/>
      <c r="P200" s="11">
        <v>4</v>
      </c>
      <c r="Q200" s="69">
        <f t="shared" si="1784"/>
        <v>749</v>
      </c>
      <c r="R200" s="69">
        <f t="shared" si="1785"/>
        <v>60</v>
      </c>
      <c r="S200" s="11">
        <v>419</v>
      </c>
      <c r="T200" s="12">
        <f t="shared" si="1734"/>
        <v>0.57676902536715624</v>
      </c>
      <c r="U200" s="11">
        <v>13</v>
      </c>
      <c r="V200" s="12">
        <f t="shared" si="1735"/>
        <v>3.0092592592592591E-2</v>
      </c>
      <c r="W200" s="13"/>
      <c r="X200" s="11"/>
      <c r="Y200" s="39">
        <v>83.78</v>
      </c>
      <c r="Z200" s="43">
        <v>92.31</v>
      </c>
      <c r="AA200" s="10"/>
      <c r="AB200" s="11">
        <v>1</v>
      </c>
      <c r="AC200" s="69">
        <f t="shared" si="1786"/>
        <v>162</v>
      </c>
      <c r="AD200" s="69">
        <f t="shared" si="1787"/>
        <v>13</v>
      </c>
      <c r="AE200" s="11">
        <v>104</v>
      </c>
      <c r="AF200" s="12">
        <f t="shared" si="1736"/>
        <v>0.66049382716049387</v>
      </c>
      <c r="AG200" s="11">
        <v>3</v>
      </c>
      <c r="AH200" s="12">
        <f t="shared" si="1737"/>
        <v>2.8037383177570093E-2</v>
      </c>
      <c r="AI200" s="13"/>
      <c r="AJ200" s="11"/>
      <c r="AK200" s="39">
        <v>100</v>
      </c>
      <c r="AL200" s="43">
        <v>100</v>
      </c>
      <c r="AM200" s="10"/>
      <c r="AN200" s="11">
        <v>4</v>
      </c>
      <c r="AO200" s="69">
        <f t="shared" si="1788"/>
        <v>763</v>
      </c>
      <c r="AP200" s="69">
        <f t="shared" si="1789"/>
        <v>61</v>
      </c>
      <c r="AQ200" s="11">
        <v>426</v>
      </c>
      <c r="AR200" s="12">
        <f t="shared" si="1738"/>
        <v>0.56749672346002622</v>
      </c>
      <c r="AS200" s="11">
        <v>7</v>
      </c>
      <c r="AT200" s="12">
        <f t="shared" si="1739"/>
        <v>1.6166281755196306E-2</v>
      </c>
      <c r="AU200" s="13"/>
      <c r="AV200" s="11"/>
      <c r="AW200" s="39">
        <v>77.099999999999994</v>
      </c>
      <c r="AX200" s="43">
        <v>100</v>
      </c>
      <c r="AY200" s="10"/>
      <c r="AZ200" s="11">
        <v>4</v>
      </c>
      <c r="BA200" s="69">
        <f t="shared" si="1790"/>
        <v>753</v>
      </c>
      <c r="BB200" s="69">
        <f t="shared" si="1791"/>
        <v>60</v>
      </c>
      <c r="BC200" s="11">
        <v>466</v>
      </c>
      <c r="BD200" s="12">
        <f t="shared" si="1740"/>
        <v>0.62948207171314741</v>
      </c>
      <c r="BE200" s="11">
        <v>8</v>
      </c>
      <c r="BF200" s="12">
        <f t="shared" si="1741"/>
        <v>1.6877637130801686E-2</v>
      </c>
      <c r="BG200" s="13"/>
      <c r="BH200" s="11"/>
      <c r="BI200" s="39">
        <v>92.11</v>
      </c>
      <c r="BJ200" s="43">
        <v>100</v>
      </c>
      <c r="BK200" s="10"/>
      <c r="BL200" s="11">
        <v>4</v>
      </c>
      <c r="BM200" s="69">
        <f t="shared" si="1792"/>
        <v>813</v>
      </c>
      <c r="BN200" s="69">
        <f t="shared" si="1793"/>
        <v>64</v>
      </c>
      <c r="BO200" s="11">
        <v>456</v>
      </c>
      <c r="BP200" s="12">
        <f t="shared" si="1742"/>
        <v>0.57564575645756455</v>
      </c>
      <c r="BQ200" s="11">
        <v>12</v>
      </c>
      <c r="BR200" s="12">
        <f t="shared" si="1743"/>
        <v>2.564102564102564E-2</v>
      </c>
      <c r="BS200" s="13"/>
      <c r="BT200" s="11"/>
      <c r="BU200" s="39">
        <v>80.56</v>
      </c>
      <c r="BV200" s="43">
        <v>100</v>
      </c>
      <c r="BW200" s="10"/>
      <c r="BX200" s="11">
        <v>4</v>
      </c>
      <c r="BY200" s="69">
        <f t="shared" si="1794"/>
        <v>748</v>
      </c>
      <c r="BZ200" s="69">
        <f t="shared" si="1795"/>
        <v>59</v>
      </c>
      <c r="CA200" s="11">
        <v>425</v>
      </c>
      <c r="CB200" s="12">
        <f t="shared" si="1744"/>
        <v>0.58422459893048129</v>
      </c>
      <c r="CC200" s="11">
        <v>12</v>
      </c>
      <c r="CD200" s="12">
        <f t="shared" si="1745"/>
        <v>2.7459954233409609E-2</v>
      </c>
      <c r="CE200" s="13"/>
      <c r="CF200" s="11"/>
      <c r="CG200" s="39">
        <v>75.680000000000007</v>
      </c>
      <c r="CH200" s="43">
        <v>100</v>
      </c>
      <c r="CI200" s="10"/>
      <c r="CJ200" s="11">
        <v>1</v>
      </c>
      <c r="CK200" s="69">
        <f t="shared" si="1796"/>
        <v>149</v>
      </c>
      <c r="CL200" s="69">
        <f t="shared" si="1797"/>
        <v>12</v>
      </c>
      <c r="CM200" s="11">
        <v>72</v>
      </c>
      <c r="CN200" s="12">
        <f t="shared" si="1746"/>
        <v>0.51006711409395977</v>
      </c>
      <c r="CO200" s="11">
        <v>4</v>
      </c>
      <c r="CP200" s="12">
        <f t="shared" si="1747"/>
        <v>5.2631578947368418E-2</v>
      </c>
      <c r="CQ200" s="13"/>
      <c r="CR200" s="11"/>
      <c r="CS200" s="39">
        <v>90</v>
      </c>
      <c r="CT200" s="43">
        <v>100</v>
      </c>
      <c r="CU200" s="10"/>
      <c r="CV200" s="11">
        <v>5</v>
      </c>
      <c r="CW200" s="69">
        <f t="shared" si="1798"/>
        <v>737</v>
      </c>
      <c r="CX200" s="69">
        <f t="shared" si="1799"/>
        <v>59</v>
      </c>
      <c r="CY200" s="11">
        <v>408</v>
      </c>
      <c r="CZ200" s="12">
        <f t="shared" si="1748"/>
        <v>0.56037991858887382</v>
      </c>
      <c r="DA200" s="11">
        <v>5</v>
      </c>
      <c r="DB200" s="12">
        <f t="shared" si="1749"/>
        <v>1.2106537530266344E-2</v>
      </c>
      <c r="DC200" s="13"/>
      <c r="DD200" s="11"/>
      <c r="DE200" s="39">
        <v>100</v>
      </c>
      <c r="DF200" s="43">
        <v>100</v>
      </c>
      <c r="DG200" s="10"/>
      <c r="DH200" s="11">
        <v>5</v>
      </c>
      <c r="DI200" s="69">
        <f t="shared" si="1800"/>
        <v>742</v>
      </c>
      <c r="DJ200" s="69">
        <f t="shared" si="1801"/>
        <v>59</v>
      </c>
      <c r="DK200" s="11">
        <v>451</v>
      </c>
      <c r="DL200" s="12">
        <f t="shared" si="1750"/>
        <v>0.61994609164420489</v>
      </c>
      <c r="DM200" s="11">
        <v>9</v>
      </c>
      <c r="DN200" s="12">
        <f t="shared" si="1751"/>
        <v>1.9565217391304349E-2</v>
      </c>
      <c r="DO200" s="13"/>
      <c r="DP200" s="11"/>
      <c r="DQ200" s="39">
        <v>82.5</v>
      </c>
      <c r="DR200" s="43">
        <v>100</v>
      </c>
      <c r="DS200" s="10">
        <v>1</v>
      </c>
      <c r="DT200" s="11">
        <v>6</v>
      </c>
      <c r="DU200" s="69">
        <f t="shared" si="1802"/>
        <v>824</v>
      </c>
      <c r="DV200" s="69">
        <f t="shared" si="1803"/>
        <v>66</v>
      </c>
      <c r="DW200" s="11">
        <v>443</v>
      </c>
      <c r="DX200" s="12">
        <f t="shared" si="1752"/>
        <v>0.56674757281553401</v>
      </c>
      <c r="DY200" s="11">
        <v>24</v>
      </c>
      <c r="DZ200" s="12">
        <f t="shared" si="1753"/>
        <v>5.1391862955032119E-2</v>
      </c>
      <c r="EA200" s="13"/>
      <c r="EB200" s="11"/>
      <c r="EC200" s="39">
        <v>77.27</v>
      </c>
      <c r="ED200" s="43">
        <v>100</v>
      </c>
      <c r="EE200" s="10"/>
      <c r="EF200" s="11">
        <v>6</v>
      </c>
      <c r="EG200" s="69">
        <f t="shared" si="1804"/>
        <v>845</v>
      </c>
      <c r="EH200" s="69">
        <f t="shared" si="1805"/>
        <v>67</v>
      </c>
      <c r="EI200" s="11">
        <v>482</v>
      </c>
      <c r="EJ200" s="12">
        <f t="shared" si="1754"/>
        <v>0.58224852071005917</v>
      </c>
      <c r="EK200" s="11">
        <v>10</v>
      </c>
      <c r="EL200" s="12">
        <f t="shared" si="1755"/>
        <v>2.032520325203252E-2</v>
      </c>
      <c r="EM200" s="13"/>
      <c r="EN200" s="11"/>
      <c r="EO200" s="39">
        <v>93.18</v>
      </c>
      <c r="EP200" s="43">
        <v>100</v>
      </c>
      <c r="EQ200" s="10">
        <v>1</v>
      </c>
      <c r="ER200" s="11">
        <v>1</v>
      </c>
      <c r="ES200" s="69">
        <f t="shared" si="1806"/>
        <v>178</v>
      </c>
      <c r="ET200" s="69">
        <f t="shared" si="1807"/>
        <v>14</v>
      </c>
      <c r="EU200" s="11">
        <v>75</v>
      </c>
      <c r="EV200" s="12">
        <f t="shared" si="1756"/>
        <v>0.43258426966292135</v>
      </c>
      <c r="EW200" s="11">
        <v>2</v>
      </c>
      <c r="EX200" s="12">
        <f t="shared" si="1757"/>
        <v>2.5974025974025976E-2</v>
      </c>
      <c r="EY200" s="13"/>
      <c r="EZ200" s="11"/>
      <c r="FA200" s="39">
        <v>71.430000000000007</v>
      </c>
      <c r="FB200" s="43">
        <v>100</v>
      </c>
      <c r="FC200" s="10"/>
      <c r="FD200" s="11">
        <v>6</v>
      </c>
      <c r="FE200" s="69">
        <f t="shared" si="1808"/>
        <v>849</v>
      </c>
      <c r="FF200" s="69">
        <f t="shared" si="1809"/>
        <v>67</v>
      </c>
      <c r="FG200" s="11">
        <v>528</v>
      </c>
      <c r="FH200" s="12">
        <f t="shared" si="1758"/>
        <v>0.63486454652532387</v>
      </c>
      <c r="FI200" s="11">
        <v>11</v>
      </c>
      <c r="FJ200" s="12">
        <f t="shared" si="1759"/>
        <v>2.0408163265306121E-2</v>
      </c>
      <c r="FK200" s="13"/>
      <c r="FL200" s="11"/>
      <c r="FM200" s="39">
        <v>85.11</v>
      </c>
      <c r="FN200" s="43">
        <v>100</v>
      </c>
      <c r="FO200" s="10"/>
      <c r="FP200" s="11">
        <v>5</v>
      </c>
      <c r="FQ200" s="69">
        <f t="shared" si="1810"/>
        <v>877</v>
      </c>
      <c r="FR200" s="69">
        <f t="shared" si="1811"/>
        <v>70</v>
      </c>
      <c r="FS200" s="11">
        <v>449</v>
      </c>
      <c r="FT200" s="12">
        <f t="shared" si="1760"/>
        <v>0.53135689851767387</v>
      </c>
      <c r="FU200" s="11">
        <v>17</v>
      </c>
      <c r="FV200" s="12">
        <f t="shared" si="1761"/>
        <v>3.6480686695278972E-2</v>
      </c>
      <c r="FW200" s="13"/>
      <c r="FX200" s="11"/>
      <c r="FY200" s="39">
        <v>90.24</v>
      </c>
      <c r="FZ200" s="43">
        <v>100</v>
      </c>
      <c r="GA200" s="10"/>
      <c r="GB200" s="11">
        <v>5</v>
      </c>
      <c r="GC200" s="69">
        <f t="shared" si="1812"/>
        <v>876</v>
      </c>
      <c r="GD200" s="69">
        <f t="shared" si="1813"/>
        <v>71</v>
      </c>
      <c r="GE200" s="11">
        <v>455</v>
      </c>
      <c r="GF200" s="12">
        <f t="shared" si="1762"/>
        <v>0.54794520547945202</v>
      </c>
      <c r="GG200" s="11">
        <v>25</v>
      </c>
      <c r="GH200" s="12">
        <f t="shared" si="1763"/>
        <v>5.2083333333333336E-2</v>
      </c>
      <c r="GI200" s="13"/>
      <c r="GJ200" s="11"/>
      <c r="GK200" s="39">
        <v>75.56</v>
      </c>
      <c r="GL200" s="43">
        <v>100</v>
      </c>
      <c r="GM200" s="10"/>
      <c r="GN200" s="11">
        <v>2</v>
      </c>
      <c r="GO200" s="69">
        <f t="shared" si="1814"/>
        <v>156</v>
      </c>
      <c r="GP200" s="69">
        <f t="shared" si="1815"/>
        <v>12</v>
      </c>
      <c r="GQ200" s="11">
        <v>89</v>
      </c>
      <c r="GR200" s="12">
        <f t="shared" si="1764"/>
        <v>0.57051282051282048</v>
      </c>
      <c r="GS200" s="11">
        <v>0</v>
      </c>
      <c r="GT200" s="12">
        <f t="shared" si="1765"/>
        <v>0</v>
      </c>
      <c r="GU200" s="13"/>
      <c r="GV200" s="11"/>
      <c r="GW200" s="39">
        <v>100</v>
      </c>
      <c r="GX200" s="43">
        <v>100</v>
      </c>
      <c r="GY200" s="10"/>
      <c r="GZ200" s="11">
        <v>5</v>
      </c>
      <c r="HA200" s="69">
        <f t="shared" si="1816"/>
        <v>904</v>
      </c>
      <c r="HB200" s="69">
        <f t="shared" si="1817"/>
        <v>73</v>
      </c>
      <c r="HC200" s="11">
        <v>537</v>
      </c>
      <c r="HD200" s="12">
        <f t="shared" si="1766"/>
        <v>0.60176991150442483</v>
      </c>
      <c r="HE200" s="11">
        <v>7</v>
      </c>
      <c r="HF200" s="12">
        <f t="shared" si="1767"/>
        <v>1.2867647058823529E-2</v>
      </c>
      <c r="HG200" s="13"/>
      <c r="HH200" s="11"/>
      <c r="HI200" s="39">
        <v>97.62</v>
      </c>
      <c r="HJ200" s="43">
        <v>100</v>
      </c>
      <c r="HK200" s="10">
        <f t="shared" si="1768"/>
        <v>2</v>
      </c>
      <c r="HL200" s="11">
        <f t="shared" si="1769"/>
        <v>72</v>
      </c>
      <c r="HM200" s="11">
        <f t="shared" si="1770"/>
        <v>11947</v>
      </c>
      <c r="HN200" s="11">
        <f t="shared" si="1771"/>
        <v>953</v>
      </c>
      <c r="HO200" s="11">
        <f t="shared" si="1772"/>
        <v>6934</v>
      </c>
      <c r="HP200" s="95">
        <f t="shared" si="1773"/>
        <v>0.58039675232275889</v>
      </c>
      <c r="HQ200" s="15">
        <f t="shared" si="1774"/>
        <v>181</v>
      </c>
      <c r="HR200" s="12">
        <f t="shared" si="1775"/>
        <v>2.6103259301990193E-2</v>
      </c>
      <c r="HS200" s="16">
        <v>64.5</v>
      </c>
      <c r="HT200" s="17">
        <v>6587</v>
      </c>
      <c r="HU200" s="16">
        <f t="shared" si="1776"/>
        <v>94.995673492933378</v>
      </c>
      <c r="HV200" s="23">
        <v>84.67</v>
      </c>
      <c r="HW200" s="22">
        <v>90.73</v>
      </c>
      <c r="HX200" s="73">
        <f t="shared" si="1777"/>
        <v>0.59279778393351801</v>
      </c>
      <c r="HY200" s="73">
        <f t="shared" si="1778"/>
        <v>0.58137347130761996</v>
      </c>
      <c r="HZ200" s="73">
        <f t="shared" si="1779"/>
        <v>0.58419881305637977</v>
      </c>
      <c r="IA200" s="73">
        <f t="shared" si="1780"/>
        <v>0.56132243156772132</v>
      </c>
      <c r="IF200" s="85">
        <f>IF201/IF202</f>
        <v>1.8433179723502304E-3</v>
      </c>
      <c r="IG200" s="85">
        <f>IG201/IG202</f>
        <v>1.5654351909830933E-3</v>
      </c>
      <c r="IH200" s="85">
        <f>IH201/IH202</f>
        <v>1.4814814814814814E-3</v>
      </c>
      <c r="II200" s="85">
        <f>II201/II202</f>
        <v>2.1284143313231641E-3</v>
      </c>
      <c r="IJ200" s="88" t="s">
        <v>90</v>
      </c>
    </row>
    <row r="201" spans="1:244" ht="19.5" thickBot="1" x14ac:dyDescent="0.3">
      <c r="A201" s="374"/>
      <c r="B201" s="42"/>
      <c r="C201" s="26">
        <f>SUM(C194:C200)</f>
        <v>0</v>
      </c>
      <c r="D201" s="27">
        <f>SUM(D194:D200)</f>
        <v>4</v>
      </c>
      <c r="E201" s="27"/>
      <c r="F201" s="27"/>
      <c r="G201" s="27">
        <f>SUM(G194:G200)</f>
        <v>3320</v>
      </c>
      <c r="H201" s="28">
        <f>((G201+I201)/7)/E200</f>
        <v>0.59801876955161626</v>
      </c>
      <c r="I201" s="27">
        <f>SUM(I194:I200)</f>
        <v>121</v>
      </c>
      <c r="J201" s="28">
        <f>(I201/(I201+G201))</f>
        <v>3.5164196454519035E-2</v>
      </c>
      <c r="K201" s="27"/>
      <c r="L201" s="27"/>
      <c r="M201" s="29">
        <f>M199/M198*100-100</f>
        <v>17.073913043478257</v>
      </c>
      <c r="N201" s="67">
        <f>N199/N198*100-100</f>
        <v>1.1038636363636272</v>
      </c>
      <c r="O201" s="26">
        <f>SUM(O194:O200)</f>
        <v>1</v>
      </c>
      <c r="P201" s="27">
        <f>SUM(P194:P200)</f>
        <v>4</v>
      </c>
      <c r="Q201" s="27"/>
      <c r="R201" s="27"/>
      <c r="S201" s="27">
        <f>SUM(S194:S200)</f>
        <v>2988</v>
      </c>
      <c r="T201" s="28">
        <f>((S201+U201)/7)/Q200</f>
        <v>0.59069235170703793</v>
      </c>
      <c r="U201" s="27">
        <f>SUM(U194:U200)</f>
        <v>109</v>
      </c>
      <c r="V201" s="28">
        <f>(U201/(U201+S201))</f>
        <v>3.5195350339037777E-2</v>
      </c>
      <c r="W201" s="27"/>
      <c r="X201" s="27"/>
      <c r="Y201" s="29">
        <f>Y199/Y198*100-100</f>
        <v>13.944444444444443</v>
      </c>
      <c r="Z201" s="67">
        <f>Z199/Z198*100-100</f>
        <v>8.391590909090894</v>
      </c>
      <c r="AA201" s="26">
        <f>SUM(AA194:AA200)</f>
        <v>4</v>
      </c>
      <c r="AB201" s="27">
        <f>SUM(AB194:AB200)</f>
        <v>1</v>
      </c>
      <c r="AC201" s="27"/>
      <c r="AD201" s="27"/>
      <c r="AE201" s="27">
        <f>SUM(AE194:AE200)</f>
        <v>661</v>
      </c>
      <c r="AF201" s="28">
        <f>((AE201+AG201)/7)/AC200</f>
        <v>0.60934744268077601</v>
      </c>
      <c r="AG201" s="27">
        <f>SUM(AG194:AG200)</f>
        <v>30</v>
      </c>
      <c r="AH201" s="28">
        <f>(AG201/(AG201+AE201))</f>
        <v>4.3415340086830678E-2</v>
      </c>
      <c r="AI201" s="27"/>
      <c r="AJ201" s="27"/>
      <c r="AK201" s="29">
        <f>AK199/AK198*100-100</f>
        <v>12.608695652173907</v>
      </c>
      <c r="AL201" s="67">
        <f>AL199/AL198*100-100</f>
        <v>-0.73863636363637397</v>
      </c>
      <c r="AM201" s="26">
        <f>SUM(AM194:AM200)</f>
        <v>1</v>
      </c>
      <c r="AN201" s="27">
        <f>SUM(AN194:AN200)</f>
        <v>4</v>
      </c>
      <c r="AO201" s="27"/>
      <c r="AP201" s="27"/>
      <c r="AQ201" s="27">
        <f>SUM(AQ194:AQ200)</f>
        <v>2931</v>
      </c>
      <c r="AR201" s="28">
        <f>((AQ201+AS201)/7)/AO200</f>
        <v>0.56187979779067587</v>
      </c>
      <c r="AS201" s="27">
        <f>SUM(AS194:AS200)</f>
        <v>70</v>
      </c>
      <c r="AT201" s="28">
        <f>(AS201/(AS201+AQ201))</f>
        <v>2.332555814728424E-2</v>
      </c>
      <c r="AU201" s="27"/>
      <c r="AV201" s="27"/>
      <c r="AW201" s="29">
        <f>AW199/AW198*100-100</f>
        <v>15.624637681159399</v>
      </c>
      <c r="AX201" s="67">
        <f>AX199/AX198*100-100</f>
        <v>10.43568181818182</v>
      </c>
      <c r="AY201" s="26">
        <f>SUM(AY194:AY200)</f>
        <v>0</v>
      </c>
      <c r="AZ201" s="27">
        <f>SUM(AZ194:AZ200)</f>
        <v>4</v>
      </c>
      <c r="BA201" s="27"/>
      <c r="BB201" s="27"/>
      <c r="BC201" s="27">
        <f>SUM(BC194:BC200)</f>
        <v>3160</v>
      </c>
      <c r="BD201" s="28">
        <f>((BC201+BE201)/7)/BA200</f>
        <v>0.61601214190855624</v>
      </c>
      <c r="BE201" s="27">
        <f>SUM(BE194:BE200)</f>
        <v>87</v>
      </c>
      <c r="BF201" s="28">
        <f>(BE201/(BE201+BC201))</f>
        <v>2.6793963658761934E-2</v>
      </c>
      <c r="BG201" s="27"/>
      <c r="BH201" s="27"/>
      <c r="BI201" s="29">
        <f>BI199/BI198*100-100</f>
        <v>16.940096618357487</v>
      </c>
      <c r="BJ201" s="67">
        <f>BJ199/BJ198*100-100</f>
        <v>16.931818181818187</v>
      </c>
      <c r="BK201" s="26">
        <f>SUM(BK194:BK200)</f>
        <v>1</v>
      </c>
      <c r="BL201" s="27">
        <f>SUM(BL194:BL200)</f>
        <v>4</v>
      </c>
      <c r="BM201" s="27"/>
      <c r="BN201" s="27"/>
      <c r="BO201" s="27">
        <f>SUM(BO194:BO200)</f>
        <v>3263</v>
      </c>
      <c r="BP201" s="28">
        <f>((BO201+BQ201)/7)/BM200</f>
        <v>0.59269021261641186</v>
      </c>
      <c r="BQ201" s="27">
        <f>SUM(BQ194:BQ200)</f>
        <v>110</v>
      </c>
      <c r="BR201" s="28">
        <f>(BQ201/(BQ201+BO201))</f>
        <v>3.2611918173732581E-2</v>
      </c>
      <c r="BS201" s="27"/>
      <c r="BT201" s="27"/>
      <c r="BU201" s="29">
        <f>BU199/BU198*100-100</f>
        <v>12.251690821256034</v>
      </c>
      <c r="BV201" s="67">
        <f>BV199/BV198*100-100</f>
        <v>-0.37886363636363285</v>
      </c>
      <c r="BW201" s="26">
        <f>SUM(BW194:BW200)</f>
        <v>0</v>
      </c>
      <c r="BX201" s="27">
        <f>SUM(BX194:BX200)</f>
        <v>4</v>
      </c>
      <c r="BY201" s="27"/>
      <c r="BZ201" s="27"/>
      <c r="CA201" s="27">
        <f>SUM(CA194:CA200)</f>
        <v>2986</v>
      </c>
      <c r="CB201" s="28">
        <f>((CA201+CC201)/7)/BY200</f>
        <v>0.58613445378151263</v>
      </c>
      <c r="CC201" s="27">
        <f>SUM(CC194:CC200)</f>
        <v>83</v>
      </c>
      <c r="CD201" s="28">
        <f>(CC201/(CC201+CA201))</f>
        <v>2.7044639947865753E-2</v>
      </c>
      <c r="CE201" s="27"/>
      <c r="CF201" s="27"/>
      <c r="CG201" s="29">
        <f>CG199/CG198*100-100</f>
        <v>12.756280193236719</v>
      </c>
      <c r="CH201" s="67">
        <f>CH199/CH198*100-100</f>
        <v>6.298636363636362</v>
      </c>
      <c r="CI201" s="26">
        <f>SUM(CI194:CI200)</f>
        <v>3</v>
      </c>
      <c r="CJ201" s="27">
        <f>SUM(CJ194:CJ200)</f>
        <v>1</v>
      </c>
      <c r="CK201" s="27"/>
      <c r="CL201" s="27"/>
      <c r="CM201" s="27">
        <f>SUM(CM194:CM200)</f>
        <v>548</v>
      </c>
      <c r="CN201" s="28">
        <f>((CM201+CO201)/7)/CK200</f>
        <v>0.53978906999041232</v>
      </c>
      <c r="CO201" s="27">
        <f>SUM(CO194:CO200)</f>
        <v>15</v>
      </c>
      <c r="CP201" s="28">
        <f>(CO201/(CO201+CM201))</f>
        <v>2.664298401420959E-2</v>
      </c>
      <c r="CQ201" s="27"/>
      <c r="CR201" s="27"/>
      <c r="CS201" s="29">
        <f>CS199/CS198*100-100</f>
        <v>14.613526570048307</v>
      </c>
      <c r="CT201" s="67">
        <f>CT199/CT198*100-100</f>
        <v>5.6818181818172775E-2</v>
      </c>
      <c r="CU201" s="26">
        <f>SUM(CU194:CU200)</f>
        <v>0</v>
      </c>
      <c r="CV201" s="27">
        <f>SUM(CV194:CV200)</f>
        <v>5</v>
      </c>
      <c r="CW201" s="27"/>
      <c r="CX201" s="27"/>
      <c r="CY201" s="27">
        <f>SUM(CY194:CY200)</f>
        <v>2900</v>
      </c>
      <c r="CZ201" s="28">
        <f>((CY201+DA201)/7)/CW200</f>
        <v>0.57511145570847055</v>
      </c>
      <c r="DA201" s="27">
        <f>SUM(DA194:DA200)</f>
        <v>67</v>
      </c>
      <c r="DB201" s="28">
        <f>(DA201/(DA201+CY201))</f>
        <v>2.2581732389619143E-2</v>
      </c>
      <c r="DC201" s="27"/>
      <c r="DD201" s="27"/>
      <c r="DE201" s="29">
        <f>DE199/DE198*100-100</f>
        <v>14.637681159420282</v>
      </c>
      <c r="DF201" s="67">
        <f>DF199/DF198*100-100</f>
        <v>5.4243181818181938</v>
      </c>
      <c r="DG201" s="26">
        <f>SUM(DG194:DG200)</f>
        <v>1</v>
      </c>
      <c r="DH201" s="27">
        <f>SUM(DH194:DH200)</f>
        <v>6</v>
      </c>
      <c r="DI201" s="27"/>
      <c r="DJ201" s="27"/>
      <c r="DK201" s="27">
        <f>SUM(DK194:DK200)</f>
        <v>3150</v>
      </c>
      <c r="DL201" s="28">
        <f>((DK201+DM201)/7)/DI200</f>
        <v>0.62591451675009624</v>
      </c>
      <c r="DM201" s="27">
        <f>SUM(DM194:DM200)</f>
        <v>101</v>
      </c>
      <c r="DN201" s="28">
        <f>(DM201/(DM201+DK201))</f>
        <v>3.1067363888034452E-2</v>
      </c>
      <c r="DO201" s="27"/>
      <c r="DP201" s="27"/>
      <c r="DQ201" s="29">
        <f>DQ199/DQ198*100-100</f>
        <v>16.177536231884048</v>
      </c>
      <c r="DR201" s="67">
        <f>DR199/DR198*100-100</f>
        <v>14.545454545454547</v>
      </c>
      <c r="DS201" s="26">
        <f>SUM(DS194:DS200)</f>
        <v>2</v>
      </c>
      <c r="DT201" s="27">
        <f>SUM(DT194:DT200)</f>
        <v>6</v>
      </c>
      <c r="DU201" s="27"/>
      <c r="DV201" s="27"/>
      <c r="DW201" s="27">
        <f>SUM(DW194:DW200)</f>
        <v>3257</v>
      </c>
      <c r="DX201" s="28">
        <f>((DW201+DY201)/7)/DU200</f>
        <v>0.58547156726768379</v>
      </c>
      <c r="DY201" s="27">
        <f>SUM(DY194:DY200)</f>
        <v>120</v>
      </c>
      <c r="DZ201" s="28">
        <f>(DY201/(DY201+DW201))</f>
        <v>3.5534498075214686E-2</v>
      </c>
      <c r="EA201" s="27"/>
      <c r="EB201" s="27"/>
      <c r="EC201" s="29">
        <f>EC199/EC198*100-100</f>
        <v>11.868599033816409</v>
      </c>
      <c r="ED201" s="67">
        <f>ED199/ED198*100-100</f>
        <v>3.0595454545454572</v>
      </c>
      <c r="EE201" s="26">
        <f>SUM(EE194:EE200)</f>
        <v>0</v>
      </c>
      <c r="EF201" s="27">
        <f>SUM(EF194:EF200)</f>
        <v>6</v>
      </c>
      <c r="EG201" s="27"/>
      <c r="EH201" s="27"/>
      <c r="EI201" s="27">
        <f>SUM(EI194:EI200)</f>
        <v>3321</v>
      </c>
      <c r="EJ201" s="28">
        <f>((EI201+EK201)/7)/EG200</f>
        <v>0.57937447168216394</v>
      </c>
      <c r="EK201" s="27">
        <f>SUM(EK194:EK200)</f>
        <v>106</v>
      </c>
      <c r="EL201" s="28">
        <f>(EK201/(EK201+EI201))</f>
        <v>3.0930843303180626E-2</v>
      </c>
      <c r="EM201" s="27"/>
      <c r="EN201" s="27"/>
      <c r="EO201" s="29">
        <f>EO199/EO198*100-100</f>
        <v>12.763526570048313</v>
      </c>
      <c r="EP201" s="67">
        <f>EP199/EP198*100-100</f>
        <v>6.7045454545454675</v>
      </c>
      <c r="EQ201" s="26">
        <f>SUM(EQ194:EQ200)</f>
        <v>2</v>
      </c>
      <c r="ER201" s="27">
        <f>SUM(ER194:ER200)</f>
        <v>1</v>
      </c>
      <c r="ES201" s="27"/>
      <c r="ET201" s="27"/>
      <c r="EU201" s="27">
        <f>SUM(EU194:EU200)</f>
        <v>593</v>
      </c>
      <c r="EV201" s="28">
        <f>((EU201+EW201)/7)/ES200</f>
        <v>0.49518459069020865</v>
      </c>
      <c r="EW201" s="27">
        <f>SUM(EW194:EW200)</f>
        <v>24</v>
      </c>
      <c r="EX201" s="28">
        <f>(EW201/(EW201+EU201))</f>
        <v>3.8897893030794169E-2</v>
      </c>
      <c r="EY201" s="27"/>
      <c r="EZ201" s="27"/>
      <c r="FA201" s="29">
        <f>FA199/FA198*100-100</f>
        <v>7.0739130434782567</v>
      </c>
      <c r="FB201" s="67">
        <f>FB199/FB198*100-100</f>
        <v>-7.1022727272727337</v>
      </c>
      <c r="FC201" s="26">
        <f>SUM(FC194:FC200)</f>
        <v>0</v>
      </c>
      <c r="FD201" s="27">
        <f>SUM(FD194:FD200)</f>
        <v>6</v>
      </c>
      <c r="FE201" s="27"/>
      <c r="FF201" s="27"/>
      <c r="FG201" s="27">
        <f>SUM(FG194:FG200)</f>
        <v>3575</v>
      </c>
      <c r="FH201" s="28">
        <f>((FG201+FI201)/7)/FE200</f>
        <v>0.6177014975601548</v>
      </c>
      <c r="FI201" s="27">
        <f>SUM(FI194:FI200)</f>
        <v>96</v>
      </c>
      <c r="FJ201" s="28">
        <f>(FI201/(FI201+FG201))</f>
        <v>2.6150912557886135E-2</v>
      </c>
      <c r="FK201" s="27"/>
      <c r="FL201" s="27"/>
      <c r="FM201" s="29">
        <f>FM199/FM198*100-100</f>
        <v>15.289855072463766</v>
      </c>
      <c r="FN201" s="67">
        <f>FN199/FN198*100-100</f>
        <v>12.747727272727261</v>
      </c>
      <c r="FO201" s="26">
        <f>SUM(FO194:FO200)</f>
        <v>2</v>
      </c>
      <c r="FP201" s="27">
        <f>SUM(FP194:FP200)</f>
        <v>5</v>
      </c>
      <c r="FQ201" s="27"/>
      <c r="FR201" s="27"/>
      <c r="FS201" s="27">
        <f>SUM(FS194:FS200)</f>
        <v>3306</v>
      </c>
      <c r="FT201" s="28">
        <f>((FS201+FU201)/7)/FQ200</f>
        <v>0.56312102948362919</v>
      </c>
      <c r="FU201" s="27">
        <f>SUM(FU194:FU200)</f>
        <v>151</v>
      </c>
      <c r="FV201" s="28">
        <f>(FU201/(FU201+FS201))</f>
        <v>4.3679490888053223E-2</v>
      </c>
      <c r="FW201" s="27"/>
      <c r="FX201" s="27"/>
      <c r="FY201" s="29">
        <f>FY199/FY198*100-100</f>
        <v>18.398792270531402</v>
      </c>
      <c r="FZ201" s="67">
        <f>FZ199/FZ198*100-100</f>
        <v>3.2765909090909133</v>
      </c>
      <c r="GA201" s="26">
        <f>SUM(GA194:GA200)</f>
        <v>2</v>
      </c>
      <c r="GB201" s="27">
        <f>SUM(GB194:GB200)</f>
        <v>5</v>
      </c>
      <c r="GC201" s="27"/>
      <c r="GD201" s="27"/>
      <c r="GE201" s="27">
        <f>SUM(GE194:GE200)</f>
        <v>3365</v>
      </c>
      <c r="GF201" s="28">
        <f>((GE201+GG201)/7)/GC200</f>
        <v>0.57371167645140242</v>
      </c>
      <c r="GG201" s="27">
        <f>SUM(GG194:GG200)</f>
        <v>153</v>
      </c>
      <c r="GH201" s="28">
        <f>(GG201/(GG201+GE201))</f>
        <v>4.3490619670267197E-2</v>
      </c>
      <c r="GI201" s="27"/>
      <c r="GJ201" s="27"/>
      <c r="GK201" s="29">
        <f>GK199/GK198*100-100</f>
        <v>12.09903381642512</v>
      </c>
      <c r="GL201" s="67">
        <f>GL199/GL198*100-100</f>
        <v>7.0318181818181671</v>
      </c>
      <c r="GM201" s="26">
        <f>SUM(GM194:GM200)</f>
        <v>2</v>
      </c>
      <c r="GN201" s="27">
        <f>SUM(GN194:GN200)</f>
        <v>4</v>
      </c>
      <c r="GO201" s="27"/>
      <c r="GP201" s="27"/>
      <c r="GQ201" s="27">
        <f>SUM(GQ194:GQ200)</f>
        <v>604</v>
      </c>
      <c r="GR201" s="28">
        <f>((GQ201+GS201)/7)/GO200</f>
        <v>0.56959706959706957</v>
      </c>
      <c r="GS201" s="27">
        <f>SUM(GS194:GS200)</f>
        <v>18</v>
      </c>
      <c r="GT201" s="28">
        <f>(GS201/(GS201+GQ201))</f>
        <v>2.8938906752411574E-2</v>
      </c>
      <c r="GU201" s="27"/>
      <c r="GV201" s="27"/>
      <c r="GW201" s="29">
        <f>GW199/GW198*100-100</f>
        <v>3.4057971014492807</v>
      </c>
      <c r="GX201" s="67">
        <f>GX199/GX198*100-100</f>
        <v>-3.125</v>
      </c>
      <c r="GY201" s="26">
        <f>SUM(GY194:GY200)</f>
        <v>0</v>
      </c>
      <c r="GZ201" s="27">
        <f>SUM(GZ194:GZ200)</f>
        <v>5</v>
      </c>
      <c r="HA201" s="27"/>
      <c r="HB201" s="27"/>
      <c r="HC201" s="27">
        <f>SUM(HC194:HC200)</f>
        <v>3696</v>
      </c>
      <c r="HD201" s="28">
        <f>((HC201+HE201)/7)/HA200</f>
        <v>0.59892541087231355</v>
      </c>
      <c r="HE201" s="27">
        <f>SUM(HE194:HE200)</f>
        <v>94</v>
      </c>
      <c r="HF201" s="28">
        <f>(HE201/(HE201+HC201))</f>
        <v>2.4802110817941952E-2</v>
      </c>
      <c r="HG201" s="27"/>
      <c r="HH201" s="27"/>
      <c r="HI201" s="29">
        <f>HI199/HI198*100-100</f>
        <v>15.872946859903394</v>
      </c>
      <c r="HJ201" s="67">
        <f>HJ199/HJ198*100-100</f>
        <v>13.733863636363637</v>
      </c>
      <c r="HK201" s="26">
        <f t="shared" si="1768"/>
        <v>21</v>
      </c>
      <c r="HL201" s="27">
        <f t="shared" si="1769"/>
        <v>75</v>
      </c>
      <c r="HM201" s="27">
        <f t="shared" si="1770"/>
        <v>0</v>
      </c>
      <c r="HN201" s="27">
        <f t="shared" si="1771"/>
        <v>0</v>
      </c>
      <c r="HO201" s="27">
        <f t="shared" si="1772"/>
        <v>49179</v>
      </c>
      <c r="HP201" s="96">
        <f>+((HO201)/HM200)/7</f>
        <v>0.58806155759365775</v>
      </c>
      <c r="HQ201" s="62">
        <f t="shared" si="1774"/>
        <v>1555</v>
      </c>
      <c r="HR201" s="52">
        <f t="shared" si="1775"/>
        <v>3.1619187051383724E-2</v>
      </c>
      <c r="HS201" s="53">
        <f>SUM(HS194:HS200)/7</f>
        <v>64.314285714285717</v>
      </c>
      <c r="HT201" s="54">
        <f>SUM(HT194:HT200)</f>
        <v>46477</v>
      </c>
      <c r="HU201" s="53">
        <f>AVERAGE(HU194:HU200)</f>
        <v>94.509305713792443</v>
      </c>
      <c r="HV201" s="63">
        <f>HV199/HV198*100-100</f>
        <v>14.266425120772936</v>
      </c>
      <c r="HW201" s="67">
        <f>HW199/HW198*100-100</f>
        <v>6.6906818181818153</v>
      </c>
      <c r="HX201" s="73">
        <f>SUM(G201,I201,S201,U201,AE201,AG201,AQ201,AS201,BC201,BE201)/7/SUM(E200,Q200,AC200,AO200,BA200)</f>
        <v>0.59257793606824072</v>
      </c>
      <c r="HY201" s="73">
        <f>SUM(BO201,BQ201,CA201,CC201,CM201,CO201,CY201,DA201,DK201,DM201)/7/SUM(BM200,BY200,CK200,CW200,DI200)</f>
        <v>0.59234869865161488</v>
      </c>
      <c r="HZ201" s="73">
        <f>SUM(DW201,DY201,EI201,EK201,EU201,EW201,FG201,FI201)/7/SUM(DU200,EG200,ES200,FE200)</f>
        <v>0.58774904620601953</v>
      </c>
      <c r="IA201" s="73">
        <f>SUM(FS201,FU201,GE201,GG201,GQ201,GS201,HC201,HE201)/7/SUM(FQ200,GC200,GO200,HA200)</f>
        <v>0.57828449545477634</v>
      </c>
      <c r="IB201" s="84">
        <f>SUM(I201,U201,AG201,AS201,BE201)/SUM(G201,I201,S201,U201,AE201,AG201,AQ201,AS201,BC201,BE201)</f>
        <v>3.0941604214587817E-2</v>
      </c>
      <c r="IC201" s="84">
        <f>SUM(BQ201,CC201,CO201,DA201,DM201)/SUM(BO201,BQ201,CA201,CC201,CM201,CO201,CY201,DA201,DK201,DM201)</f>
        <v>2.843530212508508E-2</v>
      </c>
      <c r="ID201" s="84">
        <f>SUM(DY201,EK201,EW201,FI201)/SUM(DW201,DY201,EI201,EK201,EU201,EW201,FG201,FI201)</f>
        <v>3.1193653083303283E-2</v>
      </c>
      <c r="IE201" s="84">
        <f>SUM(FU201,GG201,GS201,HE201)/SUM(FS201,FU201,GE201,GG201,GQ201,GS201,HC201,HE201)</f>
        <v>3.653288838148766E-2</v>
      </c>
      <c r="IF201" s="86">
        <f>SUM(C201,O201,AA201,AM201,AY201)</f>
        <v>6</v>
      </c>
      <c r="IG201" s="86">
        <f>SUM(BK201,BW201,CI201,CU201,DG201)</f>
        <v>5</v>
      </c>
      <c r="IH201" s="86">
        <f>SUM(DS201,EE201,EQ201,FC201)</f>
        <v>4</v>
      </c>
      <c r="II201" s="86">
        <f>SUM(FO201,GA201,GM201,GY201)</f>
        <v>6</v>
      </c>
      <c r="IJ201" s="88" t="s">
        <v>89</v>
      </c>
    </row>
    <row r="202" spans="1:244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HK201/HM194</f>
        <v>1.7548257708698922E-3</v>
      </c>
      <c r="HL202" s="66">
        <f>HL201/HN194</f>
        <v>7.2886297376093298E-2</v>
      </c>
      <c r="HM202" s="45"/>
      <c r="HN202" s="45"/>
      <c r="HO202" s="45"/>
      <c r="HP202" s="98"/>
      <c r="HQ202" s="45"/>
      <c r="HR202" s="45"/>
      <c r="HS202" s="45"/>
      <c r="HT202" s="55"/>
      <c r="HU202" s="45"/>
      <c r="HV202" s="45"/>
      <c r="HW202" s="46"/>
      <c r="HY202" s="72"/>
      <c r="HZ202" s="72"/>
      <c r="IA202" s="72"/>
      <c r="IF202" s="86">
        <f>SUM(E191,Q191,AC191,AO191,BA191)</f>
        <v>3255</v>
      </c>
      <c r="IG202" s="86">
        <f>SUM(BM191,BY191,CK191,CW191,DI191)</f>
        <v>3194</v>
      </c>
      <c r="IH202" s="86">
        <f>SUM(DU191,EG191,ES191,FE191)</f>
        <v>2700</v>
      </c>
      <c r="II202" s="86">
        <f>SUM(FQ191,GC191,GO191,HA191)</f>
        <v>2819</v>
      </c>
      <c r="IJ202" s="88" t="s">
        <v>84</v>
      </c>
    </row>
    <row r="203" spans="1:244" x14ac:dyDescent="0.25">
      <c r="A203" s="373">
        <v>47</v>
      </c>
      <c r="B203" s="68">
        <f>B200+1</f>
        <v>45095</v>
      </c>
      <c r="C203" s="33"/>
      <c r="D203" s="34"/>
      <c r="E203" s="34">
        <f>E200-C203</f>
        <v>822</v>
      </c>
      <c r="F203" s="34">
        <f>F200-D203</f>
        <v>66</v>
      </c>
      <c r="G203" s="34">
        <v>483</v>
      </c>
      <c r="H203" s="35">
        <f t="shared" ref="H203:H209" si="1818">((G203+I203)/E203)</f>
        <v>0.6021897810218978</v>
      </c>
      <c r="I203" s="34">
        <v>12</v>
      </c>
      <c r="J203" s="35">
        <f t="shared" ref="J203:J209" si="1819">I203/(G203+I203)</f>
        <v>2.4242424242424242E-2</v>
      </c>
      <c r="K203" s="36"/>
      <c r="L203" s="34"/>
      <c r="M203" s="34"/>
      <c r="N203" s="37"/>
      <c r="O203" s="33"/>
      <c r="P203" s="34"/>
      <c r="Q203" s="34">
        <f>Q200-O203</f>
        <v>749</v>
      </c>
      <c r="R203" s="34">
        <f>R200-P203</f>
        <v>60</v>
      </c>
      <c r="S203" s="34">
        <v>424</v>
      </c>
      <c r="T203" s="35">
        <f t="shared" ref="T203:T209" si="1820">((S203+U203)/Q203)</f>
        <v>0.58344459279038718</v>
      </c>
      <c r="U203" s="34">
        <v>13</v>
      </c>
      <c r="V203" s="35">
        <f t="shared" ref="V203:V209" si="1821">U203/(S203+U203)</f>
        <v>2.9748283752860413E-2</v>
      </c>
      <c r="W203" s="36"/>
      <c r="X203" s="34"/>
      <c r="Y203" s="34"/>
      <c r="Z203" s="37"/>
      <c r="AA203" s="33"/>
      <c r="AB203" s="34"/>
      <c r="AC203" s="34">
        <f>AC200-AA203</f>
        <v>162</v>
      </c>
      <c r="AD203" s="34">
        <f>AD200-AB203</f>
        <v>13</v>
      </c>
      <c r="AE203" s="34">
        <v>102</v>
      </c>
      <c r="AF203" s="35">
        <f t="shared" ref="AF203:AF209" si="1822">((AE203+AG203)/AC203)</f>
        <v>0.63580246913580252</v>
      </c>
      <c r="AG203" s="34">
        <v>1</v>
      </c>
      <c r="AH203" s="35">
        <f t="shared" ref="AH203:AH209" si="1823">AG203/(AE203+AG203)</f>
        <v>9.7087378640776691E-3</v>
      </c>
      <c r="AI203" s="36"/>
      <c r="AJ203" s="34"/>
      <c r="AK203" s="34"/>
      <c r="AL203" s="37"/>
      <c r="AM203" s="33">
        <v>1</v>
      </c>
      <c r="AN203" s="34"/>
      <c r="AO203" s="34">
        <f>AO200-AM203</f>
        <v>762</v>
      </c>
      <c r="AP203" s="34">
        <f>AP200-AN203</f>
        <v>61</v>
      </c>
      <c r="AQ203" s="34">
        <v>418</v>
      </c>
      <c r="AR203" s="35">
        <f t="shared" ref="AR203:AR209" si="1824">((AQ203+AS203)/AO203)</f>
        <v>0.57086614173228345</v>
      </c>
      <c r="AS203" s="34">
        <v>17</v>
      </c>
      <c r="AT203" s="35">
        <f t="shared" ref="AT203:AT209" si="1825">AS203/(AQ203+AS203)</f>
        <v>3.9080459770114942E-2</v>
      </c>
      <c r="AU203" s="36"/>
      <c r="AV203" s="34"/>
      <c r="AW203" s="34"/>
      <c r="AX203" s="37"/>
      <c r="AY203" s="33"/>
      <c r="AZ203" s="34"/>
      <c r="BA203" s="34">
        <f>BA200-AY203</f>
        <v>753</v>
      </c>
      <c r="BB203" s="34">
        <f>BB200-AZ203</f>
        <v>60</v>
      </c>
      <c r="BC203" s="34">
        <v>463</v>
      </c>
      <c r="BD203" s="35">
        <f t="shared" ref="BD203:BD209" si="1826">((BC203+BE203)/BA203)</f>
        <v>0.61885790172642763</v>
      </c>
      <c r="BE203" s="34">
        <v>3</v>
      </c>
      <c r="BF203" s="35">
        <f t="shared" ref="BF203:BF209" si="1827">BE203/(BC203+BE203)</f>
        <v>6.4377682403433476E-3</v>
      </c>
      <c r="BG203" s="36"/>
      <c r="BH203" s="34"/>
      <c r="BI203" s="34"/>
      <c r="BJ203" s="37"/>
      <c r="BK203" s="33"/>
      <c r="BL203" s="34"/>
      <c r="BM203" s="34">
        <f>BM200-BK203</f>
        <v>813</v>
      </c>
      <c r="BN203" s="34">
        <f>BN200-BL203</f>
        <v>64</v>
      </c>
      <c r="BO203" s="34">
        <v>469</v>
      </c>
      <c r="BP203" s="35">
        <f t="shared" ref="BP203:BP209" si="1828">((BO203+BQ203)/BM203)</f>
        <v>0.59163591635916357</v>
      </c>
      <c r="BQ203" s="34">
        <v>12</v>
      </c>
      <c r="BR203" s="35">
        <f t="shared" ref="BR203:BR209" si="1829">BQ203/(BO203+BQ203)</f>
        <v>2.4948024948024949E-2</v>
      </c>
      <c r="BS203" s="36"/>
      <c r="BT203" s="34"/>
      <c r="BU203" s="34"/>
      <c r="BV203" s="37"/>
      <c r="BW203" s="33"/>
      <c r="BX203" s="34"/>
      <c r="BY203" s="34">
        <f>BY200-BW203</f>
        <v>748</v>
      </c>
      <c r="BZ203" s="34">
        <f>BZ200-BX203</f>
        <v>59</v>
      </c>
      <c r="CA203" s="34">
        <v>421</v>
      </c>
      <c r="CB203" s="35">
        <f t="shared" ref="CB203:CB209" si="1830">((CA203+CC203)/BY203)</f>
        <v>0.57085561497326198</v>
      </c>
      <c r="CC203" s="34">
        <v>6</v>
      </c>
      <c r="CD203" s="35">
        <f t="shared" ref="CD203:CD209" si="1831">CC203/(CA203+CC203)</f>
        <v>1.405152224824356E-2</v>
      </c>
      <c r="CE203" s="36"/>
      <c r="CF203" s="34"/>
      <c r="CG203" s="34"/>
      <c r="CH203" s="37"/>
      <c r="CI203" s="33"/>
      <c r="CJ203" s="34"/>
      <c r="CK203" s="34">
        <f>CK200-CI203</f>
        <v>149</v>
      </c>
      <c r="CL203" s="34">
        <f>CL200-CJ203</f>
        <v>12</v>
      </c>
      <c r="CM203" s="34">
        <v>68</v>
      </c>
      <c r="CN203" s="35">
        <f t="shared" ref="CN203:CN209" si="1832">((CM203+CO203)/CK203)</f>
        <v>0.49664429530201343</v>
      </c>
      <c r="CO203" s="34">
        <v>6</v>
      </c>
      <c r="CP203" s="35">
        <f t="shared" ref="CP203:CP209" si="1833">CO203/(CM203+CO203)</f>
        <v>8.1081081081081086E-2</v>
      </c>
      <c r="CQ203" s="36"/>
      <c r="CR203" s="34"/>
      <c r="CS203" s="34"/>
      <c r="CT203" s="37"/>
      <c r="CU203" s="33"/>
      <c r="CV203" s="34"/>
      <c r="CW203" s="34">
        <f>CW200-CU203</f>
        <v>737</v>
      </c>
      <c r="CX203" s="34">
        <f>CX200-CV203</f>
        <v>59</v>
      </c>
      <c r="CY203" s="34">
        <v>424</v>
      </c>
      <c r="CZ203" s="35">
        <f t="shared" ref="CZ203:CZ209" si="1834">((CY203+DA203)/CW203)</f>
        <v>0.58344640434192674</v>
      </c>
      <c r="DA203" s="34">
        <v>6</v>
      </c>
      <c r="DB203" s="35">
        <f t="shared" ref="DB203:DB209" si="1835">DA203/(CY203+DA203)</f>
        <v>1.3953488372093023E-2</v>
      </c>
      <c r="DC203" s="36"/>
      <c r="DD203" s="34"/>
      <c r="DE203" s="34"/>
      <c r="DF203" s="37"/>
      <c r="DG203" s="33"/>
      <c r="DH203" s="34"/>
      <c r="DI203" s="34">
        <f>DI200-DG203</f>
        <v>742</v>
      </c>
      <c r="DJ203" s="34">
        <f>DJ200-DH203</f>
        <v>59</v>
      </c>
      <c r="DK203" s="34">
        <v>435</v>
      </c>
      <c r="DL203" s="35">
        <f t="shared" ref="DL203:DL209" si="1836">((DK203+DM203)/DI203)</f>
        <v>0.59703504043126687</v>
      </c>
      <c r="DM203" s="34">
        <v>8</v>
      </c>
      <c r="DN203" s="35">
        <f t="shared" ref="DN203:DN209" si="1837">DM203/(DK203+DM203)</f>
        <v>1.8058690744920992E-2</v>
      </c>
      <c r="DO203" s="36"/>
      <c r="DP203" s="34"/>
      <c r="DQ203" s="34"/>
      <c r="DR203" s="37"/>
      <c r="DS203" s="33"/>
      <c r="DT203" s="34"/>
      <c r="DU203" s="34">
        <f>DU200-DS203</f>
        <v>824</v>
      </c>
      <c r="DV203" s="34">
        <f>DV200-DT203</f>
        <v>66</v>
      </c>
      <c r="DW203" s="34">
        <v>425</v>
      </c>
      <c r="DX203" s="35">
        <f t="shared" ref="DX203:DX209" si="1838">((DW203+DY203)/DU203)</f>
        <v>0.53762135922330101</v>
      </c>
      <c r="DY203" s="34">
        <v>18</v>
      </c>
      <c r="DZ203" s="35">
        <f t="shared" ref="DZ203:DZ209" si="1839">DY203/(DW203+DY203)</f>
        <v>4.0632054176072234E-2</v>
      </c>
      <c r="EA203" s="36"/>
      <c r="EB203" s="34"/>
      <c r="EC203" s="34"/>
      <c r="ED203" s="37"/>
      <c r="EE203" s="33"/>
      <c r="EF203" s="34"/>
      <c r="EG203" s="34">
        <f>EG200-EE203</f>
        <v>845</v>
      </c>
      <c r="EH203" s="34">
        <f>EH200-EF203</f>
        <v>67</v>
      </c>
      <c r="EI203" s="34">
        <v>490</v>
      </c>
      <c r="EJ203" s="35">
        <f t="shared" ref="EJ203:EJ209" si="1840">((EI203+EK203)/EG203)</f>
        <v>0.61065088757396446</v>
      </c>
      <c r="EK203" s="34">
        <v>26</v>
      </c>
      <c r="EL203" s="35">
        <f t="shared" ref="EL203:EL209" si="1841">EK203/(EI203+EK203)</f>
        <v>5.0387596899224806E-2</v>
      </c>
      <c r="EM203" s="36"/>
      <c r="EN203" s="34"/>
      <c r="EO203" s="34"/>
      <c r="EP203" s="37"/>
      <c r="EQ203" s="33"/>
      <c r="ER203" s="34"/>
      <c r="ES203" s="34">
        <f>ES200-EQ203</f>
        <v>178</v>
      </c>
      <c r="ET203" s="34">
        <f>ET200-ER203</f>
        <v>14</v>
      </c>
      <c r="EU203" s="34">
        <v>87</v>
      </c>
      <c r="EV203" s="35">
        <f t="shared" ref="EV203:EV209" si="1842">((EU203+EW203)/ES203)</f>
        <v>0.5168539325842697</v>
      </c>
      <c r="EW203" s="34">
        <v>5</v>
      </c>
      <c r="EX203" s="35">
        <f t="shared" ref="EX203:EX209" si="1843">EW203/(EU203+EW203)</f>
        <v>5.434782608695652E-2</v>
      </c>
      <c r="EY203" s="36"/>
      <c r="EZ203" s="34"/>
      <c r="FA203" s="34"/>
      <c r="FB203" s="37"/>
      <c r="FC203" s="33">
        <v>1</v>
      </c>
      <c r="FD203" s="34"/>
      <c r="FE203" s="34">
        <f>FE200-FC203</f>
        <v>848</v>
      </c>
      <c r="FF203" s="34">
        <f>FF200-FD203</f>
        <v>67</v>
      </c>
      <c r="FG203" s="34">
        <v>481</v>
      </c>
      <c r="FH203" s="35">
        <f t="shared" ref="FH203:FH209" si="1844">((FG203+FI203)/FE203)</f>
        <v>0.57311320754716977</v>
      </c>
      <c r="FI203" s="34">
        <v>5</v>
      </c>
      <c r="FJ203" s="35">
        <f t="shared" ref="FJ203:FJ209" si="1845">FI203/(FG203+FI203)</f>
        <v>1.0288065843621399E-2</v>
      </c>
      <c r="FK203" s="36"/>
      <c r="FL203" s="34"/>
      <c r="FM203" s="34"/>
      <c r="FN203" s="37"/>
      <c r="FO203" s="33"/>
      <c r="FP203" s="34"/>
      <c r="FQ203" s="34">
        <f>FQ200-FO203</f>
        <v>877</v>
      </c>
      <c r="FR203" s="34">
        <f>FR200-FP203</f>
        <v>70</v>
      </c>
      <c r="FS203" s="34">
        <v>497</v>
      </c>
      <c r="FT203" s="35">
        <f t="shared" ref="FT203:FT209" si="1846">((FS203+FU203)/FQ203)</f>
        <v>0.59407069555302161</v>
      </c>
      <c r="FU203" s="34">
        <v>24</v>
      </c>
      <c r="FV203" s="35">
        <f t="shared" ref="FV203:FV209" si="1847">FU203/(FS203+FU203)</f>
        <v>4.6065259117082535E-2</v>
      </c>
      <c r="FW203" s="36"/>
      <c r="FX203" s="34"/>
      <c r="FY203" s="34"/>
      <c r="FZ203" s="37"/>
      <c r="GA203" s="33">
        <v>1</v>
      </c>
      <c r="GB203" s="34"/>
      <c r="GC203" s="34">
        <f>GC200-GA203</f>
        <v>875</v>
      </c>
      <c r="GD203" s="34">
        <f>GD200-GB203</f>
        <v>71</v>
      </c>
      <c r="GE203" s="34">
        <v>499</v>
      </c>
      <c r="GF203" s="35">
        <f t="shared" ref="GF203:GF209" si="1848">((GE203+GG203)/GC203)</f>
        <v>0.58514285714285719</v>
      </c>
      <c r="GG203" s="34">
        <v>13</v>
      </c>
      <c r="GH203" s="35">
        <f t="shared" ref="GH203:GH209" si="1849">GG203/(GE203+GG203)</f>
        <v>2.5390625E-2</v>
      </c>
      <c r="GI203" s="36"/>
      <c r="GJ203" s="34"/>
      <c r="GK203" s="34"/>
      <c r="GL203" s="37"/>
      <c r="GM203" s="33"/>
      <c r="GN203" s="34"/>
      <c r="GO203" s="34">
        <f>GO200-GM203</f>
        <v>156</v>
      </c>
      <c r="GP203" s="34">
        <f>GP200-GN203</f>
        <v>12</v>
      </c>
      <c r="GQ203" s="34">
        <v>74</v>
      </c>
      <c r="GR203" s="35">
        <f t="shared" ref="GR203:GR209" si="1850">((GQ203+GS203)/GO203)</f>
        <v>0.51282051282051277</v>
      </c>
      <c r="GS203" s="34">
        <v>6</v>
      </c>
      <c r="GT203" s="35">
        <f t="shared" ref="GT203:GT209" si="1851">GS203/(GQ203+GS203)</f>
        <v>7.4999999999999997E-2</v>
      </c>
      <c r="GU203" s="36"/>
      <c r="GV203" s="34"/>
      <c r="GW203" s="34"/>
      <c r="GX203" s="37"/>
      <c r="GY203" s="33"/>
      <c r="GZ203" s="34"/>
      <c r="HA203" s="34">
        <f>HA200-GY203</f>
        <v>904</v>
      </c>
      <c r="HB203" s="34">
        <f>HB200-GZ203</f>
        <v>73</v>
      </c>
      <c r="HC203" s="34">
        <v>489</v>
      </c>
      <c r="HD203" s="35">
        <f t="shared" ref="HD203:HD209" si="1852">((HC203+HE203)/HA203)</f>
        <v>0.55530973451327437</v>
      </c>
      <c r="HE203" s="34">
        <v>13</v>
      </c>
      <c r="HF203" s="35">
        <f t="shared" ref="HF203:HF209" si="1853">HE203/(HC203+HE203)</f>
        <v>2.5896414342629483E-2</v>
      </c>
      <c r="HG203" s="36"/>
      <c r="HH203" s="34"/>
      <c r="HI203" s="34"/>
      <c r="HJ203" s="37"/>
      <c r="HK203" s="33">
        <f t="shared" ref="HK203:HK210" si="1854">+C203+O203+AA203+AM203+AY203+BK203+BW203+CI203+CU203+DG203+DS203+EE203+EQ203+FC203+FO203+GA203+GM203+GY203</f>
        <v>3</v>
      </c>
      <c r="HL203" s="34">
        <f t="shared" ref="HL203:HL210" si="1855">+D203+P203+AB203+AN203+AZ203+BL203+BX203+CJ203+CV203+DH203+DT203+EF203+ER203+FD203+FP203+GB203+GN203+GZ203</f>
        <v>0</v>
      </c>
      <c r="HM203" s="34">
        <f t="shared" ref="HM203:HM210" si="1856">+E203+Q203+AC203+AO203+BA203+BM203+BY203+CK203+CW203+DI203+DU203+EG203+ES203+FE203+FQ203+GC203+GO203+HA203</f>
        <v>11944</v>
      </c>
      <c r="HN203" s="34">
        <f t="shared" ref="HN203:HN210" si="1857">+F203+R203+AD203+AP203+BB203+BN203+BZ203+CL203+CX203+DJ203+DV203+EH203+ET203+FF203+FR203+GD203+GP203+HB203</f>
        <v>953</v>
      </c>
      <c r="HO203" s="34">
        <f t="shared" ref="HO203:HO210" si="1858">+G203+S203+AE203+AQ203+BC203+BO203+CA203+CM203+CY203+DK203+DW203+EI203+EU203+FG203+FS203+GE203+GQ203+HC203+I203+U203+AG203+AS203+BE203+BQ203+CC203+CO203+DA203+DM203+DY203+EK203+EW203+FI203+FU203+GG203+GS203+HE203</f>
        <v>6943</v>
      </c>
      <c r="HP203" s="94">
        <f t="shared" ref="HP203:HP209" si="1859">+(HO203)/HM203</f>
        <v>0.58129604822505021</v>
      </c>
      <c r="HQ203" s="48">
        <f t="shared" ref="HQ203:HQ210" si="1860">+I203+U203+AG203+AS203+BE203+BQ203+CC203+CO203+DA203+DM203+DY203+EK203+EW203+FI203+FU203+GG203+GS203+HE203</f>
        <v>194</v>
      </c>
      <c r="HR203" s="35">
        <f t="shared" ref="HR203:HR210" si="1861">+(HQ203/(HO203))</f>
        <v>2.7941811896874551E-2</v>
      </c>
      <c r="HS203" s="49">
        <v>64.5</v>
      </c>
      <c r="HT203" s="50">
        <v>6585</v>
      </c>
      <c r="HU203" s="49">
        <f t="shared" ref="HU203:HU209" si="1862">+HT203/HO203*100</f>
        <v>94.84372749531903</v>
      </c>
      <c r="HV203" s="48"/>
      <c r="HW203" s="37"/>
      <c r="HX203" s="73">
        <f t="shared" ref="HX203:HX209" si="1863">SUM(G203,I203,S203,U203,AE203,AG203,AQ203,AS203,BC203,BE203)/SUM(E203,Q203,AC203,AO203,BA203)</f>
        <v>0.59605911330049266</v>
      </c>
      <c r="HY203" s="73">
        <f t="shared" ref="HY203:HY209" si="1864">SUM(BO203,BQ203,CA203,CC203,CM203,CO203,CY203,DA203,DK203,DM203)/SUM(BM203,BY203,CK203,CW203,DI203)</f>
        <v>0.58168704923173409</v>
      </c>
      <c r="HZ203" s="73">
        <f t="shared" ref="HZ203:HZ209" si="1865">SUM(DW203,DY203,EI203,EK203,EU203,EW203,FG203,FI203)/SUM(DU203,EG203,ES203,FE203)</f>
        <v>0.57031539888682747</v>
      </c>
      <c r="IA203" s="73">
        <f t="shared" ref="IA203:IA209" si="1866">SUM(FS203,FU203,GE203,GG203,GQ203,GS203,HC203,HE203)/SUM(FQ203,GC203,GO203,HA203)</f>
        <v>0.57432432432432434</v>
      </c>
    </row>
    <row r="204" spans="1:244" x14ac:dyDescent="0.25">
      <c r="A204" s="374"/>
      <c r="B204" s="41">
        <f t="shared" ref="B204:B209" si="1867">+B203+1</f>
        <v>45096</v>
      </c>
      <c r="C204" s="10"/>
      <c r="D204" s="11"/>
      <c r="E204" s="69">
        <f t="shared" ref="E204:E209" si="1868">E203-C204</f>
        <v>822</v>
      </c>
      <c r="F204" s="69">
        <f t="shared" ref="F204:F209" si="1869">F203-D204</f>
        <v>66</v>
      </c>
      <c r="G204" s="11">
        <v>455</v>
      </c>
      <c r="H204" s="12">
        <f t="shared" si="1818"/>
        <v>0.56447688564476883</v>
      </c>
      <c r="I204" s="11">
        <v>9</v>
      </c>
      <c r="J204" s="12">
        <f t="shared" si="1819"/>
        <v>1.9396551724137932E-2</v>
      </c>
      <c r="K204" s="13"/>
      <c r="L204" s="11"/>
      <c r="M204" s="11"/>
      <c r="N204" s="14"/>
      <c r="O204" s="10"/>
      <c r="P204" s="11"/>
      <c r="Q204" s="69">
        <f t="shared" ref="Q204:Q209" si="1870">Q203-O204</f>
        <v>749</v>
      </c>
      <c r="R204" s="69">
        <f t="shared" ref="R204:R209" si="1871">R203-P204</f>
        <v>60</v>
      </c>
      <c r="S204" s="11">
        <v>436</v>
      </c>
      <c r="T204" s="12">
        <f t="shared" si="1820"/>
        <v>0.59813084112149528</v>
      </c>
      <c r="U204" s="11">
        <v>12</v>
      </c>
      <c r="V204" s="12">
        <f t="shared" si="1821"/>
        <v>2.6785714285714284E-2</v>
      </c>
      <c r="W204" s="13"/>
      <c r="X204" s="11"/>
      <c r="Y204" s="11"/>
      <c r="Z204" s="14"/>
      <c r="AA204" s="10"/>
      <c r="AB204" s="11"/>
      <c r="AC204" s="69">
        <f t="shared" ref="AC204:AC209" si="1872">AC203-AA204</f>
        <v>162</v>
      </c>
      <c r="AD204" s="69">
        <f t="shared" ref="AD204:AD209" si="1873">AD203-AB204</f>
        <v>13</v>
      </c>
      <c r="AE204" s="11">
        <v>92</v>
      </c>
      <c r="AF204" s="12">
        <f t="shared" si="1822"/>
        <v>0.5864197530864198</v>
      </c>
      <c r="AG204" s="11">
        <v>3</v>
      </c>
      <c r="AH204" s="12">
        <f t="shared" si="1823"/>
        <v>3.1578947368421054E-2</v>
      </c>
      <c r="AI204" s="13"/>
      <c r="AJ204" s="11"/>
      <c r="AK204" s="11"/>
      <c r="AL204" s="14"/>
      <c r="AM204" s="10"/>
      <c r="AN204" s="11"/>
      <c r="AO204" s="69">
        <f t="shared" ref="AO204:AO209" si="1874">AO203-AM204</f>
        <v>762</v>
      </c>
      <c r="AP204" s="69">
        <f t="shared" ref="AP204:AP209" si="1875">AP203-AN204</f>
        <v>61</v>
      </c>
      <c r="AQ204" s="11">
        <v>419</v>
      </c>
      <c r="AR204" s="12">
        <f t="shared" si="1824"/>
        <v>0.56692913385826771</v>
      </c>
      <c r="AS204" s="11">
        <v>13</v>
      </c>
      <c r="AT204" s="12">
        <f t="shared" si="1825"/>
        <v>3.0092592592592591E-2</v>
      </c>
      <c r="AU204" s="13"/>
      <c r="AV204" s="11"/>
      <c r="AW204" s="11"/>
      <c r="AX204" s="14"/>
      <c r="AY204" s="10"/>
      <c r="AZ204" s="11"/>
      <c r="BA204" s="69">
        <f t="shared" ref="BA204:BA209" si="1876">BA203-AY204</f>
        <v>753</v>
      </c>
      <c r="BB204" s="69">
        <f t="shared" ref="BB204:BB209" si="1877">BB203-AZ204</f>
        <v>60</v>
      </c>
      <c r="BC204" s="11">
        <v>470</v>
      </c>
      <c r="BD204" s="12">
        <f t="shared" si="1826"/>
        <v>0.64143426294820716</v>
      </c>
      <c r="BE204" s="11">
        <v>13</v>
      </c>
      <c r="BF204" s="12">
        <f t="shared" si="1827"/>
        <v>2.6915113871635612E-2</v>
      </c>
      <c r="BG204" s="13"/>
      <c r="BH204" s="11"/>
      <c r="BI204" s="11"/>
      <c r="BJ204" s="14"/>
      <c r="BK204" s="10">
        <v>1</v>
      </c>
      <c r="BL204" s="11"/>
      <c r="BM204" s="69">
        <f t="shared" ref="BM204:BM209" si="1878">BM203-BK204</f>
        <v>812</v>
      </c>
      <c r="BN204" s="69">
        <f t="shared" ref="BN204:BN209" si="1879">BN203-BL204</f>
        <v>64</v>
      </c>
      <c r="BO204" s="11">
        <v>418</v>
      </c>
      <c r="BP204" s="12">
        <f t="shared" si="1828"/>
        <v>0.53078817733990147</v>
      </c>
      <c r="BQ204" s="11">
        <v>13</v>
      </c>
      <c r="BR204" s="12">
        <f t="shared" si="1829"/>
        <v>3.0162412993039442E-2</v>
      </c>
      <c r="BS204" s="13"/>
      <c r="BT204" s="11"/>
      <c r="BU204" s="11"/>
      <c r="BV204" s="14"/>
      <c r="BW204" s="10"/>
      <c r="BX204" s="11"/>
      <c r="BY204" s="69">
        <f t="shared" ref="BY204:BY209" si="1880">BY203-BW204</f>
        <v>748</v>
      </c>
      <c r="BZ204" s="69">
        <f t="shared" ref="BZ204:BZ209" si="1881">BZ203-BX204</f>
        <v>59</v>
      </c>
      <c r="CA204" s="11">
        <v>407</v>
      </c>
      <c r="CB204" s="12">
        <f t="shared" si="1830"/>
        <v>0.55748663101604279</v>
      </c>
      <c r="CC204" s="11">
        <v>10</v>
      </c>
      <c r="CD204" s="12">
        <f t="shared" si="1831"/>
        <v>2.3980815347721823E-2</v>
      </c>
      <c r="CE204" s="13"/>
      <c r="CF204" s="11"/>
      <c r="CG204" s="11"/>
      <c r="CH204" s="14"/>
      <c r="CI204" s="10"/>
      <c r="CJ204" s="11"/>
      <c r="CK204" s="69">
        <f t="shared" ref="CK204:CK209" si="1882">CK203-CI204</f>
        <v>149</v>
      </c>
      <c r="CL204" s="69">
        <f t="shared" ref="CL204:CL209" si="1883">CL203-CJ204</f>
        <v>12</v>
      </c>
      <c r="CM204" s="11">
        <v>70</v>
      </c>
      <c r="CN204" s="12">
        <f t="shared" si="1832"/>
        <v>0.48993288590604028</v>
      </c>
      <c r="CO204" s="11">
        <v>3</v>
      </c>
      <c r="CP204" s="12">
        <f t="shared" si="1833"/>
        <v>4.1095890410958902E-2</v>
      </c>
      <c r="CQ204" s="13"/>
      <c r="CR204" s="11"/>
      <c r="CS204" s="11"/>
      <c r="CT204" s="14"/>
      <c r="CU204" s="10"/>
      <c r="CV204" s="11"/>
      <c r="CW204" s="69">
        <f t="shared" ref="CW204:CW209" si="1884">CW203-CU204</f>
        <v>737</v>
      </c>
      <c r="CX204" s="69">
        <f t="shared" ref="CX204:CX209" si="1885">CX203-CV204</f>
        <v>59</v>
      </c>
      <c r="CY204" s="11">
        <v>407</v>
      </c>
      <c r="CZ204" s="12">
        <f t="shared" si="1834"/>
        <v>0.56716417910447758</v>
      </c>
      <c r="DA204" s="11">
        <v>11</v>
      </c>
      <c r="DB204" s="12">
        <f t="shared" si="1835"/>
        <v>2.6315789473684209E-2</v>
      </c>
      <c r="DC204" s="13"/>
      <c r="DD204" s="11"/>
      <c r="DE204" s="11"/>
      <c r="DF204" s="14"/>
      <c r="DG204" s="10">
        <v>1</v>
      </c>
      <c r="DH204" s="11"/>
      <c r="DI204" s="69">
        <f t="shared" ref="DI204:DI209" si="1886">DI203-DG204</f>
        <v>741</v>
      </c>
      <c r="DJ204" s="69">
        <f t="shared" ref="DJ204:DJ209" si="1887">DJ203-DH204</f>
        <v>59</v>
      </c>
      <c r="DK204" s="11">
        <v>424</v>
      </c>
      <c r="DL204" s="12">
        <f t="shared" si="1836"/>
        <v>0.58434547908232115</v>
      </c>
      <c r="DM204" s="11">
        <v>9</v>
      </c>
      <c r="DN204" s="12">
        <f t="shared" si="1837"/>
        <v>2.0785219399538105E-2</v>
      </c>
      <c r="DO204" s="13"/>
      <c r="DP204" s="11"/>
      <c r="DQ204" s="11"/>
      <c r="DR204" s="14"/>
      <c r="DS204" s="10"/>
      <c r="DT204" s="11"/>
      <c r="DU204" s="69">
        <f t="shared" ref="DU204:DU209" si="1888">DU203-DS204</f>
        <v>824</v>
      </c>
      <c r="DV204" s="69">
        <f t="shared" ref="DV204:DV209" si="1889">DV203-DT204</f>
        <v>66</v>
      </c>
      <c r="DW204" s="11">
        <v>479</v>
      </c>
      <c r="DX204" s="12">
        <f t="shared" si="1838"/>
        <v>0.60558252427184467</v>
      </c>
      <c r="DY204" s="11">
        <v>20</v>
      </c>
      <c r="DZ204" s="12">
        <f t="shared" si="1839"/>
        <v>4.0080160320641281E-2</v>
      </c>
      <c r="EA204" s="13"/>
      <c r="EB204" s="11"/>
      <c r="EC204" s="11"/>
      <c r="ED204" s="14"/>
      <c r="EE204" s="10"/>
      <c r="EF204" s="11"/>
      <c r="EG204" s="69">
        <f t="shared" ref="EG204:EG209" si="1890">EG203-EE204</f>
        <v>845</v>
      </c>
      <c r="EH204" s="69">
        <f t="shared" ref="EH204:EH209" si="1891">EH203-EF204</f>
        <v>67</v>
      </c>
      <c r="EI204" s="11">
        <v>462</v>
      </c>
      <c r="EJ204" s="12">
        <f t="shared" si="1840"/>
        <v>0.56804733727810652</v>
      </c>
      <c r="EK204" s="11">
        <v>18</v>
      </c>
      <c r="EL204" s="12">
        <f t="shared" si="1841"/>
        <v>3.7499999999999999E-2</v>
      </c>
      <c r="EM204" s="13"/>
      <c r="EN204" s="11"/>
      <c r="EO204" s="11"/>
      <c r="EP204" s="14"/>
      <c r="EQ204" s="10"/>
      <c r="ER204" s="11"/>
      <c r="ES204" s="69">
        <f t="shared" ref="ES204:ES209" si="1892">ES203-EQ204</f>
        <v>178</v>
      </c>
      <c r="ET204" s="69">
        <f t="shared" ref="ET204:ET209" si="1893">ET203-ER204</f>
        <v>14</v>
      </c>
      <c r="EU204" s="11">
        <v>83</v>
      </c>
      <c r="EV204" s="12">
        <f t="shared" si="1842"/>
        <v>0.5</v>
      </c>
      <c r="EW204" s="11">
        <v>6</v>
      </c>
      <c r="EX204" s="12">
        <f t="shared" si="1843"/>
        <v>6.741573033707865E-2</v>
      </c>
      <c r="EY204" s="13"/>
      <c r="EZ204" s="11"/>
      <c r="FA204" s="11"/>
      <c r="FB204" s="14"/>
      <c r="FC204" s="10"/>
      <c r="FD204" s="11"/>
      <c r="FE204" s="69">
        <f t="shared" ref="FE204:FE209" si="1894">FE203-FC204</f>
        <v>848</v>
      </c>
      <c r="FF204" s="69">
        <f t="shared" ref="FF204:FF209" si="1895">FF203-FD204</f>
        <v>67</v>
      </c>
      <c r="FG204" s="11">
        <v>499</v>
      </c>
      <c r="FH204" s="12">
        <f t="shared" si="1844"/>
        <v>0.60377358490566035</v>
      </c>
      <c r="FI204" s="11">
        <v>13</v>
      </c>
      <c r="FJ204" s="12">
        <f t="shared" si="1845"/>
        <v>2.5390625E-2</v>
      </c>
      <c r="FK204" s="13"/>
      <c r="FL204" s="11"/>
      <c r="FM204" s="11"/>
      <c r="FN204" s="14"/>
      <c r="FO204" s="10"/>
      <c r="FP204" s="11"/>
      <c r="FQ204" s="69">
        <f t="shared" ref="FQ204:FQ209" si="1896">FQ203-FO204</f>
        <v>877</v>
      </c>
      <c r="FR204" s="69">
        <f t="shared" ref="FR204:FR209" si="1897">FR203-FP204</f>
        <v>70</v>
      </c>
      <c r="FS204" s="11">
        <v>497</v>
      </c>
      <c r="FT204" s="12">
        <f t="shared" si="1846"/>
        <v>0.59064994298745721</v>
      </c>
      <c r="FU204" s="11">
        <v>21</v>
      </c>
      <c r="FV204" s="12">
        <f t="shared" si="1847"/>
        <v>4.0540540540540543E-2</v>
      </c>
      <c r="FW204" s="13"/>
      <c r="FX204" s="11"/>
      <c r="FY204" s="11"/>
      <c r="FZ204" s="14"/>
      <c r="GA204" s="10"/>
      <c r="GB204" s="11"/>
      <c r="GC204" s="69">
        <f t="shared" ref="GC204:GC209" si="1898">GC203-GA204</f>
        <v>875</v>
      </c>
      <c r="GD204" s="69">
        <f t="shared" ref="GD204:GD209" si="1899">GD203-GB204</f>
        <v>71</v>
      </c>
      <c r="GE204" s="11">
        <v>467</v>
      </c>
      <c r="GF204" s="12">
        <f t="shared" si="1848"/>
        <v>0.54400000000000004</v>
      </c>
      <c r="GG204" s="11">
        <v>9</v>
      </c>
      <c r="GH204" s="12">
        <f t="shared" si="1849"/>
        <v>1.8907563025210083E-2</v>
      </c>
      <c r="GI204" s="13"/>
      <c r="GJ204" s="11"/>
      <c r="GK204" s="11"/>
      <c r="GL204" s="14"/>
      <c r="GM204" s="10"/>
      <c r="GN204" s="11"/>
      <c r="GO204" s="69">
        <f t="shared" ref="GO204:GO209" si="1900">GO203-GM204</f>
        <v>156</v>
      </c>
      <c r="GP204" s="69">
        <f t="shared" ref="GP204:GP209" si="1901">GP203-GN204</f>
        <v>12</v>
      </c>
      <c r="GQ204" s="11">
        <v>81</v>
      </c>
      <c r="GR204" s="12">
        <f t="shared" si="1850"/>
        <v>0.53846153846153844</v>
      </c>
      <c r="GS204" s="11">
        <v>3</v>
      </c>
      <c r="GT204" s="12">
        <f t="shared" si="1851"/>
        <v>3.5714285714285712E-2</v>
      </c>
      <c r="GU204" s="13"/>
      <c r="GV204" s="11"/>
      <c r="GW204" s="11"/>
      <c r="GX204" s="14"/>
      <c r="GY204" s="10"/>
      <c r="GZ204" s="11"/>
      <c r="HA204" s="69">
        <f t="shared" ref="HA204:HA209" si="1902">HA203-GY204</f>
        <v>904</v>
      </c>
      <c r="HB204" s="69">
        <f t="shared" ref="HB204:HB209" si="1903">HB203-GZ204</f>
        <v>73</v>
      </c>
      <c r="HC204" s="11">
        <v>515</v>
      </c>
      <c r="HD204" s="12">
        <f t="shared" si="1852"/>
        <v>0.58185840707964598</v>
      </c>
      <c r="HE204" s="11">
        <v>11</v>
      </c>
      <c r="HF204" s="12">
        <f t="shared" si="1853"/>
        <v>2.0912547528517109E-2</v>
      </c>
      <c r="HG204" s="13"/>
      <c r="HH204" s="11"/>
      <c r="HI204" s="11"/>
      <c r="HJ204" s="14"/>
      <c r="HK204" s="10">
        <f t="shared" si="1854"/>
        <v>2</v>
      </c>
      <c r="HL204" s="11">
        <f t="shared" si="1855"/>
        <v>0</v>
      </c>
      <c r="HM204" s="11">
        <f t="shared" si="1856"/>
        <v>11942</v>
      </c>
      <c r="HN204" s="11">
        <f t="shared" si="1857"/>
        <v>953</v>
      </c>
      <c r="HO204" s="11">
        <f t="shared" si="1858"/>
        <v>6878</v>
      </c>
      <c r="HP204" s="95">
        <f t="shared" si="1859"/>
        <v>0.57595042706414334</v>
      </c>
      <c r="HQ204" s="15">
        <f t="shared" si="1860"/>
        <v>197</v>
      </c>
      <c r="HR204" s="12">
        <f t="shared" si="1861"/>
        <v>2.864204710671707E-2</v>
      </c>
      <c r="HS204" s="16">
        <v>65.400000000000006</v>
      </c>
      <c r="HT204" s="17">
        <v>6521</v>
      </c>
      <c r="HU204" s="16">
        <f t="shared" si="1862"/>
        <v>94.809537656295433</v>
      </c>
      <c r="HV204" s="15"/>
      <c r="HW204" s="14"/>
      <c r="HX204" s="73">
        <f t="shared" si="1863"/>
        <v>0.59174876847290636</v>
      </c>
      <c r="HY204" s="73">
        <f t="shared" si="1864"/>
        <v>0.55600878569187329</v>
      </c>
      <c r="HZ204" s="73">
        <f t="shared" si="1865"/>
        <v>0.5862708719851577</v>
      </c>
      <c r="IA204" s="73">
        <f t="shared" si="1866"/>
        <v>0.57041251778093882</v>
      </c>
    </row>
    <row r="205" spans="1:244" x14ac:dyDescent="0.25">
      <c r="A205" s="374"/>
      <c r="B205" s="41">
        <f t="shared" si="1867"/>
        <v>45097</v>
      </c>
      <c r="C205" s="10"/>
      <c r="D205" s="11"/>
      <c r="E205" s="69">
        <f t="shared" si="1868"/>
        <v>822</v>
      </c>
      <c r="F205" s="69">
        <f t="shared" si="1869"/>
        <v>66</v>
      </c>
      <c r="G205" s="11">
        <v>436</v>
      </c>
      <c r="H205" s="12">
        <f t="shared" si="1818"/>
        <v>0.54866180048661806</v>
      </c>
      <c r="I205" s="11">
        <v>15</v>
      </c>
      <c r="J205" s="12">
        <f t="shared" si="1819"/>
        <v>3.325942350332594E-2</v>
      </c>
      <c r="K205" s="13"/>
      <c r="L205" s="11"/>
      <c r="M205" s="11"/>
      <c r="N205" s="14"/>
      <c r="O205" s="10">
        <v>1</v>
      </c>
      <c r="P205" s="11"/>
      <c r="Q205" s="69">
        <f t="shared" si="1870"/>
        <v>748</v>
      </c>
      <c r="R205" s="69">
        <f t="shared" si="1871"/>
        <v>60</v>
      </c>
      <c r="S205" s="11">
        <v>396</v>
      </c>
      <c r="T205" s="12">
        <f t="shared" si="1820"/>
        <v>0.5401069518716578</v>
      </c>
      <c r="U205" s="11">
        <v>8</v>
      </c>
      <c r="V205" s="12">
        <f t="shared" si="1821"/>
        <v>1.9801980198019802E-2</v>
      </c>
      <c r="W205" s="13"/>
      <c r="X205" s="11"/>
      <c r="Y205" s="11"/>
      <c r="Z205" s="14"/>
      <c r="AA205" s="10"/>
      <c r="AB205" s="11"/>
      <c r="AC205" s="69">
        <f t="shared" si="1872"/>
        <v>162</v>
      </c>
      <c r="AD205" s="69">
        <f t="shared" si="1873"/>
        <v>13</v>
      </c>
      <c r="AE205" s="11">
        <v>92</v>
      </c>
      <c r="AF205" s="12">
        <f t="shared" si="1822"/>
        <v>0.59259259259259256</v>
      </c>
      <c r="AG205" s="11">
        <v>4</v>
      </c>
      <c r="AH205" s="12">
        <f t="shared" si="1823"/>
        <v>4.1666666666666664E-2</v>
      </c>
      <c r="AI205" s="13"/>
      <c r="AJ205" s="11"/>
      <c r="AK205" s="11"/>
      <c r="AL205" s="14"/>
      <c r="AM205" s="10"/>
      <c r="AN205" s="11"/>
      <c r="AO205" s="69">
        <f t="shared" si="1874"/>
        <v>762</v>
      </c>
      <c r="AP205" s="69">
        <f t="shared" si="1875"/>
        <v>61</v>
      </c>
      <c r="AQ205" s="11">
        <v>408</v>
      </c>
      <c r="AR205" s="12">
        <f t="shared" si="1824"/>
        <v>0.54855643044619418</v>
      </c>
      <c r="AS205" s="11">
        <v>10</v>
      </c>
      <c r="AT205" s="12">
        <f t="shared" si="1825"/>
        <v>2.3923444976076555E-2</v>
      </c>
      <c r="AU205" s="13"/>
      <c r="AV205" s="11"/>
      <c r="AW205" s="11"/>
      <c r="AX205" s="14"/>
      <c r="AY205" s="10"/>
      <c r="AZ205" s="11"/>
      <c r="BA205" s="69">
        <f t="shared" si="1876"/>
        <v>753</v>
      </c>
      <c r="BB205" s="69">
        <f t="shared" si="1877"/>
        <v>60</v>
      </c>
      <c r="BC205" s="11">
        <v>425</v>
      </c>
      <c r="BD205" s="12">
        <f t="shared" si="1826"/>
        <v>0.58034528552456843</v>
      </c>
      <c r="BE205" s="11">
        <v>12</v>
      </c>
      <c r="BF205" s="12">
        <f t="shared" si="1827"/>
        <v>2.7459954233409609E-2</v>
      </c>
      <c r="BG205" s="13"/>
      <c r="BH205" s="11"/>
      <c r="BI205" s="11"/>
      <c r="BJ205" s="14"/>
      <c r="BK205" s="10"/>
      <c r="BL205" s="11"/>
      <c r="BM205" s="69">
        <f t="shared" si="1878"/>
        <v>812</v>
      </c>
      <c r="BN205" s="69">
        <f t="shared" si="1879"/>
        <v>64</v>
      </c>
      <c r="BO205" s="11">
        <v>491</v>
      </c>
      <c r="BP205" s="12">
        <f t="shared" si="1828"/>
        <v>0.62068965517241381</v>
      </c>
      <c r="BQ205" s="11">
        <v>13</v>
      </c>
      <c r="BR205" s="12">
        <f t="shared" si="1829"/>
        <v>2.5793650793650792E-2</v>
      </c>
      <c r="BS205" s="13"/>
      <c r="BT205" s="11"/>
      <c r="BU205" s="11"/>
      <c r="BV205" s="14"/>
      <c r="BW205" s="10"/>
      <c r="BX205" s="11"/>
      <c r="BY205" s="69">
        <f t="shared" si="1880"/>
        <v>748</v>
      </c>
      <c r="BZ205" s="69">
        <f t="shared" si="1881"/>
        <v>59</v>
      </c>
      <c r="CA205" s="11">
        <v>441</v>
      </c>
      <c r="CB205" s="12">
        <f t="shared" si="1830"/>
        <v>0.59893048128342241</v>
      </c>
      <c r="CC205" s="11">
        <v>7</v>
      </c>
      <c r="CD205" s="12">
        <f t="shared" si="1831"/>
        <v>1.5625E-2</v>
      </c>
      <c r="CE205" s="13"/>
      <c r="CF205" s="11"/>
      <c r="CG205" s="11"/>
      <c r="CH205" s="14"/>
      <c r="CI205" s="10">
        <v>1</v>
      </c>
      <c r="CJ205" s="11"/>
      <c r="CK205" s="69">
        <f t="shared" si="1882"/>
        <v>148</v>
      </c>
      <c r="CL205" s="69">
        <f t="shared" si="1883"/>
        <v>12</v>
      </c>
      <c r="CM205" s="11">
        <v>77</v>
      </c>
      <c r="CN205" s="12">
        <f t="shared" si="1832"/>
        <v>0.52702702702702697</v>
      </c>
      <c r="CO205" s="11">
        <v>1</v>
      </c>
      <c r="CP205" s="12">
        <f t="shared" si="1833"/>
        <v>1.282051282051282E-2</v>
      </c>
      <c r="CQ205" s="13"/>
      <c r="CR205" s="11"/>
      <c r="CS205" s="11"/>
      <c r="CT205" s="14"/>
      <c r="CU205" s="10">
        <v>1</v>
      </c>
      <c r="CV205" s="11"/>
      <c r="CW205" s="69">
        <f t="shared" si="1884"/>
        <v>736</v>
      </c>
      <c r="CX205" s="69">
        <f t="shared" si="1885"/>
        <v>59</v>
      </c>
      <c r="CY205" s="11">
        <v>400</v>
      </c>
      <c r="CZ205" s="12">
        <f t="shared" si="1834"/>
        <v>0.55027173913043481</v>
      </c>
      <c r="DA205" s="11">
        <v>5</v>
      </c>
      <c r="DB205" s="12">
        <f t="shared" si="1835"/>
        <v>1.2345679012345678E-2</v>
      </c>
      <c r="DC205" s="13"/>
      <c r="DD205" s="11"/>
      <c r="DE205" s="11"/>
      <c r="DF205" s="14"/>
      <c r="DG205" s="10"/>
      <c r="DH205" s="11"/>
      <c r="DI205" s="69">
        <f t="shared" si="1886"/>
        <v>741</v>
      </c>
      <c r="DJ205" s="69">
        <f t="shared" si="1887"/>
        <v>59</v>
      </c>
      <c r="DK205" s="11">
        <v>463</v>
      </c>
      <c r="DL205" s="12">
        <f t="shared" si="1836"/>
        <v>0.63157894736842102</v>
      </c>
      <c r="DM205" s="11">
        <v>5</v>
      </c>
      <c r="DN205" s="12">
        <f t="shared" si="1837"/>
        <v>1.0683760683760684E-2</v>
      </c>
      <c r="DO205" s="13"/>
      <c r="DP205" s="11"/>
      <c r="DQ205" s="11"/>
      <c r="DR205" s="14"/>
      <c r="DS205" s="10"/>
      <c r="DT205" s="11"/>
      <c r="DU205" s="69">
        <f t="shared" si="1888"/>
        <v>824</v>
      </c>
      <c r="DV205" s="69">
        <f t="shared" si="1889"/>
        <v>66</v>
      </c>
      <c r="DW205" s="11">
        <v>461</v>
      </c>
      <c r="DX205" s="12">
        <f t="shared" si="1838"/>
        <v>0.58737864077669899</v>
      </c>
      <c r="DY205" s="11">
        <v>23</v>
      </c>
      <c r="DZ205" s="12">
        <f t="shared" si="1839"/>
        <v>4.7520661157024795E-2</v>
      </c>
      <c r="EA205" s="13"/>
      <c r="EB205" s="11"/>
      <c r="EC205" s="11"/>
      <c r="ED205" s="14"/>
      <c r="EE205" s="10"/>
      <c r="EF205" s="11"/>
      <c r="EG205" s="69">
        <f t="shared" si="1890"/>
        <v>845</v>
      </c>
      <c r="EH205" s="69">
        <f t="shared" si="1891"/>
        <v>67</v>
      </c>
      <c r="EI205" s="11">
        <v>509</v>
      </c>
      <c r="EJ205" s="12">
        <f t="shared" si="1840"/>
        <v>0.61420118343195262</v>
      </c>
      <c r="EK205" s="11">
        <v>10</v>
      </c>
      <c r="EL205" s="12">
        <f t="shared" si="1841"/>
        <v>1.9267822736030827E-2</v>
      </c>
      <c r="EM205" s="13"/>
      <c r="EN205" s="11"/>
      <c r="EO205" s="11"/>
      <c r="EP205" s="14"/>
      <c r="EQ205" s="10"/>
      <c r="ER205" s="11"/>
      <c r="ES205" s="69">
        <f t="shared" si="1892"/>
        <v>178</v>
      </c>
      <c r="ET205" s="69">
        <f t="shared" si="1893"/>
        <v>14</v>
      </c>
      <c r="EU205" s="11">
        <v>88</v>
      </c>
      <c r="EV205" s="12">
        <f t="shared" si="1842"/>
        <v>0.5280898876404494</v>
      </c>
      <c r="EW205" s="11">
        <v>6</v>
      </c>
      <c r="EX205" s="12">
        <f t="shared" si="1843"/>
        <v>6.3829787234042548E-2</v>
      </c>
      <c r="EY205" s="13"/>
      <c r="EZ205" s="11"/>
      <c r="FA205" s="11"/>
      <c r="FB205" s="14"/>
      <c r="FC205" s="10"/>
      <c r="FD205" s="11"/>
      <c r="FE205" s="69">
        <f t="shared" si="1894"/>
        <v>848</v>
      </c>
      <c r="FF205" s="69">
        <f t="shared" si="1895"/>
        <v>67</v>
      </c>
      <c r="FG205" s="11">
        <v>490</v>
      </c>
      <c r="FH205" s="12">
        <f t="shared" si="1844"/>
        <v>0.58844339622641506</v>
      </c>
      <c r="FI205" s="11">
        <v>9</v>
      </c>
      <c r="FJ205" s="12">
        <f t="shared" si="1845"/>
        <v>1.8036072144288578E-2</v>
      </c>
      <c r="FK205" s="13"/>
      <c r="FL205" s="11"/>
      <c r="FM205" s="11"/>
      <c r="FN205" s="14"/>
      <c r="FO205" s="10"/>
      <c r="FP205" s="11"/>
      <c r="FQ205" s="69">
        <f t="shared" si="1896"/>
        <v>877</v>
      </c>
      <c r="FR205" s="69">
        <f t="shared" si="1897"/>
        <v>70</v>
      </c>
      <c r="FS205" s="11">
        <v>503</v>
      </c>
      <c r="FT205" s="12">
        <f t="shared" si="1846"/>
        <v>0.59749144811858612</v>
      </c>
      <c r="FU205" s="11">
        <v>21</v>
      </c>
      <c r="FV205" s="12">
        <f t="shared" si="1847"/>
        <v>4.0076335877862593E-2</v>
      </c>
      <c r="FW205" s="13"/>
      <c r="FX205" s="11"/>
      <c r="FY205" s="11"/>
      <c r="FZ205" s="14"/>
      <c r="GA205" s="10"/>
      <c r="GB205" s="11"/>
      <c r="GC205" s="69">
        <f t="shared" si="1898"/>
        <v>875</v>
      </c>
      <c r="GD205" s="69">
        <f t="shared" si="1899"/>
        <v>71</v>
      </c>
      <c r="GE205" s="11">
        <v>505</v>
      </c>
      <c r="GF205" s="12">
        <f t="shared" si="1848"/>
        <v>0.59542857142857142</v>
      </c>
      <c r="GG205" s="11">
        <v>16</v>
      </c>
      <c r="GH205" s="12">
        <f t="shared" si="1849"/>
        <v>3.0710172744721688E-2</v>
      </c>
      <c r="GI205" s="13"/>
      <c r="GJ205" s="11"/>
      <c r="GK205" s="11"/>
      <c r="GL205" s="14"/>
      <c r="GM205" s="10"/>
      <c r="GN205" s="11"/>
      <c r="GO205" s="69">
        <f t="shared" si="1900"/>
        <v>156</v>
      </c>
      <c r="GP205" s="69">
        <f t="shared" si="1901"/>
        <v>12</v>
      </c>
      <c r="GQ205" s="11">
        <v>72</v>
      </c>
      <c r="GR205" s="12">
        <f t="shared" si="1850"/>
        <v>0.48076923076923078</v>
      </c>
      <c r="GS205" s="11">
        <v>3</v>
      </c>
      <c r="GT205" s="12">
        <f t="shared" si="1851"/>
        <v>0.04</v>
      </c>
      <c r="GU205" s="13"/>
      <c r="GV205" s="11"/>
      <c r="GW205" s="11"/>
      <c r="GX205" s="14"/>
      <c r="GY205" s="10"/>
      <c r="GZ205" s="11"/>
      <c r="HA205" s="69">
        <f t="shared" si="1902"/>
        <v>904</v>
      </c>
      <c r="HB205" s="69">
        <f t="shared" si="1903"/>
        <v>73</v>
      </c>
      <c r="HC205" s="11">
        <v>576</v>
      </c>
      <c r="HD205" s="12">
        <f t="shared" si="1852"/>
        <v>0.65044247787610621</v>
      </c>
      <c r="HE205" s="11">
        <v>12</v>
      </c>
      <c r="HF205" s="12">
        <f t="shared" si="1853"/>
        <v>2.0408163265306121E-2</v>
      </c>
      <c r="HG205" s="13"/>
      <c r="HH205" s="11"/>
      <c r="HI205" s="11"/>
      <c r="HJ205" s="14"/>
      <c r="HK205" s="10">
        <f t="shared" si="1854"/>
        <v>3</v>
      </c>
      <c r="HL205" s="11">
        <f t="shared" si="1855"/>
        <v>0</v>
      </c>
      <c r="HM205" s="11">
        <f t="shared" si="1856"/>
        <v>11939</v>
      </c>
      <c r="HN205" s="11">
        <f t="shared" si="1857"/>
        <v>953</v>
      </c>
      <c r="HO205" s="11">
        <f t="shared" si="1858"/>
        <v>7013</v>
      </c>
      <c r="HP205" s="95">
        <f t="shared" si="1859"/>
        <v>0.58740263003601645</v>
      </c>
      <c r="HQ205" s="15">
        <f t="shared" si="1860"/>
        <v>180</v>
      </c>
      <c r="HR205" s="12">
        <f t="shared" si="1861"/>
        <v>2.5666619135890488E-2</v>
      </c>
      <c r="HS205" s="16">
        <v>65.3</v>
      </c>
      <c r="HT205" s="17">
        <v>6683</v>
      </c>
      <c r="HU205" s="16">
        <f t="shared" si="1862"/>
        <v>95.294453158420083</v>
      </c>
      <c r="HV205" s="15"/>
      <c r="HW205" s="14"/>
      <c r="HX205" s="73">
        <f t="shared" si="1863"/>
        <v>0.55620572836464433</v>
      </c>
      <c r="HY205" s="73">
        <f t="shared" si="1864"/>
        <v>0.59748822605965468</v>
      </c>
      <c r="HZ205" s="73">
        <f t="shared" si="1865"/>
        <v>0.59220779220779218</v>
      </c>
      <c r="IA205" s="73">
        <f t="shared" si="1866"/>
        <v>0.60739687055476532</v>
      </c>
    </row>
    <row r="206" spans="1:244" x14ac:dyDescent="0.25">
      <c r="A206" s="374"/>
      <c r="B206" s="41">
        <f t="shared" si="1867"/>
        <v>45098</v>
      </c>
      <c r="C206" s="10"/>
      <c r="D206" s="11"/>
      <c r="E206" s="69">
        <f t="shared" si="1868"/>
        <v>822</v>
      </c>
      <c r="F206" s="69">
        <f t="shared" si="1869"/>
        <v>66</v>
      </c>
      <c r="G206" s="11">
        <v>512</v>
      </c>
      <c r="H206" s="12">
        <f t="shared" si="1818"/>
        <v>0.64963503649635035</v>
      </c>
      <c r="I206" s="11">
        <v>22</v>
      </c>
      <c r="J206" s="12">
        <f t="shared" si="1819"/>
        <v>4.1198501872659173E-2</v>
      </c>
      <c r="K206" s="11"/>
      <c r="L206" s="11"/>
      <c r="M206" s="18"/>
      <c r="N206" s="20"/>
      <c r="O206" s="10"/>
      <c r="P206" s="11"/>
      <c r="Q206" s="69">
        <f t="shared" si="1870"/>
        <v>748</v>
      </c>
      <c r="R206" s="69">
        <f t="shared" si="1871"/>
        <v>60</v>
      </c>
      <c r="S206" s="11">
        <v>430</v>
      </c>
      <c r="T206" s="12">
        <f t="shared" si="1820"/>
        <v>0.59491978609625673</v>
      </c>
      <c r="U206" s="11">
        <v>15</v>
      </c>
      <c r="V206" s="12">
        <f t="shared" si="1821"/>
        <v>3.3707865168539325E-2</v>
      </c>
      <c r="W206" s="11"/>
      <c r="X206" s="11"/>
      <c r="Y206" s="18"/>
      <c r="Z206" s="20"/>
      <c r="AA206" s="10"/>
      <c r="AB206" s="11"/>
      <c r="AC206" s="69">
        <f t="shared" si="1872"/>
        <v>162</v>
      </c>
      <c r="AD206" s="69">
        <f t="shared" si="1873"/>
        <v>13</v>
      </c>
      <c r="AE206" s="11">
        <v>94</v>
      </c>
      <c r="AF206" s="12">
        <f t="shared" si="1822"/>
        <v>0.59876543209876543</v>
      </c>
      <c r="AG206" s="11">
        <v>3</v>
      </c>
      <c r="AH206" s="12">
        <f t="shared" si="1823"/>
        <v>3.0927835051546393E-2</v>
      </c>
      <c r="AI206" s="11"/>
      <c r="AJ206" s="11"/>
      <c r="AK206" s="18"/>
      <c r="AL206" s="20"/>
      <c r="AM206" s="10"/>
      <c r="AN206" s="11"/>
      <c r="AO206" s="69">
        <f t="shared" si="1874"/>
        <v>762</v>
      </c>
      <c r="AP206" s="69">
        <f t="shared" si="1875"/>
        <v>61</v>
      </c>
      <c r="AQ206" s="11">
        <v>418</v>
      </c>
      <c r="AR206" s="12">
        <f t="shared" si="1824"/>
        <v>0.55905511811023623</v>
      </c>
      <c r="AS206" s="11">
        <v>8</v>
      </c>
      <c r="AT206" s="12">
        <f t="shared" si="1825"/>
        <v>1.8779342723004695E-2</v>
      </c>
      <c r="AU206" s="11"/>
      <c r="AV206" s="11"/>
      <c r="AW206" s="18"/>
      <c r="AX206" s="20"/>
      <c r="AY206" s="10"/>
      <c r="AZ206" s="11"/>
      <c r="BA206" s="69">
        <f t="shared" si="1876"/>
        <v>753</v>
      </c>
      <c r="BB206" s="69">
        <f t="shared" si="1877"/>
        <v>60</v>
      </c>
      <c r="BC206" s="11">
        <v>472</v>
      </c>
      <c r="BD206" s="12">
        <f t="shared" si="1826"/>
        <v>0.63346613545816732</v>
      </c>
      <c r="BE206" s="11">
        <v>5</v>
      </c>
      <c r="BF206" s="12">
        <f t="shared" si="1827"/>
        <v>1.0482180293501049E-2</v>
      </c>
      <c r="BG206" s="11"/>
      <c r="BH206" s="11"/>
      <c r="BI206" s="18"/>
      <c r="BJ206" s="20"/>
      <c r="BK206" s="10"/>
      <c r="BL206" s="11"/>
      <c r="BM206" s="69">
        <f t="shared" si="1878"/>
        <v>812</v>
      </c>
      <c r="BN206" s="69">
        <f t="shared" si="1879"/>
        <v>64</v>
      </c>
      <c r="BO206" s="11">
        <v>457</v>
      </c>
      <c r="BP206" s="12">
        <f t="shared" si="1828"/>
        <v>0.58004926108374388</v>
      </c>
      <c r="BQ206" s="11">
        <v>14</v>
      </c>
      <c r="BR206" s="12">
        <f t="shared" si="1829"/>
        <v>2.9723991507430998E-2</v>
      </c>
      <c r="BS206" s="11"/>
      <c r="BT206" s="11"/>
      <c r="BU206" s="18"/>
      <c r="BV206" s="20"/>
      <c r="BW206" s="10">
        <v>1</v>
      </c>
      <c r="BX206" s="11"/>
      <c r="BY206" s="69">
        <f t="shared" si="1880"/>
        <v>747</v>
      </c>
      <c r="BZ206" s="69">
        <f t="shared" si="1881"/>
        <v>59</v>
      </c>
      <c r="CA206" s="11">
        <v>407</v>
      </c>
      <c r="CB206" s="12">
        <f t="shared" si="1830"/>
        <v>0.5662650602409639</v>
      </c>
      <c r="CC206" s="11">
        <v>16</v>
      </c>
      <c r="CD206" s="12">
        <f t="shared" si="1831"/>
        <v>3.7825059101654845E-2</v>
      </c>
      <c r="CE206" s="11"/>
      <c r="CF206" s="11"/>
      <c r="CG206" s="18"/>
      <c r="CH206" s="20"/>
      <c r="CI206" s="10">
        <v>4</v>
      </c>
      <c r="CJ206" s="11"/>
      <c r="CK206" s="69">
        <f t="shared" si="1882"/>
        <v>144</v>
      </c>
      <c r="CL206" s="69">
        <f t="shared" si="1883"/>
        <v>12</v>
      </c>
      <c r="CM206" s="11">
        <v>58</v>
      </c>
      <c r="CN206" s="12">
        <f t="shared" si="1832"/>
        <v>0.40972222222222221</v>
      </c>
      <c r="CO206" s="11">
        <v>1</v>
      </c>
      <c r="CP206" s="12">
        <f t="shared" si="1833"/>
        <v>1.6949152542372881E-2</v>
      </c>
      <c r="CQ206" s="11"/>
      <c r="CR206" s="11"/>
      <c r="CS206" s="18"/>
      <c r="CT206" s="20"/>
      <c r="CU206" s="10"/>
      <c r="CV206" s="11"/>
      <c r="CW206" s="69">
        <f t="shared" si="1884"/>
        <v>736</v>
      </c>
      <c r="CX206" s="69">
        <f t="shared" si="1885"/>
        <v>59</v>
      </c>
      <c r="CY206" s="11">
        <v>407</v>
      </c>
      <c r="CZ206" s="12">
        <f t="shared" si="1834"/>
        <v>0.57065217391304346</v>
      </c>
      <c r="DA206" s="11">
        <v>13</v>
      </c>
      <c r="DB206" s="12">
        <f t="shared" si="1835"/>
        <v>3.0952380952380953E-2</v>
      </c>
      <c r="DC206" s="11"/>
      <c r="DD206" s="11"/>
      <c r="DE206" s="18"/>
      <c r="DF206" s="20"/>
      <c r="DG206" s="10"/>
      <c r="DH206" s="11"/>
      <c r="DI206" s="69">
        <f t="shared" si="1886"/>
        <v>741</v>
      </c>
      <c r="DJ206" s="69">
        <f t="shared" si="1887"/>
        <v>59</v>
      </c>
      <c r="DK206" s="11">
        <v>443</v>
      </c>
      <c r="DL206" s="12">
        <f t="shared" si="1836"/>
        <v>0.61403508771929827</v>
      </c>
      <c r="DM206" s="11">
        <v>12</v>
      </c>
      <c r="DN206" s="12">
        <f t="shared" si="1837"/>
        <v>2.6373626373626374E-2</v>
      </c>
      <c r="DO206" s="11"/>
      <c r="DP206" s="11"/>
      <c r="DQ206" s="18"/>
      <c r="DR206" s="20"/>
      <c r="DS206" s="10"/>
      <c r="DT206" s="11"/>
      <c r="DU206" s="69">
        <f t="shared" si="1888"/>
        <v>824</v>
      </c>
      <c r="DV206" s="69">
        <f t="shared" si="1889"/>
        <v>66</v>
      </c>
      <c r="DW206" s="11">
        <v>429</v>
      </c>
      <c r="DX206" s="12">
        <f t="shared" si="1838"/>
        <v>0.53762135922330101</v>
      </c>
      <c r="DY206" s="11">
        <v>14</v>
      </c>
      <c r="DZ206" s="12">
        <f t="shared" si="1839"/>
        <v>3.160270880361174E-2</v>
      </c>
      <c r="EA206" s="11"/>
      <c r="EB206" s="11"/>
      <c r="EC206" s="18"/>
      <c r="ED206" s="20"/>
      <c r="EE206" s="10"/>
      <c r="EF206" s="11"/>
      <c r="EG206" s="69">
        <f t="shared" si="1890"/>
        <v>845</v>
      </c>
      <c r="EH206" s="69">
        <f t="shared" si="1891"/>
        <v>67</v>
      </c>
      <c r="EI206" s="11">
        <v>447</v>
      </c>
      <c r="EJ206" s="12">
        <f t="shared" si="1840"/>
        <v>0.55621301775147924</v>
      </c>
      <c r="EK206" s="11">
        <v>23</v>
      </c>
      <c r="EL206" s="12">
        <f t="shared" si="1841"/>
        <v>4.8936170212765959E-2</v>
      </c>
      <c r="EM206" s="11"/>
      <c r="EN206" s="11"/>
      <c r="EO206" s="18"/>
      <c r="EP206" s="20"/>
      <c r="EQ206" s="10">
        <v>1</v>
      </c>
      <c r="ER206" s="11"/>
      <c r="ES206" s="69">
        <f t="shared" si="1892"/>
        <v>177</v>
      </c>
      <c r="ET206" s="69">
        <f t="shared" si="1893"/>
        <v>14</v>
      </c>
      <c r="EU206" s="11">
        <v>89</v>
      </c>
      <c r="EV206" s="12">
        <f t="shared" si="1842"/>
        <v>0.50847457627118642</v>
      </c>
      <c r="EW206" s="11">
        <v>1</v>
      </c>
      <c r="EX206" s="12">
        <f t="shared" si="1843"/>
        <v>1.1111111111111112E-2</v>
      </c>
      <c r="EY206" s="11"/>
      <c r="EZ206" s="11"/>
      <c r="FA206" s="18"/>
      <c r="FB206" s="20"/>
      <c r="FC206" s="10"/>
      <c r="FD206" s="11"/>
      <c r="FE206" s="69">
        <f t="shared" si="1894"/>
        <v>848</v>
      </c>
      <c r="FF206" s="69">
        <f t="shared" si="1895"/>
        <v>67</v>
      </c>
      <c r="FG206" s="11">
        <v>469</v>
      </c>
      <c r="FH206" s="12">
        <f t="shared" si="1844"/>
        <v>0.57075471698113212</v>
      </c>
      <c r="FI206" s="11">
        <v>15</v>
      </c>
      <c r="FJ206" s="12">
        <f t="shared" si="1845"/>
        <v>3.0991735537190084E-2</v>
      </c>
      <c r="FK206" s="11"/>
      <c r="FL206" s="11"/>
      <c r="FM206" s="18"/>
      <c r="FN206" s="20"/>
      <c r="FO206" s="10"/>
      <c r="FP206" s="11"/>
      <c r="FQ206" s="69">
        <f t="shared" si="1896"/>
        <v>877</v>
      </c>
      <c r="FR206" s="69">
        <f t="shared" si="1897"/>
        <v>70</v>
      </c>
      <c r="FS206" s="11">
        <v>455</v>
      </c>
      <c r="FT206" s="12">
        <f t="shared" si="1846"/>
        <v>0.54275940706955528</v>
      </c>
      <c r="FU206" s="11">
        <v>21</v>
      </c>
      <c r="FV206" s="12">
        <f t="shared" si="1847"/>
        <v>4.4117647058823532E-2</v>
      </c>
      <c r="FW206" s="11"/>
      <c r="FX206" s="11"/>
      <c r="FY206" s="18"/>
      <c r="FZ206" s="20"/>
      <c r="GA206" s="10"/>
      <c r="GB206" s="11"/>
      <c r="GC206" s="69">
        <f t="shared" si="1898"/>
        <v>875</v>
      </c>
      <c r="GD206" s="69">
        <f t="shared" si="1899"/>
        <v>71</v>
      </c>
      <c r="GE206" s="11">
        <v>478</v>
      </c>
      <c r="GF206" s="12">
        <f t="shared" si="1848"/>
        <v>0.55885714285714283</v>
      </c>
      <c r="GG206" s="11">
        <v>11</v>
      </c>
      <c r="GH206" s="12">
        <f t="shared" si="1849"/>
        <v>2.2494887525562373E-2</v>
      </c>
      <c r="GI206" s="11"/>
      <c r="GJ206" s="11"/>
      <c r="GK206" s="18"/>
      <c r="GL206" s="20"/>
      <c r="GM206" s="10"/>
      <c r="GN206" s="11"/>
      <c r="GO206" s="69">
        <f t="shared" si="1900"/>
        <v>156</v>
      </c>
      <c r="GP206" s="69">
        <f t="shared" si="1901"/>
        <v>12</v>
      </c>
      <c r="GQ206" s="11">
        <v>84</v>
      </c>
      <c r="GR206" s="12">
        <f t="shared" si="1850"/>
        <v>0.55128205128205132</v>
      </c>
      <c r="GS206" s="11">
        <v>2</v>
      </c>
      <c r="GT206" s="12">
        <f t="shared" si="1851"/>
        <v>2.3255813953488372E-2</v>
      </c>
      <c r="GU206" s="11"/>
      <c r="GV206" s="11"/>
      <c r="GW206" s="18"/>
      <c r="GX206" s="20"/>
      <c r="GY206" s="10"/>
      <c r="GZ206" s="11"/>
      <c r="HA206" s="69">
        <f t="shared" si="1902"/>
        <v>904</v>
      </c>
      <c r="HB206" s="69">
        <f t="shared" si="1903"/>
        <v>73</v>
      </c>
      <c r="HC206" s="11">
        <v>494</v>
      </c>
      <c r="HD206" s="12">
        <f t="shared" si="1852"/>
        <v>0.55752212389380529</v>
      </c>
      <c r="HE206" s="11">
        <v>10</v>
      </c>
      <c r="HF206" s="12">
        <f t="shared" si="1853"/>
        <v>1.984126984126984E-2</v>
      </c>
      <c r="HG206" s="11"/>
      <c r="HH206" s="11"/>
      <c r="HI206" s="18"/>
      <c r="HJ206" s="20"/>
      <c r="HK206" s="10">
        <f t="shared" si="1854"/>
        <v>6</v>
      </c>
      <c r="HL206" s="11">
        <f t="shared" si="1855"/>
        <v>0</v>
      </c>
      <c r="HM206" s="11">
        <f t="shared" si="1856"/>
        <v>11933</v>
      </c>
      <c r="HN206" s="11">
        <f t="shared" si="1857"/>
        <v>953</v>
      </c>
      <c r="HO206" s="11">
        <f t="shared" si="1858"/>
        <v>6849</v>
      </c>
      <c r="HP206" s="95">
        <f t="shared" si="1859"/>
        <v>0.57395457973686415</v>
      </c>
      <c r="HQ206" s="15">
        <f t="shared" si="1860"/>
        <v>206</v>
      </c>
      <c r="HR206" s="12">
        <f t="shared" si="1861"/>
        <v>3.0077383559643744E-2</v>
      </c>
      <c r="HS206" s="16">
        <v>65.5</v>
      </c>
      <c r="HT206" s="17">
        <v>6465</v>
      </c>
      <c r="HU206" s="16">
        <f t="shared" si="1862"/>
        <v>94.393342093736308</v>
      </c>
      <c r="HV206" s="18"/>
      <c r="HW206" s="20"/>
      <c r="HX206" s="73">
        <f t="shared" si="1863"/>
        <v>0.60948567908838924</v>
      </c>
      <c r="HY206" s="73">
        <f t="shared" si="1864"/>
        <v>0.57484276729559747</v>
      </c>
      <c r="HZ206" s="73">
        <f t="shared" si="1865"/>
        <v>0.55196733481811433</v>
      </c>
      <c r="IA206" s="73">
        <f t="shared" si="1866"/>
        <v>0.55298719772403981</v>
      </c>
    </row>
    <row r="207" spans="1:244" x14ac:dyDescent="0.25">
      <c r="A207" s="374"/>
      <c r="B207" s="41">
        <f>+B206+1</f>
        <v>45099</v>
      </c>
      <c r="C207" s="10">
        <v>1</v>
      </c>
      <c r="D207" s="11"/>
      <c r="E207" s="69">
        <f t="shared" si="1868"/>
        <v>821</v>
      </c>
      <c r="F207" s="69">
        <f t="shared" si="1869"/>
        <v>66</v>
      </c>
      <c r="G207" s="11">
        <v>470</v>
      </c>
      <c r="H207" s="12">
        <f t="shared" si="1818"/>
        <v>0.58587088915956154</v>
      </c>
      <c r="I207" s="11">
        <v>11</v>
      </c>
      <c r="J207" s="12">
        <f t="shared" si="1819"/>
        <v>2.286902286902287E-2</v>
      </c>
      <c r="K207" s="13"/>
      <c r="L207" s="13"/>
      <c r="M207" s="25"/>
      <c r="N207" s="38">
        <v>4415</v>
      </c>
      <c r="O207" s="10"/>
      <c r="P207" s="11"/>
      <c r="Q207" s="69">
        <f t="shared" si="1870"/>
        <v>748</v>
      </c>
      <c r="R207" s="69">
        <f t="shared" si="1871"/>
        <v>60</v>
      </c>
      <c r="S207" s="11">
        <v>430</v>
      </c>
      <c r="T207" s="12">
        <f t="shared" si="1820"/>
        <v>0.59224598930481287</v>
      </c>
      <c r="U207" s="11">
        <v>13</v>
      </c>
      <c r="V207" s="12">
        <f t="shared" si="1821"/>
        <v>2.9345372460496615E-2</v>
      </c>
      <c r="W207" s="13"/>
      <c r="X207" s="13"/>
      <c r="Y207" s="25"/>
      <c r="Z207" s="38">
        <v>4415</v>
      </c>
      <c r="AA207" s="10">
        <v>1</v>
      </c>
      <c r="AB207" s="11"/>
      <c r="AC207" s="69">
        <f t="shared" si="1872"/>
        <v>161</v>
      </c>
      <c r="AD207" s="69">
        <f t="shared" si="1873"/>
        <v>13</v>
      </c>
      <c r="AE207" s="11">
        <v>87</v>
      </c>
      <c r="AF207" s="12">
        <f t="shared" si="1822"/>
        <v>0.54658385093167705</v>
      </c>
      <c r="AG207" s="11">
        <v>1</v>
      </c>
      <c r="AH207" s="12">
        <f t="shared" si="1823"/>
        <v>1.1363636363636364E-2</v>
      </c>
      <c r="AI207" s="13"/>
      <c r="AJ207" s="13"/>
      <c r="AK207" s="25"/>
      <c r="AL207" s="38">
        <v>4415</v>
      </c>
      <c r="AM207" s="10">
        <v>1</v>
      </c>
      <c r="AN207" s="11"/>
      <c r="AO207" s="69">
        <f t="shared" si="1874"/>
        <v>761</v>
      </c>
      <c r="AP207" s="69">
        <f t="shared" si="1875"/>
        <v>61</v>
      </c>
      <c r="AQ207" s="11">
        <v>434</v>
      </c>
      <c r="AR207" s="12">
        <f t="shared" si="1824"/>
        <v>0.58081471747700397</v>
      </c>
      <c r="AS207" s="11">
        <v>8</v>
      </c>
      <c r="AT207" s="12">
        <f t="shared" si="1825"/>
        <v>1.8099547511312219E-2</v>
      </c>
      <c r="AU207" s="13"/>
      <c r="AV207" s="13"/>
      <c r="AW207" s="25"/>
      <c r="AX207" s="38">
        <v>4415</v>
      </c>
      <c r="AY207" s="10"/>
      <c r="AZ207" s="11"/>
      <c r="BA207" s="69">
        <f t="shared" si="1876"/>
        <v>753</v>
      </c>
      <c r="BB207" s="69">
        <f t="shared" si="1877"/>
        <v>60</v>
      </c>
      <c r="BC207" s="11">
        <v>439</v>
      </c>
      <c r="BD207" s="12">
        <f t="shared" si="1826"/>
        <v>0.60026560424966802</v>
      </c>
      <c r="BE207" s="11">
        <v>13</v>
      </c>
      <c r="BF207" s="12">
        <f t="shared" si="1827"/>
        <v>2.8761061946902654E-2</v>
      </c>
      <c r="BG207" s="13"/>
      <c r="BH207" s="13"/>
      <c r="BI207" s="25"/>
      <c r="BJ207" s="38">
        <v>4415</v>
      </c>
      <c r="BK207" s="10"/>
      <c r="BL207" s="11"/>
      <c r="BM207" s="69">
        <f t="shared" si="1878"/>
        <v>812</v>
      </c>
      <c r="BN207" s="69">
        <f t="shared" si="1879"/>
        <v>64</v>
      </c>
      <c r="BO207" s="11">
        <v>432</v>
      </c>
      <c r="BP207" s="12">
        <f t="shared" si="1828"/>
        <v>0.55049261083743839</v>
      </c>
      <c r="BQ207" s="11">
        <v>15</v>
      </c>
      <c r="BR207" s="12">
        <f t="shared" si="1829"/>
        <v>3.3557046979865772E-2</v>
      </c>
      <c r="BS207" s="13"/>
      <c r="BT207" s="13"/>
      <c r="BU207" s="25"/>
      <c r="BV207" s="38">
        <v>4415</v>
      </c>
      <c r="BW207" s="10"/>
      <c r="BX207" s="11"/>
      <c r="BY207" s="69">
        <f t="shared" si="1880"/>
        <v>747</v>
      </c>
      <c r="BZ207" s="69">
        <f t="shared" si="1881"/>
        <v>59</v>
      </c>
      <c r="CA207" s="11">
        <v>380</v>
      </c>
      <c r="CB207" s="12">
        <f t="shared" si="1830"/>
        <v>0.52476572958500667</v>
      </c>
      <c r="CC207" s="11">
        <v>12</v>
      </c>
      <c r="CD207" s="12">
        <f t="shared" si="1831"/>
        <v>3.0612244897959183E-2</v>
      </c>
      <c r="CE207" s="13"/>
      <c r="CF207" s="13"/>
      <c r="CG207" s="25"/>
      <c r="CH207" s="38">
        <v>4415</v>
      </c>
      <c r="CI207" s="10">
        <v>3</v>
      </c>
      <c r="CJ207" s="11"/>
      <c r="CK207" s="69">
        <f t="shared" si="1882"/>
        <v>141</v>
      </c>
      <c r="CL207" s="69">
        <f t="shared" si="1883"/>
        <v>12</v>
      </c>
      <c r="CM207" s="11">
        <v>83</v>
      </c>
      <c r="CN207" s="12">
        <f t="shared" si="1832"/>
        <v>0.6028368794326241</v>
      </c>
      <c r="CO207" s="11">
        <v>2</v>
      </c>
      <c r="CP207" s="12">
        <f t="shared" si="1833"/>
        <v>2.3529411764705882E-2</v>
      </c>
      <c r="CQ207" s="13"/>
      <c r="CR207" s="13"/>
      <c r="CS207" s="25"/>
      <c r="CT207" s="38">
        <v>4415</v>
      </c>
      <c r="CU207" s="10"/>
      <c r="CV207" s="11"/>
      <c r="CW207" s="69">
        <f t="shared" si="1884"/>
        <v>736</v>
      </c>
      <c r="CX207" s="69">
        <f t="shared" si="1885"/>
        <v>59</v>
      </c>
      <c r="CY207" s="11">
        <v>387</v>
      </c>
      <c r="CZ207" s="12">
        <f t="shared" si="1834"/>
        <v>0.54619565217391308</v>
      </c>
      <c r="DA207" s="11">
        <v>15</v>
      </c>
      <c r="DB207" s="12">
        <f t="shared" si="1835"/>
        <v>3.7313432835820892E-2</v>
      </c>
      <c r="DC207" s="13"/>
      <c r="DD207" s="13"/>
      <c r="DE207" s="25"/>
      <c r="DF207" s="38">
        <v>4415</v>
      </c>
      <c r="DG207" s="10"/>
      <c r="DH207" s="11"/>
      <c r="DI207" s="69">
        <f t="shared" si="1886"/>
        <v>741</v>
      </c>
      <c r="DJ207" s="69">
        <f t="shared" si="1887"/>
        <v>59</v>
      </c>
      <c r="DK207" s="11">
        <v>453</v>
      </c>
      <c r="DL207" s="12">
        <f t="shared" si="1836"/>
        <v>0.61808367071524961</v>
      </c>
      <c r="DM207" s="11">
        <v>5</v>
      </c>
      <c r="DN207" s="12">
        <f t="shared" si="1837"/>
        <v>1.0917030567685589E-2</v>
      </c>
      <c r="DO207" s="13"/>
      <c r="DP207" s="13"/>
      <c r="DQ207" s="25"/>
      <c r="DR207" s="38">
        <v>4415</v>
      </c>
      <c r="DS207" s="10"/>
      <c r="DT207" s="11"/>
      <c r="DU207" s="69">
        <f t="shared" si="1888"/>
        <v>824</v>
      </c>
      <c r="DV207" s="69">
        <f t="shared" si="1889"/>
        <v>66</v>
      </c>
      <c r="DW207" s="11">
        <v>473</v>
      </c>
      <c r="DX207" s="12">
        <f t="shared" si="1838"/>
        <v>0.59951456310679607</v>
      </c>
      <c r="DY207" s="11">
        <v>21</v>
      </c>
      <c r="DZ207" s="12">
        <f t="shared" si="1839"/>
        <v>4.2510121457489877E-2</v>
      </c>
      <c r="EA207" s="13"/>
      <c r="EB207" s="13"/>
      <c r="EC207" s="25"/>
      <c r="ED207" s="38">
        <v>4415</v>
      </c>
      <c r="EE207" s="10"/>
      <c r="EF207" s="11"/>
      <c r="EG207" s="69">
        <f t="shared" si="1890"/>
        <v>845</v>
      </c>
      <c r="EH207" s="69">
        <f t="shared" si="1891"/>
        <v>67</v>
      </c>
      <c r="EI207" s="11">
        <v>509</v>
      </c>
      <c r="EJ207" s="12">
        <f t="shared" si="1840"/>
        <v>0.61538461538461542</v>
      </c>
      <c r="EK207" s="11">
        <v>11</v>
      </c>
      <c r="EL207" s="12">
        <f t="shared" si="1841"/>
        <v>2.1153846153846155E-2</v>
      </c>
      <c r="EM207" s="13"/>
      <c r="EN207" s="13"/>
      <c r="EO207" s="25"/>
      <c r="EP207" s="38">
        <v>4415</v>
      </c>
      <c r="EQ207" s="10"/>
      <c r="ER207" s="11"/>
      <c r="ES207" s="69">
        <f t="shared" si="1892"/>
        <v>177</v>
      </c>
      <c r="ET207" s="69">
        <f t="shared" si="1893"/>
        <v>14</v>
      </c>
      <c r="EU207" s="11">
        <v>98</v>
      </c>
      <c r="EV207" s="12">
        <f t="shared" si="1842"/>
        <v>0.58192090395480223</v>
      </c>
      <c r="EW207" s="11">
        <v>5</v>
      </c>
      <c r="EX207" s="12">
        <f t="shared" si="1843"/>
        <v>4.8543689320388349E-2</v>
      </c>
      <c r="EY207" s="13"/>
      <c r="EZ207" s="13"/>
      <c r="FA207" s="25"/>
      <c r="FB207" s="38">
        <v>4415</v>
      </c>
      <c r="FC207" s="10"/>
      <c r="FD207" s="11"/>
      <c r="FE207" s="69">
        <f t="shared" si="1894"/>
        <v>848</v>
      </c>
      <c r="FF207" s="69">
        <f t="shared" si="1895"/>
        <v>67</v>
      </c>
      <c r="FG207" s="11">
        <v>514</v>
      </c>
      <c r="FH207" s="12">
        <f t="shared" si="1844"/>
        <v>0.62382075471698117</v>
      </c>
      <c r="FI207" s="11">
        <v>15</v>
      </c>
      <c r="FJ207" s="12">
        <f t="shared" si="1845"/>
        <v>2.835538752362949E-2</v>
      </c>
      <c r="FK207" s="13"/>
      <c r="FL207" s="13"/>
      <c r="FM207" s="25"/>
      <c r="FN207" s="38">
        <v>4415</v>
      </c>
      <c r="FO207" s="10"/>
      <c r="FP207" s="11"/>
      <c r="FQ207" s="69">
        <f t="shared" si="1896"/>
        <v>877</v>
      </c>
      <c r="FR207" s="69">
        <f t="shared" si="1897"/>
        <v>70</v>
      </c>
      <c r="FS207" s="11">
        <v>504</v>
      </c>
      <c r="FT207" s="12">
        <f t="shared" si="1846"/>
        <v>0.59977194982896243</v>
      </c>
      <c r="FU207" s="11">
        <v>22</v>
      </c>
      <c r="FV207" s="12">
        <f t="shared" si="1847"/>
        <v>4.1825095057034217E-2</v>
      </c>
      <c r="FW207" s="13"/>
      <c r="FX207" s="13"/>
      <c r="FY207" s="25"/>
      <c r="FZ207" s="38">
        <v>4415</v>
      </c>
      <c r="GA207" s="10"/>
      <c r="GB207" s="11"/>
      <c r="GC207" s="69">
        <f t="shared" si="1898"/>
        <v>875</v>
      </c>
      <c r="GD207" s="69">
        <f t="shared" si="1899"/>
        <v>71</v>
      </c>
      <c r="GE207" s="11">
        <v>511</v>
      </c>
      <c r="GF207" s="12">
        <f t="shared" si="1848"/>
        <v>0.59771428571428575</v>
      </c>
      <c r="GG207" s="11">
        <v>12</v>
      </c>
      <c r="GH207" s="12">
        <f t="shared" si="1849"/>
        <v>2.2944550669216062E-2</v>
      </c>
      <c r="GI207" s="13"/>
      <c r="GJ207" s="13"/>
      <c r="GK207" s="25"/>
      <c r="GL207" s="38">
        <v>4415</v>
      </c>
      <c r="GM207" s="10"/>
      <c r="GN207" s="11"/>
      <c r="GO207" s="69">
        <f t="shared" si="1900"/>
        <v>156</v>
      </c>
      <c r="GP207" s="69">
        <f t="shared" si="1901"/>
        <v>12</v>
      </c>
      <c r="GQ207" s="11">
        <v>84</v>
      </c>
      <c r="GR207" s="12">
        <f t="shared" si="1850"/>
        <v>0.54487179487179482</v>
      </c>
      <c r="GS207" s="11">
        <v>1</v>
      </c>
      <c r="GT207" s="12">
        <f t="shared" si="1851"/>
        <v>1.1764705882352941E-2</v>
      </c>
      <c r="GU207" s="13"/>
      <c r="GV207" s="13"/>
      <c r="GW207" s="25"/>
      <c r="GX207" s="38">
        <v>4415</v>
      </c>
      <c r="GY207" s="10"/>
      <c r="GZ207" s="11"/>
      <c r="HA207" s="69">
        <f t="shared" si="1902"/>
        <v>904</v>
      </c>
      <c r="HB207" s="69">
        <f t="shared" si="1903"/>
        <v>73</v>
      </c>
      <c r="HC207" s="11">
        <v>537</v>
      </c>
      <c r="HD207" s="12">
        <f t="shared" si="1852"/>
        <v>0.61172566371681414</v>
      </c>
      <c r="HE207" s="11">
        <v>16</v>
      </c>
      <c r="HF207" s="12">
        <f t="shared" si="1853"/>
        <v>2.8933092224231464E-2</v>
      </c>
      <c r="HG207" s="13"/>
      <c r="HH207" s="13"/>
      <c r="HI207" s="25"/>
      <c r="HJ207" s="38">
        <v>4415</v>
      </c>
      <c r="HK207" s="10">
        <f t="shared" si="1854"/>
        <v>6</v>
      </c>
      <c r="HL207" s="11">
        <f t="shared" si="1855"/>
        <v>0</v>
      </c>
      <c r="HM207" s="11">
        <f t="shared" si="1856"/>
        <v>11927</v>
      </c>
      <c r="HN207" s="11">
        <f t="shared" si="1857"/>
        <v>953</v>
      </c>
      <c r="HO207" s="11">
        <f t="shared" si="1858"/>
        <v>7023</v>
      </c>
      <c r="HP207" s="95">
        <f t="shared" si="1859"/>
        <v>0.58883206170872815</v>
      </c>
      <c r="HQ207" s="15">
        <f t="shared" si="1860"/>
        <v>198</v>
      </c>
      <c r="HR207" s="12">
        <f t="shared" si="1861"/>
        <v>2.8193079880392994E-2</v>
      </c>
      <c r="HS207" s="16">
        <v>65.3</v>
      </c>
      <c r="HT207" s="17">
        <v>6645</v>
      </c>
      <c r="HU207" s="16">
        <f t="shared" si="1862"/>
        <v>94.61768475010679</v>
      </c>
      <c r="HV207" s="23"/>
      <c r="HW207" s="22">
        <v>4415</v>
      </c>
      <c r="HX207" s="73">
        <f t="shared" si="1863"/>
        <v>0.58754623921085081</v>
      </c>
      <c r="HY207" s="73">
        <f t="shared" si="1864"/>
        <v>0.56153604028958137</v>
      </c>
      <c r="HZ207" s="73">
        <f t="shared" si="1865"/>
        <v>0.61098737936154413</v>
      </c>
      <c r="IA207" s="73">
        <f t="shared" si="1866"/>
        <v>0.59992887624466573</v>
      </c>
    </row>
    <row r="208" spans="1:244" x14ac:dyDescent="0.25">
      <c r="A208" s="374"/>
      <c r="B208" s="41">
        <f t="shared" si="1867"/>
        <v>45100</v>
      </c>
      <c r="C208" s="10">
        <v>1</v>
      </c>
      <c r="D208" s="11"/>
      <c r="E208" s="69">
        <f t="shared" si="1868"/>
        <v>820</v>
      </c>
      <c r="F208" s="69">
        <f t="shared" si="1869"/>
        <v>66</v>
      </c>
      <c r="G208" s="11">
        <v>482</v>
      </c>
      <c r="H208" s="12">
        <f t="shared" si="1818"/>
        <v>0.60609756097560974</v>
      </c>
      <c r="I208" s="11">
        <v>15</v>
      </c>
      <c r="J208" s="12">
        <f t="shared" si="1819"/>
        <v>3.0181086519114688E-2</v>
      </c>
      <c r="K208" s="13"/>
      <c r="L208" s="11"/>
      <c r="M208" s="25"/>
      <c r="N208" s="38">
        <v>4588.4615384615381</v>
      </c>
      <c r="O208" s="10"/>
      <c r="P208" s="11"/>
      <c r="Q208" s="69">
        <f t="shared" si="1870"/>
        <v>748</v>
      </c>
      <c r="R208" s="69">
        <f t="shared" si="1871"/>
        <v>60</v>
      </c>
      <c r="S208" s="11">
        <v>410</v>
      </c>
      <c r="T208" s="12">
        <f t="shared" si="1820"/>
        <v>0.5668449197860963</v>
      </c>
      <c r="U208" s="11">
        <v>14</v>
      </c>
      <c r="V208" s="12">
        <f t="shared" si="1821"/>
        <v>3.3018867924528301E-2</v>
      </c>
      <c r="W208" s="13"/>
      <c r="X208" s="11"/>
      <c r="Y208" s="25"/>
      <c r="Z208" s="38">
        <v>4735.3846153846152</v>
      </c>
      <c r="AA208" s="10"/>
      <c r="AB208" s="11"/>
      <c r="AC208" s="69">
        <f t="shared" si="1872"/>
        <v>161</v>
      </c>
      <c r="AD208" s="69">
        <f t="shared" si="1873"/>
        <v>13</v>
      </c>
      <c r="AE208" s="11">
        <v>87</v>
      </c>
      <c r="AF208" s="12">
        <f t="shared" si="1822"/>
        <v>0.57763975155279501</v>
      </c>
      <c r="AG208" s="11">
        <v>6</v>
      </c>
      <c r="AH208" s="12">
        <f t="shared" si="1823"/>
        <v>6.4516129032258063E-2</v>
      </c>
      <c r="AI208" s="13"/>
      <c r="AJ208" s="11"/>
      <c r="AK208" s="25"/>
      <c r="AL208" s="38">
        <v>4383.333333333333</v>
      </c>
      <c r="AM208" s="10"/>
      <c r="AN208" s="11"/>
      <c r="AO208" s="69">
        <f t="shared" si="1874"/>
        <v>761</v>
      </c>
      <c r="AP208" s="69">
        <f t="shared" si="1875"/>
        <v>61</v>
      </c>
      <c r="AQ208" s="11">
        <v>426</v>
      </c>
      <c r="AR208" s="12">
        <f t="shared" si="1824"/>
        <v>0.58475689881734561</v>
      </c>
      <c r="AS208" s="11">
        <v>19</v>
      </c>
      <c r="AT208" s="12">
        <f t="shared" si="1825"/>
        <v>4.2696629213483148E-2</v>
      </c>
      <c r="AU208" s="13"/>
      <c r="AV208" s="11"/>
      <c r="AW208" s="25"/>
      <c r="AX208" s="38">
        <v>4825.3846153846152</v>
      </c>
      <c r="AY208" s="10"/>
      <c r="AZ208" s="11"/>
      <c r="BA208" s="69">
        <f t="shared" si="1876"/>
        <v>753</v>
      </c>
      <c r="BB208" s="69">
        <f t="shared" si="1877"/>
        <v>60</v>
      </c>
      <c r="BC208" s="11">
        <v>446</v>
      </c>
      <c r="BD208" s="12">
        <f t="shared" si="1826"/>
        <v>0.62151394422310757</v>
      </c>
      <c r="BE208" s="11">
        <v>22</v>
      </c>
      <c r="BF208" s="12">
        <f t="shared" si="1827"/>
        <v>4.7008547008547008E-2</v>
      </c>
      <c r="BG208" s="13"/>
      <c r="BH208" s="11"/>
      <c r="BI208" s="25"/>
      <c r="BJ208" s="38">
        <v>5181.4285714285716</v>
      </c>
      <c r="BK208" s="10"/>
      <c r="BL208" s="11"/>
      <c r="BM208" s="69">
        <f t="shared" si="1878"/>
        <v>812</v>
      </c>
      <c r="BN208" s="69">
        <f t="shared" si="1879"/>
        <v>64</v>
      </c>
      <c r="BO208" s="11">
        <v>471</v>
      </c>
      <c r="BP208" s="12">
        <f t="shared" si="1828"/>
        <v>0.59482758620689657</v>
      </c>
      <c r="BQ208" s="11">
        <v>12</v>
      </c>
      <c r="BR208" s="12">
        <f t="shared" si="1829"/>
        <v>2.4844720496894408E-2</v>
      </c>
      <c r="BS208" s="13"/>
      <c r="BT208" s="11"/>
      <c r="BU208" s="25"/>
      <c r="BV208" s="38">
        <v>4418.4615384615381</v>
      </c>
      <c r="BW208" s="10"/>
      <c r="BX208" s="11"/>
      <c r="BY208" s="69">
        <f t="shared" si="1880"/>
        <v>747</v>
      </c>
      <c r="BZ208" s="69">
        <f t="shared" si="1881"/>
        <v>59</v>
      </c>
      <c r="CA208" s="11">
        <v>400</v>
      </c>
      <c r="CB208" s="12">
        <f t="shared" si="1830"/>
        <v>0.55823293172690758</v>
      </c>
      <c r="CC208" s="11">
        <v>17</v>
      </c>
      <c r="CD208" s="12">
        <f t="shared" si="1831"/>
        <v>4.0767386091127102E-2</v>
      </c>
      <c r="CE208" s="13"/>
      <c r="CF208" s="11"/>
      <c r="CG208" s="25"/>
      <c r="CH208" s="38">
        <v>4594.6153846153848</v>
      </c>
      <c r="CI208" s="10">
        <v>1</v>
      </c>
      <c r="CJ208" s="11"/>
      <c r="CK208" s="69">
        <f t="shared" si="1882"/>
        <v>140</v>
      </c>
      <c r="CL208" s="69">
        <f t="shared" si="1883"/>
        <v>12</v>
      </c>
      <c r="CM208" s="11">
        <v>72</v>
      </c>
      <c r="CN208" s="12">
        <f t="shared" si="1832"/>
        <v>0.54285714285714282</v>
      </c>
      <c r="CO208" s="11">
        <v>4</v>
      </c>
      <c r="CP208" s="12">
        <f t="shared" si="1833"/>
        <v>5.2631578947368418E-2</v>
      </c>
      <c r="CQ208" s="13"/>
      <c r="CR208" s="11"/>
      <c r="CS208" s="25"/>
      <c r="CT208" s="38">
        <v>4293.333333333333</v>
      </c>
      <c r="CU208" s="10"/>
      <c r="CV208" s="11"/>
      <c r="CW208" s="69">
        <f t="shared" si="1884"/>
        <v>736</v>
      </c>
      <c r="CX208" s="69">
        <f t="shared" si="1885"/>
        <v>59</v>
      </c>
      <c r="CY208" s="11">
        <v>400</v>
      </c>
      <c r="CZ208" s="12">
        <f t="shared" si="1834"/>
        <v>0.5625</v>
      </c>
      <c r="DA208" s="11">
        <v>14</v>
      </c>
      <c r="DB208" s="12">
        <f t="shared" si="1835"/>
        <v>3.3816425120772944E-2</v>
      </c>
      <c r="DC208" s="13"/>
      <c r="DD208" s="11"/>
      <c r="DE208" s="25"/>
      <c r="DF208" s="38">
        <v>4795</v>
      </c>
      <c r="DG208" s="10"/>
      <c r="DH208" s="11"/>
      <c r="DI208" s="69">
        <f t="shared" si="1886"/>
        <v>741</v>
      </c>
      <c r="DJ208" s="69">
        <f t="shared" si="1887"/>
        <v>59</v>
      </c>
      <c r="DK208" s="11">
        <v>417</v>
      </c>
      <c r="DL208" s="12">
        <f t="shared" si="1836"/>
        <v>0.59109311740890691</v>
      </c>
      <c r="DM208" s="11">
        <v>21</v>
      </c>
      <c r="DN208" s="12">
        <f t="shared" si="1837"/>
        <v>4.7945205479452052E-2</v>
      </c>
      <c r="DO208" s="13"/>
      <c r="DP208" s="11"/>
      <c r="DQ208" s="25"/>
      <c r="DR208" s="38">
        <v>5110.7692307692305</v>
      </c>
      <c r="DS208" s="10"/>
      <c r="DT208" s="11"/>
      <c r="DU208" s="69">
        <f t="shared" si="1888"/>
        <v>824</v>
      </c>
      <c r="DV208" s="69">
        <f t="shared" si="1889"/>
        <v>66</v>
      </c>
      <c r="DW208" s="11">
        <v>457</v>
      </c>
      <c r="DX208" s="12">
        <f t="shared" si="1838"/>
        <v>0.57888349514563109</v>
      </c>
      <c r="DY208" s="11">
        <v>20</v>
      </c>
      <c r="DZ208" s="12">
        <f t="shared" si="1839"/>
        <v>4.1928721174004195E-2</v>
      </c>
      <c r="EA208" s="13"/>
      <c r="EB208" s="11"/>
      <c r="EC208" s="25"/>
      <c r="ED208" s="38">
        <v>4571</v>
      </c>
      <c r="EE208" s="10"/>
      <c r="EF208" s="11"/>
      <c r="EG208" s="69">
        <f t="shared" si="1890"/>
        <v>845</v>
      </c>
      <c r="EH208" s="69">
        <f t="shared" si="1891"/>
        <v>67</v>
      </c>
      <c r="EI208" s="11">
        <v>480</v>
      </c>
      <c r="EJ208" s="12">
        <f t="shared" si="1840"/>
        <v>0.59053254437869818</v>
      </c>
      <c r="EK208" s="11">
        <v>19</v>
      </c>
      <c r="EL208" s="12">
        <f t="shared" si="1841"/>
        <v>3.8076152304609222E-2</v>
      </c>
      <c r="EM208" s="13"/>
      <c r="EN208" s="11"/>
      <c r="EO208" s="25"/>
      <c r="EP208" s="38">
        <v>4687.6923076923076</v>
      </c>
      <c r="EQ208" s="10"/>
      <c r="ER208" s="11"/>
      <c r="ES208" s="69">
        <f t="shared" si="1892"/>
        <v>177</v>
      </c>
      <c r="ET208" s="69">
        <f t="shared" si="1893"/>
        <v>14</v>
      </c>
      <c r="EU208" s="11">
        <v>88</v>
      </c>
      <c r="EV208" s="12">
        <f t="shared" si="1842"/>
        <v>0.50847457627118642</v>
      </c>
      <c r="EW208" s="11">
        <v>2</v>
      </c>
      <c r="EX208" s="12">
        <f t="shared" si="1843"/>
        <v>2.2222222222222223E-2</v>
      </c>
      <c r="EY208" s="13"/>
      <c r="EZ208" s="11"/>
      <c r="FA208" s="25"/>
      <c r="FB208" s="38">
        <v>4236.666666666667</v>
      </c>
      <c r="FC208" s="10"/>
      <c r="FD208" s="11"/>
      <c r="FE208" s="69">
        <f t="shared" si="1894"/>
        <v>848</v>
      </c>
      <c r="FF208" s="69">
        <f t="shared" si="1895"/>
        <v>67</v>
      </c>
      <c r="FG208" s="11">
        <v>492</v>
      </c>
      <c r="FH208" s="12">
        <f t="shared" si="1844"/>
        <v>0.59551886792452835</v>
      </c>
      <c r="FI208" s="11">
        <v>13</v>
      </c>
      <c r="FJ208" s="12">
        <f t="shared" si="1845"/>
        <v>2.5742574257425741E-2</v>
      </c>
      <c r="FK208" s="13"/>
      <c r="FL208" s="11"/>
      <c r="FM208" s="25"/>
      <c r="FN208" s="38">
        <v>4873.333333333333</v>
      </c>
      <c r="FO208" s="10"/>
      <c r="FP208" s="11"/>
      <c r="FQ208" s="69">
        <f t="shared" si="1896"/>
        <v>877</v>
      </c>
      <c r="FR208" s="69">
        <f t="shared" si="1897"/>
        <v>70</v>
      </c>
      <c r="FS208" s="11">
        <v>497</v>
      </c>
      <c r="FT208" s="12">
        <f t="shared" si="1846"/>
        <v>0.58722919042189281</v>
      </c>
      <c r="FU208" s="11">
        <v>18</v>
      </c>
      <c r="FV208" s="12">
        <f t="shared" si="1847"/>
        <v>3.4951456310679613E-2</v>
      </c>
      <c r="FW208" s="13"/>
      <c r="FX208" s="11"/>
      <c r="FY208" s="25"/>
      <c r="FZ208" s="38">
        <v>4533.333333333333</v>
      </c>
      <c r="GA208" s="10"/>
      <c r="GB208" s="11"/>
      <c r="GC208" s="69">
        <f t="shared" si="1898"/>
        <v>875</v>
      </c>
      <c r="GD208" s="69">
        <f t="shared" si="1899"/>
        <v>71</v>
      </c>
      <c r="GE208" s="11">
        <v>475</v>
      </c>
      <c r="GF208" s="12">
        <f t="shared" si="1848"/>
        <v>0.55885714285714283</v>
      </c>
      <c r="GG208" s="11">
        <v>14</v>
      </c>
      <c r="GH208" s="12">
        <f t="shared" si="1849"/>
        <v>2.8629856850715747E-2</v>
      </c>
      <c r="GI208" s="13"/>
      <c r="GJ208" s="11"/>
      <c r="GK208" s="25"/>
      <c r="GL208" s="38">
        <v>4744.166666666667</v>
      </c>
      <c r="GM208" s="10"/>
      <c r="GN208" s="11"/>
      <c r="GO208" s="69">
        <f t="shared" si="1900"/>
        <v>156</v>
      </c>
      <c r="GP208" s="69">
        <f t="shared" si="1901"/>
        <v>12</v>
      </c>
      <c r="GQ208" s="11">
        <v>70</v>
      </c>
      <c r="GR208" s="12">
        <f t="shared" si="1850"/>
        <v>0.46153846153846156</v>
      </c>
      <c r="GS208" s="11">
        <v>2</v>
      </c>
      <c r="GT208" s="12">
        <f t="shared" si="1851"/>
        <v>2.7777777777777776E-2</v>
      </c>
      <c r="GU208" s="13"/>
      <c r="GV208" s="11"/>
      <c r="GW208" s="25"/>
      <c r="GX208" s="38">
        <v>4216.666666666667</v>
      </c>
      <c r="GY208" s="10"/>
      <c r="GZ208" s="11"/>
      <c r="HA208" s="69">
        <f t="shared" si="1902"/>
        <v>904</v>
      </c>
      <c r="HB208" s="69">
        <f t="shared" si="1903"/>
        <v>73</v>
      </c>
      <c r="HC208" s="11">
        <v>525</v>
      </c>
      <c r="HD208" s="12">
        <f t="shared" si="1852"/>
        <v>0.59623893805309736</v>
      </c>
      <c r="HE208" s="11">
        <v>14</v>
      </c>
      <c r="HF208" s="12">
        <f t="shared" si="1853"/>
        <v>2.5974025974025976E-2</v>
      </c>
      <c r="HG208" s="13"/>
      <c r="HH208" s="11"/>
      <c r="HI208" s="25"/>
      <c r="HJ208" s="38">
        <v>5015.454545454545</v>
      </c>
      <c r="HK208" s="10">
        <f t="shared" si="1854"/>
        <v>2</v>
      </c>
      <c r="HL208" s="11">
        <f t="shared" si="1855"/>
        <v>0</v>
      </c>
      <c r="HM208" s="11">
        <f t="shared" si="1856"/>
        <v>11925</v>
      </c>
      <c r="HN208" s="11">
        <f t="shared" si="1857"/>
        <v>953</v>
      </c>
      <c r="HO208" s="11">
        <f t="shared" si="1858"/>
        <v>6941</v>
      </c>
      <c r="HP208" s="95">
        <f t="shared" si="1859"/>
        <v>0.58205450733752617</v>
      </c>
      <c r="HQ208" s="15">
        <f t="shared" si="1860"/>
        <v>246</v>
      </c>
      <c r="HR208" s="12">
        <f t="shared" si="1861"/>
        <v>3.5441579023195502E-2</v>
      </c>
      <c r="HS208" s="16">
        <v>64.7</v>
      </c>
      <c r="HT208" s="17">
        <v>6553</v>
      </c>
      <c r="HU208" s="16">
        <f t="shared" si="1862"/>
        <v>94.410027373577293</v>
      </c>
      <c r="HV208" s="23"/>
      <c r="HW208" s="22">
        <v>4734.677419354839</v>
      </c>
      <c r="HX208" s="73">
        <f t="shared" si="1863"/>
        <v>0.59420289855072461</v>
      </c>
      <c r="HY208" s="73">
        <f t="shared" si="1864"/>
        <v>0.57556675062972296</v>
      </c>
      <c r="HZ208" s="73">
        <f t="shared" si="1865"/>
        <v>0.58314773570898293</v>
      </c>
      <c r="IA208" s="73">
        <f t="shared" si="1866"/>
        <v>0.57432432432432434</v>
      </c>
    </row>
    <row r="209" spans="1:244" x14ac:dyDescent="0.25">
      <c r="A209" s="374"/>
      <c r="B209" s="41">
        <f t="shared" si="1867"/>
        <v>45101</v>
      </c>
      <c r="C209" s="10"/>
      <c r="D209" s="11"/>
      <c r="E209" s="69">
        <f t="shared" si="1868"/>
        <v>820</v>
      </c>
      <c r="F209" s="69">
        <f t="shared" si="1869"/>
        <v>66</v>
      </c>
      <c r="G209" s="11">
        <v>488</v>
      </c>
      <c r="H209" s="12">
        <f t="shared" si="1818"/>
        <v>0.61951219512195121</v>
      </c>
      <c r="I209" s="11">
        <v>20</v>
      </c>
      <c r="J209" s="12">
        <f t="shared" si="1819"/>
        <v>3.937007874015748E-2</v>
      </c>
      <c r="K209" s="13"/>
      <c r="L209" s="11"/>
      <c r="M209" s="39"/>
      <c r="N209" s="43">
        <v>100</v>
      </c>
      <c r="O209" s="10"/>
      <c r="P209" s="11"/>
      <c r="Q209" s="69">
        <f t="shared" si="1870"/>
        <v>748</v>
      </c>
      <c r="R209" s="69">
        <f t="shared" si="1871"/>
        <v>60</v>
      </c>
      <c r="S209" s="11">
        <v>428</v>
      </c>
      <c r="T209" s="12">
        <f t="shared" si="1820"/>
        <v>0.58422459893048129</v>
      </c>
      <c r="U209" s="11">
        <v>9</v>
      </c>
      <c r="V209" s="12">
        <f t="shared" si="1821"/>
        <v>2.0594965675057208E-2</v>
      </c>
      <c r="W209" s="13"/>
      <c r="X209" s="11"/>
      <c r="Y209" s="39"/>
      <c r="Z209" s="43">
        <v>100</v>
      </c>
      <c r="AA209" s="10">
        <v>1</v>
      </c>
      <c r="AB209" s="11"/>
      <c r="AC209" s="69">
        <f t="shared" si="1872"/>
        <v>160</v>
      </c>
      <c r="AD209" s="69">
        <f t="shared" si="1873"/>
        <v>13</v>
      </c>
      <c r="AE209" s="11">
        <v>87</v>
      </c>
      <c r="AF209" s="12">
        <f t="shared" si="1822"/>
        <v>0.55625000000000002</v>
      </c>
      <c r="AG209" s="11">
        <v>2</v>
      </c>
      <c r="AH209" s="12">
        <f t="shared" si="1823"/>
        <v>2.247191011235955E-2</v>
      </c>
      <c r="AI209" s="13"/>
      <c r="AJ209" s="11"/>
      <c r="AK209" s="39"/>
      <c r="AL209" s="43">
        <v>100</v>
      </c>
      <c r="AM209" s="10"/>
      <c r="AN209" s="11"/>
      <c r="AO209" s="69">
        <f t="shared" si="1874"/>
        <v>761</v>
      </c>
      <c r="AP209" s="69">
        <f t="shared" si="1875"/>
        <v>61</v>
      </c>
      <c r="AQ209" s="11">
        <v>433</v>
      </c>
      <c r="AR209" s="12">
        <f t="shared" si="1824"/>
        <v>0.58607095926412611</v>
      </c>
      <c r="AS209" s="11">
        <v>13</v>
      </c>
      <c r="AT209" s="12">
        <f t="shared" si="1825"/>
        <v>2.914798206278027E-2</v>
      </c>
      <c r="AU209" s="13"/>
      <c r="AV209" s="11"/>
      <c r="AW209" s="39"/>
      <c r="AX209" s="43">
        <v>100</v>
      </c>
      <c r="AY209" s="10"/>
      <c r="AZ209" s="11"/>
      <c r="BA209" s="69">
        <f t="shared" si="1876"/>
        <v>753</v>
      </c>
      <c r="BB209" s="69">
        <f t="shared" si="1877"/>
        <v>60</v>
      </c>
      <c r="BC209" s="11">
        <v>426</v>
      </c>
      <c r="BD209" s="12">
        <f t="shared" si="1826"/>
        <v>0.58432934926958835</v>
      </c>
      <c r="BE209" s="11">
        <v>14</v>
      </c>
      <c r="BF209" s="12">
        <f t="shared" si="1827"/>
        <v>3.1818181818181815E-2</v>
      </c>
      <c r="BG209" s="13"/>
      <c r="BH209" s="11"/>
      <c r="BI209" s="39"/>
      <c r="BJ209" s="43">
        <v>85.714285714285708</v>
      </c>
      <c r="BK209" s="10">
        <v>1</v>
      </c>
      <c r="BL209" s="11"/>
      <c r="BM209" s="69">
        <f t="shared" si="1878"/>
        <v>811</v>
      </c>
      <c r="BN209" s="69">
        <f t="shared" si="1879"/>
        <v>64</v>
      </c>
      <c r="BO209" s="11">
        <v>465</v>
      </c>
      <c r="BP209" s="12">
        <f t="shared" si="1828"/>
        <v>0.59556103575832309</v>
      </c>
      <c r="BQ209" s="11">
        <v>18</v>
      </c>
      <c r="BR209" s="12">
        <f t="shared" si="1829"/>
        <v>3.7267080745341616E-2</v>
      </c>
      <c r="BS209" s="13"/>
      <c r="BT209" s="11"/>
      <c r="BU209" s="39"/>
      <c r="BV209" s="43">
        <v>100</v>
      </c>
      <c r="BW209" s="10"/>
      <c r="BX209" s="11"/>
      <c r="BY209" s="69">
        <f t="shared" si="1880"/>
        <v>747</v>
      </c>
      <c r="BZ209" s="69">
        <f t="shared" si="1881"/>
        <v>59</v>
      </c>
      <c r="CA209" s="11">
        <v>418</v>
      </c>
      <c r="CB209" s="12">
        <f t="shared" si="1830"/>
        <v>0.57429718875502012</v>
      </c>
      <c r="CC209" s="11">
        <v>11</v>
      </c>
      <c r="CD209" s="12">
        <f t="shared" si="1831"/>
        <v>2.564102564102564E-2</v>
      </c>
      <c r="CE209" s="13"/>
      <c r="CF209" s="11"/>
      <c r="CG209" s="39"/>
      <c r="CH209" s="43">
        <v>100</v>
      </c>
      <c r="CI209" s="10"/>
      <c r="CJ209" s="11"/>
      <c r="CK209" s="69">
        <f t="shared" si="1882"/>
        <v>140</v>
      </c>
      <c r="CL209" s="69">
        <f t="shared" si="1883"/>
        <v>12</v>
      </c>
      <c r="CM209" s="11">
        <v>70</v>
      </c>
      <c r="CN209" s="12">
        <f t="shared" si="1832"/>
        <v>0.52142857142857146</v>
      </c>
      <c r="CO209" s="11">
        <v>3</v>
      </c>
      <c r="CP209" s="12">
        <f t="shared" si="1833"/>
        <v>4.1095890410958902E-2</v>
      </c>
      <c r="CQ209" s="13"/>
      <c r="CR209" s="11"/>
      <c r="CS209" s="39"/>
      <c r="CT209" s="43">
        <v>100</v>
      </c>
      <c r="CU209" s="10"/>
      <c r="CV209" s="11"/>
      <c r="CW209" s="69">
        <f t="shared" si="1884"/>
        <v>736</v>
      </c>
      <c r="CX209" s="69">
        <f t="shared" si="1885"/>
        <v>59</v>
      </c>
      <c r="CY209" s="11">
        <v>426</v>
      </c>
      <c r="CZ209" s="12">
        <f t="shared" si="1834"/>
        <v>0.59103260869565222</v>
      </c>
      <c r="DA209" s="11">
        <v>9</v>
      </c>
      <c r="DB209" s="12">
        <f t="shared" si="1835"/>
        <v>2.0689655172413793E-2</v>
      </c>
      <c r="DC209" s="13"/>
      <c r="DD209" s="11"/>
      <c r="DE209" s="39"/>
      <c r="DF209" s="43">
        <v>100</v>
      </c>
      <c r="DG209" s="10"/>
      <c r="DH209" s="11"/>
      <c r="DI209" s="69">
        <f t="shared" si="1886"/>
        <v>741</v>
      </c>
      <c r="DJ209" s="69">
        <f t="shared" si="1887"/>
        <v>59</v>
      </c>
      <c r="DK209" s="11">
        <v>417</v>
      </c>
      <c r="DL209" s="12">
        <f t="shared" si="1836"/>
        <v>0.58029689608636981</v>
      </c>
      <c r="DM209" s="11">
        <v>13</v>
      </c>
      <c r="DN209" s="12">
        <f t="shared" si="1837"/>
        <v>3.0232558139534883E-2</v>
      </c>
      <c r="DO209" s="13"/>
      <c r="DP209" s="11"/>
      <c r="DQ209" s="39"/>
      <c r="DR209" s="43">
        <v>92.307692307692307</v>
      </c>
      <c r="DS209" s="10">
        <v>2</v>
      </c>
      <c r="DT209" s="11"/>
      <c r="DU209" s="69">
        <f t="shared" si="1888"/>
        <v>822</v>
      </c>
      <c r="DV209" s="69">
        <f t="shared" si="1889"/>
        <v>66</v>
      </c>
      <c r="DW209" s="11">
        <v>451</v>
      </c>
      <c r="DX209" s="12">
        <f t="shared" si="1838"/>
        <v>0.57907542579075422</v>
      </c>
      <c r="DY209" s="11">
        <v>25</v>
      </c>
      <c r="DZ209" s="12">
        <f t="shared" si="1839"/>
        <v>5.2521008403361345E-2</v>
      </c>
      <c r="EA209" s="13"/>
      <c r="EB209" s="11"/>
      <c r="EC209" s="39"/>
      <c r="ED209" s="43">
        <v>100</v>
      </c>
      <c r="EE209" s="10"/>
      <c r="EF209" s="11"/>
      <c r="EG209" s="69">
        <f t="shared" si="1890"/>
        <v>845</v>
      </c>
      <c r="EH209" s="69">
        <f t="shared" si="1891"/>
        <v>67</v>
      </c>
      <c r="EI209" s="11">
        <v>482</v>
      </c>
      <c r="EJ209" s="12">
        <f t="shared" si="1840"/>
        <v>0.59881656804733729</v>
      </c>
      <c r="EK209" s="11">
        <v>24</v>
      </c>
      <c r="EL209" s="12">
        <f t="shared" si="1841"/>
        <v>4.7430830039525688E-2</v>
      </c>
      <c r="EM209" s="13"/>
      <c r="EN209" s="11"/>
      <c r="EO209" s="39"/>
      <c r="EP209" s="43">
        <v>100</v>
      </c>
      <c r="EQ209" s="10"/>
      <c r="ER209" s="11"/>
      <c r="ES209" s="69">
        <f t="shared" si="1892"/>
        <v>177</v>
      </c>
      <c r="ET209" s="69">
        <f t="shared" si="1893"/>
        <v>14</v>
      </c>
      <c r="EU209" s="11">
        <v>82</v>
      </c>
      <c r="EV209" s="12">
        <f t="shared" si="1842"/>
        <v>0.50282485875706218</v>
      </c>
      <c r="EW209" s="11">
        <v>7</v>
      </c>
      <c r="EX209" s="12">
        <f t="shared" si="1843"/>
        <v>7.8651685393258425E-2</v>
      </c>
      <c r="EY209" s="13"/>
      <c r="EZ209" s="11"/>
      <c r="FA209" s="39"/>
      <c r="FB209" s="43">
        <v>100</v>
      </c>
      <c r="FC209" s="10"/>
      <c r="FD209" s="11"/>
      <c r="FE209" s="69">
        <f t="shared" si="1894"/>
        <v>848</v>
      </c>
      <c r="FF209" s="69">
        <f t="shared" si="1895"/>
        <v>67</v>
      </c>
      <c r="FG209" s="11">
        <v>493</v>
      </c>
      <c r="FH209" s="12">
        <f t="shared" si="1844"/>
        <v>0.59905660377358494</v>
      </c>
      <c r="FI209" s="11">
        <v>15</v>
      </c>
      <c r="FJ209" s="12">
        <f t="shared" si="1845"/>
        <v>2.952755905511811E-2</v>
      </c>
      <c r="FK209" s="13"/>
      <c r="FL209" s="11"/>
      <c r="FM209" s="39"/>
      <c r="FN209" s="43">
        <v>58.333333333333336</v>
      </c>
      <c r="FO209" s="10">
        <v>1</v>
      </c>
      <c r="FP209" s="11"/>
      <c r="FQ209" s="69">
        <f t="shared" si="1896"/>
        <v>876</v>
      </c>
      <c r="FR209" s="69">
        <f t="shared" si="1897"/>
        <v>70</v>
      </c>
      <c r="FS209" s="11">
        <v>474</v>
      </c>
      <c r="FT209" s="12">
        <f t="shared" si="1846"/>
        <v>0.56963470319634701</v>
      </c>
      <c r="FU209" s="11">
        <v>25</v>
      </c>
      <c r="FV209" s="12">
        <f t="shared" si="1847"/>
        <v>5.0100200400801605E-2</v>
      </c>
      <c r="FW209" s="13"/>
      <c r="FX209" s="11"/>
      <c r="FY209" s="39"/>
      <c r="FZ209" s="43">
        <v>100</v>
      </c>
      <c r="GA209" s="10"/>
      <c r="GB209" s="11"/>
      <c r="GC209" s="69">
        <f t="shared" si="1898"/>
        <v>875</v>
      </c>
      <c r="GD209" s="69">
        <f t="shared" si="1899"/>
        <v>71</v>
      </c>
      <c r="GE209" s="11">
        <v>503</v>
      </c>
      <c r="GF209" s="12">
        <f t="shared" si="1848"/>
        <v>0.59199999999999997</v>
      </c>
      <c r="GG209" s="11">
        <v>15</v>
      </c>
      <c r="GH209" s="12">
        <f t="shared" si="1849"/>
        <v>2.8957528957528959E-2</v>
      </c>
      <c r="GI209" s="13"/>
      <c r="GJ209" s="11"/>
      <c r="GK209" s="39"/>
      <c r="GL209" s="43">
        <v>100</v>
      </c>
      <c r="GM209" s="10"/>
      <c r="GN209" s="11"/>
      <c r="GO209" s="69">
        <f t="shared" si="1900"/>
        <v>156</v>
      </c>
      <c r="GP209" s="69">
        <f t="shared" si="1901"/>
        <v>12</v>
      </c>
      <c r="GQ209" s="11">
        <v>78</v>
      </c>
      <c r="GR209" s="12">
        <f t="shared" si="1850"/>
        <v>0.52564102564102566</v>
      </c>
      <c r="GS209" s="11">
        <v>4</v>
      </c>
      <c r="GT209" s="12">
        <f t="shared" si="1851"/>
        <v>4.878048780487805E-2</v>
      </c>
      <c r="GU209" s="13"/>
      <c r="GV209" s="11"/>
      <c r="GW209" s="39"/>
      <c r="GX209" s="43">
        <v>100</v>
      </c>
      <c r="GY209" s="10">
        <v>1</v>
      </c>
      <c r="GZ209" s="11"/>
      <c r="HA209" s="69">
        <f t="shared" si="1902"/>
        <v>903</v>
      </c>
      <c r="HB209" s="69">
        <f t="shared" si="1903"/>
        <v>73</v>
      </c>
      <c r="HC209" s="11">
        <v>496</v>
      </c>
      <c r="HD209" s="12">
        <f t="shared" si="1852"/>
        <v>0.56256921373200441</v>
      </c>
      <c r="HE209" s="11">
        <v>12</v>
      </c>
      <c r="HF209" s="12">
        <f t="shared" si="1853"/>
        <v>2.3622047244094488E-2</v>
      </c>
      <c r="HG209" s="13"/>
      <c r="HH209" s="11"/>
      <c r="HI209" s="39"/>
      <c r="HJ209" s="43">
        <v>100</v>
      </c>
      <c r="HK209" s="10">
        <f t="shared" si="1854"/>
        <v>6</v>
      </c>
      <c r="HL209" s="11">
        <f t="shared" si="1855"/>
        <v>0</v>
      </c>
      <c r="HM209" s="11">
        <f t="shared" si="1856"/>
        <v>11919</v>
      </c>
      <c r="HN209" s="11">
        <f t="shared" si="1857"/>
        <v>953</v>
      </c>
      <c r="HO209" s="11">
        <f t="shared" si="1858"/>
        <v>6956</v>
      </c>
      <c r="HP209" s="95">
        <f t="shared" si="1859"/>
        <v>0.58360600721537037</v>
      </c>
      <c r="HQ209" s="15">
        <f t="shared" si="1860"/>
        <v>239</v>
      </c>
      <c r="HR209" s="12">
        <f t="shared" si="1861"/>
        <v>3.43588269120184E-2</v>
      </c>
      <c r="HS209" s="16">
        <v>65.5</v>
      </c>
      <c r="HT209" s="17">
        <v>6584</v>
      </c>
      <c r="HU209" s="16">
        <f t="shared" si="1862"/>
        <v>94.652098907418065</v>
      </c>
      <c r="HV209" s="23"/>
      <c r="HW209" s="22">
        <v>86.021505376344081</v>
      </c>
      <c r="HX209" s="73">
        <f t="shared" si="1863"/>
        <v>0.59222702035780384</v>
      </c>
      <c r="HY209" s="73">
        <f t="shared" si="1864"/>
        <v>0.58267716535433067</v>
      </c>
      <c r="HZ209" s="73">
        <f t="shared" si="1865"/>
        <v>0.58655274888558695</v>
      </c>
      <c r="IA209" s="73">
        <f t="shared" si="1866"/>
        <v>0.57188612099644132</v>
      </c>
      <c r="IF209" s="85">
        <f>IF210/IF211</f>
        <v>2.1545090797168358E-3</v>
      </c>
      <c r="IG209" s="85">
        <f>IG210/IG211</f>
        <v>4.3900909375979933E-3</v>
      </c>
      <c r="IH209" s="85">
        <f>IH210/IH211</f>
        <v>1.483679525222552E-3</v>
      </c>
      <c r="II209" s="85">
        <f>II210/II211</f>
        <v>1.0664770707429791E-3</v>
      </c>
      <c r="IJ209" s="88" t="s">
        <v>90</v>
      </c>
    </row>
    <row r="210" spans="1:244" ht="19.5" thickBot="1" x14ac:dyDescent="0.3">
      <c r="A210" s="374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3326</v>
      </c>
      <c r="H210" s="28">
        <f>((G210+I210)/7)/E209</f>
        <v>0.59756097560975607</v>
      </c>
      <c r="I210" s="27">
        <f>SUM(I203:I209)</f>
        <v>104</v>
      </c>
      <c r="J210" s="28">
        <f>(I210/(I210+G210))</f>
        <v>3.0320699708454812E-2</v>
      </c>
      <c r="K210" s="27"/>
      <c r="L210" s="27"/>
      <c r="M210" s="29" t="e">
        <f>M208/M207*100-100</f>
        <v>#DIV/0!</v>
      </c>
      <c r="N210" s="67">
        <f>N208/N207*100-100</f>
        <v>3.9289136684380139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2954</v>
      </c>
      <c r="T210" s="28">
        <f>((S210+U210)/7)/Q209</f>
        <v>0.5802139037433155</v>
      </c>
      <c r="U210" s="27">
        <f>SUM(U203:U209)</f>
        <v>84</v>
      </c>
      <c r="V210" s="28">
        <f>(U210/(U210+S210))</f>
        <v>2.7649769585253458E-2</v>
      </c>
      <c r="W210" s="27"/>
      <c r="X210" s="27"/>
      <c r="Y210" s="29" t="e">
        <f>Y208/Y207*100-100</f>
        <v>#DIV/0!</v>
      </c>
      <c r="Z210" s="67">
        <f>Z208/Z207*100-100</f>
        <v>7.2567296802857442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641</v>
      </c>
      <c r="AF210" s="28">
        <f>((AE210+AG210)/7)/AC209</f>
        <v>0.59017857142857144</v>
      </c>
      <c r="AG210" s="27">
        <f>SUM(AG203:AG209)</f>
        <v>20</v>
      </c>
      <c r="AH210" s="28">
        <f>(AG210/(AG210+AE210))</f>
        <v>3.0257186081694403E-2</v>
      </c>
      <c r="AI210" s="27"/>
      <c r="AJ210" s="27"/>
      <c r="AK210" s="29" t="e">
        <f>AK208/AK207*100-100</f>
        <v>#DIV/0!</v>
      </c>
      <c r="AL210" s="67">
        <f>AL208/AL207*100-100</f>
        <v>-0.71725179312949194</v>
      </c>
      <c r="AM210" s="26">
        <f>SUM(AM203:AM209)</f>
        <v>2</v>
      </c>
      <c r="AN210" s="27">
        <f>SUM(AN203:AN209)</f>
        <v>0</v>
      </c>
      <c r="AO210" s="27"/>
      <c r="AP210" s="27"/>
      <c r="AQ210" s="27">
        <f>SUM(AQ203:AQ209)</f>
        <v>2956</v>
      </c>
      <c r="AR210" s="28">
        <f>((AQ210+AS210)/7)/AO209</f>
        <v>0.5714285714285714</v>
      </c>
      <c r="AS210" s="27">
        <f>SUM(AS203:AS209)</f>
        <v>88</v>
      </c>
      <c r="AT210" s="28">
        <f>(AS210/(AS210+AQ210))</f>
        <v>2.8909329829172142E-2</v>
      </c>
      <c r="AU210" s="27"/>
      <c r="AV210" s="27"/>
      <c r="AW210" s="29" t="e">
        <f>AW208/AW207*100-100</f>
        <v>#DIV/0!</v>
      </c>
      <c r="AX210" s="67">
        <f>AX208/AX207*100-100</f>
        <v>9.2952347765484831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3141</v>
      </c>
      <c r="BD210" s="28">
        <f>((BC210+BE210)/7)/BA209</f>
        <v>0.61145892619996212</v>
      </c>
      <c r="BE210" s="27">
        <f>SUM(BE203:BE209)</f>
        <v>82</v>
      </c>
      <c r="BF210" s="28">
        <f>(BE210/(BE210+BC210))</f>
        <v>2.5442134657151724E-2</v>
      </c>
      <c r="BG210" s="27"/>
      <c r="BH210" s="27"/>
      <c r="BI210" s="29" t="e">
        <f>BI208/BI207*100-100</f>
        <v>#DIV/0!</v>
      </c>
      <c r="BJ210" s="67">
        <f>BJ208/BJ207*100-100</f>
        <v>17.359650541983498</v>
      </c>
      <c r="BK210" s="26">
        <f>SUM(BK203:BK209)</f>
        <v>2</v>
      </c>
      <c r="BL210" s="27">
        <f>SUM(BL203:BL209)</f>
        <v>0</v>
      </c>
      <c r="BM210" s="27"/>
      <c r="BN210" s="27"/>
      <c r="BO210" s="27">
        <f>SUM(BO203:BO209)</f>
        <v>3203</v>
      </c>
      <c r="BP210" s="28">
        <f>((BO210+BQ210)/7)/BM209</f>
        <v>0.58129293641007573</v>
      </c>
      <c r="BQ210" s="27">
        <f>SUM(BQ203:BQ209)</f>
        <v>97</v>
      </c>
      <c r="BR210" s="28">
        <f>(BQ210/(BQ210+BO210))</f>
        <v>2.9393939393939392E-2</v>
      </c>
      <c r="BS210" s="27"/>
      <c r="BT210" s="27"/>
      <c r="BU210" s="29" t="e">
        <f>BU208/BU207*100-100</f>
        <v>#DIV/0!</v>
      </c>
      <c r="BV210" s="67">
        <f>BV208/BV207*100-100</f>
        <v>7.8404042163953136E-2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2874</v>
      </c>
      <c r="CB210" s="28">
        <f>((CA210+CC210)/7)/BY209</f>
        <v>0.56473513100019124</v>
      </c>
      <c r="CC210" s="27">
        <f>SUM(CC203:CC209)</f>
        <v>79</v>
      </c>
      <c r="CD210" s="28">
        <f>(CC210/(CC210+CA210))</f>
        <v>2.6752455130375889E-2</v>
      </c>
      <c r="CE210" s="27"/>
      <c r="CF210" s="27"/>
      <c r="CG210" s="29" t="e">
        <f>CG208/CG207*100-100</f>
        <v>#DIV/0!</v>
      </c>
      <c r="CH210" s="67">
        <f>CH208/CH207*100-100</f>
        <v>4.0682986322850354</v>
      </c>
      <c r="CI210" s="26">
        <f>SUM(CI203:CI209)</f>
        <v>9</v>
      </c>
      <c r="CJ210" s="27">
        <f>SUM(CJ203:CJ209)</f>
        <v>0</v>
      </c>
      <c r="CK210" s="27"/>
      <c r="CL210" s="27"/>
      <c r="CM210" s="27">
        <f>SUM(CM203:CM209)</f>
        <v>498</v>
      </c>
      <c r="CN210" s="28">
        <f>((CM210+CO210)/7)/CK209</f>
        <v>0.52857142857142858</v>
      </c>
      <c r="CO210" s="27">
        <f>SUM(CO203:CO209)</f>
        <v>20</v>
      </c>
      <c r="CP210" s="28">
        <f>(CO210/(CO210+CM210))</f>
        <v>3.8610038610038609E-2</v>
      </c>
      <c r="CQ210" s="27"/>
      <c r="CR210" s="27"/>
      <c r="CS210" s="29" t="e">
        <f>CS208/CS207*100-100</f>
        <v>#DIV/0!</v>
      </c>
      <c r="CT210" s="67">
        <f>CT208/CT207*100-100</f>
        <v>-2.7557568893922308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2851</v>
      </c>
      <c r="CZ210" s="28">
        <f>((CY210+DA210)/7)/CW209</f>
        <v>0.56754658385093171</v>
      </c>
      <c r="DA210" s="27">
        <f>SUM(DA203:DA209)</f>
        <v>73</v>
      </c>
      <c r="DB210" s="28">
        <f>(DA210/(DA210+CY210))</f>
        <v>2.4965800273597811E-2</v>
      </c>
      <c r="DC210" s="27"/>
      <c r="DD210" s="27"/>
      <c r="DE210" s="29" t="e">
        <f>DE208/DE207*100-100</f>
        <v>#DIV/0!</v>
      </c>
      <c r="DF210" s="67">
        <f>DF208/DF207*100-100</f>
        <v>8.6070215175537896</v>
      </c>
      <c r="DG210" s="26">
        <f>SUM(DG203:DG209)</f>
        <v>1</v>
      </c>
      <c r="DH210" s="27">
        <f>SUM(DH203:DH209)</f>
        <v>0</v>
      </c>
      <c r="DI210" s="27"/>
      <c r="DJ210" s="27"/>
      <c r="DK210" s="27">
        <f>SUM(DK203:DK209)</f>
        <v>3052</v>
      </c>
      <c r="DL210" s="28">
        <f>((DK210+DM210)/7)/DI209</f>
        <v>0.60246770773086566</v>
      </c>
      <c r="DM210" s="27">
        <f>SUM(DM203:DM209)</f>
        <v>73</v>
      </c>
      <c r="DN210" s="28">
        <f>(DM210/(DM210+DK210))</f>
        <v>2.3359999999999999E-2</v>
      </c>
      <c r="DO210" s="27"/>
      <c r="DP210" s="27"/>
      <c r="DQ210" s="29" t="e">
        <f>DQ208/DQ207*100-100</f>
        <v>#DIV/0!</v>
      </c>
      <c r="DR210" s="67">
        <f>DR208/DR207*100-100</f>
        <v>15.759212474954268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3175</v>
      </c>
      <c r="DX210" s="28">
        <f>((DW210+DY210)/7)/DU209</f>
        <v>0.57629475147723319</v>
      </c>
      <c r="DY210" s="27">
        <f>SUM(DY203:DY209)</f>
        <v>141</v>
      </c>
      <c r="DZ210" s="28">
        <f>(DY210/(DY210+DW210))</f>
        <v>4.2521109770808203E-2</v>
      </c>
      <c r="EA210" s="27"/>
      <c r="EB210" s="27"/>
      <c r="EC210" s="29" t="e">
        <f>EC208/EC207*100-100</f>
        <v>#DIV/0!</v>
      </c>
      <c r="ED210" s="67">
        <f>ED208/ED207*100-100</f>
        <v>3.5334088335220883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3379</v>
      </c>
      <c r="EJ210" s="28">
        <f>((EI210+EK210)/7)/EG209</f>
        <v>0.59340659340659341</v>
      </c>
      <c r="EK210" s="27">
        <f>SUM(EK203:EK209)</f>
        <v>131</v>
      </c>
      <c r="EL210" s="28">
        <f>(EK210/(EK210+EI210))</f>
        <v>3.7321937321937323E-2</v>
      </c>
      <c r="EM210" s="27"/>
      <c r="EN210" s="27"/>
      <c r="EO210" s="29" t="e">
        <f>EO208/EO207*100-100</f>
        <v>#DIV/0!</v>
      </c>
      <c r="EP210" s="67">
        <f>EP208/EP207*100-100</f>
        <v>6.1764962104712993</v>
      </c>
      <c r="EQ210" s="26">
        <f>SUM(EQ203:EQ209)</f>
        <v>1</v>
      </c>
      <c r="ER210" s="27">
        <f>SUM(ER203:ER209)</f>
        <v>0</v>
      </c>
      <c r="ES210" s="27"/>
      <c r="ET210" s="27"/>
      <c r="EU210" s="27">
        <f>SUM(EU203:EU209)</f>
        <v>615</v>
      </c>
      <c r="EV210" s="28">
        <f>((EU210+EW210)/7)/ES209</f>
        <v>0.52219531880548831</v>
      </c>
      <c r="EW210" s="27">
        <f>SUM(EW203:EW209)</f>
        <v>32</v>
      </c>
      <c r="EX210" s="28">
        <f>(EW210/(EW210+EU210))</f>
        <v>4.945904173106646E-2</v>
      </c>
      <c r="EY210" s="27"/>
      <c r="EZ210" s="27"/>
      <c r="FA210" s="29" t="e">
        <f>FA208/FA207*100-100</f>
        <v>#DIV/0!</v>
      </c>
      <c r="FB210" s="67">
        <f>FB208/FB207*100-100</f>
        <v>-4.0392600981502369</v>
      </c>
      <c r="FC210" s="26">
        <f>SUM(FC203:FC209)</f>
        <v>1</v>
      </c>
      <c r="FD210" s="27">
        <f>SUM(FD203:FD209)</f>
        <v>0</v>
      </c>
      <c r="FE210" s="27"/>
      <c r="FF210" s="27"/>
      <c r="FG210" s="27">
        <f>SUM(FG203:FG209)</f>
        <v>3438</v>
      </c>
      <c r="FH210" s="28">
        <f>((FG210+FI210)/7)/FE209</f>
        <v>0.59349730458221028</v>
      </c>
      <c r="FI210" s="27">
        <f>SUM(FI203:FI209)</f>
        <v>85</v>
      </c>
      <c r="FJ210" s="28">
        <f>(FI210/(FI210+FG210))</f>
        <v>2.4127164348566564E-2</v>
      </c>
      <c r="FK210" s="27"/>
      <c r="FL210" s="27"/>
      <c r="FM210" s="29" t="e">
        <f>FM208/FM207*100-100</f>
        <v>#DIV/0!</v>
      </c>
      <c r="FN210" s="67">
        <f>FN208/FN207*100-100</f>
        <v>10.381275953189871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3427</v>
      </c>
      <c r="FT210" s="28">
        <f>((FS210+FU210)/7)/FQ209</f>
        <v>0.58365949119373772</v>
      </c>
      <c r="FU210" s="27">
        <f>SUM(FU203:FU209)</f>
        <v>152</v>
      </c>
      <c r="FV210" s="28">
        <f>(FU210/(FU210+FS210))</f>
        <v>4.246996367700475E-2</v>
      </c>
      <c r="FW210" s="27"/>
      <c r="FX210" s="27"/>
      <c r="FY210" s="29" t="e">
        <f>FY208/FY207*100-100</f>
        <v>#DIV/0!</v>
      </c>
      <c r="FZ210" s="67">
        <f>FZ208/FZ207*100-100</f>
        <v>2.6802567006417348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3438</v>
      </c>
      <c r="GF210" s="28">
        <f>((GE210+GG210)/7)/GC209</f>
        <v>0.57599999999999996</v>
      </c>
      <c r="GG210" s="27">
        <f>SUM(GG203:GG209)</f>
        <v>90</v>
      </c>
      <c r="GH210" s="28">
        <f>(GG210/(GG210+GE210))</f>
        <v>2.5510204081632654E-2</v>
      </c>
      <c r="GI210" s="27"/>
      <c r="GJ210" s="27"/>
      <c r="GK210" s="29" t="e">
        <f>GK208/GK207*100-100</f>
        <v>#DIV/0!</v>
      </c>
      <c r="GL210" s="67">
        <f>GL208/GL207*100-100</f>
        <v>7.4556436391091125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543</v>
      </c>
      <c r="GR210" s="28">
        <f>((GQ210+GS210)/7)/GO209</f>
        <v>0.51648351648351642</v>
      </c>
      <c r="GS210" s="27">
        <f>SUM(GS203:GS209)</f>
        <v>21</v>
      </c>
      <c r="GT210" s="28">
        <f>(GS210/(GS210+GQ210))</f>
        <v>3.7234042553191488E-2</v>
      </c>
      <c r="GU210" s="27"/>
      <c r="GV210" s="27"/>
      <c r="GW210" s="29" t="e">
        <f>GW208/GW207*100-100</f>
        <v>#DIV/0!</v>
      </c>
      <c r="GX210" s="67">
        <f>GX208/GX207*100-100</f>
        <v>-4.4922612306530709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3632</v>
      </c>
      <c r="HD210" s="28">
        <f>((HC210+HE210)/7)/HA209</f>
        <v>0.5885144755576649</v>
      </c>
      <c r="HE210" s="27">
        <f>SUM(HE203:HE209)</f>
        <v>88</v>
      </c>
      <c r="HF210" s="28">
        <f>(HE210/(HE210+HC210))</f>
        <v>2.3655913978494623E-2</v>
      </c>
      <c r="HG210" s="27"/>
      <c r="HH210" s="27"/>
      <c r="HI210" s="29" t="e">
        <f>HI208/HI207*100-100</f>
        <v>#DIV/0!</v>
      </c>
      <c r="HJ210" s="67">
        <f>HJ208/HJ207*100-100</f>
        <v>13.600329455369092</v>
      </c>
      <c r="HK210" s="26">
        <f t="shared" si="1854"/>
        <v>28</v>
      </c>
      <c r="HL210" s="27">
        <f t="shared" si="1855"/>
        <v>0</v>
      </c>
      <c r="HM210" s="27">
        <f t="shared" si="1856"/>
        <v>0</v>
      </c>
      <c r="HN210" s="27">
        <f t="shared" si="1857"/>
        <v>0</v>
      </c>
      <c r="HO210" s="27">
        <f t="shared" si="1858"/>
        <v>48603</v>
      </c>
      <c r="HP210" s="96">
        <f>+((HO210)/HM209)/7</f>
        <v>0.58253928301751112</v>
      </c>
      <c r="HQ210" s="62">
        <f t="shared" si="1860"/>
        <v>1460</v>
      </c>
      <c r="HR210" s="52">
        <f t="shared" si="1861"/>
        <v>3.0039297985721046E-2</v>
      </c>
      <c r="HS210" s="53">
        <f>SUM(HS203:HS209)/7</f>
        <v>65.171428571428564</v>
      </c>
      <c r="HT210" s="54">
        <f>SUM(HT203:HT209)</f>
        <v>46036</v>
      </c>
      <c r="HU210" s="53">
        <f>AVERAGE(HU203:HU209)</f>
        <v>94.717267347838998</v>
      </c>
      <c r="HV210" s="63" t="e">
        <f>HV208/HV207*100-100</f>
        <v>#DIV/0!</v>
      </c>
      <c r="HW210" s="67">
        <f>HW208/HW207*100-100</f>
        <v>7.2407116501662188</v>
      </c>
      <c r="HX210" s="73">
        <f>SUM(G210,I210,S210,U210,AE210,AG210,AQ210,AS210,BC210,BE210)/7/SUM(E209,Q209,AC209,AO209,BA209)</f>
        <v>0.59028818189829912</v>
      </c>
      <c r="HY210" s="73">
        <f>SUM(BO210,BQ210,CA210,CC210,CM210,CO210,CY210,DA210,DK210,DM210)/7/SUM(BM209,BY209,CK209,CW209,DI209)</f>
        <v>0.57682789651293587</v>
      </c>
      <c r="HZ210" s="73">
        <f>SUM(DW210,DY210,EI210,EK210,EU210,EW210,FG210,FI210)/7/SUM(DU209,EG209,ES209,FE209)</f>
        <v>0.58352791339418386</v>
      </c>
      <c r="IA210" s="73">
        <f>SUM(FS210,FU210,GE210,GG210,GQ210,GS210,HC210,HE210)/7/SUM(FQ209,GC209,GO209,HA209)</f>
        <v>0.57910523640061007</v>
      </c>
      <c r="IB210" s="84">
        <f>SUM(I210,U210,AG210,AS210,BE210)/SUM(G210,I210,S210,U210,AE210,AG210,AQ210,AS210,BC210,BE210)</f>
        <v>2.8217378321887129E-2</v>
      </c>
      <c r="IC210" s="84">
        <f>SUM(BQ210,CC210,CO210,DA210,DM210)/SUM(BO210,BQ210,CA210,CC210,CM210,CO210,CY210,DA210,DK210,DM210)</f>
        <v>2.6677067082683307E-2</v>
      </c>
      <c r="ID210" s="84">
        <f>SUM(DY210,EK210,EW210,FI210)/SUM(DW210,DY210,EI210,EK210,EU210,EW210,FG210,FI210)</f>
        <v>3.5376500545652965E-2</v>
      </c>
      <c r="IE210" s="84">
        <f>SUM(FU210,GG210,GS210,HE210)/SUM(FS210,FU210,GE210,GG210,GQ210,GS210,HC210,HE210)</f>
        <v>3.081380036871214E-2</v>
      </c>
      <c r="IF210" s="86">
        <f>SUM(C210,O210,AA210,AM210,AY210)</f>
        <v>7</v>
      </c>
      <c r="IG210" s="86">
        <f>SUM(BK210,BW210,CI210,CU210,DG210)</f>
        <v>14</v>
      </c>
      <c r="IH210" s="86">
        <f>SUM(DS210,EE210,EQ210,FC210)</f>
        <v>4</v>
      </c>
      <c r="II210" s="86">
        <f>SUM(FO210,GA210,GM210,GY210)</f>
        <v>3</v>
      </c>
      <c r="IJ210" s="88" t="s">
        <v>89</v>
      </c>
    </row>
    <row r="211" spans="1:244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HK210/HM203</f>
        <v>2.3442732752846618E-3</v>
      </c>
      <c r="HL211" s="66">
        <f>HL210/HN203</f>
        <v>0</v>
      </c>
      <c r="HM211" s="45"/>
      <c r="HN211" s="45"/>
      <c r="HO211" s="45"/>
      <c r="HP211" s="98"/>
      <c r="HQ211" s="45"/>
      <c r="HR211" s="45"/>
      <c r="HS211" s="45"/>
      <c r="HT211" s="55"/>
      <c r="HU211" s="45"/>
      <c r="HV211" s="45"/>
      <c r="HW211" s="46"/>
      <c r="HY211" s="72"/>
      <c r="HZ211" s="72"/>
      <c r="IA211" s="72"/>
      <c r="IF211" s="86">
        <f>SUM(E200,Q200,AC200,AO200,BA200)</f>
        <v>3249</v>
      </c>
      <c r="IG211" s="86">
        <f>SUM(BM200,BY200,CK200,CW200,DI200)</f>
        <v>3189</v>
      </c>
      <c r="IH211" s="86">
        <f>SUM(DU200,EG200,ES200,FE200)</f>
        <v>2696</v>
      </c>
      <c r="II211" s="86">
        <f>SUM(FQ200,GC200,GO200,HA200)</f>
        <v>2813</v>
      </c>
      <c r="IJ211" s="88" t="s">
        <v>84</v>
      </c>
    </row>
    <row r="212" spans="1:244" x14ac:dyDescent="0.25">
      <c r="A212" s="373">
        <v>48</v>
      </c>
      <c r="B212" s="68">
        <f>B209+1</f>
        <v>45102</v>
      </c>
      <c r="C212" s="33"/>
      <c r="D212" s="34"/>
      <c r="E212" s="34">
        <f>E209-C212</f>
        <v>820</v>
      </c>
      <c r="F212" s="34">
        <f>F209-D212</f>
        <v>66</v>
      </c>
      <c r="G212" s="34">
        <v>440</v>
      </c>
      <c r="H212" s="35">
        <f t="shared" ref="H212:H218" si="1904">((G212+I212)/E212)</f>
        <v>0.55853658536585371</v>
      </c>
      <c r="I212" s="34">
        <v>18</v>
      </c>
      <c r="J212" s="35">
        <f t="shared" ref="J212:J218" si="1905">I212/(G212+I212)</f>
        <v>3.9301310043668124E-2</v>
      </c>
      <c r="K212" s="36"/>
      <c r="L212" s="34"/>
      <c r="M212" s="34"/>
      <c r="N212" s="37"/>
      <c r="O212" s="33"/>
      <c r="P212" s="34"/>
      <c r="Q212" s="34">
        <f>Q209-O212</f>
        <v>748</v>
      </c>
      <c r="R212" s="34">
        <f>R209-P212</f>
        <v>60</v>
      </c>
      <c r="S212" s="34">
        <v>425</v>
      </c>
      <c r="T212" s="35">
        <f t="shared" ref="T212:T218" si="1906">((S212+U212)/Q212)</f>
        <v>0.5935828877005348</v>
      </c>
      <c r="U212" s="34">
        <v>19</v>
      </c>
      <c r="V212" s="35">
        <f t="shared" ref="V212:V218" si="1907">U212/(S212+U212)</f>
        <v>4.2792792792792793E-2</v>
      </c>
      <c r="W212" s="36"/>
      <c r="X212" s="34"/>
      <c r="Y212" s="34"/>
      <c r="Z212" s="37"/>
      <c r="AA212" s="33"/>
      <c r="AB212" s="34"/>
      <c r="AC212" s="34">
        <f>AC209-AA212</f>
        <v>160</v>
      </c>
      <c r="AD212" s="34">
        <f>AD209-AB212</f>
        <v>13</v>
      </c>
      <c r="AE212" s="34">
        <v>97</v>
      </c>
      <c r="AF212" s="35">
        <f t="shared" ref="AF212:AF218" si="1908">((AE212+AG212)/AC212)</f>
        <v>0.64375000000000004</v>
      </c>
      <c r="AG212" s="34">
        <v>6</v>
      </c>
      <c r="AH212" s="35">
        <f t="shared" ref="AH212:AH218" si="1909">AG212/(AE212+AG212)</f>
        <v>5.8252427184466021E-2</v>
      </c>
      <c r="AI212" s="36"/>
      <c r="AJ212" s="34"/>
      <c r="AK212" s="34"/>
      <c r="AL212" s="37"/>
      <c r="AM212" s="33"/>
      <c r="AN212" s="34"/>
      <c r="AO212" s="34">
        <f>AO209-AM212</f>
        <v>761</v>
      </c>
      <c r="AP212" s="34">
        <f>AP209-AN212</f>
        <v>61</v>
      </c>
      <c r="AQ212" s="34">
        <v>447</v>
      </c>
      <c r="AR212" s="35">
        <f t="shared" ref="AR212:AR218" si="1910">((AQ212+AS212)/AO212)</f>
        <v>0.60315374507227337</v>
      </c>
      <c r="AS212" s="34">
        <v>12</v>
      </c>
      <c r="AT212" s="35">
        <f t="shared" ref="AT212:AT218" si="1911">AS212/(AQ212+AS212)</f>
        <v>2.6143790849673203E-2</v>
      </c>
      <c r="AU212" s="36"/>
      <c r="AV212" s="34"/>
      <c r="AW212" s="34"/>
      <c r="AX212" s="37"/>
      <c r="AY212" s="33">
        <v>1</v>
      </c>
      <c r="AZ212" s="34"/>
      <c r="BA212" s="34">
        <f>BA209-AY212</f>
        <v>752</v>
      </c>
      <c r="BB212" s="34">
        <f>BB209-AZ212</f>
        <v>60</v>
      </c>
      <c r="BC212" s="34">
        <v>473</v>
      </c>
      <c r="BD212" s="35">
        <f t="shared" ref="BD212:BD218" si="1912">((BC212+BE212)/BA212)</f>
        <v>0.6436170212765957</v>
      </c>
      <c r="BE212" s="34">
        <v>11</v>
      </c>
      <c r="BF212" s="35">
        <f t="shared" ref="BF212:BF218" si="1913">BE212/(BC212+BE212)</f>
        <v>2.2727272727272728E-2</v>
      </c>
      <c r="BG212" s="36"/>
      <c r="BH212" s="34"/>
      <c r="BI212" s="34"/>
      <c r="BJ212" s="37"/>
      <c r="BK212" s="33"/>
      <c r="BL212" s="34"/>
      <c r="BM212" s="34">
        <f>BM209-BK212</f>
        <v>811</v>
      </c>
      <c r="BN212" s="34">
        <f>BN209-BL212</f>
        <v>64</v>
      </c>
      <c r="BO212" s="34">
        <v>475</v>
      </c>
      <c r="BP212" s="35">
        <f t="shared" ref="BP212:BP218" si="1914">((BO212+BQ212)/BM212)</f>
        <v>0.60542540073982742</v>
      </c>
      <c r="BQ212" s="34">
        <v>16</v>
      </c>
      <c r="BR212" s="35">
        <f t="shared" ref="BR212:BR218" si="1915">BQ212/(BO212+BQ212)</f>
        <v>3.2586558044806514E-2</v>
      </c>
      <c r="BS212" s="36"/>
      <c r="BT212" s="34"/>
      <c r="BU212" s="34"/>
      <c r="BV212" s="37"/>
      <c r="BW212" s="33"/>
      <c r="BX212" s="34"/>
      <c r="BY212" s="34">
        <f>BY209-BW212</f>
        <v>747</v>
      </c>
      <c r="BZ212" s="34">
        <f>BZ209-BX212</f>
        <v>59</v>
      </c>
      <c r="CA212" s="34">
        <v>428</v>
      </c>
      <c r="CB212" s="35">
        <f t="shared" ref="CB212:CB218" si="1916">((CA212+CC212)/BY212)</f>
        <v>0.59303882195448465</v>
      </c>
      <c r="CC212" s="34">
        <v>15</v>
      </c>
      <c r="CD212" s="35">
        <f t="shared" ref="CD212:CD218" si="1917">CC212/(CA212+CC212)</f>
        <v>3.3860045146726865E-2</v>
      </c>
      <c r="CE212" s="36"/>
      <c r="CF212" s="34"/>
      <c r="CG212" s="34"/>
      <c r="CH212" s="37"/>
      <c r="CI212" s="33"/>
      <c r="CJ212" s="34"/>
      <c r="CK212" s="34">
        <f>CK209-CI212</f>
        <v>140</v>
      </c>
      <c r="CL212" s="34">
        <f>CL209-CJ212</f>
        <v>12</v>
      </c>
      <c r="CM212" s="34">
        <v>70</v>
      </c>
      <c r="CN212" s="35">
        <f t="shared" ref="CN212:CN218" si="1918">((CM212+CO212)/CK212)</f>
        <v>0.51428571428571423</v>
      </c>
      <c r="CO212" s="34">
        <v>2</v>
      </c>
      <c r="CP212" s="35">
        <f t="shared" ref="CP212:CP218" si="1919">CO212/(CM212+CO212)</f>
        <v>2.7777777777777776E-2</v>
      </c>
      <c r="CQ212" s="36"/>
      <c r="CR212" s="34"/>
      <c r="CS212" s="34"/>
      <c r="CT212" s="37"/>
      <c r="CU212" s="33"/>
      <c r="CV212" s="34"/>
      <c r="CW212" s="34">
        <f>CW209-CU212</f>
        <v>736</v>
      </c>
      <c r="CX212" s="34">
        <f>CX209-CV212</f>
        <v>59</v>
      </c>
      <c r="CY212" s="34">
        <v>445</v>
      </c>
      <c r="CZ212" s="35">
        <f t="shared" ref="CZ212:CZ218" si="1920">((CY212+DA212)/CW212)</f>
        <v>0.61684782608695654</v>
      </c>
      <c r="DA212" s="34">
        <v>9</v>
      </c>
      <c r="DB212" s="35">
        <f t="shared" ref="DB212:DB218" si="1921">DA212/(CY212+DA212)</f>
        <v>1.9823788546255508E-2</v>
      </c>
      <c r="DC212" s="36"/>
      <c r="DD212" s="34"/>
      <c r="DE212" s="34"/>
      <c r="DF212" s="37"/>
      <c r="DG212" s="33"/>
      <c r="DH212" s="34"/>
      <c r="DI212" s="34">
        <f>DI209-DG212</f>
        <v>741</v>
      </c>
      <c r="DJ212" s="34">
        <f>DJ209-DH212</f>
        <v>59</v>
      </c>
      <c r="DK212" s="34">
        <v>460</v>
      </c>
      <c r="DL212" s="35">
        <f t="shared" ref="DL212:DL218" si="1922">((DK212+DM212)/DI212)</f>
        <v>0.63967611336032393</v>
      </c>
      <c r="DM212" s="34">
        <v>14</v>
      </c>
      <c r="DN212" s="35">
        <f t="shared" ref="DN212:DN218" si="1923">DM212/(DK212+DM212)</f>
        <v>2.9535864978902954E-2</v>
      </c>
      <c r="DO212" s="36"/>
      <c r="DP212" s="34"/>
      <c r="DQ212" s="34"/>
      <c r="DR212" s="37"/>
      <c r="DS212" s="33"/>
      <c r="DT212" s="34"/>
      <c r="DU212" s="34">
        <f>DU209-DS212</f>
        <v>822</v>
      </c>
      <c r="DV212" s="34">
        <f>DV209-DT212</f>
        <v>66</v>
      </c>
      <c r="DW212" s="34">
        <v>432</v>
      </c>
      <c r="DX212" s="35">
        <f t="shared" ref="DX212:DX218" si="1924">((DW212+DY212)/DU212)</f>
        <v>0.56447688564476883</v>
      </c>
      <c r="DY212" s="34">
        <v>32</v>
      </c>
      <c r="DZ212" s="35">
        <f t="shared" ref="DZ212:DZ218" si="1925">DY212/(DW212+DY212)</f>
        <v>6.8965517241379309E-2</v>
      </c>
      <c r="EA212" s="36"/>
      <c r="EB212" s="34"/>
      <c r="EC212" s="34"/>
      <c r="ED212" s="37"/>
      <c r="EE212" s="33"/>
      <c r="EF212" s="34"/>
      <c r="EG212" s="34">
        <f>EG209-EE212</f>
        <v>845</v>
      </c>
      <c r="EH212" s="34">
        <f>EH209-EF212</f>
        <v>67</v>
      </c>
      <c r="EI212" s="34">
        <v>472</v>
      </c>
      <c r="EJ212" s="35">
        <f t="shared" ref="EJ212:EJ218" si="1926">((EI212+EK212)/EG212)</f>
        <v>0.58106508875739649</v>
      </c>
      <c r="EK212" s="34">
        <v>19</v>
      </c>
      <c r="EL212" s="35">
        <f t="shared" ref="EL212:EL218" si="1927">EK212/(EI212+EK212)</f>
        <v>3.8696537678207736E-2</v>
      </c>
      <c r="EM212" s="36"/>
      <c r="EN212" s="34"/>
      <c r="EO212" s="34"/>
      <c r="EP212" s="37"/>
      <c r="EQ212" s="33">
        <v>1</v>
      </c>
      <c r="ER212" s="34"/>
      <c r="ES212" s="34">
        <f>ES209-EQ212</f>
        <v>176</v>
      </c>
      <c r="ET212" s="34">
        <f>ET209-ER212</f>
        <v>14</v>
      </c>
      <c r="EU212" s="34">
        <v>102</v>
      </c>
      <c r="EV212" s="35">
        <f t="shared" ref="EV212:EV218" si="1928">((EU212+EW212)/ES212)</f>
        <v>0.60227272727272729</v>
      </c>
      <c r="EW212" s="34">
        <v>4</v>
      </c>
      <c r="EX212" s="35">
        <f t="shared" ref="EX212:EX218" si="1929">EW212/(EU212+EW212)</f>
        <v>3.7735849056603772E-2</v>
      </c>
      <c r="EY212" s="36"/>
      <c r="EZ212" s="34"/>
      <c r="FA212" s="34"/>
      <c r="FB212" s="37"/>
      <c r="FC212" s="33"/>
      <c r="FD212" s="34"/>
      <c r="FE212" s="34">
        <f>FE209-FC212</f>
        <v>848</v>
      </c>
      <c r="FF212" s="34">
        <f>FF209-FD212</f>
        <v>67</v>
      </c>
      <c r="FG212" s="34">
        <v>488</v>
      </c>
      <c r="FH212" s="35">
        <f t="shared" ref="FH212:FH218" si="1930">((FG212+FI212)/FE212)</f>
        <v>0.59198113207547165</v>
      </c>
      <c r="FI212" s="34">
        <v>14</v>
      </c>
      <c r="FJ212" s="35">
        <f t="shared" ref="FJ212:FJ218" si="1931">FI212/(FG212+FI212)</f>
        <v>2.7888446215139442E-2</v>
      </c>
      <c r="FK212" s="36"/>
      <c r="FL212" s="34"/>
      <c r="FM212" s="34"/>
      <c r="FN212" s="37"/>
      <c r="FO212" s="33">
        <v>1</v>
      </c>
      <c r="FP212" s="34"/>
      <c r="FQ212" s="34">
        <f>FQ209-FO212</f>
        <v>875</v>
      </c>
      <c r="FR212" s="34">
        <f>FR209-FP212</f>
        <v>70</v>
      </c>
      <c r="FS212" s="34">
        <v>511</v>
      </c>
      <c r="FT212" s="35">
        <f t="shared" ref="FT212:FT218" si="1932">((FS212+FU212)/FQ212)</f>
        <v>0.60571428571428576</v>
      </c>
      <c r="FU212" s="34">
        <v>19</v>
      </c>
      <c r="FV212" s="35">
        <f t="shared" ref="FV212:FV218" si="1933">FU212/(FS212+FU212)</f>
        <v>3.5849056603773584E-2</v>
      </c>
      <c r="FW212" s="36"/>
      <c r="FX212" s="34"/>
      <c r="FY212" s="34"/>
      <c r="FZ212" s="37"/>
      <c r="GA212" s="33"/>
      <c r="GB212" s="34"/>
      <c r="GC212" s="34">
        <f>GC209-GA212</f>
        <v>875</v>
      </c>
      <c r="GD212" s="34">
        <f>GD209-GB212</f>
        <v>71</v>
      </c>
      <c r="GE212" s="34">
        <v>495</v>
      </c>
      <c r="GF212" s="35">
        <f t="shared" ref="GF212:GF218" si="1934">((GE212+GG212)/GC212)</f>
        <v>0.58514285714285719</v>
      </c>
      <c r="GG212" s="34">
        <v>17</v>
      </c>
      <c r="GH212" s="35">
        <f t="shared" ref="GH212:GH218" si="1935">GG212/(GE212+GG212)</f>
        <v>3.3203125E-2</v>
      </c>
      <c r="GI212" s="36"/>
      <c r="GJ212" s="34"/>
      <c r="GK212" s="34"/>
      <c r="GL212" s="37"/>
      <c r="GM212" s="33">
        <v>1</v>
      </c>
      <c r="GN212" s="34"/>
      <c r="GO212" s="34">
        <f>GO209-GM212</f>
        <v>155</v>
      </c>
      <c r="GP212" s="34">
        <f>GP209-GN212</f>
        <v>12</v>
      </c>
      <c r="GQ212" s="34">
        <v>86</v>
      </c>
      <c r="GR212" s="35">
        <f t="shared" ref="GR212:GR218" si="1936">((GQ212+GS212)/GO212)</f>
        <v>0.56774193548387097</v>
      </c>
      <c r="GS212" s="34">
        <v>2</v>
      </c>
      <c r="GT212" s="35">
        <f t="shared" ref="GT212:GT218" si="1937">GS212/(GQ212+GS212)</f>
        <v>2.2727272727272728E-2</v>
      </c>
      <c r="GU212" s="36"/>
      <c r="GV212" s="34"/>
      <c r="GW212" s="34"/>
      <c r="GX212" s="37"/>
      <c r="GY212" s="33"/>
      <c r="GZ212" s="34"/>
      <c r="HA212" s="34">
        <f>HA209-GY212</f>
        <v>903</v>
      </c>
      <c r="HB212" s="34">
        <f>HB209-GZ212</f>
        <v>73</v>
      </c>
      <c r="HC212" s="34">
        <v>493</v>
      </c>
      <c r="HD212" s="35">
        <f t="shared" ref="HD212:HD218" si="1938">((HC212+HE212)/HA212)</f>
        <v>0.56589147286821706</v>
      </c>
      <c r="HE212" s="34">
        <v>18</v>
      </c>
      <c r="HF212" s="35">
        <f t="shared" ref="HF212:HF218" si="1939">HE212/(HC212+HE212)</f>
        <v>3.5225048923679059E-2</v>
      </c>
      <c r="HG212" s="36"/>
      <c r="HH212" s="34"/>
      <c r="HI212" s="34"/>
      <c r="HJ212" s="37"/>
      <c r="HK212" s="33">
        <f t="shared" ref="HK212:HK219" si="1940">+C212+O212+AA212+AM212+AY212+BK212+BW212+CI212+CU212+DG212+DS212+EE212+EQ212+FC212+FO212+GA212+GM212+GY212</f>
        <v>4</v>
      </c>
      <c r="HL212" s="34">
        <f t="shared" ref="HL212:HL219" si="1941">+D212+P212+AB212+AN212+AZ212+BL212+BX212+CJ212+CV212+DH212+DT212+EF212+ER212+FD212+FP212+GB212+GN212+GZ212</f>
        <v>0</v>
      </c>
      <c r="HM212" s="34">
        <f t="shared" ref="HM212:HM219" si="1942">+E212+Q212+AC212+AO212+BA212+BM212+BY212+CK212+CW212+DI212+DU212+EG212+ES212+FE212+FQ212+GC212+GO212+HA212</f>
        <v>11915</v>
      </c>
      <c r="HN212" s="34">
        <f t="shared" ref="HN212:HN219" si="1943">+F212+R212+AD212+AP212+BB212+BN212+BZ212+CL212+CX212+DJ212+DV212+EH212+ET212+FF212+FR212+GD212+GP212+HB212</f>
        <v>953</v>
      </c>
      <c r="HO212" s="34">
        <f t="shared" ref="HO212:HO219" si="1944">+G212+S212+AE212+AQ212+BC212+BO212+CA212+CM212+CY212+DK212+DW212+EI212+EU212+FG212+FS212+GE212+GQ212+HC212+I212+U212+AG212+AS212+BE212+BQ212+CC212+CO212+DA212+DM212+DY212+EK212+EW212+FI212+FU212+GG212+GS212+HE212</f>
        <v>7086</v>
      </c>
      <c r="HP212" s="94">
        <f t="shared" ref="HP212:HP218" si="1945">+(HO212)/HM212</f>
        <v>0.59471254720939992</v>
      </c>
      <c r="HQ212" s="48">
        <f t="shared" ref="HQ212:HQ219" si="1946">+I212+U212+AG212+AS212+BE212+BQ212+CC212+CO212+DA212+DM212+DY212+EK212+EW212+FI212+FU212+GG212+GS212+HE212</f>
        <v>247</v>
      </c>
      <c r="HR212" s="35">
        <f t="shared" ref="HR212:HR219" si="1947">+(HQ212/(HO212))</f>
        <v>3.4857465424781256E-2</v>
      </c>
      <c r="HS212" s="49">
        <v>65.599999999999994</v>
      </c>
      <c r="HT212" s="50">
        <v>6674</v>
      </c>
      <c r="HU212" s="49">
        <f t="shared" ref="HU212:HU218" si="1948">+HT212/HO212*100</f>
        <v>94.185718317809759</v>
      </c>
      <c r="HV212" s="48"/>
      <c r="HW212" s="37"/>
      <c r="HX212" s="73">
        <f t="shared" ref="HX212:HX218" si="1949">SUM(G212,I212,S212,U212,AE212,AG212,AQ212,AS212,BC212,BE212)/SUM(E212,Q212,AC212,AO212,BA212)</f>
        <v>0.60104905893242822</v>
      </c>
      <c r="HY212" s="73">
        <f t="shared" ref="HY212:HY218" si="1950">SUM(BO212,BQ212,CA212,CC212,CM212,CO212,CY212,DA212,DK212,DM212)/SUM(BM212,BY212,CK212,CW212,DI212)</f>
        <v>0.60913385826771649</v>
      </c>
      <c r="HZ212" s="73">
        <f t="shared" ref="HZ212:HZ218" si="1951">SUM(DW212,DY212,EI212,EK212,EU212,EW212,FG212,FI212)/SUM(DU212,EG212,ES212,FE212)</f>
        <v>0.58082497212931994</v>
      </c>
      <c r="IA212" s="73">
        <f t="shared" ref="IA212:IA218" si="1952">SUM(FS212,FU212,GE212,GG212,GQ212,GS212,HC212,HE212)/SUM(FQ212,GC212,GO212,HA212)</f>
        <v>0.58440170940170943</v>
      </c>
    </row>
    <row r="213" spans="1:244" x14ac:dyDescent="0.25">
      <c r="A213" s="374"/>
      <c r="B213" s="41">
        <f t="shared" ref="B213:B218" si="1953">+B212+1</f>
        <v>45103</v>
      </c>
      <c r="C213" s="10">
        <v>1</v>
      </c>
      <c r="D213" s="11"/>
      <c r="E213" s="69">
        <f t="shared" ref="E213:E218" si="1954">E212-C213</f>
        <v>819</v>
      </c>
      <c r="F213" s="69">
        <f t="shared" ref="F213:F218" si="1955">F212-D213</f>
        <v>66</v>
      </c>
      <c r="G213" s="11">
        <v>466</v>
      </c>
      <c r="H213" s="12">
        <f t="shared" si="1904"/>
        <v>0.58608058608058611</v>
      </c>
      <c r="I213" s="11">
        <v>14</v>
      </c>
      <c r="J213" s="12">
        <f t="shared" si="1905"/>
        <v>2.9166666666666667E-2</v>
      </c>
      <c r="K213" s="13"/>
      <c r="L213" s="11"/>
      <c r="M213" s="11"/>
      <c r="N213" s="14"/>
      <c r="O213" s="10">
        <v>1</v>
      </c>
      <c r="P213" s="11"/>
      <c r="Q213" s="69">
        <f t="shared" ref="Q213:Q218" si="1956">Q212-O213</f>
        <v>747</v>
      </c>
      <c r="R213" s="69">
        <f t="shared" ref="R213:R218" si="1957">R212-P213</f>
        <v>60</v>
      </c>
      <c r="S213" s="11">
        <v>424</v>
      </c>
      <c r="T213" s="12">
        <f t="shared" si="1906"/>
        <v>0.58232931726907633</v>
      </c>
      <c r="U213" s="11">
        <v>11</v>
      </c>
      <c r="V213" s="12">
        <f t="shared" si="1907"/>
        <v>2.528735632183908E-2</v>
      </c>
      <c r="W213" s="13"/>
      <c r="X213" s="11"/>
      <c r="Y213" s="11"/>
      <c r="Z213" s="14"/>
      <c r="AA213" s="10"/>
      <c r="AB213" s="11"/>
      <c r="AC213" s="69">
        <f t="shared" ref="AC213:AC218" si="1958">AC212-AA213</f>
        <v>160</v>
      </c>
      <c r="AD213" s="69">
        <f t="shared" ref="AD213:AD218" si="1959">AD212-AB213</f>
        <v>13</v>
      </c>
      <c r="AE213" s="11">
        <v>85</v>
      </c>
      <c r="AF213" s="12">
        <f t="shared" si="1908"/>
        <v>0.55625000000000002</v>
      </c>
      <c r="AG213" s="11">
        <v>4</v>
      </c>
      <c r="AH213" s="12">
        <f t="shared" si="1909"/>
        <v>4.49438202247191E-2</v>
      </c>
      <c r="AI213" s="13"/>
      <c r="AJ213" s="11"/>
      <c r="AK213" s="11"/>
      <c r="AL213" s="14"/>
      <c r="AM213" s="10"/>
      <c r="AN213" s="11"/>
      <c r="AO213" s="69">
        <f t="shared" ref="AO213:AO218" si="1960">AO212-AM213</f>
        <v>761</v>
      </c>
      <c r="AP213" s="69">
        <f t="shared" ref="AP213:AP218" si="1961">AP212-AN213</f>
        <v>61</v>
      </c>
      <c r="AQ213" s="11">
        <v>435</v>
      </c>
      <c r="AR213" s="12">
        <f t="shared" si="1910"/>
        <v>0.58212877792378448</v>
      </c>
      <c r="AS213" s="11">
        <v>8</v>
      </c>
      <c r="AT213" s="12">
        <f t="shared" si="1911"/>
        <v>1.8058690744920992E-2</v>
      </c>
      <c r="AU213" s="13"/>
      <c r="AV213" s="11"/>
      <c r="AW213" s="11"/>
      <c r="AX213" s="14"/>
      <c r="AY213" s="10"/>
      <c r="AZ213" s="11"/>
      <c r="BA213" s="69">
        <f t="shared" ref="BA213:BA218" si="1962">BA212-AY213</f>
        <v>752</v>
      </c>
      <c r="BB213" s="69">
        <f t="shared" ref="BB213:BB218" si="1963">BB212-AZ213</f>
        <v>60</v>
      </c>
      <c r="BC213" s="11">
        <v>441</v>
      </c>
      <c r="BD213" s="12">
        <f t="shared" si="1912"/>
        <v>0.6063829787234043</v>
      </c>
      <c r="BE213" s="11">
        <v>15</v>
      </c>
      <c r="BF213" s="12">
        <f t="shared" si="1913"/>
        <v>3.2894736842105261E-2</v>
      </c>
      <c r="BG213" s="13"/>
      <c r="BH213" s="11"/>
      <c r="BI213" s="11"/>
      <c r="BJ213" s="14"/>
      <c r="BK213" s="10">
        <v>1</v>
      </c>
      <c r="BL213" s="11"/>
      <c r="BM213" s="69">
        <f t="shared" ref="BM213:BM218" si="1964">BM212-BK213</f>
        <v>810</v>
      </c>
      <c r="BN213" s="69">
        <f t="shared" ref="BN213:BN218" si="1965">BN212-BL213</f>
        <v>64</v>
      </c>
      <c r="BO213" s="11">
        <v>415</v>
      </c>
      <c r="BP213" s="12">
        <f t="shared" si="1914"/>
        <v>0.52345679012345681</v>
      </c>
      <c r="BQ213" s="11">
        <v>9</v>
      </c>
      <c r="BR213" s="12">
        <f t="shared" si="1915"/>
        <v>2.1226415094339621E-2</v>
      </c>
      <c r="BS213" s="13"/>
      <c r="BT213" s="11"/>
      <c r="BU213" s="11"/>
      <c r="BV213" s="14"/>
      <c r="BW213" s="10"/>
      <c r="BX213" s="11"/>
      <c r="BY213" s="69">
        <f t="shared" ref="BY213:BY218" si="1966">BY212-BW213</f>
        <v>747</v>
      </c>
      <c r="BZ213" s="69">
        <f t="shared" ref="BZ213:BZ218" si="1967">BZ212-BX213</f>
        <v>59</v>
      </c>
      <c r="CA213" s="11">
        <v>375</v>
      </c>
      <c r="CB213" s="12">
        <f t="shared" si="1916"/>
        <v>0.50736278447121819</v>
      </c>
      <c r="CC213" s="11">
        <v>4</v>
      </c>
      <c r="CD213" s="12">
        <f t="shared" si="1917"/>
        <v>1.0554089709762533E-2</v>
      </c>
      <c r="CE213" s="13"/>
      <c r="CF213" s="11"/>
      <c r="CG213" s="11"/>
      <c r="CH213" s="14"/>
      <c r="CI213" s="10"/>
      <c r="CJ213" s="11"/>
      <c r="CK213" s="69">
        <f t="shared" ref="CK213:CK218" si="1968">CK212-CI213</f>
        <v>140</v>
      </c>
      <c r="CL213" s="69">
        <f t="shared" ref="CL213:CL218" si="1969">CL212-CJ213</f>
        <v>12</v>
      </c>
      <c r="CM213" s="11">
        <v>63</v>
      </c>
      <c r="CN213" s="12">
        <f t="shared" si="1918"/>
        <v>0.47142857142857142</v>
      </c>
      <c r="CO213" s="11">
        <v>3</v>
      </c>
      <c r="CP213" s="12">
        <f t="shared" si="1919"/>
        <v>4.5454545454545456E-2</v>
      </c>
      <c r="CQ213" s="13"/>
      <c r="CR213" s="11"/>
      <c r="CS213" s="11"/>
      <c r="CT213" s="14"/>
      <c r="CU213" s="10"/>
      <c r="CV213" s="11"/>
      <c r="CW213" s="69">
        <f t="shared" ref="CW213:CW218" si="1970">CW212-CU213</f>
        <v>736</v>
      </c>
      <c r="CX213" s="69">
        <f t="shared" ref="CX213:CX218" si="1971">CX212-CV213</f>
        <v>59</v>
      </c>
      <c r="CY213" s="11">
        <v>389</v>
      </c>
      <c r="CZ213" s="12">
        <f t="shared" si="1920"/>
        <v>0.53532608695652173</v>
      </c>
      <c r="DA213" s="11">
        <v>5</v>
      </c>
      <c r="DB213" s="12">
        <f t="shared" si="1921"/>
        <v>1.2690355329949238E-2</v>
      </c>
      <c r="DC213" s="13"/>
      <c r="DD213" s="11"/>
      <c r="DE213" s="11"/>
      <c r="DF213" s="14"/>
      <c r="DG213" s="10"/>
      <c r="DH213" s="11"/>
      <c r="DI213" s="69">
        <f t="shared" ref="DI213:DI218" si="1972">DI212-DG213</f>
        <v>741</v>
      </c>
      <c r="DJ213" s="69">
        <f t="shared" ref="DJ213:DJ218" si="1973">DJ212-DH213</f>
        <v>59</v>
      </c>
      <c r="DK213" s="11">
        <v>416</v>
      </c>
      <c r="DL213" s="12">
        <f t="shared" si="1922"/>
        <v>0.5668016194331984</v>
      </c>
      <c r="DM213" s="11">
        <v>4</v>
      </c>
      <c r="DN213" s="12">
        <f t="shared" si="1923"/>
        <v>9.5238095238095247E-3</v>
      </c>
      <c r="DO213" s="13"/>
      <c r="DP213" s="11"/>
      <c r="DQ213" s="11"/>
      <c r="DR213" s="14"/>
      <c r="DS213" s="10"/>
      <c r="DT213" s="11"/>
      <c r="DU213" s="69">
        <f t="shared" ref="DU213:DU218" si="1974">DU212-DS213</f>
        <v>822</v>
      </c>
      <c r="DV213" s="69">
        <f t="shared" ref="DV213:DV218" si="1975">DV212-DT213</f>
        <v>66</v>
      </c>
      <c r="DW213" s="11">
        <v>438</v>
      </c>
      <c r="DX213" s="12">
        <f t="shared" si="1924"/>
        <v>0.55596107055961075</v>
      </c>
      <c r="DY213" s="11">
        <v>19</v>
      </c>
      <c r="DZ213" s="12">
        <f t="shared" si="1925"/>
        <v>4.1575492341356671E-2</v>
      </c>
      <c r="EA213" s="13"/>
      <c r="EB213" s="11"/>
      <c r="EC213" s="11"/>
      <c r="ED213" s="14"/>
      <c r="EE213" s="10"/>
      <c r="EF213" s="11"/>
      <c r="EG213" s="69">
        <f t="shared" ref="EG213:EG218" si="1976">EG212-EE213</f>
        <v>845</v>
      </c>
      <c r="EH213" s="69">
        <f t="shared" ref="EH213:EH218" si="1977">EH212-EF213</f>
        <v>67</v>
      </c>
      <c r="EI213" s="11">
        <v>509</v>
      </c>
      <c r="EJ213" s="12">
        <f t="shared" si="1926"/>
        <v>0.62840236686390527</v>
      </c>
      <c r="EK213" s="11">
        <v>22</v>
      </c>
      <c r="EL213" s="12">
        <f t="shared" si="1927"/>
        <v>4.1431261770244823E-2</v>
      </c>
      <c r="EM213" s="13"/>
      <c r="EN213" s="11"/>
      <c r="EO213" s="11"/>
      <c r="EP213" s="14"/>
      <c r="EQ213" s="10"/>
      <c r="ER213" s="11"/>
      <c r="ES213" s="69">
        <f t="shared" ref="ES213:ES218" si="1978">ES212-EQ213</f>
        <v>176</v>
      </c>
      <c r="ET213" s="69">
        <f t="shared" ref="ET213:ET218" si="1979">ET212-ER213</f>
        <v>14</v>
      </c>
      <c r="EU213" s="11">
        <v>76</v>
      </c>
      <c r="EV213" s="12">
        <f t="shared" si="1928"/>
        <v>0.46590909090909088</v>
      </c>
      <c r="EW213" s="11">
        <v>6</v>
      </c>
      <c r="EX213" s="12">
        <f t="shared" si="1929"/>
        <v>7.3170731707317069E-2</v>
      </c>
      <c r="EY213" s="13"/>
      <c r="EZ213" s="11"/>
      <c r="FA213" s="11"/>
      <c r="FB213" s="14"/>
      <c r="FC213" s="10"/>
      <c r="FD213" s="11"/>
      <c r="FE213" s="69">
        <f t="shared" ref="FE213:FE218" si="1980">FE212-FC213</f>
        <v>848</v>
      </c>
      <c r="FF213" s="69">
        <f t="shared" ref="FF213:FF218" si="1981">FF212-FD213</f>
        <v>67</v>
      </c>
      <c r="FG213" s="11">
        <v>509</v>
      </c>
      <c r="FH213" s="12">
        <f t="shared" si="1930"/>
        <v>0.625</v>
      </c>
      <c r="FI213" s="11">
        <v>21</v>
      </c>
      <c r="FJ213" s="12">
        <f t="shared" si="1931"/>
        <v>3.962264150943396E-2</v>
      </c>
      <c r="FK213" s="13"/>
      <c r="FL213" s="11"/>
      <c r="FM213" s="11"/>
      <c r="FN213" s="14"/>
      <c r="FO213" s="10">
        <v>1</v>
      </c>
      <c r="FP213" s="11"/>
      <c r="FQ213" s="69">
        <f t="shared" ref="FQ213:FQ218" si="1982">FQ212-FO213</f>
        <v>874</v>
      </c>
      <c r="FR213" s="69">
        <f t="shared" ref="FR213:FR218" si="1983">FR212-FP213</f>
        <v>70</v>
      </c>
      <c r="FS213" s="11">
        <v>486</v>
      </c>
      <c r="FT213" s="12">
        <f t="shared" si="1932"/>
        <v>0.58352402745995424</v>
      </c>
      <c r="FU213" s="11">
        <v>24</v>
      </c>
      <c r="FV213" s="12">
        <f t="shared" si="1933"/>
        <v>4.7058823529411764E-2</v>
      </c>
      <c r="FW213" s="13"/>
      <c r="FX213" s="11"/>
      <c r="FY213" s="11"/>
      <c r="FZ213" s="14"/>
      <c r="GA213" s="10"/>
      <c r="GB213" s="11"/>
      <c r="GC213" s="69">
        <f t="shared" ref="GC213:GC218" si="1984">GC212-GA213</f>
        <v>875</v>
      </c>
      <c r="GD213" s="69">
        <f t="shared" ref="GD213:GD218" si="1985">GD212-GB213</f>
        <v>71</v>
      </c>
      <c r="GE213" s="11">
        <v>455</v>
      </c>
      <c r="GF213" s="12">
        <f t="shared" si="1934"/>
        <v>0.53485714285714281</v>
      </c>
      <c r="GG213" s="11">
        <v>13</v>
      </c>
      <c r="GH213" s="12">
        <f t="shared" si="1935"/>
        <v>2.7777777777777776E-2</v>
      </c>
      <c r="GI213" s="13"/>
      <c r="GJ213" s="11"/>
      <c r="GK213" s="11"/>
      <c r="GL213" s="14"/>
      <c r="GM213" s="10"/>
      <c r="GN213" s="11"/>
      <c r="GO213" s="69">
        <f t="shared" ref="GO213:GO218" si="1986">GO212-GM213</f>
        <v>155</v>
      </c>
      <c r="GP213" s="69">
        <f t="shared" ref="GP213:GP218" si="1987">GP212-GN213</f>
        <v>12</v>
      </c>
      <c r="GQ213" s="11">
        <v>71</v>
      </c>
      <c r="GR213" s="12">
        <f t="shared" si="1936"/>
        <v>0.46451612903225808</v>
      </c>
      <c r="GS213" s="11">
        <v>1</v>
      </c>
      <c r="GT213" s="12">
        <f t="shared" si="1937"/>
        <v>1.3888888888888888E-2</v>
      </c>
      <c r="GU213" s="13"/>
      <c r="GV213" s="11"/>
      <c r="GW213" s="11"/>
      <c r="GX213" s="14"/>
      <c r="GY213" s="10"/>
      <c r="GZ213" s="11"/>
      <c r="HA213" s="69">
        <f t="shared" ref="HA213:HA218" si="1988">HA212-GY213</f>
        <v>903</v>
      </c>
      <c r="HB213" s="69">
        <f t="shared" ref="HB213:HB218" si="1989">HB212-GZ213</f>
        <v>73</v>
      </c>
      <c r="HC213" s="11">
        <v>524</v>
      </c>
      <c r="HD213" s="12">
        <f t="shared" si="1938"/>
        <v>0.60022148394241415</v>
      </c>
      <c r="HE213" s="11">
        <v>18</v>
      </c>
      <c r="HF213" s="12">
        <f t="shared" si="1939"/>
        <v>3.3210332103321034E-2</v>
      </c>
      <c r="HG213" s="13"/>
      <c r="HH213" s="11"/>
      <c r="HI213" s="11"/>
      <c r="HJ213" s="14"/>
      <c r="HK213" s="10">
        <f t="shared" si="1940"/>
        <v>4</v>
      </c>
      <c r="HL213" s="11">
        <f t="shared" si="1941"/>
        <v>0</v>
      </c>
      <c r="HM213" s="11">
        <f t="shared" si="1942"/>
        <v>11911</v>
      </c>
      <c r="HN213" s="11">
        <f t="shared" si="1943"/>
        <v>953</v>
      </c>
      <c r="HO213" s="11">
        <f t="shared" si="1944"/>
        <v>6778</v>
      </c>
      <c r="HP213" s="95">
        <f t="shared" si="1945"/>
        <v>0.5690538158005205</v>
      </c>
      <c r="HQ213" s="15">
        <f t="shared" si="1946"/>
        <v>201</v>
      </c>
      <c r="HR213" s="12">
        <f t="shared" si="1947"/>
        <v>2.9654765417527294E-2</v>
      </c>
      <c r="HS213" s="16">
        <v>66.3</v>
      </c>
      <c r="HT213" s="17">
        <v>6417</v>
      </c>
      <c r="HU213" s="16">
        <f t="shared" si="1948"/>
        <v>94.673945116553554</v>
      </c>
      <c r="HV213" s="15"/>
      <c r="HW213" s="14"/>
      <c r="HX213" s="73">
        <f t="shared" si="1949"/>
        <v>0.58752701451065148</v>
      </c>
      <c r="HY213" s="73">
        <f t="shared" si="1950"/>
        <v>0.53024574669187141</v>
      </c>
      <c r="HZ213" s="73">
        <f t="shared" si="1951"/>
        <v>0.59457450761798591</v>
      </c>
      <c r="IA213" s="73">
        <f t="shared" si="1952"/>
        <v>0.5671535447096544</v>
      </c>
    </row>
    <row r="214" spans="1:244" x14ac:dyDescent="0.25">
      <c r="A214" s="374"/>
      <c r="B214" s="41">
        <f t="shared" si="1953"/>
        <v>45104</v>
      </c>
      <c r="C214" s="10"/>
      <c r="D214" s="11"/>
      <c r="E214" s="69">
        <f t="shared" si="1954"/>
        <v>819</v>
      </c>
      <c r="F214" s="69">
        <f t="shared" si="1955"/>
        <v>66</v>
      </c>
      <c r="G214" s="11">
        <v>496</v>
      </c>
      <c r="H214" s="12">
        <f t="shared" si="1904"/>
        <v>0.63369963369963367</v>
      </c>
      <c r="I214" s="11">
        <v>23</v>
      </c>
      <c r="J214" s="12">
        <f t="shared" si="1905"/>
        <v>4.4315992292870907E-2</v>
      </c>
      <c r="K214" s="13"/>
      <c r="L214" s="11"/>
      <c r="M214" s="11"/>
      <c r="N214" s="14"/>
      <c r="O214" s="10"/>
      <c r="P214" s="11"/>
      <c r="Q214" s="69">
        <f t="shared" si="1956"/>
        <v>747</v>
      </c>
      <c r="R214" s="69">
        <f t="shared" si="1957"/>
        <v>60</v>
      </c>
      <c r="S214" s="11">
        <v>424</v>
      </c>
      <c r="T214" s="12">
        <f t="shared" si="1906"/>
        <v>0.58232931726907633</v>
      </c>
      <c r="U214" s="11">
        <v>11</v>
      </c>
      <c r="V214" s="12">
        <f t="shared" si="1907"/>
        <v>2.528735632183908E-2</v>
      </c>
      <c r="W214" s="13"/>
      <c r="X214" s="11"/>
      <c r="Y214" s="11"/>
      <c r="Z214" s="14"/>
      <c r="AA214" s="10"/>
      <c r="AB214" s="11"/>
      <c r="AC214" s="69">
        <f t="shared" si="1958"/>
        <v>160</v>
      </c>
      <c r="AD214" s="69">
        <f t="shared" si="1959"/>
        <v>13</v>
      </c>
      <c r="AE214" s="11">
        <v>79</v>
      </c>
      <c r="AF214" s="12">
        <f t="shared" si="1908"/>
        <v>0.53125</v>
      </c>
      <c r="AG214" s="11">
        <v>6</v>
      </c>
      <c r="AH214" s="12">
        <f t="shared" si="1909"/>
        <v>7.0588235294117646E-2</v>
      </c>
      <c r="AI214" s="13"/>
      <c r="AJ214" s="11"/>
      <c r="AK214" s="11"/>
      <c r="AL214" s="14"/>
      <c r="AM214" s="10"/>
      <c r="AN214" s="11"/>
      <c r="AO214" s="69">
        <f t="shared" si="1960"/>
        <v>761</v>
      </c>
      <c r="AP214" s="69">
        <f t="shared" si="1961"/>
        <v>61</v>
      </c>
      <c r="AQ214" s="11">
        <v>418</v>
      </c>
      <c r="AR214" s="12">
        <f t="shared" si="1910"/>
        <v>0.5611038107752957</v>
      </c>
      <c r="AS214" s="11">
        <v>9</v>
      </c>
      <c r="AT214" s="12">
        <f t="shared" si="1911"/>
        <v>2.1077283372365339E-2</v>
      </c>
      <c r="AU214" s="13"/>
      <c r="AV214" s="11"/>
      <c r="AW214" s="11"/>
      <c r="AX214" s="14"/>
      <c r="AY214" s="10"/>
      <c r="AZ214" s="11"/>
      <c r="BA214" s="69">
        <f t="shared" si="1962"/>
        <v>752</v>
      </c>
      <c r="BB214" s="69">
        <f t="shared" si="1963"/>
        <v>60</v>
      </c>
      <c r="BC214" s="11">
        <v>410</v>
      </c>
      <c r="BD214" s="12">
        <f t="shared" si="1912"/>
        <v>0.5625</v>
      </c>
      <c r="BE214" s="11">
        <v>13</v>
      </c>
      <c r="BF214" s="12">
        <f t="shared" si="1913"/>
        <v>3.0732860520094562E-2</v>
      </c>
      <c r="BG214" s="13"/>
      <c r="BH214" s="11"/>
      <c r="BI214" s="11"/>
      <c r="BJ214" s="14"/>
      <c r="BK214" s="10"/>
      <c r="BL214" s="11"/>
      <c r="BM214" s="69">
        <f t="shared" si="1964"/>
        <v>810</v>
      </c>
      <c r="BN214" s="69">
        <f t="shared" si="1965"/>
        <v>64</v>
      </c>
      <c r="BO214" s="11">
        <v>438</v>
      </c>
      <c r="BP214" s="12">
        <f t="shared" si="1914"/>
        <v>0.562962962962963</v>
      </c>
      <c r="BQ214" s="11">
        <v>18</v>
      </c>
      <c r="BR214" s="12">
        <f t="shared" si="1915"/>
        <v>3.9473684210526314E-2</v>
      </c>
      <c r="BS214" s="13"/>
      <c r="BT214" s="11"/>
      <c r="BU214" s="11"/>
      <c r="BV214" s="14"/>
      <c r="BW214" s="10">
        <v>1</v>
      </c>
      <c r="BX214" s="11"/>
      <c r="BY214" s="69">
        <f t="shared" si="1966"/>
        <v>746</v>
      </c>
      <c r="BZ214" s="69">
        <f t="shared" si="1967"/>
        <v>59</v>
      </c>
      <c r="CA214" s="11">
        <v>432</v>
      </c>
      <c r="CB214" s="12">
        <f t="shared" si="1916"/>
        <v>0.5951742627345844</v>
      </c>
      <c r="CC214" s="11">
        <v>12</v>
      </c>
      <c r="CD214" s="12">
        <f t="shared" si="1917"/>
        <v>2.7027027027027029E-2</v>
      </c>
      <c r="CE214" s="13"/>
      <c r="CF214" s="11"/>
      <c r="CG214" s="11"/>
      <c r="CH214" s="14"/>
      <c r="CI214" s="10">
        <v>1</v>
      </c>
      <c r="CJ214" s="11"/>
      <c r="CK214" s="69">
        <f t="shared" si="1968"/>
        <v>139</v>
      </c>
      <c r="CL214" s="69">
        <f t="shared" si="1969"/>
        <v>12</v>
      </c>
      <c r="CM214" s="11">
        <v>70</v>
      </c>
      <c r="CN214" s="12">
        <f t="shared" si="1918"/>
        <v>0.51079136690647486</v>
      </c>
      <c r="CO214" s="11">
        <v>1</v>
      </c>
      <c r="CP214" s="12">
        <f t="shared" si="1919"/>
        <v>1.4084507042253521E-2</v>
      </c>
      <c r="CQ214" s="13"/>
      <c r="CR214" s="11"/>
      <c r="CS214" s="11"/>
      <c r="CT214" s="14"/>
      <c r="CU214" s="10"/>
      <c r="CV214" s="11"/>
      <c r="CW214" s="69">
        <f t="shared" si="1970"/>
        <v>736</v>
      </c>
      <c r="CX214" s="69">
        <f t="shared" si="1971"/>
        <v>59</v>
      </c>
      <c r="CY214" s="11">
        <v>436</v>
      </c>
      <c r="CZ214" s="12">
        <f t="shared" si="1920"/>
        <v>0.59646739130434778</v>
      </c>
      <c r="DA214" s="11">
        <v>3</v>
      </c>
      <c r="DB214" s="12">
        <f t="shared" si="1921"/>
        <v>6.8337129840546698E-3</v>
      </c>
      <c r="DC214" s="13"/>
      <c r="DD214" s="11"/>
      <c r="DE214" s="11"/>
      <c r="DF214" s="14"/>
      <c r="DG214" s="10">
        <v>2</v>
      </c>
      <c r="DH214" s="11"/>
      <c r="DI214" s="69">
        <f t="shared" si="1972"/>
        <v>739</v>
      </c>
      <c r="DJ214" s="69">
        <f t="shared" si="1973"/>
        <v>59</v>
      </c>
      <c r="DK214" s="11">
        <v>439</v>
      </c>
      <c r="DL214" s="12">
        <f t="shared" si="1922"/>
        <v>0.61840324763193499</v>
      </c>
      <c r="DM214" s="11">
        <v>18</v>
      </c>
      <c r="DN214" s="12">
        <f t="shared" si="1923"/>
        <v>3.9387308533916851E-2</v>
      </c>
      <c r="DO214" s="13"/>
      <c r="DP214" s="11"/>
      <c r="DQ214" s="11"/>
      <c r="DR214" s="14"/>
      <c r="DS214" s="10"/>
      <c r="DT214" s="11"/>
      <c r="DU214" s="69">
        <f t="shared" si="1974"/>
        <v>822</v>
      </c>
      <c r="DV214" s="69">
        <f t="shared" si="1975"/>
        <v>66</v>
      </c>
      <c r="DW214" s="11">
        <v>450</v>
      </c>
      <c r="DX214" s="12">
        <f t="shared" si="1924"/>
        <v>0.57420924574209242</v>
      </c>
      <c r="DY214" s="11">
        <v>22</v>
      </c>
      <c r="DZ214" s="12">
        <f t="shared" si="1925"/>
        <v>4.6610169491525424E-2</v>
      </c>
      <c r="EA214" s="13"/>
      <c r="EB214" s="11"/>
      <c r="EC214" s="11"/>
      <c r="ED214" s="14"/>
      <c r="EE214" s="10"/>
      <c r="EF214" s="11"/>
      <c r="EG214" s="69">
        <f t="shared" si="1976"/>
        <v>845</v>
      </c>
      <c r="EH214" s="69">
        <f t="shared" si="1977"/>
        <v>67</v>
      </c>
      <c r="EI214" s="11">
        <v>473</v>
      </c>
      <c r="EJ214" s="12">
        <f t="shared" si="1926"/>
        <v>0.57988165680473369</v>
      </c>
      <c r="EK214" s="11">
        <v>17</v>
      </c>
      <c r="EL214" s="12">
        <f t="shared" si="1927"/>
        <v>3.4693877551020408E-2</v>
      </c>
      <c r="EM214" s="13"/>
      <c r="EN214" s="11"/>
      <c r="EO214" s="11"/>
      <c r="EP214" s="14"/>
      <c r="EQ214" s="10"/>
      <c r="ER214" s="11"/>
      <c r="ES214" s="69">
        <f t="shared" si="1978"/>
        <v>176</v>
      </c>
      <c r="ET214" s="69">
        <f t="shared" si="1979"/>
        <v>14</v>
      </c>
      <c r="EU214" s="11">
        <v>85</v>
      </c>
      <c r="EV214" s="12">
        <f t="shared" si="1928"/>
        <v>0.50568181818181823</v>
      </c>
      <c r="EW214" s="11">
        <v>4</v>
      </c>
      <c r="EX214" s="12">
        <f t="shared" si="1929"/>
        <v>4.49438202247191E-2</v>
      </c>
      <c r="EY214" s="13"/>
      <c r="EZ214" s="11"/>
      <c r="FA214" s="11"/>
      <c r="FB214" s="14"/>
      <c r="FC214" s="10"/>
      <c r="FD214" s="11"/>
      <c r="FE214" s="69">
        <f t="shared" si="1980"/>
        <v>848</v>
      </c>
      <c r="FF214" s="69">
        <f t="shared" si="1981"/>
        <v>67</v>
      </c>
      <c r="FG214" s="11">
        <v>514</v>
      </c>
      <c r="FH214" s="12">
        <f t="shared" si="1930"/>
        <v>0.62735849056603776</v>
      </c>
      <c r="FI214" s="11">
        <v>18</v>
      </c>
      <c r="FJ214" s="12">
        <f t="shared" si="1931"/>
        <v>3.3834586466165412E-2</v>
      </c>
      <c r="FK214" s="13"/>
      <c r="FL214" s="11"/>
      <c r="FM214" s="11"/>
      <c r="FN214" s="14"/>
      <c r="FO214" s="10">
        <v>1</v>
      </c>
      <c r="FP214" s="11"/>
      <c r="FQ214" s="69">
        <f t="shared" si="1982"/>
        <v>873</v>
      </c>
      <c r="FR214" s="69">
        <f t="shared" si="1983"/>
        <v>70</v>
      </c>
      <c r="FS214" s="11">
        <v>468</v>
      </c>
      <c r="FT214" s="12">
        <f t="shared" si="1932"/>
        <v>0.56128293241695304</v>
      </c>
      <c r="FU214" s="11">
        <v>22</v>
      </c>
      <c r="FV214" s="12">
        <f t="shared" si="1933"/>
        <v>4.4897959183673466E-2</v>
      </c>
      <c r="FW214" s="13"/>
      <c r="FX214" s="11"/>
      <c r="FY214" s="11"/>
      <c r="FZ214" s="14"/>
      <c r="GA214" s="10"/>
      <c r="GB214" s="11"/>
      <c r="GC214" s="69">
        <f t="shared" si="1984"/>
        <v>875</v>
      </c>
      <c r="GD214" s="69">
        <f t="shared" si="1985"/>
        <v>71</v>
      </c>
      <c r="GE214" s="11">
        <v>465</v>
      </c>
      <c r="GF214" s="12">
        <f t="shared" si="1934"/>
        <v>0.55200000000000005</v>
      </c>
      <c r="GG214" s="11">
        <v>18</v>
      </c>
      <c r="GH214" s="12">
        <f t="shared" si="1935"/>
        <v>3.7267080745341616E-2</v>
      </c>
      <c r="GI214" s="13"/>
      <c r="GJ214" s="11"/>
      <c r="GK214" s="11"/>
      <c r="GL214" s="14"/>
      <c r="GM214" s="10"/>
      <c r="GN214" s="11"/>
      <c r="GO214" s="69">
        <f t="shared" si="1986"/>
        <v>155</v>
      </c>
      <c r="GP214" s="69">
        <f t="shared" si="1987"/>
        <v>12</v>
      </c>
      <c r="GQ214" s="11">
        <v>78</v>
      </c>
      <c r="GR214" s="12">
        <f t="shared" si="1936"/>
        <v>0.50967741935483868</v>
      </c>
      <c r="GS214" s="11">
        <v>1</v>
      </c>
      <c r="GT214" s="12">
        <f t="shared" si="1937"/>
        <v>1.2658227848101266E-2</v>
      </c>
      <c r="GU214" s="13"/>
      <c r="GV214" s="11"/>
      <c r="GW214" s="11"/>
      <c r="GX214" s="14"/>
      <c r="GY214" s="10">
        <v>1</v>
      </c>
      <c r="GZ214" s="11"/>
      <c r="HA214" s="69">
        <f t="shared" si="1988"/>
        <v>902</v>
      </c>
      <c r="HB214" s="69">
        <f t="shared" si="1989"/>
        <v>73</v>
      </c>
      <c r="HC214" s="11">
        <v>464</v>
      </c>
      <c r="HD214" s="12">
        <f t="shared" si="1938"/>
        <v>0.53104212860310418</v>
      </c>
      <c r="HE214" s="11">
        <v>15</v>
      </c>
      <c r="HF214" s="12">
        <f t="shared" si="1939"/>
        <v>3.1315240083507306E-2</v>
      </c>
      <c r="HG214" s="13"/>
      <c r="HH214" s="11"/>
      <c r="HI214" s="11"/>
      <c r="HJ214" s="14"/>
      <c r="HK214" s="10">
        <f t="shared" si="1940"/>
        <v>6</v>
      </c>
      <c r="HL214" s="11">
        <f t="shared" si="1941"/>
        <v>0</v>
      </c>
      <c r="HM214" s="11">
        <f t="shared" si="1942"/>
        <v>11905</v>
      </c>
      <c r="HN214" s="11">
        <f t="shared" si="1943"/>
        <v>953</v>
      </c>
      <c r="HO214" s="11">
        <f t="shared" si="1944"/>
        <v>6870</v>
      </c>
      <c r="HP214" s="95">
        <f t="shared" si="1945"/>
        <v>0.57706845863082734</v>
      </c>
      <c r="HQ214" s="15">
        <f t="shared" si="1946"/>
        <v>231</v>
      </c>
      <c r="HR214" s="12">
        <f t="shared" si="1947"/>
        <v>3.3624454148471615E-2</v>
      </c>
      <c r="HS214" s="16">
        <v>65.400000000000006</v>
      </c>
      <c r="HT214" s="17">
        <v>6476</v>
      </c>
      <c r="HU214" s="16">
        <f t="shared" si="1948"/>
        <v>94.264919941775844</v>
      </c>
      <c r="HV214" s="15"/>
      <c r="HW214" s="14"/>
      <c r="HX214" s="73">
        <f t="shared" si="1949"/>
        <v>0.58320469280642173</v>
      </c>
      <c r="HY214" s="73">
        <f t="shared" si="1950"/>
        <v>0.58895899053627765</v>
      </c>
      <c r="HZ214" s="73">
        <f t="shared" si="1951"/>
        <v>0.58825715347454477</v>
      </c>
      <c r="IA214" s="73">
        <f t="shared" si="1952"/>
        <v>0.5458110516934046</v>
      </c>
    </row>
    <row r="215" spans="1:244" x14ac:dyDescent="0.25">
      <c r="A215" s="374"/>
      <c r="B215" s="41">
        <f t="shared" si="1953"/>
        <v>45105</v>
      </c>
      <c r="C215" s="10"/>
      <c r="D215" s="11"/>
      <c r="E215" s="69">
        <f t="shared" si="1954"/>
        <v>819</v>
      </c>
      <c r="F215" s="69">
        <f t="shared" si="1955"/>
        <v>66</v>
      </c>
      <c r="G215" s="11">
        <v>471</v>
      </c>
      <c r="H215" s="12">
        <f t="shared" si="1904"/>
        <v>0.58608058608058611</v>
      </c>
      <c r="I215" s="11">
        <v>9</v>
      </c>
      <c r="J215" s="12">
        <f t="shared" si="1905"/>
        <v>1.8749999999999999E-2</v>
      </c>
      <c r="K215" s="11"/>
      <c r="L215" s="11"/>
      <c r="M215" s="18"/>
      <c r="N215" s="20"/>
      <c r="O215" s="10"/>
      <c r="P215" s="11"/>
      <c r="Q215" s="69">
        <f t="shared" si="1956"/>
        <v>747</v>
      </c>
      <c r="R215" s="69">
        <f t="shared" si="1957"/>
        <v>60</v>
      </c>
      <c r="S215" s="11">
        <v>427</v>
      </c>
      <c r="T215" s="12">
        <f t="shared" si="1906"/>
        <v>0.58768406961178044</v>
      </c>
      <c r="U215" s="11">
        <v>12</v>
      </c>
      <c r="V215" s="12">
        <f t="shared" si="1907"/>
        <v>2.7334851936218679E-2</v>
      </c>
      <c r="W215" s="11"/>
      <c r="X215" s="11"/>
      <c r="Y215" s="18"/>
      <c r="Z215" s="20"/>
      <c r="AA215" s="10"/>
      <c r="AB215" s="11"/>
      <c r="AC215" s="69">
        <f t="shared" si="1958"/>
        <v>160</v>
      </c>
      <c r="AD215" s="69">
        <f t="shared" si="1959"/>
        <v>13</v>
      </c>
      <c r="AE215" s="11">
        <v>88</v>
      </c>
      <c r="AF215" s="12">
        <f t="shared" si="1908"/>
        <v>0.60624999999999996</v>
      </c>
      <c r="AG215" s="11">
        <v>9</v>
      </c>
      <c r="AH215" s="12">
        <f t="shared" si="1909"/>
        <v>9.2783505154639179E-2</v>
      </c>
      <c r="AI215" s="11"/>
      <c r="AJ215" s="11"/>
      <c r="AK215" s="18"/>
      <c r="AL215" s="20"/>
      <c r="AM215" s="10"/>
      <c r="AN215" s="11"/>
      <c r="AO215" s="69">
        <f t="shared" si="1960"/>
        <v>761</v>
      </c>
      <c r="AP215" s="69">
        <f t="shared" si="1961"/>
        <v>61</v>
      </c>
      <c r="AQ215" s="11">
        <v>441</v>
      </c>
      <c r="AR215" s="12">
        <f t="shared" si="1910"/>
        <v>0.59264126149802887</v>
      </c>
      <c r="AS215" s="11">
        <v>10</v>
      </c>
      <c r="AT215" s="12">
        <f t="shared" si="1911"/>
        <v>2.2172949002217297E-2</v>
      </c>
      <c r="AU215" s="11"/>
      <c r="AV215" s="11"/>
      <c r="AW215" s="18"/>
      <c r="AX215" s="20"/>
      <c r="AY215" s="10">
        <v>1</v>
      </c>
      <c r="AZ215" s="11"/>
      <c r="BA215" s="69">
        <f t="shared" si="1962"/>
        <v>751</v>
      </c>
      <c r="BB215" s="69">
        <f t="shared" si="1963"/>
        <v>60</v>
      </c>
      <c r="BC215" s="11">
        <v>434</v>
      </c>
      <c r="BD215" s="12">
        <f t="shared" si="1912"/>
        <v>0.59254327563248999</v>
      </c>
      <c r="BE215" s="11">
        <v>11</v>
      </c>
      <c r="BF215" s="12">
        <f t="shared" si="1913"/>
        <v>2.4719101123595506E-2</v>
      </c>
      <c r="BG215" s="11"/>
      <c r="BH215" s="11"/>
      <c r="BI215" s="18"/>
      <c r="BJ215" s="20"/>
      <c r="BK215" s="10"/>
      <c r="BL215" s="11"/>
      <c r="BM215" s="69">
        <f t="shared" si="1964"/>
        <v>810</v>
      </c>
      <c r="BN215" s="69">
        <f t="shared" si="1965"/>
        <v>64</v>
      </c>
      <c r="BO215" s="11">
        <v>458</v>
      </c>
      <c r="BP215" s="12">
        <f t="shared" si="1914"/>
        <v>0.57654320987654317</v>
      </c>
      <c r="BQ215" s="11">
        <v>9</v>
      </c>
      <c r="BR215" s="12">
        <f t="shared" si="1915"/>
        <v>1.9271948608137045E-2</v>
      </c>
      <c r="BS215" s="11"/>
      <c r="BT215" s="11"/>
      <c r="BU215" s="18"/>
      <c r="BV215" s="20"/>
      <c r="BW215" s="10">
        <v>1</v>
      </c>
      <c r="BX215" s="11"/>
      <c r="BY215" s="69">
        <f t="shared" si="1966"/>
        <v>745</v>
      </c>
      <c r="BZ215" s="69">
        <f t="shared" si="1967"/>
        <v>59</v>
      </c>
      <c r="CA215" s="11">
        <v>418</v>
      </c>
      <c r="CB215" s="12">
        <f t="shared" si="1916"/>
        <v>0.57449664429530201</v>
      </c>
      <c r="CC215" s="11">
        <v>10</v>
      </c>
      <c r="CD215" s="12">
        <f t="shared" si="1917"/>
        <v>2.336448598130841E-2</v>
      </c>
      <c r="CE215" s="11"/>
      <c r="CF215" s="11"/>
      <c r="CG215" s="18"/>
      <c r="CH215" s="20"/>
      <c r="CI215" s="10"/>
      <c r="CJ215" s="11"/>
      <c r="CK215" s="69">
        <f t="shared" si="1968"/>
        <v>139</v>
      </c>
      <c r="CL215" s="69">
        <f t="shared" si="1969"/>
        <v>12</v>
      </c>
      <c r="CM215" s="11">
        <v>69</v>
      </c>
      <c r="CN215" s="12">
        <f t="shared" si="1918"/>
        <v>0.51798561151079137</v>
      </c>
      <c r="CO215" s="11">
        <v>3</v>
      </c>
      <c r="CP215" s="12">
        <f t="shared" si="1919"/>
        <v>4.1666666666666664E-2</v>
      </c>
      <c r="CQ215" s="11"/>
      <c r="CR215" s="11"/>
      <c r="CS215" s="18"/>
      <c r="CT215" s="20"/>
      <c r="CU215" s="10"/>
      <c r="CV215" s="11"/>
      <c r="CW215" s="69">
        <f t="shared" si="1970"/>
        <v>736</v>
      </c>
      <c r="CX215" s="69">
        <f t="shared" si="1971"/>
        <v>59</v>
      </c>
      <c r="CY215" s="11">
        <v>423</v>
      </c>
      <c r="CZ215" s="12">
        <f t="shared" si="1920"/>
        <v>0.59239130434782605</v>
      </c>
      <c r="DA215" s="11">
        <v>13</v>
      </c>
      <c r="DB215" s="12">
        <f t="shared" si="1921"/>
        <v>2.9816513761467892E-2</v>
      </c>
      <c r="DC215" s="11"/>
      <c r="DD215" s="11"/>
      <c r="DE215" s="18"/>
      <c r="DF215" s="20"/>
      <c r="DG215" s="10"/>
      <c r="DH215" s="11"/>
      <c r="DI215" s="69">
        <f t="shared" si="1972"/>
        <v>739</v>
      </c>
      <c r="DJ215" s="69">
        <f t="shared" si="1973"/>
        <v>59</v>
      </c>
      <c r="DK215" s="11">
        <v>424</v>
      </c>
      <c r="DL215" s="12">
        <f t="shared" si="1922"/>
        <v>0.58457374830852504</v>
      </c>
      <c r="DM215" s="11">
        <v>8</v>
      </c>
      <c r="DN215" s="12">
        <f t="shared" si="1923"/>
        <v>1.8518518518518517E-2</v>
      </c>
      <c r="DO215" s="11"/>
      <c r="DP215" s="11"/>
      <c r="DQ215" s="18"/>
      <c r="DR215" s="20"/>
      <c r="DS215" s="10"/>
      <c r="DT215" s="11"/>
      <c r="DU215" s="69">
        <f t="shared" si="1974"/>
        <v>822</v>
      </c>
      <c r="DV215" s="69">
        <f t="shared" si="1975"/>
        <v>66</v>
      </c>
      <c r="DW215" s="11">
        <v>443</v>
      </c>
      <c r="DX215" s="12">
        <f t="shared" si="1924"/>
        <v>0.54501216545012166</v>
      </c>
      <c r="DY215" s="11">
        <v>5</v>
      </c>
      <c r="DZ215" s="12">
        <f t="shared" si="1925"/>
        <v>1.1160714285714286E-2</v>
      </c>
      <c r="EA215" s="11"/>
      <c r="EB215" s="11"/>
      <c r="EC215" s="18"/>
      <c r="ED215" s="20"/>
      <c r="EE215" s="10"/>
      <c r="EF215" s="11"/>
      <c r="EG215" s="69">
        <f t="shared" si="1976"/>
        <v>845</v>
      </c>
      <c r="EH215" s="69">
        <f t="shared" si="1977"/>
        <v>67</v>
      </c>
      <c r="EI215" s="11">
        <v>424</v>
      </c>
      <c r="EJ215" s="12">
        <f t="shared" si="1926"/>
        <v>0.52071005917159763</v>
      </c>
      <c r="EK215" s="11">
        <v>16</v>
      </c>
      <c r="EL215" s="12">
        <f t="shared" si="1927"/>
        <v>3.6363636363636362E-2</v>
      </c>
      <c r="EM215" s="11"/>
      <c r="EN215" s="11"/>
      <c r="EO215" s="18"/>
      <c r="EP215" s="20"/>
      <c r="EQ215" s="10"/>
      <c r="ER215" s="11"/>
      <c r="ES215" s="69">
        <f t="shared" si="1978"/>
        <v>176</v>
      </c>
      <c r="ET215" s="69">
        <f t="shared" si="1979"/>
        <v>14</v>
      </c>
      <c r="EU215" s="11">
        <v>88</v>
      </c>
      <c r="EV215" s="12">
        <f t="shared" si="1928"/>
        <v>0.53977272727272729</v>
      </c>
      <c r="EW215" s="11">
        <v>7</v>
      </c>
      <c r="EX215" s="12">
        <f t="shared" si="1929"/>
        <v>7.3684210526315783E-2</v>
      </c>
      <c r="EY215" s="11"/>
      <c r="EZ215" s="11"/>
      <c r="FA215" s="18"/>
      <c r="FB215" s="20"/>
      <c r="FC215" s="10"/>
      <c r="FD215" s="11"/>
      <c r="FE215" s="69">
        <f t="shared" si="1980"/>
        <v>848</v>
      </c>
      <c r="FF215" s="69">
        <f t="shared" si="1981"/>
        <v>67</v>
      </c>
      <c r="FG215" s="11">
        <v>438</v>
      </c>
      <c r="FH215" s="12">
        <f t="shared" si="1930"/>
        <v>0.53419811320754718</v>
      </c>
      <c r="FI215" s="11">
        <v>15</v>
      </c>
      <c r="FJ215" s="12">
        <f t="shared" si="1931"/>
        <v>3.3112582781456956E-2</v>
      </c>
      <c r="FK215" s="11"/>
      <c r="FL215" s="11"/>
      <c r="FM215" s="18"/>
      <c r="FN215" s="20"/>
      <c r="FO215" s="10">
        <v>1</v>
      </c>
      <c r="FP215" s="11"/>
      <c r="FQ215" s="69">
        <f t="shared" si="1982"/>
        <v>872</v>
      </c>
      <c r="FR215" s="69">
        <f t="shared" si="1983"/>
        <v>70</v>
      </c>
      <c r="FS215" s="11">
        <v>483</v>
      </c>
      <c r="FT215" s="12">
        <f t="shared" si="1932"/>
        <v>0.57683486238532111</v>
      </c>
      <c r="FU215" s="11">
        <v>20</v>
      </c>
      <c r="FV215" s="12">
        <f t="shared" si="1933"/>
        <v>3.9761431411530816E-2</v>
      </c>
      <c r="FW215" s="11"/>
      <c r="FX215" s="11"/>
      <c r="FY215" s="18"/>
      <c r="FZ215" s="20"/>
      <c r="GA215" s="10"/>
      <c r="GB215" s="11"/>
      <c r="GC215" s="69">
        <f t="shared" si="1984"/>
        <v>875</v>
      </c>
      <c r="GD215" s="69">
        <f t="shared" si="1985"/>
        <v>71</v>
      </c>
      <c r="GE215" s="11">
        <v>474</v>
      </c>
      <c r="GF215" s="12">
        <f t="shared" si="1934"/>
        <v>0.56342857142857139</v>
      </c>
      <c r="GG215" s="11">
        <v>19</v>
      </c>
      <c r="GH215" s="12">
        <f t="shared" si="1935"/>
        <v>3.8539553752535496E-2</v>
      </c>
      <c r="GI215" s="11"/>
      <c r="GJ215" s="11"/>
      <c r="GK215" s="18"/>
      <c r="GL215" s="20"/>
      <c r="GM215" s="10"/>
      <c r="GN215" s="11"/>
      <c r="GO215" s="69">
        <f t="shared" si="1986"/>
        <v>155</v>
      </c>
      <c r="GP215" s="69">
        <f t="shared" si="1987"/>
        <v>12</v>
      </c>
      <c r="GQ215" s="11">
        <v>83</v>
      </c>
      <c r="GR215" s="12">
        <f t="shared" si="1936"/>
        <v>0.55483870967741933</v>
      </c>
      <c r="GS215" s="11">
        <v>3</v>
      </c>
      <c r="GT215" s="12">
        <f t="shared" si="1937"/>
        <v>3.4883720930232558E-2</v>
      </c>
      <c r="GU215" s="11"/>
      <c r="GV215" s="11"/>
      <c r="GW215" s="18"/>
      <c r="GX215" s="20"/>
      <c r="GY215" s="10"/>
      <c r="GZ215" s="11"/>
      <c r="HA215" s="69">
        <f t="shared" si="1988"/>
        <v>902</v>
      </c>
      <c r="HB215" s="69">
        <f t="shared" si="1989"/>
        <v>73</v>
      </c>
      <c r="HC215" s="11">
        <v>508</v>
      </c>
      <c r="HD215" s="12">
        <f t="shared" si="1938"/>
        <v>0.58425720620842569</v>
      </c>
      <c r="HE215" s="11">
        <v>19</v>
      </c>
      <c r="HF215" s="12">
        <f t="shared" si="1939"/>
        <v>3.6053130929791274E-2</v>
      </c>
      <c r="HG215" s="11"/>
      <c r="HH215" s="11"/>
      <c r="HI215" s="18"/>
      <c r="HJ215" s="20"/>
      <c r="HK215" s="10">
        <f t="shared" si="1940"/>
        <v>3</v>
      </c>
      <c r="HL215" s="11">
        <f t="shared" si="1941"/>
        <v>0</v>
      </c>
      <c r="HM215" s="11">
        <f t="shared" si="1942"/>
        <v>11902</v>
      </c>
      <c r="HN215" s="11">
        <f t="shared" si="1943"/>
        <v>953</v>
      </c>
      <c r="HO215" s="11">
        <f t="shared" si="1944"/>
        <v>6792</v>
      </c>
      <c r="HP215" s="95">
        <f t="shared" si="1945"/>
        <v>0.57066039321122497</v>
      </c>
      <c r="HQ215" s="15">
        <f t="shared" si="1946"/>
        <v>198</v>
      </c>
      <c r="HR215" s="12">
        <f t="shared" si="1947"/>
        <v>2.9151943462897525E-2</v>
      </c>
      <c r="HS215" s="16">
        <v>64.7</v>
      </c>
      <c r="HT215" s="17">
        <v>6439</v>
      </c>
      <c r="HU215" s="16">
        <f t="shared" si="1948"/>
        <v>94.802709069493517</v>
      </c>
      <c r="HV215" s="18"/>
      <c r="HW215" s="20"/>
      <c r="HX215" s="73">
        <f t="shared" si="1949"/>
        <v>0.59048795552810374</v>
      </c>
      <c r="HY215" s="73">
        <f t="shared" si="1950"/>
        <v>0.57904701798674663</v>
      </c>
      <c r="HZ215" s="73">
        <f t="shared" si="1951"/>
        <v>0.53363062058714228</v>
      </c>
      <c r="IA215" s="73">
        <f t="shared" si="1952"/>
        <v>0.57382310984308127</v>
      </c>
    </row>
    <row r="216" spans="1:244" x14ac:dyDescent="0.25">
      <c r="A216" s="374"/>
      <c r="B216" s="41">
        <f>+B215+1</f>
        <v>45106</v>
      </c>
      <c r="C216" s="10"/>
      <c r="D216" s="11"/>
      <c r="E216" s="69">
        <f t="shared" si="1954"/>
        <v>819</v>
      </c>
      <c r="F216" s="69">
        <f t="shared" si="1955"/>
        <v>66</v>
      </c>
      <c r="G216" s="11">
        <v>441</v>
      </c>
      <c r="H216" s="12">
        <f t="shared" si="1904"/>
        <v>0.55067155067155071</v>
      </c>
      <c r="I216" s="11">
        <v>10</v>
      </c>
      <c r="J216" s="12">
        <f t="shared" si="1905"/>
        <v>2.2172949002217297E-2</v>
      </c>
      <c r="K216" s="13"/>
      <c r="L216" s="13"/>
      <c r="M216" s="25">
        <v>4176</v>
      </c>
      <c r="N216" s="38">
        <v>4430</v>
      </c>
      <c r="O216" s="10"/>
      <c r="P216" s="11"/>
      <c r="Q216" s="69">
        <f t="shared" si="1956"/>
        <v>747</v>
      </c>
      <c r="R216" s="69">
        <f t="shared" si="1957"/>
        <v>60</v>
      </c>
      <c r="S216" s="11">
        <v>441</v>
      </c>
      <c r="T216" s="12">
        <f t="shared" si="1906"/>
        <v>0.60508701472556892</v>
      </c>
      <c r="U216" s="11">
        <v>11</v>
      </c>
      <c r="V216" s="12">
        <f t="shared" si="1907"/>
        <v>2.4336283185840708E-2</v>
      </c>
      <c r="W216" s="13"/>
      <c r="X216" s="13"/>
      <c r="Y216" s="25">
        <v>4176</v>
      </c>
      <c r="Z216" s="38">
        <v>4430</v>
      </c>
      <c r="AA216" s="10"/>
      <c r="AB216" s="11"/>
      <c r="AC216" s="69">
        <f t="shared" si="1958"/>
        <v>160</v>
      </c>
      <c r="AD216" s="69">
        <f t="shared" si="1959"/>
        <v>13</v>
      </c>
      <c r="AE216" s="11">
        <v>89</v>
      </c>
      <c r="AF216" s="12">
        <f t="shared" si="1908"/>
        <v>0.5625</v>
      </c>
      <c r="AG216" s="11">
        <v>1</v>
      </c>
      <c r="AH216" s="12">
        <f t="shared" si="1909"/>
        <v>1.1111111111111112E-2</v>
      </c>
      <c r="AI216" s="13"/>
      <c r="AJ216" s="13"/>
      <c r="AK216" s="25">
        <v>4176</v>
      </c>
      <c r="AL216" s="38">
        <v>4430</v>
      </c>
      <c r="AM216" s="10"/>
      <c r="AN216" s="11"/>
      <c r="AO216" s="69">
        <f t="shared" si="1960"/>
        <v>761</v>
      </c>
      <c r="AP216" s="69">
        <f t="shared" si="1961"/>
        <v>61</v>
      </c>
      <c r="AQ216" s="11">
        <v>432</v>
      </c>
      <c r="AR216" s="12">
        <f t="shared" si="1910"/>
        <v>0.58475689881734561</v>
      </c>
      <c r="AS216" s="11">
        <v>13</v>
      </c>
      <c r="AT216" s="12">
        <f t="shared" si="1911"/>
        <v>2.9213483146067417E-2</v>
      </c>
      <c r="AU216" s="13"/>
      <c r="AV216" s="13"/>
      <c r="AW216" s="25">
        <v>4176</v>
      </c>
      <c r="AX216" s="38">
        <v>4430</v>
      </c>
      <c r="AY216" s="10"/>
      <c r="AZ216" s="11"/>
      <c r="BA216" s="69">
        <f t="shared" si="1962"/>
        <v>751</v>
      </c>
      <c r="BB216" s="69">
        <f t="shared" si="1963"/>
        <v>60</v>
      </c>
      <c r="BC216" s="11">
        <v>452</v>
      </c>
      <c r="BD216" s="12">
        <f t="shared" si="1912"/>
        <v>0.61651131824234351</v>
      </c>
      <c r="BE216" s="11">
        <v>11</v>
      </c>
      <c r="BF216" s="12">
        <f t="shared" si="1913"/>
        <v>2.3758099352051837E-2</v>
      </c>
      <c r="BG216" s="13"/>
      <c r="BH216" s="13"/>
      <c r="BI216" s="25">
        <v>4176</v>
      </c>
      <c r="BJ216" s="38">
        <v>4430</v>
      </c>
      <c r="BK216" s="10"/>
      <c r="BL216" s="11"/>
      <c r="BM216" s="69">
        <f t="shared" si="1964"/>
        <v>810</v>
      </c>
      <c r="BN216" s="69">
        <f t="shared" si="1965"/>
        <v>64</v>
      </c>
      <c r="BO216" s="11">
        <v>453</v>
      </c>
      <c r="BP216" s="12">
        <f t="shared" si="1914"/>
        <v>0.57283950617283952</v>
      </c>
      <c r="BQ216" s="11">
        <v>11</v>
      </c>
      <c r="BR216" s="12">
        <f t="shared" si="1915"/>
        <v>2.3706896551724137E-2</v>
      </c>
      <c r="BS216" s="13"/>
      <c r="BT216" s="13"/>
      <c r="BU216" s="25">
        <v>4176</v>
      </c>
      <c r="BV216" s="38">
        <v>4430</v>
      </c>
      <c r="BW216" s="10"/>
      <c r="BX216" s="11"/>
      <c r="BY216" s="69">
        <f t="shared" si="1966"/>
        <v>745</v>
      </c>
      <c r="BZ216" s="69">
        <f t="shared" si="1967"/>
        <v>59</v>
      </c>
      <c r="CA216" s="11">
        <v>413</v>
      </c>
      <c r="CB216" s="12">
        <f t="shared" si="1916"/>
        <v>0.56510067114093965</v>
      </c>
      <c r="CC216" s="11">
        <v>8</v>
      </c>
      <c r="CD216" s="12">
        <f t="shared" si="1917"/>
        <v>1.9002375296912115E-2</v>
      </c>
      <c r="CE216" s="13"/>
      <c r="CF216" s="13"/>
      <c r="CG216" s="25">
        <v>4176</v>
      </c>
      <c r="CH216" s="38">
        <v>4430</v>
      </c>
      <c r="CI216" s="10"/>
      <c r="CJ216" s="11"/>
      <c r="CK216" s="69">
        <f t="shared" si="1968"/>
        <v>139</v>
      </c>
      <c r="CL216" s="69">
        <f t="shared" si="1969"/>
        <v>12</v>
      </c>
      <c r="CM216" s="11">
        <v>71</v>
      </c>
      <c r="CN216" s="12">
        <f t="shared" si="1918"/>
        <v>0.56834532374100721</v>
      </c>
      <c r="CO216" s="11">
        <v>8</v>
      </c>
      <c r="CP216" s="12">
        <f t="shared" si="1919"/>
        <v>0.10126582278481013</v>
      </c>
      <c r="CQ216" s="13"/>
      <c r="CR216" s="13"/>
      <c r="CS216" s="25">
        <v>4176</v>
      </c>
      <c r="CT216" s="38">
        <v>4430</v>
      </c>
      <c r="CU216" s="10"/>
      <c r="CV216" s="11"/>
      <c r="CW216" s="69">
        <f t="shared" si="1970"/>
        <v>736</v>
      </c>
      <c r="CX216" s="69">
        <f t="shared" si="1971"/>
        <v>59</v>
      </c>
      <c r="CY216" s="11">
        <v>435</v>
      </c>
      <c r="CZ216" s="12">
        <f t="shared" si="1920"/>
        <v>0.60326086956521741</v>
      </c>
      <c r="DA216" s="11">
        <v>9</v>
      </c>
      <c r="DB216" s="12">
        <f t="shared" si="1921"/>
        <v>2.0270270270270271E-2</v>
      </c>
      <c r="DC216" s="13"/>
      <c r="DD216" s="13"/>
      <c r="DE216" s="25">
        <v>4176</v>
      </c>
      <c r="DF216" s="38">
        <v>4430</v>
      </c>
      <c r="DG216" s="10"/>
      <c r="DH216" s="11"/>
      <c r="DI216" s="69">
        <f t="shared" si="1972"/>
        <v>739</v>
      </c>
      <c r="DJ216" s="69">
        <f t="shared" si="1973"/>
        <v>59</v>
      </c>
      <c r="DK216" s="11">
        <v>451</v>
      </c>
      <c r="DL216" s="12">
        <f t="shared" si="1922"/>
        <v>0.63058186738836264</v>
      </c>
      <c r="DM216" s="11">
        <v>15</v>
      </c>
      <c r="DN216" s="12">
        <f t="shared" si="1923"/>
        <v>3.2188841201716736E-2</v>
      </c>
      <c r="DO216" s="13"/>
      <c r="DP216" s="13"/>
      <c r="DQ216" s="25">
        <v>4176</v>
      </c>
      <c r="DR216" s="38">
        <v>4430</v>
      </c>
      <c r="DS216" s="10"/>
      <c r="DT216" s="11"/>
      <c r="DU216" s="69">
        <f t="shared" si="1974"/>
        <v>822</v>
      </c>
      <c r="DV216" s="69">
        <f t="shared" si="1975"/>
        <v>66</v>
      </c>
      <c r="DW216" s="11">
        <v>455</v>
      </c>
      <c r="DX216" s="12">
        <f t="shared" si="1924"/>
        <v>0.57542579075425793</v>
      </c>
      <c r="DY216" s="11">
        <v>18</v>
      </c>
      <c r="DZ216" s="12">
        <f t="shared" si="1925"/>
        <v>3.8054968287526428E-2</v>
      </c>
      <c r="EA216" s="13"/>
      <c r="EB216" s="13"/>
      <c r="EC216" s="25">
        <v>4176</v>
      </c>
      <c r="ED216" s="38">
        <v>4430</v>
      </c>
      <c r="EE216" s="10"/>
      <c r="EF216" s="11"/>
      <c r="EG216" s="69">
        <f t="shared" si="1976"/>
        <v>845</v>
      </c>
      <c r="EH216" s="69">
        <f t="shared" si="1977"/>
        <v>67</v>
      </c>
      <c r="EI216" s="11">
        <v>477</v>
      </c>
      <c r="EJ216" s="12">
        <f t="shared" si="1926"/>
        <v>0.59053254437869818</v>
      </c>
      <c r="EK216" s="11">
        <v>22</v>
      </c>
      <c r="EL216" s="12">
        <f t="shared" si="1927"/>
        <v>4.4088176352705413E-2</v>
      </c>
      <c r="EM216" s="13"/>
      <c r="EN216" s="13"/>
      <c r="EO216" s="25">
        <v>4176</v>
      </c>
      <c r="EP216" s="38">
        <v>4430</v>
      </c>
      <c r="EQ216" s="10">
        <v>3</v>
      </c>
      <c r="ER216" s="11"/>
      <c r="ES216" s="69">
        <f t="shared" si="1978"/>
        <v>173</v>
      </c>
      <c r="ET216" s="69">
        <f t="shared" si="1979"/>
        <v>14</v>
      </c>
      <c r="EU216" s="11">
        <v>84</v>
      </c>
      <c r="EV216" s="12">
        <f t="shared" si="1928"/>
        <v>0.51445086705202314</v>
      </c>
      <c r="EW216" s="11">
        <v>5</v>
      </c>
      <c r="EX216" s="12">
        <f t="shared" si="1929"/>
        <v>5.6179775280898875E-2</v>
      </c>
      <c r="EY216" s="13"/>
      <c r="EZ216" s="13"/>
      <c r="FA216" s="25">
        <v>4176</v>
      </c>
      <c r="FB216" s="38">
        <v>4430</v>
      </c>
      <c r="FC216" s="10"/>
      <c r="FD216" s="11"/>
      <c r="FE216" s="69">
        <f t="shared" si="1980"/>
        <v>848</v>
      </c>
      <c r="FF216" s="69">
        <f t="shared" si="1981"/>
        <v>67</v>
      </c>
      <c r="FG216" s="11">
        <v>469</v>
      </c>
      <c r="FH216" s="12">
        <f t="shared" si="1930"/>
        <v>0.57783018867924529</v>
      </c>
      <c r="FI216" s="11">
        <v>21</v>
      </c>
      <c r="FJ216" s="12">
        <f t="shared" si="1931"/>
        <v>4.2857142857142858E-2</v>
      </c>
      <c r="FK216" s="13"/>
      <c r="FL216" s="13"/>
      <c r="FM216" s="25">
        <v>4176</v>
      </c>
      <c r="FN216" s="38">
        <v>4430</v>
      </c>
      <c r="FO216" s="10"/>
      <c r="FP216" s="11"/>
      <c r="FQ216" s="69">
        <f t="shared" si="1982"/>
        <v>872</v>
      </c>
      <c r="FR216" s="69">
        <f t="shared" si="1983"/>
        <v>70</v>
      </c>
      <c r="FS216" s="11">
        <v>487</v>
      </c>
      <c r="FT216" s="12">
        <f t="shared" si="1932"/>
        <v>0.58830275229357798</v>
      </c>
      <c r="FU216" s="11">
        <v>26</v>
      </c>
      <c r="FV216" s="12">
        <f t="shared" si="1933"/>
        <v>5.0682261208576995E-2</v>
      </c>
      <c r="FW216" s="13"/>
      <c r="FX216" s="13"/>
      <c r="FY216" s="25">
        <v>4176</v>
      </c>
      <c r="FZ216" s="38">
        <v>4430</v>
      </c>
      <c r="GA216" s="10"/>
      <c r="GB216" s="11"/>
      <c r="GC216" s="69">
        <f t="shared" si="1984"/>
        <v>875</v>
      </c>
      <c r="GD216" s="69">
        <f t="shared" si="1985"/>
        <v>71</v>
      </c>
      <c r="GE216" s="11">
        <v>480</v>
      </c>
      <c r="GF216" s="12">
        <f t="shared" si="1934"/>
        <v>0.56228571428571428</v>
      </c>
      <c r="GG216" s="11">
        <v>12</v>
      </c>
      <c r="GH216" s="12">
        <f t="shared" si="1935"/>
        <v>2.4390243902439025E-2</v>
      </c>
      <c r="GI216" s="13"/>
      <c r="GJ216" s="13"/>
      <c r="GK216" s="25">
        <v>4176</v>
      </c>
      <c r="GL216" s="38">
        <v>4430</v>
      </c>
      <c r="GM216" s="10">
        <v>1</v>
      </c>
      <c r="GN216" s="11"/>
      <c r="GO216" s="69">
        <f t="shared" si="1986"/>
        <v>154</v>
      </c>
      <c r="GP216" s="69">
        <f t="shared" si="1987"/>
        <v>12</v>
      </c>
      <c r="GQ216" s="11">
        <v>71</v>
      </c>
      <c r="GR216" s="12">
        <f t="shared" si="1936"/>
        <v>0.51298701298701299</v>
      </c>
      <c r="GS216" s="11">
        <v>8</v>
      </c>
      <c r="GT216" s="12">
        <f t="shared" si="1937"/>
        <v>0.10126582278481013</v>
      </c>
      <c r="GU216" s="13"/>
      <c r="GV216" s="13"/>
      <c r="GW216" s="25">
        <v>4176</v>
      </c>
      <c r="GX216" s="38">
        <v>4430</v>
      </c>
      <c r="GY216" s="10"/>
      <c r="GZ216" s="11"/>
      <c r="HA216" s="69">
        <f t="shared" si="1988"/>
        <v>902</v>
      </c>
      <c r="HB216" s="69">
        <f t="shared" si="1989"/>
        <v>73</v>
      </c>
      <c r="HC216" s="11">
        <v>531</v>
      </c>
      <c r="HD216" s="12">
        <f t="shared" si="1938"/>
        <v>0.60864745011086474</v>
      </c>
      <c r="HE216" s="11">
        <v>18</v>
      </c>
      <c r="HF216" s="12">
        <f t="shared" si="1939"/>
        <v>3.2786885245901641E-2</v>
      </c>
      <c r="HG216" s="13"/>
      <c r="HH216" s="13"/>
      <c r="HI216" s="25">
        <v>4176</v>
      </c>
      <c r="HJ216" s="38">
        <v>4430</v>
      </c>
      <c r="HK216" s="10">
        <f t="shared" si="1940"/>
        <v>4</v>
      </c>
      <c r="HL216" s="11">
        <f t="shared" si="1941"/>
        <v>0</v>
      </c>
      <c r="HM216" s="11">
        <f t="shared" si="1942"/>
        <v>11898</v>
      </c>
      <c r="HN216" s="11">
        <f t="shared" si="1943"/>
        <v>953</v>
      </c>
      <c r="HO216" s="11">
        <f t="shared" si="1944"/>
        <v>6959</v>
      </c>
      <c r="HP216" s="95">
        <f t="shared" si="1945"/>
        <v>0.58488821650697598</v>
      </c>
      <c r="HQ216" s="15">
        <f t="shared" si="1946"/>
        <v>227</v>
      </c>
      <c r="HR216" s="12">
        <f t="shared" si="1947"/>
        <v>3.2619629257077169E-2</v>
      </c>
      <c r="HS216" s="16">
        <v>64.8</v>
      </c>
      <c r="HT216" s="17">
        <v>6557</v>
      </c>
      <c r="HU216" s="16">
        <f t="shared" si="1948"/>
        <v>94.22330794654404</v>
      </c>
      <c r="HV216" s="23">
        <v>4176</v>
      </c>
      <c r="HW216" s="22">
        <v>4430</v>
      </c>
      <c r="HX216" s="73">
        <f t="shared" si="1949"/>
        <v>0.5870907967881408</v>
      </c>
      <c r="HY216" s="73">
        <f t="shared" si="1950"/>
        <v>0.59135373934995261</v>
      </c>
      <c r="HZ216" s="73">
        <f t="shared" si="1951"/>
        <v>0.5770089285714286</v>
      </c>
      <c r="IA216" s="73">
        <f t="shared" si="1952"/>
        <v>0.58259008205494112</v>
      </c>
    </row>
    <row r="217" spans="1:244" x14ac:dyDescent="0.25">
      <c r="A217" s="374"/>
      <c r="B217" s="41">
        <f t="shared" si="1953"/>
        <v>45107</v>
      </c>
      <c r="C217" s="10">
        <v>1</v>
      </c>
      <c r="D217" s="11"/>
      <c r="E217" s="69">
        <f t="shared" si="1954"/>
        <v>818</v>
      </c>
      <c r="F217" s="69">
        <f t="shared" si="1955"/>
        <v>66</v>
      </c>
      <c r="G217" s="11">
        <v>489</v>
      </c>
      <c r="H217" s="12">
        <f t="shared" si="1904"/>
        <v>0.61491442542787289</v>
      </c>
      <c r="I217" s="11">
        <v>14</v>
      </c>
      <c r="J217" s="12">
        <f t="shared" si="1905"/>
        <v>2.7833001988071572E-2</v>
      </c>
      <c r="K217" s="13"/>
      <c r="L217" s="11"/>
      <c r="M217" s="25">
        <v>4782.3809523809523</v>
      </c>
      <c r="N217" s="38">
        <v>4565</v>
      </c>
      <c r="O217" s="10"/>
      <c r="P217" s="11"/>
      <c r="Q217" s="69">
        <f t="shared" si="1956"/>
        <v>747</v>
      </c>
      <c r="R217" s="69">
        <f t="shared" si="1957"/>
        <v>60</v>
      </c>
      <c r="S217" s="11">
        <v>441</v>
      </c>
      <c r="T217" s="12">
        <f t="shared" si="1906"/>
        <v>0.60107095046854087</v>
      </c>
      <c r="U217" s="11">
        <v>8</v>
      </c>
      <c r="V217" s="12">
        <f t="shared" si="1907"/>
        <v>1.7817371937639197E-2</v>
      </c>
      <c r="W217" s="13"/>
      <c r="X217" s="11"/>
      <c r="Y217" s="25">
        <v>4843.5897435897432</v>
      </c>
      <c r="Z217" s="38">
        <v>4702.5</v>
      </c>
      <c r="AA217" s="10"/>
      <c r="AB217" s="11"/>
      <c r="AC217" s="69">
        <f t="shared" si="1958"/>
        <v>160</v>
      </c>
      <c r="AD217" s="69">
        <f t="shared" si="1959"/>
        <v>13</v>
      </c>
      <c r="AE217" s="11">
        <v>80</v>
      </c>
      <c r="AF217" s="12">
        <f t="shared" si="1908"/>
        <v>0.5</v>
      </c>
      <c r="AG217" s="11">
        <v>0</v>
      </c>
      <c r="AH217" s="12">
        <f t="shared" si="1909"/>
        <v>0</v>
      </c>
      <c r="AI217" s="13"/>
      <c r="AJ217" s="11"/>
      <c r="AK217" s="25">
        <v>4951</v>
      </c>
      <c r="AL217" s="38">
        <v>4336.666666666667</v>
      </c>
      <c r="AM217" s="10"/>
      <c r="AN217" s="11"/>
      <c r="AO217" s="69">
        <f t="shared" si="1960"/>
        <v>761</v>
      </c>
      <c r="AP217" s="69">
        <f t="shared" si="1961"/>
        <v>61</v>
      </c>
      <c r="AQ217" s="11">
        <v>438</v>
      </c>
      <c r="AR217" s="12">
        <f t="shared" si="1910"/>
        <v>0.5834428383705651</v>
      </c>
      <c r="AS217" s="11">
        <v>6</v>
      </c>
      <c r="AT217" s="12">
        <f t="shared" si="1911"/>
        <v>1.3513513513513514E-2</v>
      </c>
      <c r="AU217" s="13"/>
      <c r="AV217" s="11"/>
      <c r="AW217" s="25">
        <v>4780.7692307692305</v>
      </c>
      <c r="AX217" s="38">
        <v>4899.166666666667</v>
      </c>
      <c r="AY217" s="10"/>
      <c r="AZ217" s="11"/>
      <c r="BA217" s="69">
        <f t="shared" si="1962"/>
        <v>751</v>
      </c>
      <c r="BB217" s="69">
        <f t="shared" si="1963"/>
        <v>60</v>
      </c>
      <c r="BC217" s="11">
        <v>436</v>
      </c>
      <c r="BD217" s="12">
        <f t="shared" si="1912"/>
        <v>0.60053262316910783</v>
      </c>
      <c r="BE217" s="11">
        <v>15</v>
      </c>
      <c r="BF217" s="12">
        <f t="shared" si="1913"/>
        <v>3.325942350332594E-2</v>
      </c>
      <c r="BG217" s="13"/>
      <c r="BH217" s="11"/>
      <c r="BI217" s="25">
        <v>4854.0476190476193</v>
      </c>
      <c r="BJ217" s="38">
        <v>5220.909090909091</v>
      </c>
      <c r="BK217" s="10"/>
      <c r="BL217" s="11"/>
      <c r="BM217" s="69">
        <f t="shared" si="1964"/>
        <v>810</v>
      </c>
      <c r="BN217" s="69">
        <f t="shared" si="1965"/>
        <v>64</v>
      </c>
      <c r="BO217" s="11">
        <v>411</v>
      </c>
      <c r="BP217" s="12">
        <f t="shared" si="1914"/>
        <v>0.52222222222222225</v>
      </c>
      <c r="BQ217" s="11">
        <v>12</v>
      </c>
      <c r="BR217" s="12">
        <f t="shared" si="1915"/>
        <v>2.8368794326241134E-2</v>
      </c>
      <c r="BS217" s="13"/>
      <c r="BT217" s="11"/>
      <c r="BU217" s="25">
        <v>4832.3255813953492</v>
      </c>
      <c r="BV217" s="38">
        <v>4558.4615384615381</v>
      </c>
      <c r="BW217" s="10"/>
      <c r="BX217" s="11"/>
      <c r="BY217" s="69">
        <f t="shared" si="1966"/>
        <v>745</v>
      </c>
      <c r="BZ217" s="69">
        <f t="shared" si="1967"/>
        <v>59</v>
      </c>
      <c r="CA217" s="11">
        <v>411</v>
      </c>
      <c r="CB217" s="12">
        <f t="shared" si="1916"/>
        <v>0.56510067114093965</v>
      </c>
      <c r="CC217" s="11">
        <v>10</v>
      </c>
      <c r="CD217" s="12">
        <f t="shared" si="1917"/>
        <v>2.3752969121140142E-2</v>
      </c>
      <c r="CE217" s="13"/>
      <c r="CF217" s="11"/>
      <c r="CG217" s="25">
        <v>4665.625</v>
      </c>
      <c r="CH217" s="38">
        <v>4717.272727272727</v>
      </c>
      <c r="CI217" s="10"/>
      <c r="CJ217" s="11"/>
      <c r="CK217" s="69">
        <f t="shared" si="1968"/>
        <v>139</v>
      </c>
      <c r="CL217" s="69">
        <f t="shared" si="1969"/>
        <v>12</v>
      </c>
      <c r="CM217" s="11">
        <v>73</v>
      </c>
      <c r="CN217" s="12">
        <f t="shared" si="1918"/>
        <v>0.53956834532374098</v>
      </c>
      <c r="CO217" s="11">
        <v>2</v>
      </c>
      <c r="CP217" s="12">
        <f t="shared" si="1919"/>
        <v>2.6666666666666668E-2</v>
      </c>
      <c r="CQ217" s="13"/>
      <c r="CR217" s="11"/>
      <c r="CS217" s="25">
        <v>4564</v>
      </c>
      <c r="CT217" s="38">
        <v>4405</v>
      </c>
      <c r="CU217" s="10"/>
      <c r="CV217" s="11"/>
      <c r="CW217" s="69">
        <f t="shared" si="1970"/>
        <v>736</v>
      </c>
      <c r="CX217" s="69">
        <f t="shared" si="1971"/>
        <v>59</v>
      </c>
      <c r="CY217" s="11">
        <v>405</v>
      </c>
      <c r="CZ217" s="12">
        <f t="shared" si="1920"/>
        <v>0.55842391304347827</v>
      </c>
      <c r="DA217" s="11">
        <v>6</v>
      </c>
      <c r="DB217" s="12">
        <f t="shared" si="1921"/>
        <v>1.4598540145985401E-2</v>
      </c>
      <c r="DC217" s="13"/>
      <c r="DD217" s="11"/>
      <c r="DE217" s="25">
        <v>4837.333333333333</v>
      </c>
      <c r="DF217" s="38">
        <v>4712.3076923076924</v>
      </c>
      <c r="DG217" s="10">
        <v>1</v>
      </c>
      <c r="DH217" s="11"/>
      <c r="DI217" s="69">
        <f t="shared" si="1972"/>
        <v>738</v>
      </c>
      <c r="DJ217" s="69">
        <f t="shared" si="1973"/>
        <v>59</v>
      </c>
      <c r="DK217" s="11">
        <v>425</v>
      </c>
      <c r="DL217" s="12">
        <f t="shared" si="1922"/>
        <v>0.59485094850948506</v>
      </c>
      <c r="DM217" s="11">
        <v>14</v>
      </c>
      <c r="DN217" s="12">
        <f t="shared" si="1923"/>
        <v>3.1890660592255128E-2</v>
      </c>
      <c r="DO217" s="13"/>
      <c r="DP217" s="11"/>
      <c r="DQ217" s="25">
        <v>4837.333333333333</v>
      </c>
      <c r="DR217" s="38">
        <v>5108.4615384615381</v>
      </c>
      <c r="DS217" s="10"/>
      <c r="DT217" s="11"/>
      <c r="DU217" s="69">
        <f t="shared" si="1974"/>
        <v>822</v>
      </c>
      <c r="DV217" s="69">
        <f t="shared" si="1975"/>
        <v>66</v>
      </c>
      <c r="DW217" s="11">
        <v>452</v>
      </c>
      <c r="DX217" s="12">
        <f t="shared" si="1924"/>
        <v>0.57299270072992703</v>
      </c>
      <c r="DY217" s="11">
        <v>19</v>
      </c>
      <c r="DZ217" s="12">
        <f t="shared" si="1925"/>
        <v>4.0339702760084924E-2</v>
      </c>
      <c r="EA217" s="13"/>
      <c r="EB217" s="11"/>
      <c r="EC217" s="25">
        <v>4798</v>
      </c>
      <c r="ED217" s="38">
        <v>4520</v>
      </c>
      <c r="EE217" s="10"/>
      <c r="EF217" s="11"/>
      <c r="EG217" s="69">
        <f t="shared" si="1976"/>
        <v>845</v>
      </c>
      <c r="EH217" s="69">
        <f t="shared" si="1977"/>
        <v>67</v>
      </c>
      <c r="EI217" s="11">
        <v>495</v>
      </c>
      <c r="EJ217" s="12">
        <f t="shared" si="1926"/>
        <v>0.60473372781065093</v>
      </c>
      <c r="EK217" s="11">
        <v>16</v>
      </c>
      <c r="EL217" s="12">
        <f t="shared" si="1927"/>
        <v>3.131115459882583E-2</v>
      </c>
      <c r="EM217" s="13"/>
      <c r="EN217" s="11"/>
      <c r="EO217" s="25">
        <v>4690.5128205128203</v>
      </c>
      <c r="EP217" s="38">
        <v>4689.2307692307695</v>
      </c>
      <c r="EQ217" s="10"/>
      <c r="ER217" s="11"/>
      <c r="ES217" s="69">
        <f t="shared" si="1978"/>
        <v>173</v>
      </c>
      <c r="ET217" s="69">
        <f t="shared" si="1979"/>
        <v>14</v>
      </c>
      <c r="EU217" s="11">
        <v>80</v>
      </c>
      <c r="EV217" s="12">
        <f t="shared" si="1928"/>
        <v>0.50867052023121384</v>
      </c>
      <c r="EW217" s="11">
        <v>8</v>
      </c>
      <c r="EX217" s="12">
        <f t="shared" si="1929"/>
        <v>9.0909090909090912E-2</v>
      </c>
      <c r="EY217" s="13"/>
      <c r="EZ217" s="11"/>
      <c r="FA217" s="25">
        <v>4655.3846153846152</v>
      </c>
      <c r="FB217" s="38">
        <v>4513.333333333333</v>
      </c>
      <c r="FC217" s="10"/>
      <c r="FD217" s="11"/>
      <c r="FE217" s="69">
        <f t="shared" si="1980"/>
        <v>848</v>
      </c>
      <c r="FF217" s="69">
        <f t="shared" si="1981"/>
        <v>67</v>
      </c>
      <c r="FG217" s="11">
        <v>498</v>
      </c>
      <c r="FH217" s="12">
        <f t="shared" si="1930"/>
        <v>0.60259433962264153</v>
      </c>
      <c r="FI217" s="11">
        <v>13</v>
      </c>
      <c r="FJ217" s="12">
        <f t="shared" si="1931"/>
        <v>2.5440313111545987E-2</v>
      </c>
      <c r="FK217" s="13"/>
      <c r="FL217" s="11"/>
      <c r="FM217" s="25">
        <v>4746.7441860465115</v>
      </c>
      <c r="FN217" s="38">
        <v>5055.833333333333</v>
      </c>
      <c r="FO217" s="10">
        <v>1</v>
      </c>
      <c r="FP217" s="11"/>
      <c r="FQ217" s="69">
        <f t="shared" si="1982"/>
        <v>871</v>
      </c>
      <c r="FR217" s="69">
        <f t="shared" si="1983"/>
        <v>70</v>
      </c>
      <c r="FS217" s="11">
        <v>474</v>
      </c>
      <c r="FT217" s="12">
        <f t="shared" si="1932"/>
        <v>0.5648679678530425</v>
      </c>
      <c r="FU217" s="11">
        <v>18</v>
      </c>
      <c r="FV217" s="12">
        <f t="shared" si="1933"/>
        <v>3.6585365853658534E-2</v>
      </c>
      <c r="FW217" s="13"/>
      <c r="FX217" s="11"/>
      <c r="FY217" s="25">
        <v>4892.3809523809523</v>
      </c>
      <c r="FZ217" s="38">
        <v>4575.7142857142853</v>
      </c>
      <c r="GA217" s="10"/>
      <c r="GB217" s="11"/>
      <c r="GC217" s="69">
        <f t="shared" si="1984"/>
        <v>875</v>
      </c>
      <c r="GD217" s="69">
        <f t="shared" si="1985"/>
        <v>71</v>
      </c>
      <c r="GE217" s="11">
        <v>470</v>
      </c>
      <c r="GF217" s="12">
        <f t="shared" si="1934"/>
        <v>0.55657142857142861</v>
      </c>
      <c r="GG217" s="11">
        <v>17</v>
      </c>
      <c r="GH217" s="12">
        <f t="shared" si="1935"/>
        <v>3.4907597535934289E-2</v>
      </c>
      <c r="GI217" s="13"/>
      <c r="GJ217" s="11"/>
      <c r="GK217" s="25">
        <v>4701</v>
      </c>
      <c r="GL217" s="38">
        <v>4725</v>
      </c>
      <c r="GM217" s="10">
        <v>1</v>
      </c>
      <c r="GN217" s="11"/>
      <c r="GO217" s="69">
        <f t="shared" si="1986"/>
        <v>153</v>
      </c>
      <c r="GP217" s="69">
        <f t="shared" si="1987"/>
        <v>12</v>
      </c>
      <c r="GQ217" s="11">
        <v>76</v>
      </c>
      <c r="GR217" s="12">
        <f t="shared" si="1936"/>
        <v>0.52287581699346408</v>
      </c>
      <c r="GS217" s="11">
        <v>4</v>
      </c>
      <c r="GT217" s="12">
        <f t="shared" si="1937"/>
        <v>0.05</v>
      </c>
      <c r="GU217" s="13"/>
      <c r="GV217" s="11"/>
      <c r="GW217" s="25">
        <v>4472.727272727273</v>
      </c>
      <c r="GX217" s="38">
        <v>4350</v>
      </c>
      <c r="GY217" s="10"/>
      <c r="GZ217" s="11"/>
      <c r="HA217" s="69">
        <f t="shared" si="1988"/>
        <v>902</v>
      </c>
      <c r="HB217" s="69">
        <f t="shared" si="1989"/>
        <v>73</v>
      </c>
      <c r="HC217" s="11">
        <v>537</v>
      </c>
      <c r="HD217" s="12">
        <f t="shared" si="1938"/>
        <v>0.60088691796008864</v>
      </c>
      <c r="HE217" s="11">
        <v>5</v>
      </c>
      <c r="HF217" s="12">
        <f t="shared" si="1939"/>
        <v>9.2250922509225092E-3</v>
      </c>
      <c r="HG217" s="13"/>
      <c r="HH217" s="11"/>
      <c r="HI217" s="25">
        <v>4852.7906976744189</v>
      </c>
      <c r="HJ217" s="38">
        <v>5175.7142857142853</v>
      </c>
      <c r="HK217" s="10">
        <f t="shared" si="1940"/>
        <v>4</v>
      </c>
      <c r="HL217" s="11">
        <f t="shared" si="1941"/>
        <v>0</v>
      </c>
      <c r="HM217" s="11">
        <f t="shared" si="1942"/>
        <v>11894</v>
      </c>
      <c r="HN217" s="11">
        <f t="shared" si="1943"/>
        <v>953</v>
      </c>
      <c r="HO217" s="11">
        <f t="shared" si="1944"/>
        <v>6878</v>
      </c>
      <c r="HP217" s="95">
        <f t="shared" si="1945"/>
        <v>0.57827476038338654</v>
      </c>
      <c r="HQ217" s="15">
        <f t="shared" si="1946"/>
        <v>187</v>
      </c>
      <c r="HR217" s="12">
        <f t="shared" si="1947"/>
        <v>2.7188136086071533E-2</v>
      </c>
      <c r="HS217" s="16">
        <v>64.900000000000006</v>
      </c>
      <c r="HT217" s="17">
        <v>6515</v>
      </c>
      <c r="HU217" s="16">
        <f t="shared" si="1948"/>
        <v>94.722302995056708</v>
      </c>
      <c r="HV217" s="23">
        <v>4773.5457516339866</v>
      </c>
      <c r="HW217" s="22">
        <v>4769.8963730569949</v>
      </c>
      <c r="HX217" s="73">
        <f t="shared" si="1949"/>
        <v>0.59530429409947483</v>
      </c>
      <c r="HY217" s="73">
        <f t="shared" si="1950"/>
        <v>0.55839646464646464</v>
      </c>
      <c r="HZ217" s="73">
        <f t="shared" si="1951"/>
        <v>0.5881696428571429</v>
      </c>
      <c r="IA217" s="73">
        <f t="shared" si="1952"/>
        <v>0.57158157800785436</v>
      </c>
    </row>
    <row r="218" spans="1:244" x14ac:dyDescent="0.25">
      <c r="A218" s="374"/>
      <c r="B218" s="41">
        <f t="shared" si="1953"/>
        <v>45108</v>
      </c>
      <c r="C218" s="10"/>
      <c r="D218" s="11"/>
      <c r="E218" s="69">
        <f t="shared" si="1954"/>
        <v>818</v>
      </c>
      <c r="F218" s="69">
        <f t="shared" si="1955"/>
        <v>66</v>
      </c>
      <c r="G218" s="11">
        <v>421</v>
      </c>
      <c r="H218" s="12">
        <f t="shared" si="1904"/>
        <v>0.52933985330073352</v>
      </c>
      <c r="I218" s="11">
        <v>12</v>
      </c>
      <c r="J218" s="12">
        <f t="shared" si="1905"/>
        <v>2.771362586605081E-2</v>
      </c>
      <c r="K218" s="13"/>
      <c r="L218" s="11"/>
      <c r="M218" s="39">
        <v>73.80952380952381</v>
      </c>
      <c r="N218" s="43">
        <v>100</v>
      </c>
      <c r="O218" s="10"/>
      <c r="P218" s="11"/>
      <c r="Q218" s="69">
        <f t="shared" si="1956"/>
        <v>747</v>
      </c>
      <c r="R218" s="69">
        <f t="shared" si="1957"/>
        <v>60</v>
      </c>
      <c r="S218" s="11">
        <v>417</v>
      </c>
      <c r="T218" s="12">
        <f t="shared" si="1906"/>
        <v>0.57161981258366801</v>
      </c>
      <c r="U218" s="11">
        <v>10</v>
      </c>
      <c r="V218" s="12">
        <f t="shared" si="1907"/>
        <v>2.3419203747072601E-2</v>
      </c>
      <c r="W218" s="13"/>
      <c r="X218" s="11"/>
      <c r="Y218" s="39">
        <v>74.358974358974365</v>
      </c>
      <c r="Z218" s="43">
        <v>100</v>
      </c>
      <c r="AA218" s="10">
        <v>1</v>
      </c>
      <c r="AB218" s="11"/>
      <c r="AC218" s="69">
        <f t="shared" si="1958"/>
        <v>159</v>
      </c>
      <c r="AD218" s="69">
        <f t="shared" si="1959"/>
        <v>13</v>
      </c>
      <c r="AE218" s="11">
        <v>81</v>
      </c>
      <c r="AF218" s="12">
        <f t="shared" si="1908"/>
        <v>0.52830188679245282</v>
      </c>
      <c r="AG218" s="11">
        <v>3</v>
      </c>
      <c r="AH218" s="12">
        <f t="shared" si="1909"/>
        <v>3.5714285714285712E-2</v>
      </c>
      <c r="AI218" s="13"/>
      <c r="AJ218" s="11"/>
      <c r="AK218" s="39">
        <v>80</v>
      </c>
      <c r="AL218" s="43">
        <v>100</v>
      </c>
      <c r="AM218" s="10"/>
      <c r="AN218" s="11"/>
      <c r="AO218" s="69">
        <f t="shared" si="1960"/>
        <v>761</v>
      </c>
      <c r="AP218" s="69">
        <f t="shared" si="1961"/>
        <v>61</v>
      </c>
      <c r="AQ218" s="11">
        <v>428</v>
      </c>
      <c r="AR218" s="12">
        <f t="shared" si="1910"/>
        <v>0.57687253613666234</v>
      </c>
      <c r="AS218" s="11">
        <v>11</v>
      </c>
      <c r="AT218" s="12">
        <f t="shared" si="1911"/>
        <v>2.5056947608200455E-2</v>
      </c>
      <c r="AU218" s="13"/>
      <c r="AV218" s="11"/>
      <c r="AW218" s="39">
        <v>69.230769230769226</v>
      </c>
      <c r="AX218" s="43">
        <v>100</v>
      </c>
      <c r="AY218" s="10"/>
      <c r="AZ218" s="11"/>
      <c r="BA218" s="69">
        <f t="shared" si="1962"/>
        <v>751</v>
      </c>
      <c r="BB218" s="69">
        <f t="shared" si="1963"/>
        <v>60</v>
      </c>
      <c r="BC218" s="11">
        <v>428</v>
      </c>
      <c r="BD218" s="12">
        <f t="shared" si="1912"/>
        <v>0.57789613848202392</v>
      </c>
      <c r="BE218" s="11">
        <v>6</v>
      </c>
      <c r="BF218" s="12">
        <f t="shared" si="1913"/>
        <v>1.3824884792626729E-2</v>
      </c>
      <c r="BG218" s="13"/>
      <c r="BH218" s="11"/>
      <c r="BI218" s="39">
        <v>71.428571428571431</v>
      </c>
      <c r="BJ218" s="43">
        <v>100</v>
      </c>
      <c r="BK218" s="10"/>
      <c r="BL218" s="11"/>
      <c r="BM218" s="69">
        <f t="shared" si="1964"/>
        <v>810</v>
      </c>
      <c r="BN218" s="69">
        <f t="shared" si="1965"/>
        <v>64</v>
      </c>
      <c r="BO218" s="11">
        <v>440</v>
      </c>
      <c r="BP218" s="12">
        <f t="shared" si="1914"/>
        <v>0.55555555555555558</v>
      </c>
      <c r="BQ218" s="11">
        <v>10</v>
      </c>
      <c r="BR218" s="12">
        <f t="shared" si="1915"/>
        <v>2.2222222222222223E-2</v>
      </c>
      <c r="BS218" s="13"/>
      <c r="BT218" s="11"/>
      <c r="BU218" s="39">
        <v>93.023255813953483</v>
      </c>
      <c r="BV218" s="43">
        <v>100</v>
      </c>
      <c r="BW218" s="10"/>
      <c r="BX218" s="11"/>
      <c r="BY218" s="69">
        <f t="shared" si="1966"/>
        <v>745</v>
      </c>
      <c r="BZ218" s="69">
        <f t="shared" si="1967"/>
        <v>59</v>
      </c>
      <c r="CA218" s="11">
        <v>412</v>
      </c>
      <c r="CB218" s="12">
        <f t="shared" si="1916"/>
        <v>0.56644295302013425</v>
      </c>
      <c r="CC218" s="11">
        <v>10</v>
      </c>
      <c r="CD218" s="12">
        <f t="shared" si="1917"/>
        <v>2.3696682464454975E-2</v>
      </c>
      <c r="CE218" s="13"/>
      <c r="CF218" s="11"/>
      <c r="CG218" s="39">
        <v>90.625</v>
      </c>
      <c r="CH218" s="43">
        <v>100</v>
      </c>
      <c r="CI218" s="10">
        <v>1</v>
      </c>
      <c r="CJ218" s="11"/>
      <c r="CK218" s="69">
        <f t="shared" si="1968"/>
        <v>138</v>
      </c>
      <c r="CL218" s="69">
        <f t="shared" si="1969"/>
        <v>12</v>
      </c>
      <c r="CM218" s="11">
        <v>68</v>
      </c>
      <c r="CN218" s="12">
        <f t="shared" si="1918"/>
        <v>0.50724637681159424</v>
      </c>
      <c r="CO218" s="11">
        <v>2</v>
      </c>
      <c r="CP218" s="12">
        <f t="shared" si="1919"/>
        <v>2.8571428571428571E-2</v>
      </c>
      <c r="CQ218" s="13"/>
      <c r="CR218" s="11"/>
      <c r="CS218" s="39">
        <v>50</v>
      </c>
      <c r="CT218" s="43">
        <v>75</v>
      </c>
      <c r="CU218" s="10"/>
      <c r="CV218" s="11"/>
      <c r="CW218" s="69">
        <f t="shared" si="1970"/>
        <v>736</v>
      </c>
      <c r="CX218" s="69">
        <f t="shared" si="1971"/>
        <v>59</v>
      </c>
      <c r="CY218" s="11">
        <v>403</v>
      </c>
      <c r="CZ218" s="12">
        <f t="shared" si="1920"/>
        <v>0.56657608695652173</v>
      </c>
      <c r="DA218" s="11">
        <v>14</v>
      </c>
      <c r="DB218" s="12">
        <f t="shared" si="1921"/>
        <v>3.3573141486810551E-2</v>
      </c>
      <c r="DC218" s="13"/>
      <c r="DD218" s="11"/>
      <c r="DE218" s="39">
        <v>73.333333333333329</v>
      </c>
      <c r="DF218" s="43">
        <v>100</v>
      </c>
      <c r="DG218" s="10">
        <v>2</v>
      </c>
      <c r="DH218" s="11"/>
      <c r="DI218" s="69">
        <f t="shared" si="1972"/>
        <v>736</v>
      </c>
      <c r="DJ218" s="69">
        <f t="shared" si="1973"/>
        <v>59</v>
      </c>
      <c r="DK218" s="11">
        <v>437</v>
      </c>
      <c r="DL218" s="12">
        <f t="shared" si="1922"/>
        <v>0.61548913043478259</v>
      </c>
      <c r="DM218" s="11">
        <v>16</v>
      </c>
      <c r="DN218" s="12">
        <f t="shared" si="1923"/>
        <v>3.5320088300220751E-2</v>
      </c>
      <c r="DO218" s="13"/>
      <c r="DP218" s="11"/>
      <c r="DQ218" s="39">
        <v>73.333333333333329</v>
      </c>
      <c r="DR218" s="43">
        <v>92.307692307692307</v>
      </c>
      <c r="DS218" s="10"/>
      <c r="DT218" s="11"/>
      <c r="DU218" s="69">
        <f t="shared" si="1974"/>
        <v>822</v>
      </c>
      <c r="DV218" s="69">
        <f t="shared" si="1975"/>
        <v>66</v>
      </c>
      <c r="DW218" s="11">
        <v>432</v>
      </c>
      <c r="DX218" s="12">
        <f t="shared" si="1924"/>
        <v>0.55109489051094895</v>
      </c>
      <c r="DY218" s="11">
        <v>21</v>
      </c>
      <c r="DZ218" s="12">
        <f t="shared" si="1925"/>
        <v>4.6357615894039736E-2</v>
      </c>
      <c r="EA218" s="13"/>
      <c r="EB218" s="11"/>
      <c r="EC218" s="39">
        <v>92.5</v>
      </c>
      <c r="ED218" s="43">
        <v>100</v>
      </c>
      <c r="EE218" s="10"/>
      <c r="EF218" s="11"/>
      <c r="EG218" s="69">
        <f t="shared" si="1976"/>
        <v>845</v>
      </c>
      <c r="EH218" s="69">
        <f t="shared" si="1977"/>
        <v>67</v>
      </c>
      <c r="EI218" s="11">
        <v>424</v>
      </c>
      <c r="EJ218" s="12">
        <f t="shared" si="1926"/>
        <v>0.53727810650887575</v>
      </c>
      <c r="EK218" s="11">
        <v>30</v>
      </c>
      <c r="EL218" s="12">
        <f t="shared" si="1927"/>
        <v>6.6079295154185022E-2</v>
      </c>
      <c r="EM218" s="13"/>
      <c r="EN218" s="11"/>
      <c r="EO218" s="39">
        <v>79.487179487179489</v>
      </c>
      <c r="EP218" s="43">
        <v>100</v>
      </c>
      <c r="EQ218" s="10"/>
      <c r="ER218" s="11"/>
      <c r="ES218" s="69">
        <f t="shared" si="1978"/>
        <v>173</v>
      </c>
      <c r="ET218" s="69">
        <f t="shared" si="1979"/>
        <v>14</v>
      </c>
      <c r="EU218" s="11">
        <v>76</v>
      </c>
      <c r="EV218" s="12">
        <f t="shared" si="1928"/>
        <v>0.45664739884393063</v>
      </c>
      <c r="EW218" s="11">
        <v>3</v>
      </c>
      <c r="EX218" s="12">
        <f t="shared" si="1929"/>
        <v>3.7974683544303799E-2</v>
      </c>
      <c r="EY218" s="13"/>
      <c r="EZ218" s="11"/>
      <c r="FA218" s="39">
        <v>92.307692307692307</v>
      </c>
      <c r="FB218" s="43">
        <v>100</v>
      </c>
      <c r="FC218" s="10"/>
      <c r="FD218" s="11"/>
      <c r="FE218" s="69">
        <f t="shared" si="1980"/>
        <v>848</v>
      </c>
      <c r="FF218" s="69">
        <f t="shared" si="1981"/>
        <v>67</v>
      </c>
      <c r="FG218" s="11">
        <v>445</v>
      </c>
      <c r="FH218" s="12">
        <f t="shared" si="1930"/>
        <v>0.54834905660377353</v>
      </c>
      <c r="FI218" s="11">
        <v>20</v>
      </c>
      <c r="FJ218" s="12">
        <f t="shared" si="1931"/>
        <v>4.3010752688172046E-2</v>
      </c>
      <c r="FK218" s="13"/>
      <c r="FL218" s="11"/>
      <c r="FM218" s="39">
        <v>86.04651162790698</v>
      </c>
      <c r="FN218" s="43">
        <v>100</v>
      </c>
      <c r="FO218" s="10"/>
      <c r="FP218" s="11"/>
      <c r="FQ218" s="69">
        <f t="shared" si="1982"/>
        <v>871</v>
      </c>
      <c r="FR218" s="69">
        <f t="shared" si="1983"/>
        <v>70</v>
      </c>
      <c r="FS218" s="11">
        <v>463</v>
      </c>
      <c r="FT218" s="12">
        <f t="shared" si="1932"/>
        <v>0.5499425947187141</v>
      </c>
      <c r="FU218" s="11">
        <v>16</v>
      </c>
      <c r="FV218" s="12">
        <f t="shared" si="1933"/>
        <v>3.3402922755741124E-2</v>
      </c>
      <c r="FW218" s="13"/>
      <c r="FX218" s="11"/>
      <c r="FY218" s="39">
        <v>80.952380952380949</v>
      </c>
      <c r="FZ218" s="43">
        <v>100</v>
      </c>
      <c r="GA218" s="10">
        <v>1</v>
      </c>
      <c r="GB218" s="11"/>
      <c r="GC218" s="69">
        <f t="shared" si="1984"/>
        <v>874</v>
      </c>
      <c r="GD218" s="69">
        <f t="shared" si="1985"/>
        <v>71</v>
      </c>
      <c r="GE218" s="11">
        <v>460</v>
      </c>
      <c r="GF218" s="12">
        <f t="shared" si="1934"/>
        <v>0.54576659038901598</v>
      </c>
      <c r="GG218" s="11">
        <v>17</v>
      </c>
      <c r="GH218" s="12">
        <f t="shared" si="1935"/>
        <v>3.5639412997903561E-2</v>
      </c>
      <c r="GI218" s="13"/>
      <c r="GJ218" s="11"/>
      <c r="GK218" s="39">
        <v>95</v>
      </c>
      <c r="GL218" s="43">
        <v>100</v>
      </c>
      <c r="GM218" s="10"/>
      <c r="GN218" s="11"/>
      <c r="GO218" s="69">
        <f t="shared" si="1986"/>
        <v>153</v>
      </c>
      <c r="GP218" s="69">
        <f t="shared" si="1987"/>
        <v>12</v>
      </c>
      <c r="GQ218" s="11">
        <v>65</v>
      </c>
      <c r="GR218" s="12">
        <f t="shared" si="1936"/>
        <v>0.43790849673202614</v>
      </c>
      <c r="GS218" s="11">
        <v>2</v>
      </c>
      <c r="GT218" s="12">
        <f t="shared" si="1937"/>
        <v>2.9850746268656716E-2</v>
      </c>
      <c r="GU218" s="13"/>
      <c r="GV218" s="11"/>
      <c r="GW218" s="39">
        <v>90.909090909090907</v>
      </c>
      <c r="GX218" s="43">
        <v>66.666666666666671</v>
      </c>
      <c r="GY218" s="10"/>
      <c r="GZ218" s="11"/>
      <c r="HA218" s="69">
        <f t="shared" si="1988"/>
        <v>902</v>
      </c>
      <c r="HB218" s="69">
        <f t="shared" si="1989"/>
        <v>73</v>
      </c>
      <c r="HC218" s="11">
        <v>500</v>
      </c>
      <c r="HD218" s="12">
        <f t="shared" si="1938"/>
        <v>0.57982261640798227</v>
      </c>
      <c r="HE218" s="11">
        <v>23</v>
      </c>
      <c r="HF218" s="12">
        <f t="shared" si="1939"/>
        <v>4.3977055449330782E-2</v>
      </c>
      <c r="HG218" s="13"/>
      <c r="HH218" s="11"/>
      <c r="HI218" s="39">
        <v>79.069767441860463</v>
      </c>
      <c r="HJ218" s="43">
        <v>100</v>
      </c>
      <c r="HK218" s="10">
        <f t="shared" si="1940"/>
        <v>5</v>
      </c>
      <c r="HL218" s="11">
        <f t="shared" si="1941"/>
        <v>0</v>
      </c>
      <c r="HM218" s="11">
        <f t="shared" si="1942"/>
        <v>11889</v>
      </c>
      <c r="HN218" s="11">
        <f t="shared" si="1943"/>
        <v>953</v>
      </c>
      <c r="HO218" s="11">
        <f t="shared" si="1944"/>
        <v>6626</v>
      </c>
      <c r="HP218" s="95">
        <f t="shared" si="1945"/>
        <v>0.55732189418790479</v>
      </c>
      <c r="HQ218" s="15">
        <f t="shared" si="1946"/>
        <v>226</v>
      </c>
      <c r="HR218" s="12">
        <f t="shared" si="1947"/>
        <v>3.4108059160881374E-2</v>
      </c>
      <c r="HS218" s="16">
        <v>65.5</v>
      </c>
      <c r="HT218" s="17">
        <v>6218</v>
      </c>
      <c r="HU218" s="16">
        <f t="shared" si="1948"/>
        <v>93.842438877150613</v>
      </c>
      <c r="HV218" s="23">
        <v>80.06535947712419</v>
      </c>
      <c r="HW218" s="22">
        <v>86.52849740932642</v>
      </c>
      <c r="HX218" s="73">
        <f t="shared" si="1949"/>
        <v>0.56149567367119901</v>
      </c>
      <c r="HY218" s="73">
        <f t="shared" si="1950"/>
        <v>0.57251184834123225</v>
      </c>
      <c r="HZ218" s="73">
        <f t="shared" si="1951"/>
        <v>0.53980654761904767</v>
      </c>
      <c r="IA218" s="73">
        <f t="shared" si="1952"/>
        <v>0.55214285714285716</v>
      </c>
      <c r="IF218" s="85">
        <f>IF219/IF220</f>
        <v>1.8507094386181369E-3</v>
      </c>
      <c r="IG218" s="85">
        <f>IG219/IG220</f>
        <v>3.1496062992125984E-3</v>
      </c>
      <c r="IH218" s="85">
        <f>IH219/IH220</f>
        <v>1.4858841010401188E-3</v>
      </c>
      <c r="II218" s="85">
        <f>II219/II220</f>
        <v>3.5587188612099642E-3</v>
      </c>
      <c r="IJ218" s="88" t="s">
        <v>90</v>
      </c>
    </row>
    <row r="219" spans="1:244" ht="19.5" thickBot="1" x14ac:dyDescent="0.3">
      <c r="A219" s="374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3224</v>
      </c>
      <c r="H219" s="28">
        <f>((G219+I219)/7)/E218</f>
        <v>0.58050995459308419</v>
      </c>
      <c r="I219" s="27">
        <f>SUM(I212:I218)</f>
        <v>100</v>
      </c>
      <c r="J219" s="28">
        <f>(I219/(I219+G219))</f>
        <v>3.0084235860409144E-2</v>
      </c>
      <c r="K219" s="27"/>
      <c r="L219" s="27"/>
      <c r="M219" s="29">
        <f>M217/M216*100-100</f>
        <v>14.520616675789071</v>
      </c>
      <c r="N219" s="67">
        <f>N217/N216*100-100</f>
        <v>3.047404063205434</v>
      </c>
      <c r="O219" s="26">
        <f>SUM(O212:O218)</f>
        <v>1</v>
      </c>
      <c r="P219" s="27">
        <f>SUM(P212:P218)</f>
        <v>0</v>
      </c>
      <c r="Q219" s="27"/>
      <c r="R219" s="27"/>
      <c r="S219" s="27">
        <f>SUM(S212:S218)</f>
        <v>2999</v>
      </c>
      <c r="T219" s="28">
        <f>((S219+U219)/7)/Q218</f>
        <v>0.5892139988525531</v>
      </c>
      <c r="U219" s="27">
        <f>SUM(U212:U218)</f>
        <v>82</v>
      </c>
      <c r="V219" s="28">
        <f>(U219/(U219+S219))</f>
        <v>2.661473547549497E-2</v>
      </c>
      <c r="W219" s="27"/>
      <c r="X219" s="27"/>
      <c r="Y219" s="29">
        <f>Y217/Y216*100-100</f>
        <v>15.986344434620278</v>
      </c>
      <c r="Z219" s="67">
        <f>Z217/Z216*100-100</f>
        <v>6.1512415349887135</v>
      </c>
      <c r="AA219" s="26">
        <f>SUM(AA212:AA218)</f>
        <v>1</v>
      </c>
      <c r="AB219" s="27">
        <f>SUM(AB212:AB218)</f>
        <v>0</v>
      </c>
      <c r="AC219" s="27"/>
      <c r="AD219" s="27"/>
      <c r="AE219" s="27">
        <f>SUM(AE212:AE218)</f>
        <v>599</v>
      </c>
      <c r="AF219" s="28">
        <f>((AE219+AG219)/7)/AC218</f>
        <v>0.56424079065588495</v>
      </c>
      <c r="AG219" s="27">
        <f>SUM(AG212:AG218)</f>
        <v>29</v>
      </c>
      <c r="AH219" s="28">
        <f>(AG219/(AG219+AE219))</f>
        <v>4.6178343949044583E-2</v>
      </c>
      <c r="AI219" s="27"/>
      <c r="AJ219" s="27"/>
      <c r="AK219" s="29">
        <f>AK217/AK216*100-100</f>
        <v>18.558429118773944</v>
      </c>
      <c r="AL219" s="67">
        <f>AL217/AL216*100-100</f>
        <v>-2.1068472535741023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3039</v>
      </c>
      <c r="AR219" s="28">
        <f>((AQ219+AS219)/7)/AO218</f>
        <v>0.5834428383705651</v>
      </c>
      <c r="AS219" s="27">
        <f>SUM(AS212:AS218)</f>
        <v>69</v>
      </c>
      <c r="AT219" s="28">
        <f>(AS219/(AS219+AQ219))</f>
        <v>2.2200772200772202E-2</v>
      </c>
      <c r="AU219" s="27"/>
      <c r="AV219" s="27"/>
      <c r="AW219" s="29">
        <f>AW217/AW216*100-100</f>
        <v>14.482021809608</v>
      </c>
      <c r="AX219" s="67">
        <f>AX217/AX216*100-100</f>
        <v>10.590669676448456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3074</v>
      </c>
      <c r="BD219" s="28">
        <f>((BC219+BE219)/7)/BA218</f>
        <v>0.60034240060871213</v>
      </c>
      <c r="BE219" s="27">
        <f>SUM(BE212:BE218)</f>
        <v>82</v>
      </c>
      <c r="BF219" s="28">
        <f>(BE219/(BE219+BC219))</f>
        <v>2.5982256020278833E-2</v>
      </c>
      <c r="BG219" s="27"/>
      <c r="BH219" s="27"/>
      <c r="BI219" s="29">
        <f>BI217/BI216*100-100</f>
        <v>16.236772486772495</v>
      </c>
      <c r="BJ219" s="67">
        <f>BJ217/BJ216*100-100</f>
        <v>17.853478350092345</v>
      </c>
      <c r="BK219" s="26">
        <f>SUM(BK212:BK218)</f>
        <v>1</v>
      </c>
      <c r="BL219" s="27">
        <f>SUM(BL212:BL218)</f>
        <v>0</v>
      </c>
      <c r="BM219" s="27"/>
      <c r="BN219" s="27"/>
      <c r="BO219" s="27">
        <f>SUM(BO212:BO218)</f>
        <v>3090</v>
      </c>
      <c r="BP219" s="28">
        <f>((BO219+BQ219)/7)/BM218</f>
        <v>0.55996472663139329</v>
      </c>
      <c r="BQ219" s="27">
        <f>SUM(BQ212:BQ218)</f>
        <v>85</v>
      </c>
      <c r="BR219" s="28">
        <f>(BQ219/(BQ219+BO219))</f>
        <v>2.6771653543307086E-2</v>
      </c>
      <c r="BS219" s="27"/>
      <c r="BT219" s="27"/>
      <c r="BU219" s="29">
        <f>BU217/BU216*100-100</f>
        <v>15.716608749888621</v>
      </c>
      <c r="BV219" s="67">
        <f>BV217/BV216*100-100</f>
        <v>2.8998089946171035</v>
      </c>
      <c r="BW219" s="26">
        <f>SUM(BW212:BW218)</f>
        <v>2</v>
      </c>
      <c r="BX219" s="27">
        <f>SUM(BX212:BX218)</f>
        <v>0</v>
      </c>
      <c r="BY219" s="27"/>
      <c r="BZ219" s="27"/>
      <c r="CA219" s="27">
        <f>SUM(CA212:CA218)</f>
        <v>2889</v>
      </c>
      <c r="CB219" s="28">
        <f>((CA219+CC219)/7)/BY218</f>
        <v>0.56720997123681682</v>
      </c>
      <c r="CC219" s="27">
        <f>SUM(CC212:CC218)</f>
        <v>69</v>
      </c>
      <c r="CD219" s="28">
        <f>(CC219/(CC219+CA219))</f>
        <v>2.332657200811359E-2</v>
      </c>
      <c r="CE219" s="27"/>
      <c r="CF219" s="27"/>
      <c r="CG219" s="29">
        <f>CG217/CG216*100-100</f>
        <v>11.724736590038319</v>
      </c>
      <c r="CH219" s="67">
        <f>CH217/CH216*100-100</f>
        <v>6.4847116765852633</v>
      </c>
      <c r="CI219" s="26">
        <f>SUM(CI212:CI218)</f>
        <v>2</v>
      </c>
      <c r="CJ219" s="27">
        <f>SUM(CJ212:CJ218)</f>
        <v>0</v>
      </c>
      <c r="CK219" s="27"/>
      <c r="CL219" s="27"/>
      <c r="CM219" s="27">
        <f>SUM(CM212:CM218)</f>
        <v>484</v>
      </c>
      <c r="CN219" s="28">
        <f>((CM219+CO219)/7)/CK218</f>
        <v>0.52277432712215322</v>
      </c>
      <c r="CO219" s="27">
        <f>SUM(CO212:CO218)</f>
        <v>21</v>
      </c>
      <c r="CP219" s="28">
        <f>(CO219/(CO219+CM219))</f>
        <v>4.1584158415841586E-2</v>
      </c>
      <c r="CQ219" s="27"/>
      <c r="CR219" s="27"/>
      <c r="CS219" s="29">
        <f>CS217/CS216*100-100</f>
        <v>9.2911877394635951</v>
      </c>
      <c r="CT219" s="67">
        <f>CT217/CT216*100-100</f>
        <v>-0.56433408577878197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2936</v>
      </c>
      <c r="CZ219" s="28">
        <f>((CY219+DA219)/7)/CW218</f>
        <v>0.58132763975155277</v>
      </c>
      <c r="DA219" s="27">
        <f>SUM(DA212:DA218)</f>
        <v>59</v>
      </c>
      <c r="DB219" s="28">
        <f>(DA219/(DA219+CY219))</f>
        <v>1.9699499165275459E-2</v>
      </c>
      <c r="DC219" s="27"/>
      <c r="DD219" s="27"/>
      <c r="DE219" s="29">
        <f>DE217/DE216*100-100</f>
        <v>15.836526181353761</v>
      </c>
      <c r="DF219" s="67">
        <f>DF217/DF216*100-100</f>
        <v>6.3726341378711737</v>
      </c>
      <c r="DG219" s="26">
        <f>SUM(DG212:DG218)</f>
        <v>5</v>
      </c>
      <c r="DH219" s="27">
        <f>SUM(DH212:DH218)</f>
        <v>0</v>
      </c>
      <c r="DI219" s="27"/>
      <c r="DJ219" s="27"/>
      <c r="DK219" s="27">
        <f>SUM(DK212:DK218)</f>
        <v>3052</v>
      </c>
      <c r="DL219" s="28">
        <f>((DK219+DM219)/7)/DI218</f>
        <v>0.60966614906832295</v>
      </c>
      <c r="DM219" s="27">
        <f>SUM(DM212:DM218)</f>
        <v>89</v>
      </c>
      <c r="DN219" s="28">
        <f>(DM219/(DM219+DK219))</f>
        <v>2.8334925183062718E-2</v>
      </c>
      <c r="DO219" s="27"/>
      <c r="DP219" s="27"/>
      <c r="DQ219" s="29">
        <f>DQ217/DQ216*100-100</f>
        <v>15.836526181353761</v>
      </c>
      <c r="DR219" s="67">
        <f>DR217/DR216*100-100</f>
        <v>15.315158881750307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3102</v>
      </c>
      <c r="DX219" s="28">
        <f>((DW219+DY219)/7)/DU218</f>
        <v>0.56273896419881819</v>
      </c>
      <c r="DY219" s="27">
        <f>SUM(DY212:DY218)</f>
        <v>136</v>
      </c>
      <c r="DZ219" s="28">
        <f>(DY219/(DY219+DW219))</f>
        <v>4.2001235330450894E-2</v>
      </c>
      <c r="EA219" s="27"/>
      <c r="EB219" s="27"/>
      <c r="EC219" s="29">
        <f>EC217/EC216*100-100</f>
        <v>14.894636015325673</v>
      </c>
      <c r="ED219" s="67">
        <f>ED217/ED216*100-100</f>
        <v>2.0316027088036037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3274</v>
      </c>
      <c r="EJ219" s="28">
        <f>((EI219+EK219)/7)/EG218</f>
        <v>0.57751479289940832</v>
      </c>
      <c r="EK219" s="27">
        <f>SUM(EK212:EK218)</f>
        <v>142</v>
      </c>
      <c r="EL219" s="28">
        <f>(EK219/(EK219+EI219))</f>
        <v>4.1569086651053862E-2</v>
      </c>
      <c r="EM219" s="27"/>
      <c r="EN219" s="27"/>
      <c r="EO219" s="29">
        <f>EO217/EO216*100-100</f>
        <v>12.320709303467908</v>
      </c>
      <c r="EP219" s="67">
        <f>EP217/EP216*100-100</f>
        <v>5.8517103663830596</v>
      </c>
      <c r="EQ219" s="26">
        <f>SUM(EQ212:EQ218)</f>
        <v>4</v>
      </c>
      <c r="ER219" s="27">
        <f>SUM(ER212:ER218)</f>
        <v>0</v>
      </c>
      <c r="ES219" s="27"/>
      <c r="ET219" s="27"/>
      <c r="EU219" s="27">
        <f>SUM(EU212:EU218)</f>
        <v>591</v>
      </c>
      <c r="EV219" s="28">
        <f>((EU219+EW219)/7)/ES218</f>
        <v>0.51857968620974393</v>
      </c>
      <c r="EW219" s="27">
        <f>SUM(EW212:EW218)</f>
        <v>37</v>
      </c>
      <c r="EX219" s="28">
        <f>(EW219/(EW219+EU219))</f>
        <v>5.89171974522293E-2</v>
      </c>
      <c r="EY219" s="27"/>
      <c r="EZ219" s="27"/>
      <c r="FA219" s="29">
        <f>FA217/FA216*100-100</f>
        <v>11.479516651930439</v>
      </c>
      <c r="FB219" s="67">
        <f>FB217/FB216*100-100</f>
        <v>1.8811136192625924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3361</v>
      </c>
      <c r="FH219" s="28">
        <f>((FG219+FI219)/7)/FE218</f>
        <v>0.58675876010781669</v>
      </c>
      <c r="FI219" s="27">
        <f>SUM(FI212:FI218)</f>
        <v>122</v>
      </c>
      <c r="FJ219" s="28">
        <f>(FI219/(FI219+FG219))</f>
        <v>3.5027275337352858E-2</v>
      </c>
      <c r="FK219" s="27"/>
      <c r="FL219" s="27"/>
      <c r="FM219" s="29">
        <f>FM217/FM216*100-100</f>
        <v>13.667245834447115</v>
      </c>
      <c r="FN219" s="67">
        <f>FN217/FN216*100-100</f>
        <v>14.127163280662145</v>
      </c>
      <c r="FO219" s="26">
        <f>SUM(FO212:FO218)</f>
        <v>5</v>
      </c>
      <c r="FP219" s="27">
        <f>SUM(FP212:FP218)</f>
        <v>0</v>
      </c>
      <c r="FQ219" s="27"/>
      <c r="FR219" s="27"/>
      <c r="FS219" s="27">
        <f>SUM(FS212:FS218)</f>
        <v>3372</v>
      </c>
      <c r="FT219" s="28">
        <f>((FS219+FU219)/7)/FQ218</f>
        <v>0.57684106937838286</v>
      </c>
      <c r="FU219" s="27">
        <f>SUM(FU212:FU218)</f>
        <v>145</v>
      </c>
      <c r="FV219" s="28">
        <f>(FU219/(FU219+FS219))</f>
        <v>4.1228319590560135E-2</v>
      </c>
      <c r="FW219" s="27"/>
      <c r="FX219" s="27"/>
      <c r="FY219" s="29">
        <f>FY217/FY216*100-100</f>
        <v>17.154716292647336</v>
      </c>
      <c r="FZ219" s="67">
        <f>FZ217/FZ216*100-100</f>
        <v>3.2892615285391713</v>
      </c>
      <c r="GA219" s="26">
        <f>SUM(GA212:GA218)</f>
        <v>1</v>
      </c>
      <c r="GB219" s="27">
        <f>SUM(GB212:GB218)</f>
        <v>0</v>
      </c>
      <c r="GC219" s="27"/>
      <c r="GD219" s="27"/>
      <c r="GE219" s="27">
        <f>SUM(GE212:GE218)</f>
        <v>3299</v>
      </c>
      <c r="GF219" s="28">
        <f>((GE219+GG219)/7)/GC218</f>
        <v>0.55769859431186664</v>
      </c>
      <c r="GG219" s="27">
        <f>SUM(GG212:GG218)</f>
        <v>113</v>
      </c>
      <c r="GH219" s="28">
        <f>(GG219/(GG219+GE219))</f>
        <v>3.3118405627198123E-2</v>
      </c>
      <c r="GI219" s="27"/>
      <c r="GJ219" s="27"/>
      <c r="GK219" s="29">
        <f>GK217/GK216*100-100</f>
        <v>12.571839080459782</v>
      </c>
      <c r="GL219" s="67">
        <f>GL217/GL216*100-100</f>
        <v>6.6591422121896215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530</v>
      </c>
      <c r="GR219" s="28">
        <f>((GQ219+GS219)/7)/GO218</f>
        <v>0.51447245564892619</v>
      </c>
      <c r="GS219" s="27">
        <f>SUM(GS212:GS218)</f>
        <v>21</v>
      </c>
      <c r="GT219" s="28">
        <f>(GS219/(GS219+GQ219))</f>
        <v>3.8112522686025406E-2</v>
      </c>
      <c r="GU219" s="27"/>
      <c r="GV219" s="27"/>
      <c r="GW219" s="29">
        <f>GW217/GW216*100-100</f>
        <v>7.1055381400209114</v>
      </c>
      <c r="GX219" s="67">
        <f>GX217/GX216*100-100</f>
        <v>-1.8058690744920938</v>
      </c>
      <c r="GY219" s="26">
        <f>SUM(GY212:GY218)</f>
        <v>1</v>
      </c>
      <c r="GZ219" s="27">
        <f>SUM(GZ212:GZ218)</f>
        <v>0</v>
      </c>
      <c r="HA219" s="27"/>
      <c r="HB219" s="27"/>
      <c r="HC219" s="27">
        <f>SUM(HC212:HC218)</f>
        <v>3557</v>
      </c>
      <c r="HD219" s="28">
        <f>((HC219+HE219)/7)/HA218</f>
        <v>0.5817231548938866</v>
      </c>
      <c r="HE219" s="27">
        <f>SUM(HE212:HE218)</f>
        <v>116</v>
      </c>
      <c r="HF219" s="28">
        <f>(HE219/(HE219+HC219))</f>
        <v>3.1581813231690715E-2</v>
      </c>
      <c r="HG219" s="27"/>
      <c r="HH219" s="27"/>
      <c r="HI219" s="29">
        <f>HI217/HI216*100-100</f>
        <v>16.206673794885518</v>
      </c>
      <c r="HJ219" s="67">
        <f>HJ217/HJ216*100-100</f>
        <v>16.83327958722991</v>
      </c>
      <c r="HK219" s="26">
        <f t="shared" si="1940"/>
        <v>30</v>
      </c>
      <c r="HL219" s="27">
        <f t="shared" si="1941"/>
        <v>0</v>
      </c>
      <c r="HM219" s="27">
        <f t="shared" si="1942"/>
        <v>0</v>
      </c>
      <c r="HN219" s="27">
        <f t="shared" si="1943"/>
        <v>0</v>
      </c>
      <c r="HO219" s="27">
        <f t="shared" si="1944"/>
        <v>47989</v>
      </c>
      <c r="HP219" s="96">
        <f>+((HO219)/HM218)/7</f>
        <v>0.57663146005311028</v>
      </c>
      <c r="HQ219" s="62">
        <f t="shared" si="1946"/>
        <v>1517</v>
      </c>
      <c r="HR219" s="52">
        <f t="shared" si="1947"/>
        <v>3.1611410948342328E-2</v>
      </c>
      <c r="HS219" s="53">
        <f>SUM(HS212:HS218)/7</f>
        <v>65.314285714285717</v>
      </c>
      <c r="HT219" s="54">
        <f>SUM(HT212:HT218)</f>
        <v>45296</v>
      </c>
      <c r="HU219" s="53">
        <f>AVERAGE(HU212:HU218)</f>
        <v>94.387906037769156</v>
      </c>
      <c r="HV219" s="63">
        <f>HV217/HV216*100-100</f>
        <v>14.30904577667593</v>
      </c>
      <c r="HW219" s="67">
        <f>HW217/HW216*100-100</f>
        <v>7.6726043579457013</v>
      </c>
      <c r="HX219" s="73">
        <f>SUM(G219,I219,S219,U219,AE219,AG219,AQ219,AS219,BC219,BE219)/7/SUM(E218,Q218,AC218,AO218,BA218)</f>
        <v>0.58701218435458236</v>
      </c>
      <c r="HY219" s="73">
        <f>SUM(BO219,BQ219,CA219,CC219,CM219,CO219,CY219,DA219,DK219,DM219)/7/SUM(BM218,BY218,CK218,CW218,DI218)</f>
        <v>0.57657413676371028</v>
      </c>
      <c r="HZ219" s="73">
        <f>SUM(DW219,DY219,EI219,EK219,EU219,EW219,FG219,FI219)/7/SUM(DU218,EG218,ES218,FE218)</f>
        <v>0.57211947278911568</v>
      </c>
      <c r="IA219" s="73">
        <f>SUM(FS219,FU219,GE219,GG219,GQ219,GS219,HC219,HE219)/7/SUM(FQ218,GC218,GO218,HA218)</f>
        <v>0.56903061224489793</v>
      </c>
      <c r="IB219" s="84">
        <f>SUM(I219,U219,AG219,AS219,BE219)/SUM(G219,I219,S219,U219,AE219,AG219,AQ219,AS219,BC219,BE219)</f>
        <v>2.7224185906595474E-2</v>
      </c>
      <c r="IC219" s="84">
        <f>SUM(BQ219,CC219,CO219,DA219,DM219)/SUM(BO219,BQ219,CA219,CC219,CM219,CO219,CY219,DA219,DK219,DM219)</f>
        <v>2.5285736652575545E-2</v>
      </c>
      <c r="ID219" s="84">
        <f>SUM(DY219,EK219,EW219,FI219)/SUM(DW219,DY219,EI219,EK219,EU219,EW219,FG219,FI219)</f>
        <v>4.0594519275429633E-2</v>
      </c>
      <c r="IE219" s="84">
        <f>SUM(FU219,GG219,GS219,HE219)/SUM(FS219,FU219,GE219,GG219,GQ219,GS219,HC219,HE219)</f>
        <v>3.5416479870886759E-2</v>
      </c>
      <c r="IF219" s="86">
        <f>SUM(C219,O219,AA219,AM219,AY219)</f>
        <v>6</v>
      </c>
      <c r="IG219" s="86">
        <f>SUM(BK219,BW219,CI219,CU219,DG219)</f>
        <v>10</v>
      </c>
      <c r="IH219" s="86">
        <f>SUM(DS219,EE219,EQ219,FC219)</f>
        <v>4</v>
      </c>
      <c r="II219" s="86">
        <f>SUM(FO219,GA219,GM219,GY219)</f>
        <v>10</v>
      </c>
      <c r="IJ219" s="88" t="s">
        <v>89</v>
      </c>
    </row>
    <row r="220" spans="1:244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HK219/HM212</f>
        <v>2.517834662190516E-3</v>
      </c>
      <c r="HL220" s="66">
        <f>HL219/HN212</f>
        <v>0</v>
      </c>
      <c r="HM220" s="45"/>
      <c r="HN220" s="45"/>
      <c r="HO220" s="45"/>
      <c r="HP220" s="98"/>
      <c r="HQ220" s="45"/>
      <c r="HR220" s="45"/>
      <c r="HS220" s="45"/>
      <c r="HT220" s="55"/>
      <c r="HU220" s="45"/>
      <c r="HV220" s="45"/>
      <c r="HW220" s="46"/>
      <c r="HY220" s="72"/>
      <c r="HZ220" s="72"/>
      <c r="IA220" s="72"/>
      <c r="IF220" s="86">
        <f>SUM(E209,Q209,AC209,AO209,BA209)</f>
        <v>3242</v>
      </c>
      <c r="IG220" s="86">
        <f>SUM(BM209,BY209,CK209,CW209,DI209)</f>
        <v>3175</v>
      </c>
      <c r="IH220" s="86">
        <f>SUM(DU209,EG209,ES209,FE209)</f>
        <v>2692</v>
      </c>
      <c r="II220" s="86">
        <f>SUM(FQ209,GC209,GO209,HA209)</f>
        <v>2810</v>
      </c>
      <c r="IJ220" s="88" t="s">
        <v>84</v>
      </c>
    </row>
    <row r="221" spans="1:244" x14ac:dyDescent="0.25">
      <c r="A221" s="373">
        <v>49</v>
      </c>
      <c r="B221" s="68">
        <f>B218+1</f>
        <v>45109</v>
      </c>
      <c r="C221" s="33"/>
      <c r="D221" s="34"/>
      <c r="E221" s="34">
        <f>E218-C221</f>
        <v>818</v>
      </c>
      <c r="F221" s="34">
        <f>F218-D221</f>
        <v>66</v>
      </c>
      <c r="G221" s="34">
        <v>467</v>
      </c>
      <c r="H221" s="35">
        <f t="shared" ref="H221:H227" si="1990">((G221+I221)/E221)</f>
        <v>0.58190709046454769</v>
      </c>
      <c r="I221" s="34">
        <v>9</v>
      </c>
      <c r="J221" s="35">
        <f t="shared" ref="J221:J227" si="1991">I221/(G221+I221)</f>
        <v>1.8907563025210083E-2</v>
      </c>
      <c r="K221" s="36"/>
      <c r="L221" s="34"/>
      <c r="M221" s="34"/>
      <c r="N221" s="37"/>
      <c r="O221" s="33"/>
      <c r="P221" s="34"/>
      <c r="Q221" s="34">
        <f>Q218-O221</f>
        <v>747</v>
      </c>
      <c r="R221" s="34">
        <f>R218-P221</f>
        <v>60</v>
      </c>
      <c r="S221" s="34">
        <v>411</v>
      </c>
      <c r="T221" s="35">
        <f t="shared" ref="T221:T227" si="1992">((S221+U221)/Q221)</f>
        <v>0.57429718875502012</v>
      </c>
      <c r="U221" s="34">
        <v>18</v>
      </c>
      <c r="V221" s="35">
        <f t="shared" ref="V221:V227" si="1993">U221/(S221+U221)</f>
        <v>4.195804195804196E-2</v>
      </c>
      <c r="W221" s="36"/>
      <c r="X221" s="34"/>
      <c r="Y221" s="34"/>
      <c r="Z221" s="37"/>
      <c r="AA221" s="33"/>
      <c r="AB221" s="34"/>
      <c r="AC221" s="34">
        <f>AC218-AA221</f>
        <v>159</v>
      </c>
      <c r="AD221" s="34">
        <f>AD218-AB221</f>
        <v>13</v>
      </c>
      <c r="AE221" s="34">
        <v>84</v>
      </c>
      <c r="AF221" s="35">
        <f t="shared" ref="AF221:AF227" si="1994">((AE221+AG221)/AC221)</f>
        <v>0.55345911949685533</v>
      </c>
      <c r="AG221" s="34">
        <v>4</v>
      </c>
      <c r="AH221" s="35">
        <f t="shared" ref="AH221:AH227" si="1995">AG221/(AE221+AG221)</f>
        <v>4.5454545454545456E-2</v>
      </c>
      <c r="AI221" s="36"/>
      <c r="AJ221" s="34"/>
      <c r="AK221" s="34"/>
      <c r="AL221" s="37"/>
      <c r="AM221" s="33"/>
      <c r="AN221" s="34"/>
      <c r="AO221" s="34">
        <f>AO218-AM221</f>
        <v>761</v>
      </c>
      <c r="AP221" s="34">
        <f>AP218-AN221</f>
        <v>61</v>
      </c>
      <c r="AQ221" s="34">
        <v>435</v>
      </c>
      <c r="AR221" s="35">
        <f t="shared" ref="AR221:AR227" si="1996">((AQ221+AS221)/AO221)</f>
        <v>0.59001314060446786</v>
      </c>
      <c r="AS221" s="34">
        <v>14</v>
      </c>
      <c r="AT221" s="35">
        <f t="shared" ref="AT221:AT227" si="1997">AS221/(AQ221+AS221)</f>
        <v>3.1180400890868598E-2</v>
      </c>
      <c r="AU221" s="36"/>
      <c r="AV221" s="34"/>
      <c r="AW221" s="34"/>
      <c r="AX221" s="37"/>
      <c r="AY221" s="33"/>
      <c r="AZ221" s="34"/>
      <c r="BA221" s="34">
        <f>BA218-AY221</f>
        <v>751</v>
      </c>
      <c r="BB221" s="34">
        <f>BB218-AZ221</f>
        <v>60</v>
      </c>
      <c r="BC221" s="34">
        <v>446</v>
      </c>
      <c r="BD221" s="35">
        <f t="shared" ref="BD221:BD227" si="1998">((BC221+BE221)/BA221)</f>
        <v>0.6045272969374168</v>
      </c>
      <c r="BE221" s="34">
        <v>8</v>
      </c>
      <c r="BF221" s="35">
        <f t="shared" ref="BF221:BF227" si="1999">BE221/(BC221+BE221)</f>
        <v>1.7621145374449341E-2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809</v>
      </c>
      <c r="BN221" s="34">
        <f>BN218-BL221</f>
        <v>64</v>
      </c>
      <c r="BO221" s="34">
        <v>448</v>
      </c>
      <c r="BP221" s="35">
        <f t="shared" ref="BP221:BP227" si="2000">((BO221+BQ221)/BM221)</f>
        <v>0.56118665018541414</v>
      </c>
      <c r="BQ221" s="34">
        <v>6</v>
      </c>
      <c r="BR221" s="35">
        <f t="shared" ref="BR221:BR227" si="2001">BQ221/(BO221+BQ221)</f>
        <v>1.3215859030837005E-2</v>
      </c>
      <c r="BS221" s="36"/>
      <c r="BT221" s="34"/>
      <c r="BU221" s="34"/>
      <c r="BV221" s="37"/>
      <c r="BW221" s="33"/>
      <c r="BX221" s="34"/>
      <c r="BY221" s="34">
        <f>BY218-BW221</f>
        <v>745</v>
      </c>
      <c r="BZ221" s="34">
        <f>BZ218-BX221</f>
        <v>59</v>
      </c>
      <c r="CA221" s="34">
        <v>434</v>
      </c>
      <c r="CB221" s="35">
        <f t="shared" ref="CB221:CB227" si="2002">((CA221+CC221)/BY221)</f>
        <v>0.59194630872483223</v>
      </c>
      <c r="CC221" s="34">
        <v>7</v>
      </c>
      <c r="CD221" s="35">
        <f t="shared" ref="CD221:CD227" si="2003">CC221/(CA221+CC221)</f>
        <v>1.5873015873015872E-2</v>
      </c>
      <c r="CE221" s="36"/>
      <c r="CF221" s="34"/>
      <c r="CG221" s="34"/>
      <c r="CH221" s="37"/>
      <c r="CI221" s="33"/>
      <c r="CJ221" s="34"/>
      <c r="CK221" s="34">
        <f>CK218-CI221</f>
        <v>138</v>
      </c>
      <c r="CL221" s="34">
        <f>CL218-CJ221</f>
        <v>12</v>
      </c>
      <c r="CM221" s="34">
        <v>70</v>
      </c>
      <c r="CN221" s="35">
        <f t="shared" ref="CN221:CN227" si="2004">((CM221+CO221)/CK221)</f>
        <v>0.53623188405797106</v>
      </c>
      <c r="CO221" s="34">
        <v>4</v>
      </c>
      <c r="CP221" s="35">
        <f t="shared" ref="CP221:CP227" si="2005">CO221/(CM221+CO221)</f>
        <v>5.4054054054054057E-2</v>
      </c>
      <c r="CQ221" s="36"/>
      <c r="CR221" s="34"/>
      <c r="CS221" s="34"/>
      <c r="CT221" s="37"/>
      <c r="CU221" s="33"/>
      <c r="CV221" s="34"/>
      <c r="CW221" s="34">
        <f>CW218-CU221</f>
        <v>736</v>
      </c>
      <c r="CX221" s="34">
        <f>CX218-CV221</f>
        <v>59</v>
      </c>
      <c r="CY221" s="34">
        <v>410</v>
      </c>
      <c r="CZ221" s="35">
        <f t="shared" ref="CZ221:CZ227" si="2006">((CY221+DA221)/CW221)</f>
        <v>0.57065217391304346</v>
      </c>
      <c r="DA221" s="34">
        <v>10</v>
      </c>
      <c r="DB221" s="35">
        <f t="shared" ref="DB221:DB227" si="2007">DA221/(CY221+DA221)</f>
        <v>2.3809523809523808E-2</v>
      </c>
      <c r="DC221" s="36"/>
      <c r="DD221" s="34"/>
      <c r="DE221" s="34"/>
      <c r="DF221" s="37"/>
      <c r="DG221" s="33"/>
      <c r="DH221" s="34"/>
      <c r="DI221" s="34">
        <f>DI218-DG221</f>
        <v>736</v>
      </c>
      <c r="DJ221" s="34">
        <f>DJ218-DH221</f>
        <v>59</v>
      </c>
      <c r="DK221" s="34">
        <v>436</v>
      </c>
      <c r="DL221" s="35">
        <f t="shared" ref="DL221:DL227" si="2008">((DK221+DM221)/DI221)</f>
        <v>0.60597826086956519</v>
      </c>
      <c r="DM221" s="34">
        <v>10</v>
      </c>
      <c r="DN221" s="35">
        <f t="shared" ref="DN221:DN227" si="2009">DM221/(DK221+DM221)</f>
        <v>2.2421524663677129E-2</v>
      </c>
      <c r="DO221" s="36"/>
      <c r="DP221" s="34"/>
      <c r="DQ221" s="34"/>
      <c r="DR221" s="37"/>
      <c r="DS221" s="33"/>
      <c r="DT221" s="34"/>
      <c r="DU221" s="34">
        <f>DU218-DS221</f>
        <v>822</v>
      </c>
      <c r="DV221" s="34">
        <f>DV218-DT221</f>
        <v>66</v>
      </c>
      <c r="DW221" s="34">
        <v>460</v>
      </c>
      <c r="DX221" s="35">
        <f t="shared" ref="DX221:DX227" si="2010">((DW221+DY221)/DU221)</f>
        <v>0.58394160583941601</v>
      </c>
      <c r="DY221" s="34">
        <v>20</v>
      </c>
      <c r="DZ221" s="35">
        <f t="shared" ref="DZ221:DZ227" si="2011">DY221/(DW221+DY221)</f>
        <v>4.1666666666666664E-2</v>
      </c>
      <c r="EA221" s="36"/>
      <c r="EB221" s="34"/>
      <c r="EC221" s="34"/>
      <c r="ED221" s="37"/>
      <c r="EE221" s="33">
        <v>1</v>
      </c>
      <c r="EF221" s="34"/>
      <c r="EG221" s="34">
        <f>EG218-EE221</f>
        <v>844</v>
      </c>
      <c r="EH221" s="34">
        <f>EH218-EF221</f>
        <v>67</v>
      </c>
      <c r="EI221" s="34">
        <v>479</v>
      </c>
      <c r="EJ221" s="35">
        <f t="shared" ref="EJ221:EJ227" si="2012">((EI221+EK221)/EG221)</f>
        <v>0.5864928909952607</v>
      </c>
      <c r="EK221" s="34">
        <v>16</v>
      </c>
      <c r="EL221" s="35">
        <f t="shared" ref="EL221:EL227" si="2013">EK221/(EI221+EK221)</f>
        <v>3.2323232323232323E-2</v>
      </c>
      <c r="EM221" s="36"/>
      <c r="EN221" s="34"/>
      <c r="EO221" s="34"/>
      <c r="EP221" s="37"/>
      <c r="EQ221" s="33">
        <v>2</v>
      </c>
      <c r="ER221" s="34"/>
      <c r="ES221" s="34">
        <f>ES218-EQ221</f>
        <v>171</v>
      </c>
      <c r="ET221" s="34">
        <f>ET218-ER221</f>
        <v>14</v>
      </c>
      <c r="EU221" s="34">
        <v>86</v>
      </c>
      <c r="EV221" s="35">
        <f t="shared" ref="EV221:EV227" si="2014">((EU221+EW221)/ES221)</f>
        <v>0.53801169590643272</v>
      </c>
      <c r="EW221" s="34">
        <v>6</v>
      </c>
      <c r="EX221" s="35">
        <f t="shared" ref="EX221:EX227" si="2015">EW221/(EU221+EW221)</f>
        <v>6.5217391304347824E-2</v>
      </c>
      <c r="EY221" s="36"/>
      <c r="EZ221" s="34"/>
      <c r="FA221" s="34"/>
      <c r="FB221" s="37"/>
      <c r="FC221" s="33"/>
      <c r="FD221" s="34"/>
      <c r="FE221" s="34">
        <f>FE218-FC221</f>
        <v>848</v>
      </c>
      <c r="FF221" s="34">
        <f>FF218-FD221</f>
        <v>67</v>
      </c>
      <c r="FG221" s="34">
        <v>474</v>
      </c>
      <c r="FH221" s="35">
        <f t="shared" ref="FH221:FH227" si="2016">((FG221+FI221)/FE221)</f>
        <v>0.58018867924528306</v>
      </c>
      <c r="FI221" s="34">
        <v>18</v>
      </c>
      <c r="FJ221" s="35">
        <f t="shared" ref="FJ221:FJ227" si="2017">FI221/(FG221+FI221)</f>
        <v>3.6585365853658534E-2</v>
      </c>
      <c r="FK221" s="36"/>
      <c r="FL221" s="34"/>
      <c r="FM221" s="34"/>
      <c r="FN221" s="37"/>
      <c r="FO221" s="33"/>
      <c r="FP221" s="34"/>
      <c r="FQ221" s="34">
        <f>FQ218-FO221</f>
        <v>871</v>
      </c>
      <c r="FR221" s="34">
        <f>FR218-FP221</f>
        <v>70</v>
      </c>
      <c r="FS221" s="34">
        <v>486</v>
      </c>
      <c r="FT221" s="35">
        <f t="shared" ref="FT221:FT227" si="2018">((FS221+FU221)/FQ221)</f>
        <v>0.58438576349024107</v>
      </c>
      <c r="FU221" s="34">
        <v>23</v>
      </c>
      <c r="FV221" s="35">
        <f t="shared" ref="FV221:FV227" si="2019">FU221/(FS221+FU221)</f>
        <v>4.5186640471512773E-2</v>
      </c>
      <c r="FW221" s="36"/>
      <c r="FX221" s="34"/>
      <c r="FY221" s="34"/>
      <c r="FZ221" s="37"/>
      <c r="GA221" s="33"/>
      <c r="GB221" s="34"/>
      <c r="GC221" s="34">
        <f>GC218-GA221</f>
        <v>874</v>
      </c>
      <c r="GD221" s="34">
        <f>GD218-GB221</f>
        <v>71</v>
      </c>
      <c r="GE221" s="34">
        <v>494</v>
      </c>
      <c r="GF221" s="35">
        <f t="shared" ref="GF221:GF227" si="2020">((GE221+GG221)/GC221)</f>
        <v>0.59267734553775742</v>
      </c>
      <c r="GG221" s="34">
        <v>24</v>
      </c>
      <c r="GH221" s="35">
        <f t="shared" ref="GH221:GH227" si="2021">GG221/(GE221+GG221)</f>
        <v>4.633204633204633E-2</v>
      </c>
      <c r="GI221" s="36"/>
      <c r="GJ221" s="34"/>
      <c r="GK221" s="34"/>
      <c r="GL221" s="37"/>
      <c r="GM221" s="33">
        <v>2</v>
      </c>
      <c r="GN221" s="34"/>
      <c r="GO221" s="34">
        <f>GO218-GM221</f>
        <v>151</v>
      </c>
      <c r="GP221" s="34">
        <f>GP218-GN221</f>
        <v>12</v>
      </c>
      <c r="GQ221" s="34">
        <v>92</v>
      </c>
      <c r="GR221" s="35">
        <f t="shared" ref="GR221:GR227" si="2022">((GQ221+GS221)/GO221)</f>
        <v>0.62251655629139069</v>
      </c>
      <c r="GS221" s="34">
        <v>2</v>
      </c>
      <c r="GT221" s="35">
        <f t="shared" ref="GT221:GT227" si="2023">GS221/(GQ221+GS221)</f>
        <v>2.1276595744680851E-2</v>
      </c>
      <c r="GU221" s="36"/>
      <c r="GV221" s="34"/>
      <c r="GW221" s="34"/>
      <c r="GX221" s="37"/>
      <c r="GY221" s="33"/>
      <c r="GZ221" s="34"/>
      <c r="HA221" s="34">
        <f>HA218-GY221</f>
        <v>902</v>
      </c>
      <c r="HB221" s="34">
        <f>HB218-GZ221</f>
        <v>73</v>
      </c>
      <c r="HC221" s="34">
        <v>512</v>
      </c>
      <c r="HD221" s="35">
        <f t="shared" ref="HD221:HD227" si="2024">((HC221+HE221)/HA221)</f>
        <v>0.57982261640798227</v>
      </c>
      <c r="HE221" s="34">
        <v>11</v>
      </c>
      <c r="HF221" s="35">
        <f t="shared" ref="HF221:HF227" si="2025">HE221/(HC221+HE221)</f>
        <v>2.1032504780114723E-2</v>
      </c>
      <c r="HG221" s="36"/>
      <c r="HH221" s="34"/>
      <c r="HI221" s="34"/>
      <c r="HJ221" s="37"/>
      <c r="HK221" s="33">
        <f t="shared" ref="HK221:HK228" si="2026">+C221+O221+AA221+AM221+AY221+BK221+BW221+CI221+CU221+DG221+DS221+EE221+EQ221+FC221+FO221+GA221+GM221+GY221</f>
        <v>6</v>
      </c>
      <c r="HL221" s="34">
        <f t="shared" ref="HL221:HL228" si="2027">+D221+P221+AB221+AN221+AZ221+BL221+BX221+CJ221+CV221+DH221+DT221+EF221+ER221+FD221+FP221+GB221+GN221+GZ221</f>
        <v>0</v>
      </c>
      <c r="HM221" s="34">
        <f t="shared" ref="HM221:HM228" si="2028">+E221+Q221+AC221+AO221+BA221+BM221+BY221+CK221+CW221+DI221+DU221+EG221+ES221+FE221+FQ221+GC221+GO221+HA221</f>
        <v>11883</v>
      </c>
      <c r="HN221" s="34">
        <f t="shared" ref="HN221:HN228" si="2029">+F221+R221+AD221+AP221+BB221+BN221+BZ221+CL221+CX221+DJ221+DV221+EH221+ET221+FF221+FR221+GD221+GP221+HB221</f>
        <v>953</v>
      </c>
      <c r="HO221" s="34">
        <f t="shared" ref="HO221:HO228" si="2030">+G221+S221+AE221+AQ221+BC221+BO221+CA221+CM221+CY221+DK221+DW221+EI221+EU221+FG221+FS221+GE221+GQ221+HC221+I221+U221+AG221+AS221+BE221+BQ221+CC221+CO221+DA221+DM221+DY221+EK221+EW221+FI221+FU221+GG221+GS221+HE221</f>
        <v>6934</v>
      </c>
      <c r="HP221" s="94">
        <f t="shared" ref="HP221:HP227" si="2031">+(HO221)/HM221</f>
        <v>0.58352267945804936</v>
      </c>
      <c r="HQ221" s="48">
        <f t="shared" ref="HQ221:HQ228" si="2032">+I221+U221+AG221+AS221+BE221+BQ221+CC221+CO221+DA221+DM221+DY221+EK221+EW221+FI221+FU221+GG221+GS221+HE221</f>
        <v>210</v>
      </c>
      <c r="HR221" s="35">
        <f t="shared" ref="HR221:HR228" si="2033">+(HQ221/(HO221))</f>
        <v>3.0285549466397461E-2</v>
      </c>
      <c r="HS221" s="49">
        <v>65.599999999999994</v>
      </c>
      <c r="HT221" s="50">
        <v>6556</v>
      </c>
      <c r="HU221" s="49">
        <f t="shared" ref="HU221:HU227" si="2034">+HT221/HO221*100</f>
        <v>94.548601096048458</v>
      </c>
      <c r="HV221" s="48"/>
      <c r="HW221" s="37"/>
      <c r="HX221" s="73">
        <f t="shared" ref="HX221:HX227" si="2035">SUM(G221,I221,S221,U221,AE221,AG221,AQ221,AS221,BC221,BE221)/SUM(E221,Q221,AC221,AO221,BA221)</f>
        <v>0.58590852904820767</v>
      </c>
      <c r="HY221" s="73">
        <f t="shared" ref="HY221:HY227" si="2036">SUM(BO221,BQ221,CA221,CC221,CM221,CO221,CY221,DA221,DK221,DM221)/SUM(BM221,BY221,CK221,CW221,DI221)</f>
        <v>0.57996207332490524</v>
      </c>
      <c r="HZ221" s="73">
        <f t="shared" ref="HZ221:HZ227" si="2037">SUM(DW221,DY221,EI221,EK221,EU221,EW221,FG221,FI221)/SUM(DU221,EG221,ES221,FE221)</f>
        <v>0.58063314711359404</v>
      </c>
      <c r="IA221" s="73">
        <f t="shared" ref="IA221:IA227" si="2038">SUM(FS221,FU221,GE221,GG221,GQ221,GS221,HC221,HE221)/SUM(FQ221,GC221,GO221,HA221)</f>
        <v>0.58756254467476765</v>
      </c>
    </row>
    <row r="222" spans="1:244" x14ac:dyDescent="0.25">
      <c r="A222" s="374"/>
      <c r="B222" s="41">
        <f t="shared" ref="B222:B227" si="2039">+B221+1</f>
        <v>45110</v>
      </c>
      <c r="C222" s="10"/>
      <c r="D222" s="11"/>
      <c r="E222" s="69">
        <f t="shared" ref="E222:E227" si="2040">E221-C222</f>
        <v>818</v>
      </c>
      <c r="F222" s="69">
        <f t="shared" ref="F222:F227" si="2041">F221-D222</f>
        <v>66</v>
      </c>
      <c r="G222" s="11">
        <v>432</v>
      </c>
      <c r="H222" s="12">
        <f t="shared" si="1990"/>
        <v>0.55134474327628358</v>
      </c>
      <c r="I222" s="11">
        <v>19</v>
      </c>
      <c r="J222" s="12">
        <f t="shared" si="1991"/>
        <v>4.2128603104212861E-2</v>
      </c>
      <c r="K222" s="13"/>
      <c r="L222" s="11"/>
      <c r="M222" s="11"/>
      <c r="N222" s="14"/>
      <c r="O222" s="10"/>
      <c r="P222" s="11"/>
      <c r="Q222" s="69">
        <f t="shared" ref="Q222:Q227" si="2042">Q221-O222</f>
        <v>747</v>
      </c>
      <c r="R222" s="69">
        <f t="shared" ref="R222:R227" si="2043">R221-P222</f>
        <v>60</v>
      </c>
      <c r="S222" s="11">
        <v>419</v>
      </c>
      <c r="T222" s="12">
        <f t="shared" si="1992"/>
        <v>0.57965194109772422</v>
      </c>
      <c r="U222" s="11">
        <v>14</v>
      </c>
      <c r="V222" s="12">
        <f t="shared" si="1993"/>
        <v>3.2332563510392612E-2</v>
      </c>
      <c r="W222" s="13"/>
      <c r="X222" s="11"/>
      <c r="Y222" s="11"/>
      <c r="Z222" s="14"/>
      <c r="AA222" s="10"/>
      <c r="AB222" s="11"/>
      <c r="AC222" s="69">
        <f t="shared" ref="AC222:AC227" si="2044">AC221-AA222</f>
        <v>159</v>
      </c>
      <c r="AD222" s="69">
        <f t="shared" ref="AD222:AD227" si="2045">AD221-AB222</f>
        <v>13</v>
      </c>
      <c r="AE222" s="11">
        <v>83</v>
      </c>
      <c r="AF222" s="12">
        <f t="shared" si="1994"/>
        <v>0.53459119496855345</v>
      </c>
      <c r="AG222" s="11">
        <v>2</v>
      </c>
      <c r="AH222" s="12">
        <f t="shared" si="1995"/>
        <v>2.3529411764705882E-2</v>
      </c>
      <c r="AI222" s="13"/>
      <c r="AJ222" s="11"/>
      <c r="AK222" s="11"/>
      <c r="AL222" s="14"/>
      <c r="AM222" s="10">
        <v>1</v>
      </c>
      <c r="AN222" s="11"/>
      <c r="AO222" s="69">
        <f t="shared" ref="AO222:AO227" si="2046">AO221-AM222</f>
        <v>760</v>
      </c>
      <c r="AP222" s="69">
        <f t="shared" ref="AP222:AP227" si="2047">AP221-AN222</f>
        <v>61</v>
      </c>
      <c r="AQ222" s="11">
        <v>420</v>
      </c>
      <c r="AR222" s="12">
        <f t="shared" si="1996"/>
        <v>0.56447368421052635</v>
      </c>
      <c r="AS222" s="11">
        <v>9</v>
      </c>
      <c r="AT222" s="12">
        <f t="shared" si="1997"/>
        <v>2.097902097902098E-2</v>
      </c>
      <c r="AU222" s="13"/>
      <c r="AV222" s="11"/>
      <c r="AW222" s="11"/>
      <c r="AX222" s="14"/>
      <c r="AY222" s="10"/>
      <c r="AZ222" s="11"/>
      <c r="BA222" s="69">
        <f t="shared" ref="BA222:BA227" si="2048">BA221-AY222</f>
        <v>751</v>
      </c>
      <c r="BB222" s="69">
        <f t="shared" ref="BB222:BB227" si="2049">BB221-AZ222</f>
        <v>60</v>
      </c>
      <c r="BC222" s="11">
        <v>408</v>
      </c>
      <c r="BD222" s="12">
        <f t="shared" si="1998"/>
        <v>0.559254327563249</v>
      </c>
      <c r="BE222" s="11">
        <v>12</v>
      </c>
      <c r="BF222" s="12">
        <f t="shared" si="1999"/>
        <v>2.8571428571428571E-2</v>
      </c>
      <c r="BG222" s="13"/>
      <c r="BH222" s="11"/>
      <c r="BI222" s="11"/>
      <c r="BJ222" s="14"/>
      <c r="BK222" s="10"/>
      <c r="BL222" s="11"/>
      <c r="BM222" s="69">
        <f t="shared" ref="BM222:BM227" si="2050">BM221-BK222</f>
        <v>809</v>
      </c>
      <c r="BN222" s="69">
        <f t="shared" ref="BN222:BN227" si="2051">BN221-BL222</f>
        <v>64</v>
      </c>
      <c r="BO222" s="11">
        <v>395</v>
      </c>
      <c r="BP222" s="12">
        <f t="shared" si="2000"/>
        <v>0.50556242274412855</v>
      </c>
      <c r="BQ222" s="11">
        <v>14</v>
      </c>
      <c r="BR222" s="12">
        <f t="shared" si="2001"/>
        <v>3.4229828850855744E-2</v>
      </c>
      <c r="BS222" s="13"/>
      <c r="BT222" s="11"/>
      <c r="BU222" s="11"/>
      <c r="BV222" s="14"/>
      <c r="BW222" s="10"/>
      <c r="BX222" s="11"/>
      <c r="BY222" s="69">
        <f t="shared" ref="BY222:BY227" si="2052">BY221-BW222</f>
        <v>745</v>
      </c>
      <c r="BZ222" s="69">
        <f t="shared" ref="BZ222:BZ227" si="2053">BZ221-BX222</f>
        <v>59</v>
      </c>
      <c r="CA222" s="11">
        <v>398</v>
      </c>
      <c r="CB222" s="12">
        <f t="shared" si="2002"/>
        <v>0.5449664429530201</v>
      </c>
      <c r="CC222" s="11">
        <v>8</v>
      </c>
      <c r="CD222" s="12">
        <f t="shared" si="2003"/>
        <v>1.9704433497536946E-2</v>
      </c>
      <c r="CE222" s="13"/>
      <c r="CF222" s="11"/>
      <c r="CG222" s="11"/>
      <c r="CH222" s="14"/>
      <c r="CI222" s="10"/>
      <c r="CJ222" s="11"/>
      <c r="CK222" s="69">
        <f t="shared" ref="CK222:CK227" si="2054">CK221-CI222</f>
        <v>138</v>
      </c>
      <c r="CL222" s="69">
        <f t="shared" ref="CL222:CL227" si="2055">CL221-CJ222</f>
        <v>12</v>
      </c>
      <c r="CM222" s="11">
        <v>76</v>
      </c>
      <c r="CN222" s="12">
        <f t="shared" si="2004"/>
        <v>0.57971014492753625</v>
      </c>
      <c r="CO222" s="11">
        <v>4</v>
      </c>
      <c r="CP222" s="12">
        <f t="shared" si="2005"/>
        <v>0.05</v>
      </c>
      <c r="CQ222" s="13"/>
      <c r="CR222" s="11"/>
      <c r="CS222" s="11"/>
      <c r="CT222" s="14"/>
      <c r="CU222" s="10">
        <v>1</v>
      </c>
      <c r="CV222" s="11"/>
      <c r="CW222" s="69">
        <f t="shared" ref="CW222:CW227" si="2056">CW221-CU222</f>
        <v>735</v>
      </c>
      <c r="CX222" s="69">
        <f t="shared" ref="CX222:CX227" si="2057">CX221-CV222</f>
        <v>59</v>
      </c>
      <c r="CY222" s="11">
        <v>406</v>
      </c>
      <c r="CZ222" s="12">
        <f t="shared" si="2006"/>
        <v>0.56462585034013602</v>
      </c>
      <c r="DA222" s="11">
        <v>9</v>
      </c>
      <c r="DB222" s="12">
        <f t="shared" si="2007"/>
        <v>2.1686746987951807E-2</v>
      </c>
      <c r="DC222" s="13"/>
      <c r="DD222" s="11"/>
      <c r="DE222" s="11"/>
      <c r="DF222" s="14"/>
      <c r="DG222" s="10"/>
      <c r="DH222" s="11"/>
      <c r="DI222" s="69">
        <f t="shared" ref="DI222:DI227" si="2058">DI221-DG222</f>
        <v>736</v>
      </c>
      <c r="DJ222" s="69">
        <f t="shared" ref="DJ222:DJ227" si="2059">DJ221-DH222</f>
        <v>59</v>
      </c>
      <c r="DK222" s="11">
        <v>452</v>
      </c>
      <c r="DL222" s="12">
        <f t="shared" si="2008"/>
        <v>0.62907608695652173</v>
      </c>
      <c r="DM222" s="11">
        <v>11</v>
      </c>
      <c r="DN222" s="12">
        <f t="shared" si="2009"/>
        <v>2.3758099352051837E-2</v>
      </c>
      <c r="DO222" s="13"/>
      <c r="DP222" s="11"/>
      <c r="DQ222" s="11"/>
      <c r="DR222" s="14"/>
      <c r="DS222" s="10"/>
      <c r="DT222" s="11"/>
      <c r="DU222" s="69">
        <f t="shared" ref="DU222:DU227" si="2060">DU221-DS222</f>
        <v>822</v>
      </c>
      <c r="DV222" s="69">
        <f t="shared" ref="DV222:DV227" si="2061">DV221-DT222</f>
        <v>66</v>
      </c>
      <c r="DW222" s="11">
        <v>406</v>
      </c>
      <c r="DX222" s="12">
        <f t="shared" si="2010"/>
        <v>0.52798053527980537</v>
      </c>
      <c r="DY222" s="11">
        <v>28</v>
      </c>
      <c r="DZ222" s="12">
        <f t="shared" si="2011"/>
        <v>6.4516129032258063E-2</v>
      </c>
      <c r="EA222" s="13"/>
      <c r="EB222" s="11"/>
      <c r="EC222" s="11"/>
      <c r="ED222" s="14"/>
      <c r="EE222" s="10"/>
      <c r="EF222" s="11"/>
      <c r="EG222" s="69">
        <f t="shared" ref="EG222:EG227" si="2062">EG221-EE222</f>
        <v>844</v>
      </c>
      <c r="EH222" s="69">
        <f t="shared" ref="EH222:EH227" si="2063">EH221-EF222</f>
        <v>67</v>
      </c>
      <c r="EI222" s="11">
        <v>452</v>
      </c>
      <c r="EJ222" s="12">
        <f t="shared" si="2012"/>
        <v>0.55213270142180093</v>
      </c>
      <c r="EK222" s="11">
        <v>14</v>
      </c>
      <c r="EL222" s="12">
        <f t="shared" si="2013"/>
        <v>3.0042918454935622E-2</v>
      </c>
      <c r="EM222" s="13"/>
      <c r="EN222" s="11"/>
      <c r="EO222" s="11"/>
      <c r="EP222" s="14"/>
      <c r="EQ222" s="10"/>
      <c r="ER222" s="11"/>
      <c r="ES222" s="69">
        <f t="shared" ref="ES222:ES227" si="2064">ES221-EQ222</f>
        <v>171</v>
      </c>
      <c r="ET222" s="69">
        <f t="shared" ref="ET222:ET227" si="2065">ET221-ER222</f>
        <v>14</v>
      </c>
      <c r="EU222" s="11">
        <v>81</v>
      </c>
      <c r="EV222" s="12">
        <f t="shared" si="2014"/>
        <v>0.49707602339181284</v>
      </c>
      <c r="EW222" s="11">
        <v>4</v>
      </c>
      <c r="EX222" s="12">
        <f t="shared" si="2015"/>
        <v>4.7058823529411764E-2</v>
      </c>
      <c r="EY222" s="13"/>
      <c r="EZ222" s="11"/>
      <c r="FA222" s="11"/>
      <c r="FB222" s="14"/>
      <c r="FC222" s="10"/>
      <c r="FD222" s="11"/>
      <c r="FE222" s="69">
        <f t="shared" ref="FE222:FE227" si="2066">FE221-FC222</f>
        <v>848</v>
      </c>
      <c r="FF222" s="69">
        <f t="shared" ref="FF222:FF227" si="2067">FF221-FD222</f>
        <v>67</v>
      </c>
      <c r="FG222" s="11">
        <v>451</v>
      </c>
      <c r="FH222" s="12">
        <f t="shared" si="2016"/>
        <v>0.54716981132075471</v>
      </c>
      <c r="FI222" s="11">
        <v>13</v>
      </c>
      <c r="FJ222" s="12">
        <f t="shared" si="2017"/>
        <v>2.8017241379310345E-2</v>
      </c>
      <c r="FK222" s="13"/>
      <c r="FL222" s="11"/>
      <c r="FM222" s="11"/>
      <c r="FN222" s="14"/>
      <c r="FO222" s="10"/>
      <c r="FP222" s="11"/>
      <c r="FQ222" s="69">
        <f t="shared" ref="FQ222:FQ227" si="2068">FQ221-FO222</f>
        <v>871</v>
      </c>
      <c r="FR222" s="69">
        <f t="shared" ref="FR222:FR227" si="2069">FR221-FP222</f>
        <v>70</v>
      </c>
      <c r="FS222" s="11">
        <v>475</v>
      </c>
      <c r="FT222" s="12">
        <f t="shared" si="2018"/>
        <v>0.5648679678530425</v>
      </c>
      <c r="FU222" s="11">
        <v>17</v>
      </c>
      <c r="FV222" s="12">
        <f t="shared" si="2019"/>
        <v>3.4552845528455285E-2</v>
      </c>
      <c r="FW222" s="13"/>
      <c r="FX222" s="11"/>
      <c r="FY222" s="11"/>
      <c r="FZ222" s="14"/>
      <c r="GA222" s="10"/>
      <c r="GB222" s="11"/>
      <c r="GC222" s="69">
        <f t="shared" ref="GC222:GC227" si="2070">GC221-GA222</f>
        <v>874</v>
      </c>
      <c r="GD222" s="69">
        <f t="shared" ref="GD222:GD227" si="2071">GD221-GB222</f>
        <v>71</v>
      </c>
      <c r="GE222" s="11">
        <v>462</v>
      </c>
      <c r="GF222" s="12">
        <f t="shared" si="2020"/>
        <v>0.54805491990846678</v>
      </c>
      <c r="GG222" s="11">
        <v>17</v>
      </c>
      <c r="GH222" s="12">
        <f t="shared" si="2021"/>
        <v>3.5490605427974949E-2</v>
      </c>
      <c r="GI222" s="13"/>
      <c r="GJ222" s="11"/>
      <c r="GK222" s="11"/>
      <c r="GL222" s="14"/>
      <c r="GM222" s="10"/>
      <c r="GN222" s="11"/>
      <c r="GO222" s="69">
        <f t="shared" ref="GO222:GO227" si="2072">GO221-GM222</f>
        <v>151</v>
      </c>
      <c r="GP222" s="69">
        <f t="shared" ref="GP222:GP227" si="2073">GP221-GN222</f>
        <v>12</v>
      </c>
      <c r="GQ222" s="11">
        <v>67</v>
      </c>
      <c r="GR222" s="12">
        <f t="shared" si="2022"/>
        <v>0.47019867549668876</v>
      </c>
      <c r="GS222" s="11">
        <v>4</v>
      </c>
      <c r="GT222" s="12">
        <f t="shared" si="2023"/>
        <v>5.6338028169014086E-2</v>
      </c>
      <c r="GU222" s="13"/>
      <c r="GV222" s="11"/>
      <c r="GW222" s="11"/>
      <c r="GX222" s="14"/>
      <c r="GY222" s="10"/>
      <c r="GZ222" s="11"/>
      <c r="HA222" s="69">
        <f t="shared" ref="HA222:HA227" si="2074">HA221-GY222</f>
        <v>902</v>
      </c>
      <c r="HB222" s="69">
        <f t="shared" ref="HB222:HB227" si="2075">HB221-GZ222</f>
        <v>73</v>
      </c>
      <c r="HC222" s="11">
        <v>485</v>
      </c>
      <c r="HD222" s="12">
        <f t="shared" si="2024"/>
        <v>0.54656319290465627</v>
      </c>
      <c r="HE222" s="11">
        <v>8</v>
      </c>
      <c r="HF222" s="12">
        <f t="shared" si="2025"/>
        <v>1.6227180527383367E-2</v>
      </c>
      <c r="HG222" s="13"/>
      <c r="HH222" s="11"/>
      <c r="HI222" s="11"/>
      <c r="HJ222" s="14"/>
      <c r="HK222" s="10">
        <f t="shared" si="2026"/>
        <v>2</v>
      </c>
      <c r="HL222" s="11">
        <f t="shared" si="2027"/>
        <v>0</v>
      </c>
      <c r="HM222" s="11">
        <f t="shared" si="2028"/>
        <v>11881</v>
      </c>
      <c r="HN222" s="11">
        <f t="shared" si="2029"/>
        <v>953</v>
      </c>
      <c r="HO222" s="11">
        <f t="shared" si="2030"/>
        <v>6575</v>
      </c>
      <c r="HP222" s="95">
        <f t="shared" si="2031"/>
        <v>0.55340459557276322</v>
      </c>
      <c r="HQ222" s="15">
        <f t="shared" si="2032"/>
        <v>207</v>
      </c>
      <c r="HR222" s="12">
        <f t="shared" si="2033"/>
        <v>3.1482889733840301E-2</v>
      </c>
      <c r="HS222" s="16">
        <v>65.599999999999994</v>
      </c>
      <c r="HT222" s="17">
        <v>6208</v>
      </c>
      <c r="HU222" s="16">
        <f t="shared" si="2034"/>
        <v>94.418250950570339</v>
      </c>
      <c r="HV222" s="15"/>
      <c r="HW222" s="14"/>
      <c r="HX222" s="73">
        <f t="shared" si="2035"/>
        <v>0.56197836166924264</v>
      </c>
      <c r="HY222" s="73">
        <f t="shared" si="2036"/>
        <v>0.56054378754347134</v>
      </c>
      <c r="HZ222" s="73">
        <f t="shared" si="2037"/>
        <v>0.53966480446927378</v>
      </c>
      <c r="IA222" s="73">
        <f t="shared" si="2038"/>
        <v>0.54860614724803436</v>
      </c>
    </row>
    <row r="223" spans="1:244" x14ac:dyDescent="0.25">
      <c r="A223" s="374"/>
      <c r="B223" s="41">
        <f t="shared" si="2039"/>
        <v>45111</v>
      </c>
      <c r="C223" s="10"/>
      <c r="D223" s="11"/>
      <c r="E223" s="69">
        <f t="shared" si="2040"/>
        <v>818</v>
      </c>
      <c r="F223" s="69">
        <f t="shared" si="2041"/>
        <v>66</v>
      </c>
      <c r="G223" s="11">
        <v>459</v>
      </c>
      <c r="H223" s="12">
        <f t="shared" si="1990"/>
        <v>0.58924205378973105</v>
      </c>
      <c r="I223" s="11">
        <v>23</v>
      </c>
      <c r="J223" s="12">
        <f t="shared" si="1991"/>
        <v>4.7717842323651449E-2</v>
      </c>
      <c r="K223" s="13"/>
      <c r="L223" s="11"/>
      <c r="M223" s="11"/>
      <c r="N223" s="14"/>
      <c r="O223" s="10"/>
      <c r="P223" s="11"/>
      <c r="Q223" s="69">
        <f t="shared" si="2042"/>
        <v>747</v>
      </c>
      <c r="R223" s="69">
        <f t="shared" si="2043"/>
        <v>60</v>
      </c>
      <c r="S223" s="11">
        <v>410</v>
      </c>
      <c r="T223" s="12">
        <f t="shared" si="1992"/>
        <v>0.57028112449799195</v>
      </c>
      <c r="U223" s="11">
        <v>16</v>
      </c>
      <c r="V223" s="12">
        <f t="shared" si="1993"/>
        <v>3.7558685446009391E-2</v>
      </c>
      <c r="W223" s="13"/>
      <c r="X223" s="11"/>
      <c r="Y223" s="11"/>
      <c r="Z223" s="14"/>
      <c r="AA223" s="10"/>
      <c r="AB223" s="11"/>
      <c r="AC223" s="69">
        <f t="shared" si="2044"/>
        <v>159</v>
      </c>
      <c r="AD223" s="69">
        <f t="shared" si="2045"/>
        <v>13</v>
      </c>
      <c r="AE223" s="11">
        <v>78</v>
      </c>
      <c r="AF223" s="12">
        <f t="shared" si="1994"/>
        <v>0.50943396226415094</v>
      </c>
      <c r="AG223" s="11">
        <v>3</v>
      </c>
      <c r="AH223" s="12">
        <f t="shared" si="1995"/>
        <v>3.7037037037037035E-2</v>
      </c>
      <c r="AI223" s="13"/>
      <c r="AJ223" s="11"/>
      <c r="AK223" s="11"/>
      <c r="AL223" s="14"/>
      <c r="AM223" s="10">
        <v>2</v>
      </c>
      <c r="AN223" s="11"/>
      <c r="AO223" s="69">
        <f t="shared" si="2046"/>
        <v>758</v>
      </c>
      <c r="AP223" s="69">
        <f t="shared" si="2047"/>
        <v>61</v>
      </c>
      <c r="AQ223" s="11">
        <v>474</v>
      </c>
      <c r="AR223" s="12">
        <f t="shared" si="1996"/>
        <v>0.64511873350923488</v>
      </c>
      <c r="AS223" s="11">
        <v>15</v>
      </c>
      <c r="AT223" s="12">
        <f t="shared" si="1997"/>
        <v>3.0674846625766871E-2</v>
      </c>
      <c r="AU223" s="13"/>
      <c r="AV223" s="11"/>
      <c r="AW223" s="11"/>
      <c r="AX223" s="14"/>
      <c r="AY223" s="10"/>
      <c r="AZ223" s="11"/>
      <c r="BA223" s="69">
        <f t="shared" si="2048"/>
        <v>751</v>
      </c>
      <c r="BB223" s="69">
        <f t="shared" si="2049"/>
        <v>60</v>
      </c>
      <c r="BC223" s="11">
        <v>398</v>
      </c>
      <c r="BD223" s="12">
        <f t="shared" si="1998"/>
        <v>0.55792276964047938</v>
      </c>
      <c r="BE223" s="11">
        <v>21</v>
      </c>
      <c r="BF223" s="12">
        <f t="shared" si="1999"/>
        <v>5.0119331742243436E-2</v>
      </c>
      <c r="BG223" s="13"/>
      <c r="BH223" s="11"/>
      <c r="BI223" s="11"/>
      <c r="BJ223" s="14"/>
      <c r="BK223" s="10"/>
      <c r="BL223" s="11"/>
      <c r="BM223" s="69">
        <f t="shared" si="2050"/>
        <v>809</v>
      </c>
      <c r="BN223" s="69">
        <f t="shared" si="2051"/>
        <v>64</v>
      </c>
      <c r="BO223" s="11">
        <v>447</v>
      </c>
      <c r="BP223" s="12">
        <f t="shared" si="2000"/>
        <v>0.57725587144622992</v>
      </c>
      <c r="BQ223" s="11">
        <v>20</v>
      </c>
      <c r="BR223" s="12">
        <f t="shared" si="2001"/>
        <v>4.2826552462526764E-2</v>
      </c>
      <c r="BS223" s="13"/>
      <c r="BT223" s="11"/>
      <c r="BU223" s="11"/>
      <c r="BV223" s="14"/>
      <c r="BW223" s="10"/>
      <c r="BX223" s="11"/>
      <c r="BY223" s="69">
        <f t="shared" si="2052"/>
        <v>745</v>
      </c>
      <c r="BZ223" s="69">
        <f t="shared" si="2053"/>
        <v>59</v>
      </c>
      <c r="CA223" s="11">
        <v>379</v>
      </c>
      <c r="CB223" s="12">
        <f t="shared" si="2002"/>
        <v>0.52751677852348988</v>
      </c>
      <c r="CC223" s="11">
        <v>14</v>
      </c>
      <c r="CD223" s="12">
        <f t="shared" si="2003"/>
        <v>3.5623409669211195E-2</v>
      </c>
      <c r="CE223" s="13"/>
      <c r="CF223" s="11"/>
      <c r="CG223" s="11"/>
      <c r="CH223" s="14"/>
      <c r="CI223" s="10"/>
      <c r="CJ223" s="11"/>
      <c r="CK223" s="69">
        <f t="shared" si="2054"/>
        <v>138</v>
      </c>
      <c r="CL223" s="69">
        <f t="shared" si="2055"/>
        <v>12</v>
      </c>
      <c r="CM223" s="11">
        <v>66</v>
      </c>
      <c r="CN223" s="12">
        <f t="shared" si="2004"/>
        <v>0.5</v>
      </c>
      <c r="CO223" s="11">
        <v>3</v>
      </c>
      <c r="CP223" s="12">
        <f t="shared" si="2005"/>
        <v>4.3478260869565216E-2</v>
      </c>
      <c r="CQ223" s="13"/>
      <c r="CR223" s="11"/>
      <c r="CS223" s="11"/>
      <c r="CT223" s="14"/>
      <c r="CU223" s="10"/>
      <c r="CV223" s="11"/>
      <c r="CW223" s="69">
        <f t="shared" si="2056"/>
        <v>735</v>
      </c>
      <c r="CX223" s="69">
        <f t="shared" si="2057"/>
        <v>59</v>
      </c>
      <c r="CY223" s="11">
        <v>348</v>
      </c>
      <c r="CZ223" s="12">
        <f t="shared" si="2006"/>
        <v>0.48979591836734693</v>
      </c>
      <c r="DA223" s="11">
        <v>12</v>
      </c>
      <c r="DB223" s="12">
        <f t="shared" si="2007"/>
        <v>3.3333333333333333E-2</v>
      </c>
      <c r="DC223" s="13"/>
      <c r="DD223" s="11"/>
      <c r="DE223" s="11"/>
      <c r="DF223" s="14"/>
      <c r="DG223" s="10"/>
      <c r="DH223" s="11"/>
      <c r="DI223" s="69">
        <f t="shared" si="2058"/>
        <v>736</v>
      </c>
      <c r="DJ223" s="69">
        <f t="shared" si="2059"/>
        <v>59</v>
      </c>
      <c r="DK223" s="11">
        <v>429</v>
      </c>
      <c r="DL223" s="12">
        <f t="shared" si="2008"/>
        <v>0.59782608695652173</v>
      </c>
      <c r="DM223" s="11">
        <v>11</v>
      </c>
      <c r="DN223" s="12">
        <f t="shared" si="2009"/>
        <v>2.5000000000000001E-2</v>
      </c>
      <c r="DO223" s="13"/>
      <c r="DP223" s="11"/>
      <c r="DQ223" s="11"/>
      <c r="DR223" s="14"/>
      <c r="DS223" s="10"/>
      <c r="DT223" s="11"/>
      <c r="DU223" s="69">
        <f t="shared" si="2060"/>
        <v>822</v>
      </c>
      <c r="DV223" s="69">
        <f t="shared" si="2061"/>
        <v>66</v>
      </c>
      <c r="DW223" s="11">
        <v>468</v>
      </c>
      <c r="DX223" s="12">
        <f t="shared" si="2010"/>
        <v>0.59124087591240881</v>
      </c>
      <c r="DY223" s="11">
        <v>18</v>
      </c>
      <c r="DZ223" s="12">
        <f t="shared" si="2011"/>
        <v>3.7037037037037035E-2</v>
      </c>
      <c r="EA223" s="13"/>
      <c r="EB223" s="11"/>
      <c r="EC223" s="11"/>
      <c r="ED223" s="14"/>
      <c r="EE223" s="10"/>
      <c r="EF223" s="11"/>
      <c r="EG223" s="69">
        <f t="shared" si="2062"/>
        <v>844</v>
      </c>
      <c r="EH223" s="69">
        <f t="shared" si="2063"/>
        <v>67</v>
      </c>
      <c r="EI223" s="11">
        <v>495</v>
      </c>
      <c r="EJ223" s="12">
        <f t="shared" si="2012"/>
        <v>0.61729857819905209</v>
      </c>
      <c r="EK223" s="11">
        <v>26</v>
      </c>
      <c r="EL223" s="12">
        <f t="shared" si="2013"/>
        <v>4.9904030710172742E-2</v>
      </c>
      <c r="EM223" s="13"/>
      <c r="EN223" s="11"/>
      <c r="EO223" s="11"/>
      <c r="EP223" s="14"/>
      <c r="EQ223" s="10"/>
      <c r="ER223" s="11"/>
      <c r="ES223" s="69">
        <f t="shared" si="2064"/>
        <v>171</v>
      </c>
      <c r="ET223" s="69">
        <f t="shared" si="2065"/>
        <v>14</v>
      </c>
      <c r="EU223" s="11">
        <v>100</v>
      </c>
      <c r="EV223" s="12">
        <f t="shared" si="2014"/>
        <v>0.60233918128654973</v>
      </c>
      <c r="EW223" s="11">
        <v>3</v>
      </c>
      <c r="EX223" s="12">
        <f t="shared" si="2015"/>
        <v>2.9126213592233011E-2</v>
      </c>
      <c r="EY223" s="13"/>
      <c r="EZ223" s="11"/>
      <c r="FA223" s="11"/>
      <c r="FB223" s="14"/>
      <c r="FC223" s="10"/>
      <c r="FD223" s="11"/>
      <c r="FE223" s="69">
        <f t="shared" si="2066"/>
        <v>848</v>
      </c>
      <c r="FF223" s="69">
        <f t="shared" si="2067"/>
        <v>67</v>
      </c>
      <c r="FG223" s="11">
        <v>514</v>
      </c>
      <c r="FH223" s="12">
        <f t="shared" si="2016"/>
        <v>0.61674528301886788</v>
      </c>
      <c r="FI223" s="11">
        <v>9</v>
      </c>
      <c r="FJ223" s="12">
        <f t="shared" si="2017"/>
        <v>1.7208413001912046E-2</v>
      </c>
      <c r="FK223" s="13"/>
      <c r="FL223" s="11"/>
      <c r="FM223" s="11"/>
      <c r="FN223" s="14"/>
      <c r="FO223" s="10"/>
      <c r="FP223" s="11"/>
      <c r="FQ223" s="69">
        <f t="shared" si="2068"/>
        <v>871</v>
      </c>
      <c r="FR223" s="69">
        <f t="shared" si="2069"/>
        <v>70</v>
      </c>
      <c r="FS223" s="11">
        <v>458</v>
      </c>
      <c r="FT223" s="12">
        <f t="shared" si="2018"/>
        <v>0.54764638346727901</v>
      </c>
      <c r="FU223" s="11">
        <v>19</v>
      </c>
      <c r="FV223" s="12">
        <f t="shared" si="2019"/>
        <v>3.9832285115303984E-2</v>
      </c>
      <c r="FW223" s="13"/>
      <c r="FX223" s="11"/>
      <c r="FY223" s="11"/>
      <c r="FZ223" s="14"/>
      <c r="GA223" s="10"/>
      <c r="GB223" s="11"/>
      <c r="GC223" s="69">
        <f t="shared" si="2070"/>
        <v>874</v>
      </c>
      <c r="GD223" s="69">
        <f t="shared" si="2071"/>
        <v>71</v>
      </c>
      <c r="GE223" s="11">
        <v>463</v>
      </c>
      <c r="GF223" s="12">
        <f t="shared" si="2020"/>
        <v>0.54691075514874143</v>
      </c>
      <c r="GG223" s="11">
        <v>15</v>
      </c>
      <c r="GH223" s="12">
        <f t="shared" si="2021"/>
        <v>3.1380753138075312E-2</v>
      </c>
      <c r="GI223" s="13"/>
      <c r="GJ223" s="11"/>
      <c r="GK223" s="11"/>
      <c r="GL223" s="14"/>
      <c r="GM223" s="10"/>
      <c r="GN223" s="11"/>
      <c r="GO223" s="69">
        <f t="shared" si="2072"/>
        <v>151</v>
      </c>
      <c r="GP223" s="69">
        <f t="shared" si="2073"/>
        <v>12</v>
      </c>
      <c r="GQ223" s="11">
        <v>71</v>
      </c>
      <c r="GR223" s="12">
        <f t="shared" si="2022"/>
        <v>0.49006622516556292</v>
      </c>
      <c r="GS223" s="11">
        <v>3</v>
      </c>
      <c r="GT223" s="12">
        <f t="shared" si="2023"/>
        <v>4.0540540540540543E-2</v>
      </c>
      <c r="GU223" s="13"/>
      <c r="GV223" s="11"/>
      <c r="GW223" s="11"/>
      <c r="GX223" s="14"/>
      <c r="GY223" s="10">
        <v>1</v>
      </c>
      <c r="GZ223" s="11"/>
      <c r="HA223" s="69">
        <f t="shared" si="2074"/>
        <v>901</v>
      </c>
      <c r="HB223" s="69">
        <f t="shared" si="2075"/>
        <v>73</v>
      </c>
      <c r="HC223" s="11">
        <v>503</v>
      </c>
      <c r="HD223" s="12">
        <f t="shared" si="2024"/>
        <v>0.57713651498335183</v>
      </c>
      <c r="HE223" s="11">
        <v>17</v>
      </c>
      <c r="HF223" s="12">
        <f t="shared" si="2025"/>
        <v>3.2692307692307694E-2</v>
      </c>
      <c r="HG223" s="13"/>
      <c r="HH223" s="11"/>
      <c r="HI223" s="11"/>
      <c r="HJ223" s="14"/>
      <c r="HK223" s="10">
        <f t="shared" si="2026"/>
        <v>3</v>
      </c>
      <c r="HL223" s="11">
        <f t="shared" si="2027"/>
        <v>0</v>
      </c>
      <c r="HM223" s="11">
        <f t="shared" si="2028"/>
        <v>11878</v>
      </c>
      <c r="HN223" s="11">
        <f t="shared" si="2029"/>
        <v>953</v>
      </c>
      <c r="HO223" s="11">
        <f t="shared" si="2030"/>
        <v>6808</v>
      </c>
      <c r="HP223" s="95">
        <f t="shared" si="2031"/>
        <v>0.57316046472470117</v>
      </c>
      <c r="HQ223" s="15">
        <f t="shared" si="2032"/>
        <v>248</v>
      </c>
      <c r="HR223" s="12">
        <f t="shared" si="2033"/>
        <v>3.6427732079905996E-2</v>
      </c>
      <c r="HS223" s="16">
        <v>65.8</v>
      </c>
      <c r="HT223" s="17">
        <v>6396</v>
      </c>
      <c r="HU223" s="16">
        <f t="shared" si="2034"/>
        <v>93.948296122209157</v>
      </c>
      <c r="HV223" s="15"/>
      <c r="HW223" s="14"/>
      <c r="HX223" s="73">
        <f t="shared" si="2035"/>
        <v>0.58676152180637176</v>
      </c>
      <c r="HY223" s="73">
        <f t="shared" si="2036"/>
        <v>0.54663294340815682</v>
      </c>
      <c r="HZ223" s="73">
        <f t="shared" si="2037"/>
        <v>0.60819366852886403</v>
      </c>
      <c r="IA223" s="73">
        <f t="shared" si="2038"/>
        <v>0.55380765105470142</v>
      </c>
    </row>
    <row r="224" spans="1:244" x14ac:dyDescent="0.25">
      <c r="A224" s="374"/>
      <c r="B224" s="41">
        <f>+B223+1</f>
        <v>45112</v>
      </c>
      <c r="C224" s="10"/>
      <c r="D224" s="11"/>
      <c r="E224" s="69">
        <f t="shared" si="2040"/>
        <v>818</v>
      </c>
      <c r="F224" s="69">
        <f t="shared" si="2041"/>
        <v>66</v>
      </c>
      <c r="G224" s="11">
        <v>457</v>
      </c>
      <c r="H224" s="12">
        <f t="shared" si="1990"/>
        <v>0.5794621026894865</v>
      </c>
      <c r="I224" s="11">
        <v>17</v>
      </c>
      <c r="J224" s="12">
        <f t="shared" si="1991"/>
        <v>3.5864978902953586E-2</v>
      </c>
      <c r="K224" s="11"/>
      <c r="L224" s="11"/>
      <c r="M224" s="18"/>
      <c r="N224" s="20"/>
      <c r="O224" s="10"/>
      <c r="P224" s="11"/>
      <c r="Q224" s="69">
        <f t="shared" si="2042"/>
        <v>747</v>
      </c>
      <c r="R224" s="69">
        <f t="shared" si="2043"/>
        <v>60</v>
      </c>
      <c r="S224" s="11">
        <v>401</v>
      </c>
      <c r="T224" s="12">
        <f t="shared" si="1992"/>
        <v>0.56091030789825969</v>
      </c>
      <c r="U224" s="11">
        <v>18</v>
      </c>
      <c r="V224" s="12">
        <f t="shared" si="1993"/>
        <v>4.2959427207637228E-2</v>
      </c>
      <c r="W224" s="11"/>
      <c r="X224" s="11"/>
      <c r="Y224" s="18"/>
      <c r="Z224" s="20"/>
      <c r="AA224" s="10">
        <v>2</v>
      </c>
      <c r="AB224" s="11"/>
      <c r="AC224" s="69">
        <f t="shared" si="2044"/>
        <v>157</v>
      </c>
      <c r="AD224" s="69">
        <f t="shared" si="2045"/>
        <v>13</v>
      </c>
      <c r="AE224" s="11">
        <v>64</v>
      </c>
      <c r="AF224" s="12">
        <f t="shared" si="1994"/>
        <v>0.43312101910828027</v>
      </c>
      <c r="AG224" s="11">
        <v>4</v>
      </c>
      <c r="AH224" s="12">
        <f t="shared" si="1995"/>
        <v>5.8823529411764705E-2</v>
      </c>
      <c r="AI224" s="11"/>
      <c r="AJ224" s="11"/>
      <c r="AK224" s="18"/>
      <c r="AL224" s="20"/>
      <c r="AM224" s="10"/>
      <c r="AN224" s="11"/>
      <c r="AO224" s="69">
        <f t="shared" si="2046"/>
        <v>758</v>
      </c>
      <c r="AP224" s="69">
        <f t="shared" si="2047"/>
        <v>61</v>
      </c>
      <c r="AQ224" s="11">
        <v>422</v>
      </c>
      <c r="AR224" s="12">
        <f t="shared" si="1996"/>
        <v>0.57651715039577833</v>
      </c>
      <c r="AS224" s="11">
        <v>15</v>
      </c>
      <c r="AT224" s="12">
        <f t="shared" si="1997"/>
        <v>3.4324942791762014E-2</v>
      </c>
      <c r="AU224" s="11"/>
      <c r="AV224" s="11"/>
      <c r="AW224" s="18"/>
      <c r="AX224" s="20"/>
      <c r="AY224" s="10"/>
      <c r="AZ224" s="11"/>
      <c r="BA224" s="69">
        <f t="shared" si="2048"/>
        <v>751</v>
      </c>
      <c r="BB224" s="69">
        <f t="shared" si="2049"/>
        <v>60</v>
      </c>
      <c r="BC224" s="11">
        <v>431</v>
      </c>
      <c r="BD224" s="12">
        <f t="shared" si="1998"/>
        <v>0.59786950732356858</v>
      </c>
      <c r="BE224" s="11">
        <v>18</v>
      </c>
      <c r="BF224" s="12">
        <f t="shared" si="1999"/>
        <v>4.0089086859688199E-2</v>
      </c>
      <c r="BG224" s="11"/>
      <c r="BH224" s="11"/>
      <c r="BI224" s="18"/>
      <c r="BJ224" s="20"/>
      <c r="BK224" s="10">
        <v>1</v>
      </c>
      <c r="BL224" s="11"/>
      <c r="BM224" s="69">
        <f t="shared" si="2050"/>
        <v>808</v>
      </c>
      <c r="BN224" s="69">
        <f t="shared" si="2051"/>
        <v>64</v>
      </c>
      <c r="BO224" s="11">
        <v>415</v>
      </c>
      <c r="BP224" s="12">
        <f t="shared" si="2000"/>
        <v>0.53341584158415845</v>
      </c>
      <c r="BQ224" s="11">
        <v>16</v>
      </c>
      <c r="BR224" s="12">
        <f t="shared" si="2001"/>
        <v>3.7122969837587005E-2</v>
      </c>
      <c r="BS224" s="11"/>
      <c r="BT224" s="11"/>
      <c r="BU224" s="18"/>
      <c r="BV224" s="20"/>
      <c r="BW224" s="10"/>
      <c r="BX224" s="11"/>
      <c r="BY224" s="69">
        <f t="shared" si="2052"/>
        <v>745</v>
      </c>
      <c r="BZ224" s="69">
        <f t="shared" si="2053"/>
        <v>59</v>
      </c>
      <c r="CA224" s="11">
        <v>385</v>
      </c>
      <c r="CB224" s="12">
        <f t="shared" si="2002"/>
        <v>0.53288590604026842</v>
      </c>
      <c r="CC224" s="11">
        <v>12</v>
      </c>
      <c r="CD224" s="12">
        <f t="shared" si="2003"/>
        <v>3.0226700251889168E-2</v>
      </c>
      <c r="CE224" s="11"/>
      <c r="CF224" s="11"/>
      <c r="CG224" s="18"/>
      <c r="CH224" s="20"/>
      <c r="CI224" s="10"/>
      <c r="CJ224" s="11"/>
      <c r="CK224" s="69">
        <f t="shared" si="2054"/>
        <v>138</v>
      </c>
      <c r="CL224" s="69">
        <f t="shared" si="2055"/>
        <v>12</v>
      </c>
      <c r="CM224" s="11">
        <v>75</v>
      </c>
      <c r="CN224" s="12">
        <f t="shared" si="2004"/>
        <v>0.57971014492753625</v>
      </c>
      <c r="CO224" s="11">
        <v>5</v>
      </c>
      <c r="CP224" s="12">
        <f t="shared" si="2005"/>
        <v>6.25E-2</v>
      </c>
      <c r="CQ224" s="11"/>
      <c r="CR224" s="11"/>
      <c r="CS224" s="18"/>
      <c r="CT224" s="20"/>
      <c r="CU224" s="10"/>
      <c r="CV224" s="11"/>
      <c r="CW224" s="69">
        <f t="shared" si="2056"/>
        <v>735</v>
      </c>
      <c r="CX224" s="69">
        <f t="shared" si="2057"/>
        <v>59</v>
      </c>
      <c r="CY224" s="11">
        <v>394</v>
      </c>
      <c r="CZ224" s="12">
        <f t="shared" si="2006"/>
        <v>0.55510204081632653</v>
      </c>
      <c r="DA224" s="11">
        <v>14</v>
      </c>
      <c r="DB224" s="12">
        <f t="shared" si="2007"/>
        <v>3.4313725490196081E-2</v>
      </c>
      <c r="DC224" s="11"/>
      <c r="DD224" s="11"/>
      <c r="DE224" s="18"/>
      <c r="DF224" s="20"/>
      <c r="DG224" s="10"/>
      <c r="DH224" s="11"/>
      <c r="DI224" s="69">
        <f t="shared" si="2058"/>
        <v>736</v>
      </c>
      <c r="DJ224" s="69">
        <f t="shared" si="2059"/>
        <v>59</v>
      </c>
      <c r="DK224" s="11">
        <v>402</v>
      </c>
      <c r="DL224" s="12">
        <f t="shared" si="2008"/>
        <v>0.55434782608695654</v>
      </c>
      <c r="DM224" s="11">
        <v>6</v>
      </c>
      <c r="DN224" s="12">
        <f t="shared" si="2009"/>
        <v>1.4705882352941176E-2</v>
      </c>
      <c r="DO224" s="11"/>
      <c r="DP224" s="11"/>
      <c r="DQ224" s="18"/>
      <c r="DR224" s="20"/>
      <c r="DS224" s="10"/>
      <c r="DT224" s="11"/>
      <c r="DU224" s="69">
        <f t="shared" si="2060"/>
        <v>822</v>
      </c>
      <c r="DV224" s="69">
        <f t="shared" si="2061"/>
        <v>66</v>
      </c>
      <c r="DW224" s="11">
        <v>410</v>
      </c>
      <c r="DX224" s="12">
        <f t="shared" si="2010"/>
        <v>0.51338199513381999</v>
      </c>
      <c r="DY224" s="11">
        <v>12</v>
      </c>
      <c r="DZ224" s="12">
        <f t="shared" si="2011"/>
        <v>2.843601895734597E-2</v>
      </c>
      <c r="EA224" s="11"/>
      <c r="EB224" s="11"/>
      <c r="EC224" s="18"/>
      <c r="ED224" s="20"/>
      <c r="EE224" s="10"/>
      <c r="EF224" s="11"/>
      <c r="EG224" s="69">
        <f t="shared" si="2062"/>
        <v>844</v>
      </c>
      <c r="EH224" s="69">
        <f t="shared" si="2063"/>
        <v>67</v>
      </c>
      <c r="EI224" s="11">
        <v>450</v>
      </c>
      <c r="EJ224" s="12">
        <f t="shared" si="2012"/>
        <v>0.55094786729857825</v>
      </c>
      <c r="EK224" s="11">
        <v>15</v>
      </c>
      <c r="EL224" s="12">
        <f t="shared" si="2013"/>
        <v>3.2258064516129031E-2</v>
      </c>
      <c r="EM224" s="11"/>
      <c r="EN224" s="11"/>
      <c r="EO224" s="18"/>
      <c r="EP224" s="20"/>
      <c r="EQ224" s="10"/>
      <c r="ER224" s="11"/>
      <c r="ES224" s="69">
        <f t="shared" si="2064"/>
        <v>171</v>
      </c>
      <c r="ET224" s="69">
        <f t="shared" si="2065"/>
        <v>14</v>
      </c>
      <c r="EU224" s="11">
        <v>77</v>
      </c>
      <c r="EV224" s="12">
        <f t="shared" si="2014"/>
        <v>0.47368421052631576</v>
      </c>
      <c r="EW224" s="11">
        <v>4</v>
      </c>
      <c r="EX224" s="12">
        <f t="shared" si="2015"/>
        <v>4.9382716049382713E-2</v>
      </c>
      <c r="EY224" s="11"/>
      <c r="EZ224" s="11"/>
      <c r="FA224" s="18"/>
      <c r="FB224" s="20"/>
      <c r="FC224" s="10"/>
      <c r="FD224" s="11"/>
      <c r="FE224" s="69">
        <f t="shared" si="2066"/>
        <v>848</v>
      </c>
      <c r="FF224" s="69">
        <f t="shared" si="2067"/>
        <v>67</v>
      </c>
      <c r="FG224" s="11">
        <v>464</v>
      </c>
      <c r="FH224" s="12">
        <f t="shared" si="2016"/>
        <v>0.56132075471698117</v>
      </c>
      <c r="FI224" s="11">
        <v>12</v>
      </c>
      <c r="FJ224" s="12">
        <f t="shared" si="2017"/>
        <v>2.5210084033613446E-2</v>
      </c>
      <c r="FK224" s="11"/>
      <c r="FL224" s="11"/>
      <c r="FM224" s="18"/>
      <c r="FN224" s="20"/>
      <c r="FO224" s="10"/>
      <c r="FP224" s="11"/>
      <c r="FQ224" s="69">
        <f t="shared" si="2068"/>
        <v>871</v>
      </c>
      <c r="FR224" s="69">
        <f t="shared" si="2069"/>
        <v>70</v>
      </c>
      <c r="FS224" s="11">
        <v>414</v>
      </c>
      <c r="FT224" s="12">
        <f t="shared" si="2018"/>
        <v>0.4925373134328358</v>
      </c>
      <c r="FU224" s="11">
        <v>15</v>
      </c>
      <c r="FV224" s="12">
        <f t="shared" si="2019"/>
        <v>3.4965034965034968E-2</v>
      </c>
      <c r="FW224" s="11"/>
      <c r="FX224" s="11"/>
      <c r="FY224" s="18"/>
      <c r="FZ224" s="20"/>
      <c r="GA224" s="10"/>
      <c r="GB224" s="11"/>
      <c r="GC224" s="69">
        <f t="shared" si="2070"/>
        <v>874</v>
      </c>
      <c r="GD224" s="69">
        <f t="shared" si="2071"/>
        <v>71</v>
      </c>
      <c r="GE224" s="11">
        <v>467</v>
      </c>
      <c r="GF224" s="12">
        <f t="shared" si="2020"/>
        <v>0.55034324942791757</v>
      </c>
      <c r="GG224" s="11">
        <v>14</v>
      </c>
      <c r="GH224" s="12">
        <f t="shared" si="2021"/>
        <v>2.9106029106029108E-2</v>
      </c>
      <c r="GI224" s="11"/>
      <c r="GJ224" s="11"/>
      <c r="GK224" s="18"/>
      <c r="GL224" s="20"/>
      <c r="GM224" s="10"/>
      <c r="GN224" s="11"/>
      <c r="GO224" s="69">
        <f t="shared" si="2072"/>
        <v>151</v>
      </c>
      <c r="GP224" s="69">
        <f t="shared" si="2073"/>
        <v>12</v>
      </c>
      <c r="GQ224" s="11">
        <v>71</v>
      </c>
      <c r="GR224" s="12">
        <f t="shared" si="2022"/>
        <v>0.49006622516556292</v>
      </c>
      <c r="GS224" s="11">
        <v>3</v>
      </c>
      <c r="GT224" s="12">
        <f t="shared" si="2023"/>
        <v>4.0540540540540543E-2</v>
      </c>
      <c r="GU224" s="11"/>
      <c r="GV224" s="11"/>
      <c r="GW224" s="18"/>
      <c r="GX224" s="20"/>
      <c r="GY224" s="10"/>
      <c r="GZ224" s="11"/>
      <c r="HA224" s="69">
        <f t="shared" si="2074"/>
        <v>901</v>
      </c>
      <c r="HB224" s="69">
        <f t="shared" si="2075"/>
        <v>73</v>
      </c>
      <c r="HC224" s="11">
        <v>513</v>
      </c>
      <c r="HD224" s="12">
        <f t="shared" si="2024"/>
        <v>0.58490566037735847</v>
      </c>
      <c r="HE224" s="11">
        <v>14</v>
      </c>
      <c r="HF224" s="12">
        <f t="shared" si="2025"/>
        <v>2.6565464895635674E-2</v>
      </c>
      <c r="HG224" s="11"/>
      <c r="HH224" s="11"/>
      <c r="HI224" s="18"/>
      <c r="HJ224" s="20"/>
      <c r="HK224" s="10">
        <f t="shared" si="2026"/>
        <v>3</v>
      </c>
      <c r="HL224" s="11">
        <f t="shared" si="2027"/>
        <v>0</v>
      </c>
      <c r="HM224" s="11">
        <f t="shared" si="2028"/>
        <v>11875</v>
      </c>
      <c r="HN224" s="11">
        <f t="shared" si="2029"/>
        <v>953</v>
      </c>
      <c r="HO224" s="11">
        <f t="shared" si="2030"/>
        <v>6526</v>
      </c>
      <c r="HP224" s="95">
        <f t="shared" si="2031"/>
        <v>0.54955789473684213</v>
      </c>
      <c r="HQ224" s="15">
        <f t="shared" si="2032"/>
        <v>214</v>
      </c>
      <c r="HR224" s="12">
        <f t="shared" si="2033"/>
        <v>3.2791909285933188E-2</v>
      </c>
      <c r="HS224" s="16">
        <v>66</v>
      </c>
      <c r="HT224" s="17">
        <v>6130</v>
      </c>
      <c r="HU224" s="16">
        <f t="shared" si="2034"/>
        <v>93.931964449892732</v>
      </c>
      <c r="HV224" s="18"/>
      <c r="HW224" s="20"/>
      <c r="HX224" s="73">
        <f t="shared" si="2035"/>
        <v>0.57164964407304242</v>
      </c>
      <c r="HY224" s="73">
        <f t="shared" si="2036"/>
        <v>0.54522454142947496</v>
      </c>
      <c r="HZ224" s="73">
        <f t="shared" si="2037"/>
        <v>0.53780260707635008</v>
      </c>
      <c r="IA224" s="73">
        <f t="shared" si="2038"/>
        <v>0.54022166607079014</v>
      </c>
    </row>
    <row r="225" spans="1:244" x14ac:dyDescent="0.25">
      <c r="A225" s="374"/>
      <c r="B225" s="41">
        <f>+B224+1</f>
        <v>45113</v>
      </c>
      <c r="C225" s="10">
        <v>1</v>
      </c>
      <c r="D225" s="11"/>
      <c r="E225" s="69">
        <f t="shared" si="2040"/>
        <v>817</v>
      </c>
      <c r="F225" s="69">
        <f t="shared" si="2041"/>
        <v>66</v>
      </c>
      <c r="G225" s="11">
        <v>440</v>
      </c>
      <c r="H225" s="12">
        <f t="shared" si="1990"/>
        <v>0.55691554467564264</v>
      </c>
      <c r="I225" s="11">
        <v>15</v>
      </c>
      <c r="J225" s="12">
        <f t="shared" si="1991"/>
        <v>3.2967032967032968E-2</v>
      </c>
      <c r="K225" s="13"/>
      <c r="L225" s="13"/>
      <c r="M225" s="25"/>
      <c r="N225" s="38">
        <v>4445</v>
      </c>
      <c r="O225" s="10"/>
      <c r="P225" s="11"/>
      <c r="Q225" s="69">
        <f t="shared" si="2042"/>
        <v>747</v>
      </c>
      <c r="R225" s="69">
        <f t="shared" si="2043"/>
        <v>60</v>
      </c>
      <c r="S225" s="11">
        <v>404</v>
      </c>
      <c r="T225" s="12">
        <f t="shared" si="1992"/>
        <v>0.56760374832663985</v>
      </c>
      <c r="U225" s="11">
        <v>20</v>
      </c>
      <c r="V225" s="12">
        <f t="shared" si="1993"/>
        <v>4.716981132075472E-2</v>
      </c>
      <c r="W225" s="13"/>
      <c r="X225" s="13"/>
      <c r="Y225" s="25"/>
      <c r="Z225" s="38">
        <v>4445</v>
      </c>
      <c r="AA225" s="10"/>
      <c r="AB225" s="11"/>
      <c r="AC225" s="69">
        <f t="shared" si="2044"/>
        <v>157</v>
      </c>
      <c r="AD225" s="69">
        <f t="shared" si="2045"/>
        <v>13</v>
      </c>
      <c r="AE225" s="11">
        <v>91</v>
      </c>
      <c r="AF225" s="12">
        <f t="shared" si="1994"/>
        <v>0.61146496815286622</v>
      </c>
      <c r="AG225" s="11">
        <v>5</v>
      </c>
      <c r="AH225" s="12">
        <f t="shared" si="1995"/>
        <v>5.2083333333333336E-2</v>
      </c>
      <c r="AI225" s="13"/>
      <c r="AJ225" s="13"/>
      <c r="AK225" s="25"/>
      <c r="AL225" s="38">
        <v>4445</v>
      </c>
      <c r="AM225" s="10"/>
      <c r="AN225" s="11"/>
      <c r="AO225" s="69">
        <f t="shared" si="2046"/>
        <v>758</v>
      </c>
      <c r="AP225" s="69">
        <f t="shared" si="2047"/>
        <v>61</v>
      </c>
      <c r="AQ225" s="11">
        <v>418</v>
      </c>
      <c r="AR225" s="12">
        <f t="shared" si="1996"/>
        <v>0.5633245382585752</v>
      </c>
      <c r="AS225" s="11">
        <v>9</v>
      </c>
      <c r="AT225" s="12">
        <f t="shared" si="1997"/>
        <v>2.1077283372365339E-2</v>
      </c>
      <c r="AU225" s="13"/>
      <c r="AV225" s="13"/>
      <c r="AW225" s="25"/>
      <c r="AX225" s="38">
        <v>4445</v>
      </c>
      <c r="AY225" s="10">
        <v>1</v>
      </c>
      <c r="AZ225" s="11"/>
      <c r="BA225" s="69">
        <f t="shared" si="2048"/>
        <v>750</v>
      </c>
      <c r="BB225" s="69">
        <f t="shared" si="2049"/>
        <v>60</v>
      </c>
      <c r="BC225" s="11">
        <v>419</v>
      </c>
      <c r="BD225" s="12">
        <f t="shared" si="1998"/>
        <v>0.57333333333333336</v>
      </c>
      <c r="BE225" s="11">
        <v>11</v>
      </c>
      <c r="BF225" s="12">
        <f t="shared" si="1999"/>
        <v>2.5581395348837209E-2</v>
      </c>
      <c r="BG225" s="13"/>
      <c r="BH225" s="13"/>
      <c r="BI225" s="25"/>
      <c r="BJ225" s="38">
        <v>4445</v>
      </c>
      <c r="BK225" s="10"/>
      <c r="BL225" s="11"/>
      <c r="BM225" s="69">
        <f t="shared" si="2050"/>
        <v>808</v>
      </c>
      <c r="BN225" s="69">
        <f t="shared" si="2051"/>
        <v>64</v>
      </c>
      <c r="BO225" s="11">
        <v>440</v>
      </c>
      <c r="BP225" s="12">
        <f t="shared" si="2000"/>
        <v>0.56806930693069302</v>
      </c>
      <c r="BQ225" s="11">
        <v>19</v>
      </c>
      <c r="BR225" s="12">
        <f t="shared" si="2001"/>
        <v>4.1394335511982572E-2</v>
      </c>
      <c r="BS225" s="13"/>
      <c r="BT225" s="13"/>
      <c r="BU225" s="25"/>
      <c r="BV225" s="38">
        <v>4445</v>
      </c>
      <c r="BW225" s="10"/>
      <c r="BX225" s="11"/>
      <c r="BY225" s="69">
        <f t="shared" si="2052"/>
        <v>745</v>
      </c>
      <c r="BZ225" s="69">
        <f t="shared" si="2053"/>
        <v>59</v>
      </c>
      <c r="CA225" s="11">
        <v>388</v>
      </c>
      <c r="CB225" s="12">
        <f t="shared" si="2002"/>
        <v>0.54630872483221482</v>
      </c>
      <c r="CC225" s="11">
        <v>19</v>
      </c>
      <c r="CD225" s="12">
        <f t="shared" si="2003"/>
        <v>4.6683046683046681E-2</v>
      </c>
      <c r="CE225" s="13"/>
      <c r="CF225" s="13"/>
      <c r="CG225" s="25"/>
      <c r="CH225" s="38">
        <v>4445</v>
      </c>
      <c r="CI225" s="10"/>
      <c r="CJ225" s="11"/>
      <c r="CK225" s="69">
        <f t="shared" si="2054"/>
        <v>138</v>
      </c>
      <c r="CL225" s="69">
        <f t="shared" si="2055"/>
        <v>12</v>
      </c>
      <c r="CM225" s="11">
        <v>62</v>
      </c>
      <c r="CN225" s="12">
        <f t="shared" si="2004"/>
        <v>0.47101449275362317</v>
      </c>
      <c r="CO225" s="11">
        <v>3</v>
      </c>
      <c r="CP225" s="12">
        <f t="shared" si="2005"/>
        <v>4.6153846153846156E-2</v>
      </c>
      <c r="CQ225" s="13"/>
      <c r="CR225" s="13"/>
      <c r="CS225" s="25"/>
      <c r="CT225" s="38">
        <v>4445</v>
      </c>
      <c r="CU225" s="10"/>
      <c r="CV225" s="11"/>
      <c r="CW225" s="69">
        <f t="shared" si="2056"/>
        <v>735</v>
      </c>
      <c r="CX225" s="69">
        <f t="shared" si="2057"/>
        <v>59</v>
      </c>
      <c r="CY225" s="11">
        <v>404</v>
      </c>
      <c r="CZ225" s="12">
        <f t="shared" si="2006"/>
        <v>0.5714285714285714</v>
      </c>
      <c r="DA225" s="11">
        <v>16</v>
      </c>
      <c r="DB225" s="12">
        <f t="shared" si="2007"/>
        <v>3.8095238095238099E-2</v>
      </c>
      <c r="DC225" s="13"/>
      <c r="DD225" s="13"/>
      <c r="DE225" s="25"/>
      <c r="DF225" s="38">
        <v>4445</v>
      </c>
      <c r="DG225" s="10"/>
      <c r="DH225" s="11"/>
      <c r="DI225" s="69">
        <f t="shared" si="2058"/>
        <v>736</v>
      </c>
      <c r="DJ225" s="69">
        <f t="shared" si="2059"/>
        <v>59</v>
      </c>
      <c r="DK225" s="11">
        <v>391</v>
      </c>
      <c r="DL225" s="12">
        <f t="shared" si="2008"/>
        <v>0.55978260869565222</v>
      </c>
      <c r="DM225" s="11">
        <v>21</v>
      </c>
      <c r="DN225" s="12">
        <f t="shared" si="2009"/>
        <v>5.0970873786407765E-2</v>
      </c>
      <c r="DO225" s="13"/>
      <c r="DP225" s="13"/>
      <c r="DQ225" s="25"/>
      <c r="DR225" s="38">
        <v>4445</v>
      </c>
      <c r="DS225" s="10"/>
      <c r="DT225" s="11"/>
      <c r="DU225" s="69">
        <f t="shared" si="2060"/>
        <v>822</v>
      </c>
      <c r="DV225" s="69">
        <f t="shared" si="2061"/>
        <v>66</v>
      </c>
      <c r="DW225" s="11">
        <v>403</v>
      </c>
      <c r="DX225" s="12">
        <f t="shared" si="2010"/>
        <v>0.50973236009732359</v>
      </c>
      <c r="DY225" s="11">
        <v>16</v>
      </c>
      <c r="DZ225" s="12">
        <f t="shared" si="2011"/>
        <v>3.8186157517899763E-2</v>
      </c>
      <c r="EA225" s="13"/>
      <c r="EB225" s="13"/>
      <c r="EC225" s="25"/>
      <c r="ED225" s="38">
        <v>4445</v>
      </c>
      <c r="EE225" s="10"/>
      <c r="EF225" s="11"/>
      <c r="EG225" s="69">
        <f t="shared" si="2062"/>
        <v>844</v>
      </c>
      <c r="EH225" s="69">
        <f t="shared" si="2063"/>
        <v>67</v>
      </c>
      <c r="EI225" s="11">
        <v>451</v>
      </c>
      <c r="EJ225" s="12">
        <f t="shared" si="2012"/>
        <v>0.56161137440758291</v>
      </c>
      <c r="EK225" s="11">
        <v>23</v>
      </c>
      <c r="EL225" s="12">
        <f t="shared" si="2013"/>
        <v>4.852320675105485E-2</v>
      </c>
      <c r="EM225" s="13"/>
      <c r="EN225" s="13"/>
      <c r="EO225" s="25"/>
      <c r="EP225" s="38">
        <v>4445</v>
      </c>
      <c r="EQ225" s="10"/>
      <c r="ER225" s="11"/>
      <c r="ES225" s="69">
        <f t="shared" si="2064"/>
        <v>171</v>
      </c>
      <c r="ET225" s="69">
        <f t="shared" si="2065"/>
        <v>14</v>
      </c>
      <c r="EU225" s="11">
        <v>80</v>
      </c>
      <c r="EV225" s="12">
        <f t="shared" si="2014"/>
        <v>0.46783625730994149</v>
      </c>
      <c r="EW225" s="11">
        <v>0</v>
      </c>
      <c r="EX225" s="12">
        <f t="shared" si="2015"/>
        <v>0</v>
      </c>
      <c r="EY225" s="13"/>
      <c r="EZ225" s="13"/>
      <c r="FA225" s="25"/>
      <c r="FB225" s="38">
        <v>4445</v>
      </c>
      <c r="FC225" s="10"/>
      <c r="FD225" s="11"/>
      <c r="FE225" s="69">
        <f t="shared" si="2066"/>
        <v>848</v>
      </c>
      <c r="FF225" s="69">
        <f t="shared" si="2067"/>
        <v>67</v>
      </c>
      <c r="FG225" s="11">
        <v>474</v>
      </c>
      <c r="FH225" s="12">
        <f t="shared" si="2016"/>
        <v>0.57783018867924529</v>
      </c>
      <c r="FI225" s="11">
        <v>16</v>
      </c>
      <c r="FJ225" s="12">
        <f t="shared" si="2017"/>
        <v>3.2653061224489799E-2</v>
      </c>
      <c r="FK225" s="13"/>
      <c r="FL225" s="13"/>
      <c r="FM225" s="25"/>
      <c r="FN225" s="38">
        <v>4445</v>
      </c>
      <c r="FO225" s="10"/>
      <c r="FP225" s="11"/>
      <c r="FQ225" s="69">
        <f t="shared" si="2068"/>
        <v>871</v>
      </c>
      <c r="FR225" s="69">
        <f t="shared" si="2069"/>
        <v>70</v>
      </c>
      <c r="FS225" s="11">
        <v>411</v>
      </c>
      <c r="FT225" s="12">
        <f t="shared" si="2018"/>
        <v>0.49483352468427094</v>
      </c>
      <c r="FU225" s="11">
        <v>20</v>
      </c>
      <c r="FV225" s="12">
        <f t="shared" si="2019"/>
        <v>4.6403712296983757E-2</v>
      </c>
      <c r="FW225" s="13"/>
      <c r="FX225" s="13"/>
      <c r="FY225" s="25"/>
      <c r="FZ225" s="38">
        <v>4445</v>
      </c>
      <c r="GA225" s="10">
        <v>1</v>
      </c>
      <c r="GB225" s="11"/>
      <c r="GC225" s="69">
        <f t="shared" si="2070"/>
        <v>873</v>
      </c>
      <c r="GD225" s="69">
        <f t="shared" si="2071"/>
        <v>71</v>
      </c>
      <c r="GE225" s="11">
        <v>470</v>
      </c>
      <c r="GF225" s="12">
        <f t="shared" si="2020"/>
        <v>0.54982817869415812</v>
      </c>
      <c r="GG225" s="11">
        <v>10</v>
      </c>
      <c r="GH225" s="12">
        <f t="shared" si="2021"/>
        <v>2.0833333333333332E-2</v>
      </c>
      <c r="GI225" s="13"/>
      <c r="GJ225" s="13"/>
      <c r="GK225" s="25"/>
      <c r="GL225" s="38">
        <v>4445</v>
      </c>
      <c r="GM225" s="10"/>
      <c r="GN225" s="11"/>
      <c r="GO225" s="69">
        <f t="shared" si="2072"/>
        <v>151</v>
      </c>
      <c r="GP225" s="69">
        <f t="shared" si="2073"/>
        <v>12</v>
      </c>
      <c r="GQ225" s="11">
        <v>64</v>
      </c>
      <c r="GR225" s="12">
        <f t="shared" si="2022"/>
        <v>0.45033112582781459</v>
      </c>
      <c r="GS225" s="11">
        <v>4</v>
      </c>
      <c r="GT225" s="12">
        <f t="shared" si="2023"/>
        <v>5.8823529411764705E-2</v>
      </c>
      <c r="GU225" s="13"/>
      <c r="GV225" s="13"/>
      <c r="GW225" s="25"/>
      <c r="GX225" s="38">
        <v>4445</v>
      </c>
      <c r="GY225" s="10">
        <v>1</v>
      </c>
      <c r="GZ225" s="11"/>
      <c r="HA225" s="69">
        <f t="shared" si="2074"/>
        <v>900</v>
      </c>
      <c r="HB225" s="69">
        <f t="shared" si="2075"/>
        <v>73</v>
      </c>
      <c r="HC225" s="11">
        <v>477</v>
      </c>
      <c r="HD225" s="12">
        <f t="shared" si="2024"/>
        <v>0.55111111111111111</v>
      </c>
      <c r="HE225" s="11">
        <v>19</v>
      </c>
      <c r="HF225" s="12">
        <f t="shared" si="2025"/>
        <v>3.8306451612903226E-2</v>
      </c>
      <c r="HG225" s="13"/>
      <c r="HH225" s="13"/>
      <c r="HI225" s="25"/>
      <c r="HJ225" s="38">
        <v>4445</v>
      </c>
      <c r="HK225" s="10">
        <f t="shared" si="2026"/>
        <v>4</v>
      </c>
      <c r="HL225" s="11">
        <f t="shared" si="2027"/>
        <v>0</v>
      </c>
      <c r="HM225" s="11">
        <f t="shared" si="2028"/>
        <v>11871</v>
      </c>
      <c r="HN225" s="11">
        <f t="shared" si="2029"/>
        <v>953</v>
      </c>
      <c r="HO225" s="11">
        <f t="shared" si="2030"/>
        <v>6533</v>
      </c>
      <c r="HP225" s="95">
        <f t="shared" si="2031"/>
        <v>0.55033274366102269</v>
      </c>
      <c r="HQ225" s="15">
        <f t="shared" si="2032"/>
        <v>246</v>
      </c>
      <c r="HR225" s="12">
        <f t="shared" si="2033"/>
        <v>3.7654982397061075E-2</v>
      </c>
      <c r="HS225" s="16">
        <v>66.2</v>
      </c>
      <c r="HT225" s="17">
        <v>6130</v>
      </c>
      <c r="HU225" s="16">
        <f t="shared" si="2034"/>
        <v>93.831317924383896</v>
      </c>
      <c r="HV225" s="23"/>
      <c r="HW225" s="22">
        <v>4445</v>
      </c>
      <c r="HX225" s="73">
        <f t="shared" si="2035"/>
        <v>0.56735831526788483</v>
      </c>
      <c r="HY225" s="73">
        <f t="shared" si="2036"/>
        <v>0.55755850727387735</v>
      </c>
      <c r="HZ225" s="73">
        <f t="shared" si="2037"/>
        <v>0.54487895716946</v>
      </c>
      <c r="IA225" s="73">
        <f t="shared" si="2038"/>
        <v>0.52772808586762077</v>
      </c>
    </row>
    <row r="226" spans="1:244" x14ac:dyDescent="0.25">
      <c r="A226" s="374"/>
      <c r="B226" s="41">
        <f t="shared" si="2039"/>
        <v>45114</v>
      </c>
      <c r="C226" s="10">
        <v>1</v>
      </c>
      <c r="D226" s="11"/>
      <c r="E226" s="69">
        <f t="shared" si="2040"/>
        <v>816</v>
      </c>
      <c r="F226" s="69">
        <f t="shared" si="2041"/>
        <v>66</v>
      </c>
      <c r="G226" s="11">
        <v>420</v>
      </c>
      <c r="H226" s="12">
        <f t="shared" si="1990"/>
        <v>0.53431372549019607</v>
      </c>
      <c r="I226" s="11">
        <v>16</v>
      </c>
      <c r="J226" s="12">
        <f t="shared" si="1991"/>
        <v>3.669724770642202E-2</v>
      </c>
      <c r="K226" s="13"/>
      <c r="L226" s="11"/>
      <c r="M226" s="25"/>
      <c r="N226" s="38">
        <v>4571.54</v>
      </c>
      <c r="O226" s="10"/>
      <c r="P226" s="11"/>
      <c r="Q226" s="69">
        <f t="shared" si="2042"/>
        <v>747</v>
      </c>
      <c r="R226" s="69">
        <f t="shared" si="2043"/>
        <v>60</v>
      </c>
      <c r="S226" s="11">
        <v>364</v>
      </c>
      <c r="T226" s="12">
        <f t="shared" si="1992"/>
        <v>0.50870147255689424</v>
      </c>
      <c r="U226" s="11">
        <v>16</v>
      </c>
      <c r="V226" s="12">
        <f t="shared" si="1993"/>
        <v>4.2105263157894736E-2</v>
      </c>
      <c r="W226" s="13"/>
      <c r="X226" s="11"/>
      <c r="Y226" s="25"/>
      <c r="Z226" s="38">
        <v>4796.1499999999996</v>
      </c>
      <c r="AA226" s="10"/>
      <c r="AB226" s="11"/>
      <c r="AC226" s="69">
        <f t="shared" si="2044"/>
        <v>157</v>
      </c>
      <c r="AD226" s="69">
        <f t="shared" si="2045"/>
        <v>13</v>
      </c>
      <c r="AE226" s="11">
        <v>82</v>
      </c>
      <c r="AF226" s="12">
        <f t="shared" si="1994"/>
        <v>0.53503184713375795</v>
      </c>
      <c r="AG226" s="11">
        <v>2</v>
      </c>
      <c r="AH226" s="12">
        <f t="shared" si="1995"/>
        <v>2.3809523809523808E-2</v>
      </c>
      <c r="AI226" s="13"/>
      <c r="AJ226" s="11"/>
      <c r="AK226" s="25"/>
      <c r="AL226" s="38">
        <v>4425</v>
      </c>
      <c r="AM226" s="10"/>
      <c r="AN226" s="11"/>
      <c r="AO226" s="69">
        <f t="shared" si="2046"/>
        <v>758</v>
      </c>
      <c r="AP226" s="69">
        <f t="shared" si="2047"/>
        <v>61</v>
      </c>
      <c r="AQ226" s="11">
        <v>410</v>
      </c>
      <c r="AR226" s="12">
        <f t="shared" si="1996"/>
        <v>0.56068601583113453</v>
      </c>
      <c r="AS226" s="11">
        <v>15</v>
      </c>
      <c r="AT226" s="12">
        <f t="shared" si="1997"/>
        <v>3.5294117647058823E-2</v>
      </c>
      <c r="AU226" s="13"/>
      <c r="AV226" s="11"/>
      <c r="AW226" s="25"/>
      <c r="AX226" s="38">
        <v>4869.2299999999996</v>
      </c>
      <c r="AY226" s="10"/>
      <c r="AZ226" s="11"/>
      <c r="BA226" s="69">
        <f t="shared" si="2048"/>
        <v>750</v>
      </c>
      <c r="BB226" s="69">
        <f t="shared" si="2049"/>
        <v>60</v>
      </c>
      <c r="BC226" s="11">
        <v>400</v>
      </c>
      <c r="BD226" s="12">
        <f t="shared" si="1998"/>
        <v>0.56399999999999995</v>
      </c>
      <c r="BE226" s="11">
        <v>23</v>
      </c>
      <c r="BF226" s="12">
        <f t="shared" si="1999"/>
        <v>5.4373522458628844E-2</v>
      </c>
      <c r="BG226" s="13"/>
      <c r="BH226" s="11"/>
      <c r="BI226" s="25"/>
      <c r="BJ226" s="38">
        <v>5256.67</v>
      </c>
      <c r="BK226" s="10"/>
      <c r="BL226" s="11"/>
      <c r="BM226" s="69">
        <f t="shared" si="2050"/>
        <v>808</v>
      </c>
      <c r="BN226" s="69">
        <f t="shared" si="2051"/>
        <v>64</v>
      </c>
      <c r="BO226" s="11">
        <v>450</v>
      </c>
      <c r="BP226" s="12">
        <f t="shared" si="2000"/>
        <v>0.56683168316831678</v>
      </c>
      <c r="BQ226" s="11">
        <v>8</v>
      </c>
      <c r="BR226" s="12">
        <f t="shared" si="2001"/>
        <v>1.7467248908296942E-2</v>
      </c>
      <c r="BS226" s="13"/>
      <c r="BT226" s="11"/>
      <c r="BU226" s="25"/>
      <c r="BV226" s="38">
        <v>4428.46</v>
      </c>
      <c r="BW226" s="10"/>
      <c r="BX226" s="11"/>
      <c r="BY226" s="69">
        <f t="shared" si="2052"/>
        <v>745</v>
      </c>
      <c r="BZ226" s="69">
        <f t="shared" si="2053"/>
        <v>59</v>
      </c>
      <c r="CA226" s="11">
        <v>382</v>
      </c>
      <c r="CB226" s="12">
        <f t="shared" si="2002"/>
        <v>0.52617449664429528</v>
      </c>
      <c r="CC226" s="11">
        <v>10</v>
      </c>
      <c r="CD226" s="12">
        <f t="shared" si="2003"/>
        <v>2.5510204081632654E-2</v>
      </c>
      <c r="CE226" s="13"/>
      <c r="CF226" s="11"/>
      <c r="CG226" s="25"/>
      <c r="CH226" s="38">
        <v>4591.43</v>
      </c>
      <c r="CI226" s="10"/>
      <c r="CJ226" s="11"/>
      <c r="CK226" s="69">
        <f t="shared" si="2054"/>
        <v>138</v>
      </c>
      <c r="CL226" s="69">
        <f t="shared" si="2055"/>
        <v>12</v>
      </c>
      <c r="CM226" s="11">
        <v>61</v>
      </c>
      <c r="CN226" s="12">
        <f t="shared" si="2004"/>
        <v>0.46376811594202899</v>
      </c>
      <c r="CO226" s="11">
        <v>3</v>
      </c>
      <c r="CP226" s="12">
        <f t="shared" si="2005"/>
        <v>4.6875E-2</v>
      </c>
      <c r="CQ226" s="13"/>
      <c r="CR226" s="11"/>
      <c r="CS226" s="25"/>
      <c r="CT226" s="38">
        <v>4462.5</v>
      </c>
      <c r="CU226" s="10"/>
      <c r="CV226" s="11"/>
      <c r="CW226" s="69">
        <f t="shared" si="2056"/>
        <v>735</v>
      </c>
      <c r="CX226" s="69">
        <f t="shared" si="2057"/>
        <v>59</v>
      </c>
      <c r="CY226" s="11">
        <v>375</v>
      </c>
      <c r="CZ226" s="12">
        <f t="shared" si="2006"/>
        <v>0.52925170068027216</v>
      </c>
      <c r="DA226" s="11">
        <v>14</v>
      </c>
      <c r="DB226" s="12">
        <f t="shared" si="2007"/>
        <v>3.5989717223650387E-2</v>
      </c>
      <c r="DC226" s="13"/>
      <c r="DD226" s="11"/>
      <c r="DE226" s="25"/>
      <c r="DF226" s="38">
        <v>4766.88</v>
      </c>
      <c r="DG226" s="10"/>
      <c r="DH226" s="11"/>
      <c r="DI226" s="69">
        <f t="shared" si="2058"/>
        <v>736</v>
      </c>
      <c r="DJ226" s="69">
        <f t="shared" si="2059"/>
        <v>59</v>
      </c>
      <c r="DK226" s="11">
        <v>412</v>
      </c>
      <c r="DL226" s="12">
        <f t="shared" si="2008"/>
        <v>0.57201086956521741</v>
      </c>
      <c r="DM226" s="11">
        <v>9</v>
      </c>
      <c r="DN226" s="12">
        <f t="shared" si="2009"/>
        <v>2.1377672209026127E-2</v>
      </c>
      <c r="DO226" s="13"/>
      <c r="DP226" s="11"/>
      <c r="DQ226" s="25"/>
      <c r="DR226" s="38">
        <v>4926.25</v>
      </c>
      <c r="DS226" s="10"/>
      <c r="DT226" s="11"/>
      <c r="DU226" s="69">
        <f t="shared" si="2060"/>
        <v>822</v>
      </c>
      <c r="DV226" s="69">
        <f t="shared" si="2061"/>
        <v>66</v>
      </c>
      <c r="DW226" s="11">
        <v>402</v>
      </c>
      <c r="DX226" s="12">
        <f t="shared" si="2010"/>
        <v>0.51703163017031628</v>
      </c>
      <c r="DY226" s="11">
        <v>23</v>
      </c>
      <c r="DZ226" s="12">
        <f t="shared" si="2011"/>
        <v>5.4117647058823527E-2</v>
      </c>
      <c r="EA226" s="13"/>
      <c r="EB226" s="11"/>
      <c r="EC226" s="25"/>
      <c r="ED226" s="38">
        <v>4595.71</v>
      </c>
      <c r="EE226" s="10"/>
      <c r="EF226" s="11"/>
      <c r="EG226" s="69">
        <f t="shared" si="2062"/>
        <v>844</v>
      </c>
      <c r="EH226" s="69">
        <f t="shared" si="2063"/>
        <v>67</v>
      </c>
      <c r="EI226" s="11">
        <v>441</v>
      </c>
      <c r="EJ226" s="12">
        <f t="shared" si="2012"/>
        <v>0.55331753554502372</v>
      </c>
      <c r="EK226" s="11">
        <v>26</v>
      </c>
      <c r="EL226" s="12">
        <f t="shared" si="2013"/>
        <v>5.5674518201284794E-2</v>
      </c>
      <c r="EM226" s="13"/>
      <c r="EN226" s="11"/>
      <c r="EO226" s="25"/>
      <c r="EP226" s="38">
        <v>4868</v>
      </c>
      <c r="EQ226" s="10"/>
      <c r="ER226" s="11"/>
      <c r="ES226" s="69">
        <f t="shared" si="2064"/>
        <v>171</v>
      </c>
      <c r="ET226" s="69">
        <f t="shared" si="2065"/>
        <v>14</v>
      </c>
      <c r="EU226" s="11">
        <v>88</v>
      </c>
      <c r="EV226" s="12">
        <f t="shared" si="2014"/>
        <v>0.57309941520467833</v>
      </c>
      <c r="EW226" s="11">
        <v>10</v>
      </c>
      <c r="EX226" s="12">
        <f t="shared" si="2015"/>
        <v>0.10204081632653061</v>
      </c>
      <c r="EY226" s="13"/>
      <c r="EZ226" s="11"/>
      <c r="FA226" s="25"/>
      <c r="FB226" s="38">
        <v>4703.33</v>
      </c>
      <c r="FC226" s="10"/>
      <c r="FD226" s="11"/>
      <c r="FE226" s="69">
        <f t="shared" si="2066"/>
        <v>848</v>
      </c>
      <c r="FF226" s="69">
        <f t="shared" si="2067"/>
        <v>67</v>
      </c>
      <c r="FG226" s="11">
        <v>465</v>
      </c>
      <c r="FH226" s="12">
        <f t="shared" si="2016"/>
        <v>0.56485849056603776</v>
      </c>
      <c r="FI226" s="11">
        <v>14</v>
      </c>
      <c r="FJ226" s="12">
        <f t="shared" si="2017"/>
        <v>2.9227557411273485E-2</v>
      </c>
      <c r="FK226" s="13"/>
      <c r="FL226" s="11"/>
      <c r="FM226" s="25"/>
      <c r="FN226" s="38">
        <v>4793.6000000000004</v>
      </c>
      <c r="FO226" s="10"/>
      <c r="FP226" s="11"/>
      <c r="FQ226" s="69">
        <f t="shared" si="2068"/>
        <v>871</v>
      </c>
      <c r="FR226" s="69">
        <f t="shared" si="2069"/>
        <v>70</v>
      </c>
      <c r="FS226" s="11">
        <v>441</v>
      </c>
      <c r="FT226" s="12">
        <f t="shared" si="2018"/>
        <v>0.53157290470723306</v>
      </c>
      <c r="FU226" s="11">
        <v>22</v>
      </c>
      <c r="FV226" s="12">
        <f t="shared" si="2019"/>
        <v>4.7516198704103674E-2</v>
      </c>
      <c r="FW226" s="13"/>
      <c r="FX226" s="11"/>
      <c r="FY226" s="25"/>
      <c r="FZ226" s="38">
        <v>4704.62</v>
      </c>
      <c r="GA226" s="10"/>
      <c r="GB226" s="11"/>
      <c r="GC226" s="69">
        <f t="shared" si="2070"/>
        <v>873</v>
      </c>
      <c r="GD226" s="69">
        <f t="shared" si="2071"/>
        <v>71</v>
      </c>
      <c r="GE226" s="11">
        <v>475</v>
      </c>
      <c r="GF226" s="12">
        <f t="shared" si="2020"/>
        <v>0.55899198167239406</v>
      </c>
      <c r="GG226" s="11">
        <v>13</v>
      </c>
      <c r="GH226" s="12">
        <f t="shared" si="2021"/>
        <v>2.663934426229508E-2</v>
      </c>
      <c r="GI226" s="13"/>
      <c r="GJ226" s="11"/>
      <c r="GK226" s="25"/>
      <c r="GL226" s="38">
        <v>4660</v>
      </c>
      <c r="GM226" s="10">
        <v>1</v>
      </c>
      <c r="GN226" s="11"/>
      <c r="GO226" s="69">
        <f t="shared" si="2072"/>
        <v>150</v>
      </c>
      <c r="GP226" s="69">
        <f t="shared" si="2073"/>
        <v>12</v>
      </c>
      <c r="GQ226" s="11">
        <v>72</v>
      </c>
      <c r="GR226" s="12">
        <f t="shared" si="2022"/>
        <v>0.52</v>
      </c>
      <c r="GS226" s="11">
        <v>6</v>
      </c>
      <c r="GT226" s="12">
        <f t="shared" si="2023"/>
        <v>7.6923076923076927E-2</v>
      </c>
      <c r="GU226" s="13"/>
      <c r="GV226" s="11"/>
      <c r="GW226" s="25"/>
      <c r="GX226" s="38">
        <v>4580</v>
      </c>
      <c r="GY226" s="10"/>
      <c r="GZ226" s="11"/>
      <c r="HA226" s="69">
        <f t="shared" si="2074"/>
        <v>900</v>
      </c>
      <c r="HB226" s="69">
        <f t="shared" si="2075"/>
        <v>73</v>
      </c>
      <c r="HC226" s="11">
        <v>448</v>
      </c>
      <c r="HD226" s="12">
        <f t="shared" si="2024"/>
        <v>0.51666666666666672</v>
      </c>
      <c r="HE226" s="11">
        <v>17</v>
      </c>
      <c r="HF226" s="12">
        <f t="shared" si="2025"/>
        <v>3.6559139784946237E-2</v>
      </c>
      <c r="HG226" s="13"/>
      <c r="HH226" s="11"/>
      <c r="HI226" s="25"/>
      <c r="HJ226" s="38">
        <v>5087.5</v>
      </c>
      <c r="HK226" s="10">
        <f t="shared" si="2026"/>
        <v>2</v>
      </c>
      <c r="HL226" s="11">
        <f t="shared" si="2027"/>
        <v>0</v>
      </c>
      <c r="HM226" s="11">
        <f t="shared" si="2028"/>
        <v>11869</v>
      </c>
      <c r="HN226" s="11">
        <f t="shared" si="2029"/>
        <v>953</v>
      </c>
      <c r="HO226" s="11">
        <f t="shared" si="2030"/>
        <v>6435</v>
      </c>
      <c r="HP226" s="95">
        <f t="shared" si="2031"/>
        <v>0.54216867469879515</v>
      </c>
      <c r="HQ226" s="15">
        <f t="shared" si="2032"/>
        <v>247</v>
      </c>
      <c r="HR226" s="12">
        <f t="shared" si="2033"/>
        <v>3.8383838383838381E-2</v>
      </c>
      <c r="HS226" s="16">
        <v>65</v>
      </c>
      <c r="HT226" s="17">
        <v>6022</v>
      </c>
      <c r="HU226" s="16">
        <f t="shared" si="2034"/>
        <v>93.581973581973571</v>
      </c>
      <c r="HV226" s="23"/>
      <c r="HW226" s="22">
        <v>4757.1400000000003</v>
      </c>
      <c r="HX226" s="73">
        <f t="shared" si="2035"/>
        <v>0.54151177199504341</v>
      </c>
      <c r="HY226" s="73">
        <f t="shared" si="2036"/>
        <v>0.54522454142947496</v>
      </c>
      <c r="HZ226" s="73">
        <f t="shared" si="2037"/>
        <v>0.54711359404096838</v>
      </c>
      <c r="IA226" s="73">
        <f t="shared" si="2038"/>
        <v>0.53471725125268432</v>
      </c>
    </row>
    <row r="227" spans="1:244" x14ac:dyDescent="0.25">
      <c r="A227" s="374"/>
      <c r="B227" s="41">
        <f t="shared" si="2039"/>
        <v>45115</v>
      </c>
      <c r="C227" s="10"/>
      <c r="D227" s="11"/>
      <c r="E227" s="69">
        <f t="shared" si="2040"/>
        <v>816</v>
      </c>
      <c r="F227" s="69">
        <f t="shared" si="2041"/>
        <v>66</v>
      </c>
      <c r="G227" s="11">
        <v>428</v>
      </c>
      <c r="H227" s="12">
        <f t="shared" si="1990"/>
        <v>0.54534313725490191</v>
      </c>
      <c r="I227" s="11">
        <v>17</v>
      </c>
      <c r="J227" s="12">
        <f t="shared" si="1991"/>
        <v>3.8202247191011236E-2</v>
      </c>
      <c r="K227" s="13"/>
      <c r="L227" s="11"/>
      <c r="M227" s="39"/>
      <c r="N227" s="43">
        <v>100</v>
      </c>
      <c r="O227" s="10"/>
      <c r="P227" s="11"/>
      <c r="Q227" s="69">
        <f t="shared" si="2042"/>
        <v>747</v>
      </c>
      <c r="R227" s="69">
        <f t="shared" si="2043"/>
        <v>60</v>
      </c>
      <c r="S227" s="11">
        <v>402</v>
      </c>
      <c r="T227" s="12">
        <f t="shared" si="1992"/>
        <v>0.57161981258366801</v>
      </c>
      <c r="U227" s="11">
        <v>25</v>
      </c>
      <c r="V227" s="12">
        <f t="shared" si="1993"/>
        <v>5.8548009367681501E-2</v>
      </c>
      <c r="W227" s="13"/>
      <c r="X227" s="11"/>
      <c r="Y227" s="39"/>
      <c r="Z227" s="43">
        <v>100</v>
      </c>
      <c r="AA227" s="10"/>
      <c r="AB227" s="11"/>
      <c r="AC227" s="69">
        <f t="shared" si="2044"/>
        <v>157</v>
      </c>
      <c r="AD227" s="69">
        <f t="shared" si="2045"/>
        <v>13</v>
      </c>
      <c r="AE227" s="11">
        <v>83</v>
      </c>
      <c r="AF227" s="12">
        <f t="shared" si="1994"/>
        <v>0.56050955414012738</v>
      </c>
      <c r="AG227" s="11">
        <v>5</v>
      </c>
      <c r="AH227" s="12">
        <f t="shared" si="1995"/>
        <v>5.6818181818181816E-2</v>
      </c>
      <c r="AI227" s="13"/>
      <c r="AJ227" s="11"/>
      <c r="AK227" s="39"/>
      <c r="AL227" s="43">
        <v>100</v>
      </c>
      <c r="AM227" s="10">
        <v>1</v>
      </c>
      <c r="AN227" s="11"/>
      <c r="AO227" s="69">
        <f t="shared" si="2046"/>
        <v>757</v>
      </c>
      <c r="AP227" s="69">
        <f t="shared" si="2047"/>
        <v>61</v>
      </c>
      <c r="AQ227" s="11">
        <v>389</v>
      </c>
      <c r="AR227" s="12">
        <f t="shared" si="1996"/>
        <v>0.53368560105680318</v>
      </c>
      <c r="AS227" s="11">
        <v>15</v>
      </c>
      <c r="AT227" s="12">
        <f t="shared" si="1997"/>
        <v>3.7128712871287127E-2</v>
      </c>
      <c r="AU227" s="13"/>
      <c r="AV227" s="11"/>
      <c r="AW227" s="39"/>
      <c r="AX227" s="43">
        <v>100</v>
      </c>
      <c r="AY227" s="10"/>
      <c r="AZ227" s="11"/>
      <c r="BA227" s="69">
        <f t="shared" si="2048"/>
        <v>750</v>
      </c>
      <c r="BB227" s="69">
        <f t="shared" si="2049"/>
        <v>60</v>
      </c>
      <c r="BC227" s="11">
        <v>399</v>
      </c>
      <c r="BD227" s="12">
        <f t="shared" si="1998"/>
        <v>0.54666666666666663</v>
      </c>
      <c r="BE227" s="11">
        <v>11</v>
      </c>
      <c r="BF227" s="12">
        <f t="shared" si="1999"/>
        <v>2.6829268292682926E-2</v>
      </c>
      <c r="BG227" s="13"/>
      <c r="BH227" s="11"/>
      <c r="BI227" s="39"/>
      <c r="BJ227" s="43">
        <v>100</v>
      </c>
      <c r="BK227" s="10"/>
      <c r="BL227" s="11"/>
      <c r="BM227" s="69">
        <f t="shared" si="2050"/>
        <v>808</v>
      </c>
      <c r="BN227" s="69">
        <f t="shared" si="2051"/>
        <v>64</v>
      </c>
      <c r="BO227" s="11">
        <v>413</v>
      </c>
      <c r="BP227" s="12">
        <f t="shared" si="2000"/>
        <v>0.52846534653465349</v>
      </c>
      <c r="BQ227" s="11">
        <v>14</v>
      </c>
      <c r="BR227" s="12">
        <f t="shared" si="2001"/>
        <v>3.2786885245901641E-2</v>
      </c>
      <c r="BS227" s="13"/>
      <c r="BT227" s="11"/>
      <c r="BU227" s="39"/>
      <c r="BV227" s="43">
        <v>100</v>
      </c>
      <c r="BW227" s="10"/>
      <c r="BX227" s="11"/>
      <c r="BY227" s="69">
        <f t="shared" si="2052"/>
        <v>745</v>
      </c>
      <c r="BZ227" s="69">
        <f t="shared" si="2053"/>
        <v>59</v>
      </c>
      <c r="CA227" s="11">
        <v>390</v>
      </c>
      <c r="CB227" s="12">
        <f t="shared" si="2002"/>
        <v>0.53557046979865774</v>
      </c>
      <c r="CC227" s="11">
        <v>9</v>
      </c>
      <c r="CD227" s="12">
        <f t="shared" si="2003"/>
        <v>2.2556390977443608E-2</v>
      </c>
      <c r="CE227" s="13"/>
      <c r="CF227" s="11"/>
      <c r="CG227" s="39"/>
      <c r="CH227" s="43">
        <v>100</v>
      </c>
      <c r="CI227" s="10"/>
      <c r="CJ227" s="11"/>
      <c r="CK227" s="69">
        <f t="shared" si="2054"/>
        <v>138</v>
      </c>
      <c r="CL227" s="69">
        <f t="shared" si="2055"/>
        <v>12</v>
      </c>
      <c r="CM227" s="11">
        <v>68</v>
      </c>
      <c r="CN227" s="12">
        <f t="shared" si="2004"/>
        <v>0.50724637681159424</v>
      </c>
      <c r="CO227" s="11">
        <v>2</v>
      </c>
      <c r="CP227" s="12">
        <f t="shared" si="2005"/>
        <v>2.8571428571428571E-2</v>
      </c>
      <c r="CQ227" s="13"/>
      <c r="CR227" s="11"/>
      <c r="CS227" s="39"/>
      <c r="CT227" s="43">
        <v>100</v>
      </c>
      <c r="CU227" s="10"/>
      <c r="CV227" s="11"/>
      <c r="CW227" s="69">
        <f t="shared" si="2056"/>
        <v>735</v>
      </c>
      <c r="CX227" s="69">
        <f t="shared" si="2057"/>
        <v>59</v>
      </c>
      <c r="CY227" s="11">
        <v>390</v>
      </c>
      <c r="CZ227" s="12">
        <f t="shared" si="2006"/>
        <v>0.5496598639455782</v>
      </c>
      <c r="DA227" s="11">
        <v>14</v>
      </c>
      <c r="DB227" s="12">
        <f t="shared" si="2007"/>
        <v>3.4653465346534656E-2</v>
      </c>
      <c r="DC227" s="13"/>
      <c r="DD227" s="11"/>
      <c r="DE227" s="39"/>
      <c r="DF227" s="43">
        <v>100</v>
      </c>
      <c r="DG227" s="10"/>
      <c r="DH227" s="11"/>
      <c r="DI227" s="69">
        <f t="shared" si="2058"/>
        <v>736</v>
      </c>
      <c r="DJ227" s="69">
        <f t="shared" si="2059"/>
        <v>59</v>
      </c>
      <c r="DK227" s="11">
        <v>410</v>
      </c>
      <c r="DL227" s="12">
        <f t="shared" si="2008"/>
        <v>0.57201086956521741</v>
      </c>
      <c r="DM227" s="11">
        <v>11</v>
      </c>
      <c r="DN227" s="12">
        <f t="shared" si="2009"/>
        <v>2.6128266033254157E-2</v>
      </c>
      <c r="DO227" s="13"/>
      <c r="DP227" s="11"/>
      <c r="DQ227" s="39"/>
      <c r="DR227" s="43">
        <v>100</v>
      </c>
      <c r="DS227" s="10"/>
      <c r="DT227" s="11"/>
      <c r="DU227" s="69">
        <f t="shared" si="2060"/>
        <v>822</v>
      </c>
      <c r="DV227" s="69">
        <f t="shared" si="2061"/>
        <v>66</v>
      </c>
      <c r="DW227" s="11">
        <v>459</v>
      </c>
      <c r="DX227" s="12">
        <f t="shared" si="2010"/>
        <v>0.58759124087591241</v>
      </c>
      <c r="DY227" s="11">
        <v>24</v>
      </c>
      <c r="DZ227" s="12">
        <f t="shared" si="2011"/>
        <v>4.9689440993788817E-2</v>
      </c>
      <c r="EA227" s="13"/>
      <c r="EB227" s="11"/>
      <c r="EC227" s="39"/>
      <c r="ED227" s="43">
        <v>100</v>
      </c>
      <c r="EE227" s="10"/>
      <c r="EF227" s="11"/>
      <c r="EG227" s="69">
        <f t="shared" si="2062"/>
        <v>844</v>
      </c>
      <c r="EH227" s="69">
        <f t="shared" si="2063"/>
        <v>67</v>
      </c>
      <c r="EI227" s="11">
        <v>479</v>
      </c>
      <c r="EJ227" s="12">
        <f t="shared" si="2012"/>
        <v>0.58886255924170616</v>
      </c>
      <c r="EK227" s="11">
        <v>18</v>
      </c>
      <c r="EL227" s="12">
        <f t="shared" si="2013"/>
        <v>3.6217303822937627E-2</v>
      </c>
      <c r="EM227" s="13"/>
      <c r="EN227" s="11"/>
      <c r="EO227" s="39"/>
      <c r="EP227" s="43">
        <v>100</v>
      </c>
      <c r="EQ227" s="10"/>
      <c r="ER227" s="11"/>
      <c r="ES227" s="69">
        <f t="shared" si="2064"/>
        <v>171</v>
      </c>
      <c r="ET227" s="69">
        <f t="shared" si="2065"/>
        <v>14</v>
      </c>
      <c r="EU227" s="11">
        <v>91</v>
      </c>
      <c r="EV227" s="12">
        <f t="shared" si="2014"/>
        <v>0.54385964912280704</v>
      </c>
      <c r="EW227" s="11">
        <v>2</v>
      </c>
      <c r="EX227" s="12">
        <f t="shared" si="2015"/>
        <v>2.1505376344086023E-2</v>
      </c>
      <c r="EY227" s="13"/>
      <c r="EZ227" s="11"/>
      <c r="FA227" s="39"/>
      <c r="FB227" s="43">
        <v>100</v>
      </c>
      <c r="FC227" s="10"/>
      <c r="FD227" s="11"/>
      <c r="FE227" s="69">
        <f t="shared" si="2066"/>
        <v>848</v>
      </c>
      <c r="FF227" s="69">
        <f t="shared" si="2067"/>
        <v>67</v>
      </c>
      <c r="FG227" s="11">
        <v>475</v>
      </c>
      <c r="FH227" s="12">
        <f t="shared" si="2016"/>
        <v>0.58608490566037741</v>
      </c>
      <c r="FI227" s="11">
        <v>22</v>
      </c>
      <c r="FJ227" s="12">
        <f t="shared" si="2017"/>
        <v>4.4265593561368208E-2</v>
      </c>
      <c r="FK227" s="13"/>
      <c r="FL227" s="11"/>
      <c r="FM227" s="39"/>
      <c r="FN227" s="43">
        <v>100</v>
      </c>
      <c r="FO227" s="10"/>
      <c r="FP227" s="11"/>
      <c r="FQ227" s="69">
        <f t="shared" si="2068"/>
        <v>871</v>
      </c>
      <c r="FR227" s="69">
        <f t="shared" si="2069"/>
        <v>70</v>
      </c>
      <c r="FS227" s="11">
        <v>454</v>
      </c>
      <c r="FT227" s="12">
        <f t="shared" si="2018"/>
        <v>0.54764638346727901</v>
      </c>
      <c r="FU227" s="11">
        <v>23</v>
      </c>
      <c r="FV227" s="12">
        <f t="shared" si="2019"/>
        <v>4.8218029350104823E-2</v>
      </c>
      <c r="FW227" s="13"/>
      <c r="FX227" s="11"/>
      <c r="FY227" s="39"/>
      <c r="FZ227" s="43">
        <v>100</v>
      </c>
      <c r="GA227" s="10"/>
      <c r="GB227" s="11"/>
      <c r="GC227" s="69">
        <f t="shared" si="2070"/>
        <v>873</v>
      </c>
      <c r="GD227" s="69">
        <f t="shared" si="2071"/>
        <v>71</v>
      </c>
      <c r="GE227" s="11">
        <v>461</v>
      </c>
      <c r="GF227" s="12">
        <f t="shared" si="2020"/>
        <v>0.54524627720504004</v>
      </c>
      <c r="GG227" s="11">
        <v>15</v>
      </c>
      <c r="GH227" s="12">
        <f t="shared" si="2021"/>
        <v>3.1512605042016806E-2</v>
      </c>
      <c r="GI227" s="13"/>
      <c r="GJ227" s="11"/>
      <c r="GK227" s="39"/>
      <c r="GL227" s="43">
        <v>92.86</v>
      </c>
      <c r="GM227" s="10">
        <v>1</v>
      </c>
      <c r="GN227" s="11"/>
      <c r="GO227" s="69">
        <f t="shared" si="2072"/>
        <v>149</v>
      </c>
      <c r="GP227" s="69">
        <f t="shared" si="2073"/>
        <v>12</v>
      </c>
      <c r="GQ227" s="11">
        <v>79</v>
      </c>
      <c r="GR227" s="12">
        <f t="shared" si="2022"/>
        <v>0.53691275167785235</v>
      </c>
      <c r="GS227" s="11">
        <v>1</v>
      </c>
      <c r="GT227" s="12">
        <f t="shared" si="2023"/>
        <v>1.2500000000000001E-2</v>
      </c>
      <c r="GU227" s="13"/>
      <c r="GV227" s="11"/>
      <c r="GW227" s="39"/>
      <c r="GX227" s="43">
        <v>100</v>
      </c>
      <c r="GY227" s="10"/>
      <c r="GZ227" s="11"/>
      <c r="HA227" s="69">
        <f t="shared" si="2074"/>
        <v>900</v>
      </c>
      <c r="HB227" s="69">
        <f t="shared" si="2075"/>
        <v>73</v>
      </c>
      <c r="HC227" s="11">
        <v>501</v>
      </c>
      <c r="HD227" s="12">
        <f t="shared" si="2024"/>
        <v>0.57444444444444442</v>
      </c>
      <c r="HE227" s="11">
        <v>16</v>
      </c>
      <c r="HF227" s="12">
        <f t="shared" si="2025"/>
        <v>3.0947775628626693E-2</v>
      </c>
      <c r="HG227" s="13"/>
      <c r="HH227" s="11"/>
      <c r="HI227" s="39"/>
      <c r="HJ227" s="43">
        <v>100</v>
      </c>
      <c r="HK227" s="10">
        <f t="shared" si="2026"/>
        <v>2</v>
      </c>
      <c r="HL227" s="11">
        <f t="shared" si="2027"/>
        <v>0</v>
      </c>
      <c r="HM227" s="11">
        <f t="shared" si="2028"/>
        <v>11867</v>
      </c>
      <c r="HN227" s="11">
        <f t="shared" si="2029"/>
        <v>953</v>
      </c>
      <c r="HO227" s="11">
        <f t="shared" si="2030"/>
        <v>6615</v>
      </c>
      <c r="HP227" s="95">
        <f t="shared" si="2031"/>
        <v>0.55742816213027724</v>
      </c>
      <c r="HQ227" s="15">
        <f t="shared" si="2032"/>
        <v>244</v>
      </c>
      <c r="HR227" s="12">
        <f t="shared" si="2033"/>
        <v>3.6885865457294026E-2</v>
      </c>
      <c r="HS227" s="16">
        <v>64.599999999999994</v>
      </c>
      <c r="HT227" s="17">
        <v>6234</v>
      </c>
      <c r="HU227" s="16">
        <f t="shared" si="2034"/>
        <v>94.240362811791385</v>
      </c>
      <c r="HV227" s="23"/>
      <c r="HW227" s="22">
        <v>92.96</v>
      </c>
      <c r="HX227" s="73">
        <f t="shared" si="2035"/>
        <v>0.54973659745894021</v>
      </c>
      <c r="HY227" s="73">
        <f t="shared" si="2036"/>
        <v>0.54427577482605949</v>
      </c>
      <c r="HZ227" s="73">
        <f t="shared" si="2037"/>
        <v>0.58472998137802612</v>
      </c>
      <c r="IA227" s="73">
        <f t="shared" si="2038"/>
        <v>0.55495882563551735</v>
      </c>
      <c r="IF227" s="85">
        <f>IF228/IF229</f>
        <v>2.781211372064277E-3</v>
      </c>
      <c r="IG227" s="85">
        <f>IG228/IG229</f>
        <v>9.4786729857819908E-4</v>
      </c>
      <c r="IH227" s="85">
        <f>IH228/IH229</f>
        <v>1.1160714285714285E-3</v>
      </c>
      <c r="II227" s="85">
        <f>II228/II229</f>
        <v>2.5000000000000001E-3</v>
      </c>
      <c r="IJ227" s="88" t="s">
        <v>90</v>
      </c>
    </row>
    <row r="228" spans="1:244" ht="19.5" thickBot="1" x14ac:dyDescent="0.3">
      <c r="A228" s="374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3103</v>
      </c>
      <c r="H228" s="28">
        <f>((G228+I228)/7)/E227</f>
        <v>0.56355042016806722</v>
      </c>
      <c r="I228" s="27">
        <f>SUM(I221:I227)</f>
        <v>116</v>
      </c>
      <c r="J228" s="28">
        <f>(I228/(I228+G228))</f>
        <v>3.6036036036036036E-2</v>
      </c>
      <c r="K228" s="27"/>
      <c r="L228" s="27"/>
      <c r="M228" s="29" t="e">
        <f>M226/M225*100-100</f>
        <v>#DIV/0!</v>
      </c>
      <c r="N228" s="67">
        <f>N226/N225*100-100</f>
        <v>2.8467941507311423</v>
      </c>
      <c r="O228" s="26">
        <f>SUM(O221:O227)</f>
        <v>0</v>
      </c>
      <c r="P228" s="27">
        <f>SUM(P221:P227)</f>
        <v>0</v>
      </c>
      <c r="Q228" s="27"/>
      <c r="R228" s="27"/>
      <c r="S228" s="27">
        <f>SUM(S221:S227)</f>
        <v>2811</v>
      </c>
      <c r="T228" s="28">
        <f>((S228+U228)/7)/Q227</f>
        <v>0.56186651367374263</v>
      </c>
      <c r="U228" s="27">
        <f>SUM(U221:U227)</f>
        <v>127</v>
      </c>
      <c r="V228" s="28">
        <f>(U228/(U228+S228))</f>
        <v>4.3226684819605177E-2</v>
      </c>
      <c r="W228" s="27"/>
      <c r="X228" s="27"/>
      <c r="Y228" s="29" t="e">
        <f>Y226/Y225*100-100</f>
        <v>#DIV/0!</v>
      </c>
      <c r="Z228" s="67">
        <f>Z226/Z225*100-100</f>
        <v>7.8998875140607367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565</v>
      </c>
      <c r="AF228" s="28">
        <f>((AE228+AG228)/7)/AC227</f>
        <v>0.53685168334849864</v>
      </c>
      <c r="AG228" s="27">
        <f>SUM(AG221:AG227)</f>
        <v>25</v>
      </c>
      <c r="AH228" s="28">
        <f>(AG228/(AG228+AE228))</f>
        <v>4.2372881355932202E-2</v>
      </c>
      <c r="AI228" s="27"/>
      <c r="AJ228" s="27"/>
      <c r="AK228" s="29" t="e">
        <f>AK226/AK225*100-100</f>
        <v>#DIV/0!</v>
      </c>
      <c r="AL228" s="67">
        <f>AL226/AL225*100-100</f>
        <v>-0.44994375703036837</v>
      </c>
      <c r="AM228" s="26">
        <f>SUM(AM221:AM227)</f>
        <v>4</v>
      </c>
      <c r="AN228" s="27">
        <f>SUM(AN221:AN227)</f>
        <v>0</v>
      </c>
      <c r="AO228" s="27"/>
      <c r="AP228" s="27"/>
      <c r="AQ228" s="27">
        <f>SUM(AQ221:AQ227)</f>
        <v>2968</v>
      </c>
      <c r="AR228" s="28">
        <f>((AQ228+AS228)/7)/AO227</f>
        <v>0.57746744668805439</v>
      </c>
      <c r="AS228" s="27">
        <f>SUM(AS221:AS227)</f>
        <v>92</v>
      </c>
      <c r="AT228" s="28">
        <f>(AS228/(AS228+AQ228))</f>
        <v>3.0065359477124184E-2</v>
      </c>
      <c r="AU228" s="27"/>
      <c r="AV228" s="27"/>
      <c r="AW228" s="29" t="e">
        <f>AW226/AW225*100-100</f>
        <v>#DIV/0!</v>
      </c>
      <c r="AX228" s="67">
        <f>AX226/AX225*100-100</f>
        <v>9.5439820022497059</v>
      </c>
      <c r="AY228" s="26">
        <f>SUM(AY221:AY227)</f>
        <v>1</v>
      </c>
      <c r="AZ228" s="27">
        <f>SUM(AZ221:AZ227)</f>
        <v>0</v>
      </c>
      <c r="BA228" s="27"/>
      <c r="BB228" s="27"/>
      <c r="BC228" s="27">
        <f>SUM(BC221:BC227)</f>
        <v>2901</v>
      </c>
      <c r="BD228" s="28">
        <f>((BC228+BE228)/7)/BA227</f>
        <v>0.57238095238095232</v>
      </c>
      <c r="BE228" s="27">
        <f>SUM(BE221:BE227)</f>
        <v>104</v>
      </c>
      <c r="BF228" s="28">
        <f>(BE228/(BE228+BC228))</f>
        <v>3.4608985024958405E-2</v>
      </c>
      <c r="BG228" s="27"/>
      <c r="BH228" s="27"/>
      <c r="BI228" s="29" t="e">
        <f>BI226/BI225*100-100</f>
        <v>#DIV/0!</v>
      </c>
      <c r="BJ228" s="67">
        <f>BJ226/BJ225*100-100</f>
        <v>18.26029246344207</v>
      </c>
      <c r="BK228" s="26">
        <f>SUM(BK221:BK227)</f>
        <v>2</v>
      </c>
      <c r="BL228" s="27">
        <f>SUM(BL221:BL227)</f>
        <v>0</v>
      </c>
      <c r="BM228" s="27"/>
      <c r="BN228" s="27"/>
      <c r="BO228" s="27">
        <f>SUM(BO221:BO227)</f>
        <v>3008</v>
      </c>
      <c r="BP228" s="28">
        <f>((BO228+BQ228)/7)/BM227</f>
        <v>0.54897454031117399</v>
      </c>
      <c r="BQ228" s="27">
        <f>SUM(BQ221:BQ227)</f>
        <v>97</v>
      </c>
      <c r="BR228" s="28">
        <f>(BQ228/(BQ228+BO228))</f>
        <v>3.1239935587761676E-2</v>
      </c>
      <c r="BS228" s="27"/>
      <c r="BT228" s="27"/>
      <c r="BU228" s="29" t="e">
        <f>BU226/BU225*100-100</f>
        <v>#DIV/0!</v>
      </c>
      <c r="BV228" s="67">
        <f>BV226/BV225*100-100</f>
        <v>-0.37210348706410912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2756</v>
      </c>
      <c r="CB228" s="28">
        <f>((CA228+CC228)/7)/BY227</f>
        <v>0.5436241610738255</v>
      </c>
      <c r="CC228" s="27">
        <f>SUM(CC221:CC227)</f>
        <v>79</v>
      </c>
      <c r="CD228" s="28">
        <f>(CC228/(CC228+CA228))</f>
        <v>2.7865961199294534E-2</v>
      </c>
      <c r="CE228" s="27"/>
      <c r="CF228" s="27"/>
      <c r="CG228" s="29" t="e">
        <f>CG226/CG225*100-100</f>
        <v>#DIV/0!</v>
      </c>
      <c r="CH228" s="67">
        <f>CH226/CH225*100-100</f>
        <v>3.2942632170978641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478</v>
      </c>
      <c r="CN228" s="28">
        <f>((CM228+CO228)/7)/CK227</f>
        <v>0.51966873706004135</v>
      </c>
      <c r="CO228" s="27">
        <f>SUM(CO221:CO227)</f>
        <v>24</v>
      </c>
      <c r="CP228" s="28">
        <f>(CO228/(CO228+CM228))</f>
        <v>4.7808764940239043E-2</v>
      </c>
      <c r="CQ228" s="27"/>
      <c r="CR228" s="27"/>
      <c r="CS228" s="29" t="e">
        <f>CS226/CS225*100-100</f>
        <v>#DIV/0!</v>
      </c>
      <c r="CT228" s="67">
        <f>CT226/CT225*100-100</f>
        <v>0.39370078740157055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2727</v>
      </c>
      <c r="CZ228" s="28">
        <f>((CY228+DA228)/7)/CW227</f>
        <v>0.5473275024295432</v>
      </c>
      <c r="DA228" s="27">
        <f>SUM(DA221:DA227)</f>
        <v>89</v>
      </c>
      <c r="DB228" s="28">
        <f>(DA228/(DA228+CY228))</f>
        <v>3.160511363636364E-2</v>
      </c>
      <c r="DC228" s="27"/>
      <c r="DD228" s="27"/>
      <c r="DE228" s="29" t="e">
        <f>DE226/DE225*100-100</f>
        <v>#DIV/0!</v>
      </c>
      <c r="DF228" s="67">
        <f>DF226/DF225*100-100</f>
        <v>7.2413948256468075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2932</v>
      </c>
      <c r="DL228" s="28">
        <f>((DK228+DM228)/7)/DI227</f>
        <v>0.58443322981366463</v>
      </c>
      <c r="DM228" s="27">
        <f>SUM(DM221:DM227)</f>
        <v>79</v>
      </c>
      <c r="DN228" s="28">
        <f>(DM228/(DM228+DK228))</f>
        <v>2.6237130521421455E-2</v>
      </c>
      <c r="DO228" s="27"/>
      <c r="DP228" s="27"/>
      <c r="DQ228" s="29" t="e">
        <f>DQ226/DQ225*100-100</f>
        <v>#DIV/0!</v>
      </c>
      <c r="DR228" s="67">
        <f>DR226/DR225*100-100</f>
        <v>10.826771653543304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3008</v>
      </c>
      <c r="DX228" s="28">
        <f>((DW228+DY228)/7)/DU227</f>
        <v>0.54727146332985743</v>
      </c>
      <c r="DY228" s="27">
        <f>SUM(DY221:DY227)</f>
        <v>141</v>
      </c>
      <c r="DZ228" s="28">
        <f>(DY228/(DY228+DW228))</f>
        <v>4.4776119402985072E-2</v>
      </c>
      <c r="EA228" s="27"/>
      <c r="EB228" s="27"/>
      <c r="EC228" s="29" t="e">
        <f>EC226/EC225*100-100</f>
        <v>#DIV/0!</v>
      </c>
      <c r="ED228" s="67">
        <f>ED226/ED225*100-100</f>
        <v>3.3905511811023672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3247</v>
      </c>
      <c r="EJ228" s="28">
        <f>((EI228+EK228)/7)/EG227</f>
        <v>0.5729519295870007</v>
      </c>
      <c r="EK228" s="27">
        <f>SUM(EK221:EK227)</f>
        <v>138</v>
      </c>
      <c r="EL228" s="28">
        <f>(EK228/(EK228+EI228))</f>
        <v>4.0768094534711967E-2</v>
      </c>
      <c r="EM228" s="27"/>
      <c r="EN228" s="27"/>
      <c r="EO228" s="29" t="e">
        <f>EO226/EO225*100-100</f>
        <v>#DIV/0!</v>
      </c>
      <c r="EP228" s="67">
        <f>EP226/EP225*100-100</f>
        <v>9.5163104611923472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603</v>
      </c>
      <c r="EV228" s="28">
        <f>((EU228+EW228)/7)/ES227</f>
        <v>0.52798663324979123</v>
      </c>
      <c r="EW228" s="27">
        <f>SUM(EW221:EW227)</f>
        <v>29</v>
      </c>
      <c r="EX228" s="28">
        <f>(EW228/(EW228+EU228))</f>
        <v>4.588607594936709E-2</v>
      </c>
      <c r="EY228" s="27"/>
      <c r="EZ228" s="27"/>
      <c r="FA228" s="29" t="e">
        <f>FA226/FA225*100-100</f>
        <v>#DIV/0!</v>
      </c>
      <c r="FB228" s="67">
        <f>FB226/FB225*100-100</f>
        <v>5.8116985376828012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3317</v>
      </c>
      <c r="FH228" s="28">
        <f>((FG228+FI228)/7)/FE227</f>
        <v>0.57631401617250677</v>
      </c>
      <c r="FI228" s="27">
        <f>SUM(FI221:FI227)</f>
        <v>104</v>
      </c>
      <c r="FJ228" s="28">
        <f>(FI228/(FI228+FG228))</f>
        <v>3.0400467699503071E-2</v>
      </c>
      <c r="FK228" s="27"/>
      <c r="FL228" s="27"/>
      <c r="FM228" s="29" t="e">
        <f>FM226/FM225*100-100</f>
        <v>#DIV/0!</v>
      </c>
      <c r="FN228" s="67">
        <f>FN226/FN225*100-100</f>
        <v>7.8425196850393775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3139</v>
      </c>
      <c r="FT228" s="28">
        <f>((FS228+FU228)/7)/FQ227</f>
        <v>0.53764146301459736</v>
      </c>
      <c r="FU228" s="27">
        <f>SUM(FU221:FU227)</f>
        <v>139</v>
      </c>
      <c r="FV228" s="28">
        <f>(FU228/(FU228+FS228))</f>
        <v>4.2403904820012203E-2</v>
      </c>
      <c r="FW228" s="27"/>
      <c r="FX228" s="27"/>
      <c r="FY228" s="29" t="e">
        <f>FY226/FY225*100-100</f>
        <v>#DIV/0!</v>
      </c>
      <c r="FZ228" s="67">
        <f>FZ226/FZ225*100-100</f>
        <v>5.840719910011245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3292</v>
      </c>
      <c r="GF228" s="28">
        <f>((GE228+GG228)/7)/GC227</f>
        <v>0.55637375225004093</v>
      </c>
      <c r="GG228" s="27">
        <f>SUM(GG221:GG227)</f>
        <v>108</v>
      </c>
      <c r="GH228" s="28">
        <f>(GG228/(GG228+GE228))</f>
        <v>3.1764705882352938E-2</v>
      </c>
      <c r="GI228" s="27"/>
      <c r="GJ228" s="27"/>
      <c r="GK228" s="29" t="e">
        <f>GK226/GK225*100-100</f>
        <v>#DIV/0!</v>
      </c>
      <c r="GL228" s="67">
        <f>GL226/GL225*100-100</f>
        <v>4.8368953880764991</v>
      </c>
      <c r="GM228" s="26">
        <f>SUM(GM221:GM227)</f>
        <v>4</v>
      </c>
      <c r="GN228" s="27">
        <f>SUM(GN221:GN227)</f>
        <v>0</v>
      </c>
      <c r="GO228" s="27"/>
      <c r="GP228" s="27"/>
      <c r="GQ228" s="27">
        <f>SUM(GQ221:GQ227)</f>
        <v>516</v>
      </c>
      <c r="GR228" s="28">
        <f>((GQ228+GS228)/7)/GO227</f>
        <v>0.51677852348993292</v>
      </c>
      <c r="GS228" s="27">
        <f>SUM(GS221:GS227)</f>
        <v>23</v>
      </c>
      <c r="GT228" s="28">
        <f>(GS228/(GS228+GQ228))</f>
        <v>4.267161410018553E-2</v>
      </c>
      <c r="GU228" s="27"/>
      <c r="GV228" s="27"/>
      <c r="GW228" s="29" t="e">
        <f>GW226/GW225*100-100</f>
        <v>#DIV/0!</v>
      </c>
      <c r="GX228" s="67">
        <f>GX226/GX225*100-100</f>
        <v>3.0371203599549972</v>
      </c>
      <c r="GY228" s="26">
        <f>SUM(GY221:GY227)</f>
        <v>2</v>
      </c>
      <c r="GZ228" s="27">
        <f>SUM(GZ221:GZ227)</f>
        <v>0</v>
      </c>
      <c r="HA228" s="27"/>
      <c r="HB228" s="27"/>
      <c r="HC228" s="27">
        <f>SUM(HC221:HC227)</f>
        <v>3439</v>
      </c>
      <c r="HD228" s="28">
        <f>((HC228+HE228)/7)/HA227</f>
        <v>0.56206349206349204</v>
      </c>
      <c r="HE228" s="27">
        <f>SUM(HE221:HE227)</f>
        <v>102</v>
      </c>
      <c r="HF228" s="28">
        <f>(HE228/(HE228+HC228))</f>
        <v>2.8805422197119457E-2</v>
      </c>
      <c r="HG228" s="27"/>
      <c r="HH228" s="27"/>
      <c r="HI228" s="29" t="e">
        <f>HI226/HI225*100-100</f>
        <v>#DIV/0!</v>
      </c>
      <c r="HJ228" s="67">
        <f>HJ226/HJ225*100-100</f>
        <v>14.454443194600671</v>
      </c>
      <c r="HK228" s="26">
        <f t="shared" si="2026"/>
        <v>22</v>
      </c>
      <c r="HL228" s="27">
        <f t="shared" si="2027"/>
        <v>0</v>
      </c>
      <c r="HM228" s="27">
        <f t="shared" si="2028"/>
        <v>0</v>
      </c>
      <c r="HN228" s="27">
        <f t="shared" si="2029"/>
        <v>0</v>
      </c>
      <c r="HO228" s="27">
        <f t="shared" si="2030"/>
        <v>46426</v>
      </c>
      <c r="HP228" s="96">
        <f>+((HO228)/HM227)/7</f>
        <v>0.5588847825301857</v>
      </c>
      <c r="HQ228" s="62">
        <f t="shared" si="2032"/>
        <v>1616</v>
      </c>
      <c r="HR228" s="52">
        <f t="shared" si="2033"/>
        <v>3.4808081678369879E-2</v>
      </c>
      <c r="HS228" s="53">
        <f>SUM(HS221:HS227)/7</f>
        <v>65.54285714285713</v>
      </c>
      <c r="HT228" s="54">
        <f>SUM(HT221:HT227)</f>
        <v>43676</v>
      </c>
      <c r="HU228" s="53">
        <f>AVERAGE(HU221:HU227)</f>
        <v>94.071538133838501</v>
      </c>
      <c r="HV228" s="63" t="e">
        <f>HV226/HV225*100-100</f>
        <v>#DIV/0!</v>
      </c>
      <c r="HW228" s="67">
        <f>HW226/HW225*100-100</f>
        <v>7.022272215973004</v>
      </c>
      <c r="HX228" s="73">
        <f>SUM(G228,I228,S228,U228,AE228,AG228,AQ228,AS228,BC228,BE228)/7/SUM(E227,Q227,AC227,AO227,BA227)</f>
        <v>0.56717871530390895</v>
      </c>
      <c r="HY228" s="73">
        <f>SUM(BO228,BQ228,CA228,CC228,CM228,CO228,CY228,DA228,DK228,DM228)/7/SUM(BM227,BY227,CK227,CW227,DI227)</f>
        <v>0.55430559320502393</v>
      </c>
      <c r="HZ228" s="73">
        <f>SUM(DW228,DY228,EI228,EK228,EU228,EW228,FG228,FI228)/7/SUM(DU227,EG227,ES227,FE227)</f>
        <v>0.56328810853950517</v>
      </c>
      <c r="IA228" s="73">
        <f>SUM(FS228,FU228,GE228,GG228,GQ228,GS228,HC228,HE228)/7/SUM(FQ227,GC227,GO227,HA227)</f>
        <v>0.55025318398035905</v>
      </c>
      <c r="IB228" s="84">
        <f>SUM(I228,U228,AG228,AS228,BE228)/SUM(G228,I228,S228,U228,AE228,AG228,AQ228,AS228,BC228,BE228)</f>
        <v>3.6216047455510457E-2</v>
      </c>
      <c r="IC228" s="84">
        <f>SUM(BQ228,CC228,CO228,DA228,DM228)/SUM(BO228,BQ228,CA228,CC228,CM228,CO228,CY228,DA228,DK228,DM228)</f>
        <v>2.9994294563534109E-2</v>
      </c>
      <c r="ID228" s="84">
        <f>SUM(DY228,EK228,EW228,FI228)/SUM(DW228,DY228,EI228,EK228,EU228,EW228,FG228,FI228)</f>
        <v>3.8915651270425997E-2</v>
      </c>
      <c r="IE228" s="84">
        <f>SUM(FU228,GG228,GS228,HE228)/SUM(FS228,FU228,GE228,GG228,GQ228,GS228,HC228,HE228)</f>
        <v>3.4578918014500838E-2</v>
      </c>
      <c r="IF228" s="86">
        <f>SUM(C228,O228,AA228,AM228,AY228)</f>
        <v>9</v>
      </c>
      <c r="IG228" s="86">
        <f>SUM(BK228,BW228,CI228,CU228,DG228)</f>
        <v>3</v>
      </c>
      <c r="IH228" s="86">
        <f>SUM(DS228,EE228,EQ228,FC228)</f>
        <v>3</v>
      </c>
      <c r="II228" s="86">
        <f>SUM(FO228,GA228,GM228,GY228)</f>
        <v>7</v>
      </c>
      <c r="IJ228" s="88" t="s">
        <v>89</v>
      </c>
    </row>
    <row r="229" spans="1:244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HK228/HM221</f>
        <v>1.8513843305562568E-3</v>
      </c>
      <c r="HL229" s="66">
        <f>HL228/HN221</f>
        <v>0</v>
      </c>
      <c r="HM229" s="45"/>
      <c r="HN229" s="45"/>
      <c r="HO229" s="45"/>
      <c r="HP229" s="98"/>
      <c r="HQ229" s="45"/>
      <c r="HR229" s="45"/>
      <c r="HS229" s="45"/>
      <c r="HT229" s="55"/>
      <c r="HU229" s="45"/>
      <c r="HV229" s="45"/>
      <c r="HW229" s="46"/>
      <c r="HY229" s="72"/>
      <c r="HZ229" s="72"/>
      <c r="IA229" s="72"/>
      <c r="IF229" s="86">
        <f>SUM(E218,Q218,AC218,AO218,BA218)</f>
        <v>3236</v>
      </c>
      <c r="IG229" s="86">
        <f>SUM(BM218,BY218,CK218,CW218,DI218)</f>
        <v>3165</v>
      </c>
      <c r="IH229" s="86">
        <f>SUM(DU218,EG218,ES218,FE218)</f>
        <v>2688</v>
      </c>
      <c r="II229" s="86">
        <f>SUM(FQ218,GC218,GO218,HA218)</f>
        <v>2800</v>
      </c>
      <c r="IJ229" s="88" t="s">
        <v>84</v>
      </c>
    </row>
    <row r="230" spans="1:244" x14ac:dyDescent="0.25">
      <c r="A230" s="373">
        <v>50</v>
      </c>
      <c r="B230" s="68">
        <f>B227+1</f>
        <v>45116</v>
      </c>
      <c r="C230" s="33"/>
      <c r="D230" s="34"/>
      <c r="E230" s="34">
        <f>E227-C230</f>
        <v>816</v>
      </c>
      <c r="F230" s="34">
        <f>F227-D230</f>
        <v>66</v>
      </c>
      <c r="G230" s="34">
        <v>436</v>
      </c>
      <c r="H230" s="35">
        <f t="shared" ref="H230:H236" si="2076">((G230+I230)/E230)</f>
        <v>0.54411764705882348</v>
      </c>
      <c r="I230" s="34">
        <v>8</v>
      </c>
      <c r="J230" s="35">
        <f t="shared" ref="J230:J236" si="2077">I230/(G230+I230)</f>
        <v>1.8018018018018018E-2</v>
      </c>
      <c r="K230" s="36"/>
      <c r="L230" s="34"/>
      <c r="M230" s="34"/>
      <c r="N230" s="37"/>
      <c r="O230" s="33"/>
      <c r="P230" s="34"/>
      <c r="Q230" s="34">
        <f>Q227-O230</f>
        <v>747</v>
      </c>
      <c r="R230" s="34">
        <f>R227-P230</f>
        <v>60</v>
      </c>
      <c r="S230" s="34">
        <v>401</v>
      </c>
      <c r="T230" s="35">
        <f t="shared" ref="T230:T236" si="2078">((S230+U230)/Q230)</f>
        <v>0.55957161981258363</v>
      </c>
      <c r="U230" s="34">
        <v>17</v>
      </c>
      <c r="V230" s="35">
        <f t="shared" ref="V230:V236" si="2079">U230/(S230+U230)</f>
        <v>4.0669856459330141E-2</v>
      </c>
      <c r="W230" s="36"/>
      <c r="X230" s="34"/>
      <c r="Y230" s="34"/>
      <c r="Z230" s="37"/>
      <c r="AA230" s="33"/>
      <c r="AB230" s="34"/>
      <c r="AC230" s="34">
        <f>AC227-AA230</f>
        <v>157</v>
      </c>
      <c r="AD230" s="34">
        <f>AD227-AB230</f>
        <v>13</v>
      </c>
      <c r="AE230" s="34">
        <v>75</v>
      </c>
      <c r="AF230" s="35">
        <f t="shared" ref="AF230:AF236" si="2080">((AE230+AG230)/AC230)</f>
        <v>0.47770700636942676</v>
      </c>
      <c r="AG230" s="34">
        <v>0</v>
      </c>
      <c r="AH230" s="35">
        <f t="shared" ref="AH230:AH236" si="2081">AG230/(AE230+AG230)</f>
        <v>0</v>
      </c>
      <c r="AI230" s="36"/>
      <c r="AJ230" s="34"/>
      <c r="AK230" s="34"/>
      <c r="AL230" s="37"/>
      <c r="AM230" s="33"/>
      <c r="AN230" s="34"/>
      <c r="AO230" s="34">
        <f>AO227-AM230</f>
        <v>757</v>
      </c>
      <c r="AP230" s="34">
        <f>AP227-AN230</f>
        <v>61</v>
      </c>
      <c r="AQ230" s="34">
        <v>430</v>
      </c>
      <c r="AR230" s="35">
        <f t="shared" ref="AR230:AR236" si="2082">((AQ230+AS230)/AO230)</f>
        <v>0.57859973579920743</v>
      </c>
      <c r="AS230" s="34">
        <v>8</v>
      </c>
      <c r="AT230" s="35">
        <f t="shared" ref="AT230:AT236" si="2083">AS230/(AQ230+AS230)</f>
        <v>1.8264840182648401E-2</v>
      </c>
      <c r="AU230" s="36"/>
      <c r="AV230" s="34"/>
      <c r="AW230" s="34"/>
      <c r="AX230" s="37"/>
      <c r="AY230" s="33">
        <v>1</v>
      </c>
      <c r="AZ230" s="34"/>
      <c r="BA230" s="34">
        <f>BA227-AY230</f>
        <v>749</v>
      </c>
      <c r="BB230" s="34">
        <f>BB227-AZ230</f>
        <v>60</v>
      </c>
      <c r="BC230" s="34">
        <v>438</v>
      </c>
      <c r="BD230" s="35">
        <f t="shared" ref="BD230:BD236" si="2084">((BC230+BE230)/BA230)</f>
        <v>0.6008010680907877</v>
      </c>
      <c r="BE230" s="34">
        <v>12</v>
      </c>
      <c r="BF230" s="35">
        <f t="shared" ref="BF230:BF236" si="2085">BE230/(BC230+BE230)</f>
        <v>2.6666666666666668E-2</v>
      </c>
      <c r="BG230" s="36"/>
      <c r="BH230" s="34"/>
      <c r="BI230" s="34"/>
      <c r="BJ230" s="37"/>
      <c r="BK230" s="33"/>
      <c r="BL230" s="34"/>
      <c r="BM230" s="34">
        <f>BM227-BK230</f>
        <v>808</v>
      </c>
      <c r="BN230" s="34">
        <f>BN227-BL230</f>
        <v>64</v>
      </c>
      <c r="BO230" s="34">
        <v>418</v>
      </c>
      <c r="BP230" s="35">
        <f t="shared" ref="BP230:BP236" si="2086">((BO230+BQ230)/BM230)</f>
        <v>0.52599009900990101</v>
      </c>
      <c r="BQ230" s="34">
        <v>7</v>
      </c>
      <c r="BR230" s="35">
        <f t="shared" ref="BR230:BR236" si="2087">BQ230/(BO230+BQ230)</f>
        <v>1.6470588235294119E-2</v>
      </c>
      <c r="BS230" s="36"/>
      <c r="BT230" s="34"/>
      <c r="BU230" s="34"/>
      <c r="BV230" s="37"/>
      <c r="BW230" s="33"/>
      <c r="BX230" s="34"/>
      <c r="BY230" s="34">
        <f>BY227-BW230</f>
        <v>745</v>
      </c>
      <c r="BZ230" s="34">
        <f>BZ227-BX230</f>
        <v>59</v>
      </c>
      <c r="CA230" s="34">
        <v>370</v>
      </c>
      <c r="CB230" s="35">
        <v>0.12</v>
      </c>
      <c r="CC230" s="34">
        <v>12</v>
      </c>
      <c r="CD230" s="35">
        <f t="shared" ref="CD230:CD236" si="2088">CC230/(CA230+CC230)</f>
        <v>3.1413612565445025E-2</v>
      </c>
      <c r="CE230" s="36"/>
      <c r="CF230" s="34"/>
      <c r="CG230" s="34"/>
      <c r="CH230" s="37"/>
      <c r="CI230" s="33"/>
      <c r="CJ230" s="34"/>
      <c r="CK230" s="34">
        <f>CK227-CI230</f>
        <v>138</v>
      </c>
      <c r="CL230" s="34">
        <f>CL227-CJ230</f>
        <v>12</v>
      </c>
      <c r="CM230" s="34">
        <v>52</v>
      </c>
      <c r="CN230" s="35">
        <f t="shared" ref="CN230:CN236" si="2089">((CM230+CO230)/CK230)</f>
        <v>0.41304347826086957</v>
      </c>
      <c r="CO230" s="34">
        <v>5</v>
      </c>
      <c r="CP230" s="35">
        <f t="shared" ref="CP230:CP236" si="2090">CO230/(CM230+CO230)</f>
        <v>8.771929824561403E-2</v>
      </c>
      <c r="CQ230" s="36"/>
      <c r="CR230" s="34"/>
      <c r="CS230" s="34"/>
      <c r="CT230" s="37"/>
      <c r="CU230" s="33"/>
      <c r="CV230" s="34"/>
      <c r="CW230" s="34">
        <f>CW227-CU230</f>
        <v>735</v>
      </c>
      <c r="CX230" s="34">
        <f>CX227-CV230</f>
        <v>59</v>
      </c>
      <c r="CY230" s="34">
        <v>366</v>
      </c>
      <c r="CZ230" s="35">
        <f t="shared" ref="CZ230:CZ236" si="2091">((CY230+DA230)/CW230)</f>
        <v>0.51020408163265307</v>
      </c>
      <c r="DA230" s="34">
        <v>9</v>
      </c>
      <c r="DB230" s="35">
        <f t="shared" ref="DB230:DB236" si="2092">DA230/(CY230+DA230)</f>
        <v>2.4E-2</v>
      </c>
      <c r="DC230" s="36"/>
      <c r="DD230" s="34"/>
      <c r="DE230" s="34"/>
      <c r="DF230" s="37"/>
      <c r="DG230" s="33"/>
      <c r="DH230" s="34"/>
      <c r="DI230" s="34">
        <f>DI227-DG230</f>
        <v>736</v>
      </c>
      <c r="DJ230" s="34">
        <f>DJ227-DH230</f>
        <v>59</v>
      </c>
      <c r="DK230" s="34">
        <v>396</v>
      </c>
      <c r="DL230" s="35">
        <f t="shared" ref="DL230:DL236" si="2093">((DK230+DM230)/DI230)</f>
        <v>0.54755434782608692</v>
      </c>
      <c r="DM230" s="34">
        <v>7</v>
      </c>
      <c r="DN230" s="35">
        <f t="shared" ref="DN230:DN236" si="2094">DM230/(DK230+DM230)</f>
        <v>1.7369727047146403E-2</v>
      </c>
      <c r="DO230" s="36"/>
      <c r="DP230" s="34"/>
      <c r="DQ230" s="34"/>
      <c r="DR230" s="37"/>
      <c r="DS230" s="33">
        <v>1</v>
      </c>
      <c r="DT230" s="34"/>
      <c r="DU230" s="34">
        <f>DU227-DS230</f>
        <v>821</v>
      </c>
      <c r="DV230" s="34">
        <f>DV227-DT230</f>
        <v>66</v>
      </c>
      <c r="DW230" s="34">
        <v>406</v>
      </c>
      <c r="DX230" s="35">
        <f t="shared" ref="DX230:DX236" si="2095">((DW230+DY230)/DU230)</f>
        <v>0.50913520097442144</v>
      </c>
      <c r="DY230" s="34">
        <v>12</v>
      </c>
      <c r="DZ230" s="35">
        <f t="shared" ref="DZ230:DZ236" si="2096">DY230/(DW230+DY230)</f>
        <v>2.8708133971291867E-2</v>
      </c>
      <c r="EA230" s="36"/>
      <c r="EB230" s="34"/>
      <c r="EC230" s="34"/>
      <c r="ED230" s="37"/>
      <c r="EE230" s="33"/>
      <c r="EF230" s="34"/>
      <c r="EG230" s="34">
        <f>EG227-EE230</f>
        <v>844</v>
      </c>
      <c r="EH230" s="34">
        <f>EH227-EF230</f>
        <v>67</v>
      </c>
      <c r="EI230" s="34">
        <v>441</v>
      </c>
      <c r="EJ230" s="35">
        <f t="shared" ref="EJ230:EJ236" si="2097">((EI230+EK230)/EG230)</f>
        <v>0.54976303317535546</v>
      </c>
      <c r="EK230" s="34">
        <v>23</v>
      </c>
      <c r="EL230" s="35">
        <f t="shared" ref="EL230:EL236" si="2098">EK230/(EI230+EK230)</f>
        <v>4.9568965517241381E-2</v>
      </c>
      <c r="EM230" s="36"/>
      <c r="EN230" s="34"/>
      <c r="EO230" s="34"/>
      <c r="EP230" s="37"/>
      <c r="EQ230" s="33">
        <v>1</v>
      </c>
      <c r="ER230" s="34"/>
      <c r="ES230" s="34">
        <f>ES227-EQ230</f>
        <v>170</v>
      </c>
      <c r="ET230" s="34">
        <f>ET227-ER230</f>
        <v>14</v>
      </c>
      <c r="EU230" s="34">
        <v>75</v>
      </c>
      <c r="EV230" s="35">
        <f t="shared" ref="EV230:EV236" si="2099">((EU230+EW230)/ES230)</f>
        <v>0.44705882352941179</v>
      </c>
      <c r="EW230" s="34">
        <v>1</v>
      </c>
      <c r="EX230" s="35">
        <f t="shared" ref="EX230:EX236" si="2100">EW230/(EU230+EW230)</f>
        <v>1.3157894736842105E-2</v>
      </c>
      <c r="EY230" s="36"/>
      <c r="EZ230" s="34"/>
      <c r="FA230" s="34"/>
      <c r="FB230" s="37"/>
      <c r="FC230" s="33"/>
      <c r="FD230" s="34"/>
      <c r="FE230" s="34">
        <f>FE227-FC230</f>
        <v>848</v>
      </c>
      <c r="FF230" s="34">
        <f>FF227-FD230</f>
        <v>67</v>
      </c>
      <c r="FG230" s="34">
        <v>456</v>
      </c>
      <c r="FH230" s="35">
        <f t="shared" ref="FH230:FH236" si="2101">((FG230+FI230)/FE230)</f>
        <v>0.55424528301886788</v>
      </c>
      <c r="FI230" s="34">
        <v>14</v>
      </c>
      <c r="FJ230" s="35">
        <f t="shared" ref="FJ230:FJ236" si="2102">FI230/(FG230+FI230)</f>
        <v>2.9787234042553193E-2</v>
      </c>
      <c r="FK230" s="36"/>
      <c r="FL230" s="34"/>
      <c r="FM230" s="34"/>
      <c r="FN230" s="37"/>
      <c r="FO230" s="33"/>
      <c r="FP230" s="34"/>
      <c r="FQ230" s="34">
        <f>FQ227-FO230</f>
        <v>871</v>
      </c>
      <c r="FR230" s="34">
        <f>FR227-FP230</f>
        <v>70</v>
      </c>
      <c r="FS230" s="34">
        <v>424</v>
      </c>
      <c r="FT230" s="35">
        <f t="shared" ref="FT230:FT236" si="2103">((FS230+FU230)/FQ230)</f>
        <v>0.50861079219288174</v>
      </c>
      <c r="FU230" s="34">
        <v>19</v>
      </c>
      <c r="FV230" s="35">
        <f t="shared" ref="FV230:FV236" si="2104">FU230/(FS230+FU230)</f>
        <v>4.2889390519187359E-2</v>
      </c>
      <c r="FW230" s="36"/>
      <c r="FX230" s="34"/>
      <c r="FY230" s="34"/>
      <c r="FZ230" s="37"/>
      <c r="GA230" s="33"/>
      <c r="GB230" s="34"/>
      <c r="GC230" s="34">
        <f>GC227-GA230</f>
        <v>873</v>
      </c>
      <c r="GD230" s="34">
        <f>GD227-GB230</f>
        <v>71</v>
      </c>
      <c r="GE230" s="34">
        <v>471</v>
      </c>
      <c r="GF230" s="35">
        <f t="shared" ref="GF230:GF236" si="2105">((GE230+GG230)/GC230)</f>
        <v>0.55441008018327609</v>
      </c>
      <c r="GG230" s="34">
        <v>13</v>
      </c>
      <c r="GH230" s="35">
        <f t="shared" ref="GH230:GH236" si="2106">GG230/(GE230+GG230)</f>
        <v>2.6859504132231406E-2</v>
      </c>
      <c r="GI230" s="36"/>
      <c r="GJ230" s="34"/>
      <c r="GK230" s="34"/>
      <c r="GL230" s="37"/>
      <c r="GM230" s="33"/>
      <c r="GN230" s="34"/>
      <c r="GO230" s="34">
        <f>GO227-GM230</f>
        <v>149</v>
      </c>
      <c r="GP230" s="34">
        <f>GP227-GN230</f>
        <v>12</v>
      </c>
      <c r="GQ230" s="34">
        <v>63</v>
      </c>
      <c r="GR230" s="35">
        <f t="shared" ref="GR230:GR236" si="2107">((GQ230+GS230)/GO230)</f>
        <v>0.43624161073825501</v>
      </c>
      <c r="GS230" s="34">
        <v>2</v>
      </c>
      <c r="GT230" s="35">
        <f t="shared" ref="GT230:GT236" si="2108">GS230/(GQ230+GS230)</f>
        <v>3.0769230769230771E-2</v>
      </c>
      <c r="GU230" s="36"/>
      <c r="GV230" s="34"/>
      <c r="GW230" s="34"/>
      <c r="GX230" s="37"/>
      <c r="GY230" s="33"/>
      <c r="GZ230" s="34"/>
      <c r="HA230" s="34">
        <f>HA227-GY230</f>
        <v>900</v>
      </c>
      <c r="HB230" s="34">
        <f>HB227-GZ230</f>
        <v>73</v>
      </c>
      <c r="HC230" s="34">
        <v>463</v>
      </c>
      <c r="HD230" s="35">
        <f t="shared" ref="HD230:HD236" si="2109">((HC230+HE230)/HA230)</f>
        <v>0.53666666666666663</v>
      </c>
      <c r="HE230" s="34">
        <v>20</v>
      </c>
      <c r="HF230" s="35">
        <f t="shared" ref="HF230:HF236" si="2110">HE230/(HC230+HE230)</f>
        <v>4.1407867494824016E-2</v>
      </c>
      <c r="HG230" s="36"/>
      <c r="HH230" s="34"/>
      <c r="HI230" s="34"/>
      <c r="HJ230" s="37"/>
      <c r="HK230" s="33">
        <f t="shared" ref="HK230:HK237" si="2111">+C230+O230+AA230+AM230+AY230+BK230+BW230+CI230+CU230+DG230+DS230+EE230+EQ230+FC230+FO230+GA230+GM230+GY230</f>
        <v>3</v>
      </c>
      <c r="HL230" s="34">
        <f t="shared" ref="HL230:HL237" si="2112">+D230+P230+AB230+AN230+AZ230+BL230+BX230+CJ230+CV230+DH230+DT230+EF230+ER230+FD230+FP230+GB230+GN230+GZ230</f>
        <v>0</v>
      </c>
      <c r="HM230" s="34">
        <f t="shared" ref="HM230:HM237" si="2113">+E230+Q230+AC230+AO230+BA230+BM230+BY230+CK230+CW230+DI230+DU230+EG230+ES230+FE230+FQ230+GC230+GO230+HA230</f>
        <v>11864</v>
      </c>
      <c r="HN230" s="34">
        <f t="shared" ref="HN230:HN237" si="2114">+F230+R230+AD230+AP230+BB230+BN230+BZ230+CL230+CX230+DJ230+DV230+EH230+ET230+FF230+FR230+GD230+GP230+HB230</f>
        <v>953</v>
      </c>
      <c r="HO230" s="34">
        <f t="shared" ref="HO230:HO237" si="2115">+G230+S230+AE230+AQ230+BC230+BO230+CA230+CM230+CY230+DK230+DW230+EI230+EU230+FG230+FS230+GE230+GQ230+HC230+I230+U230+AG230+AS230+BE230+BQ230+CC230+CO230+DA230+DM230+DY230+EK230+EW230+FI230+FU230+GG230+GS230+HE230</f>
        <v>6370</v>
      </c>
      <c r="HP230" s="94">
        <f t="shared" ref="HP230:HP236" si="2116">+(HO230)/HM230</f>
        <v>0.53691840863115303</v>
      </c>
      <c r="HQ230" s="48">
        <f t="shared" ref="HQ230:HQ237" si="2117">+I230+U230+AG230+AS230+BE230+BQ230+CC230+CO230+DA230+DM230+DY230+EK230+EW230+FI230+FU230+GG230+GS230+HE230</f>
        <v>189</v>
      </c>
      <c r="HR230" s="35">
        <f t="shared" ref="HR230:HR237" si="2118">+(HQ230/(HO230))</f>
        <v>2.9670329670329669E-2</v>
      </c>
      <c r="HS230" s="49">
        <v>65.3</v>
      </c>
      <c r="HT230" s="50">
        <v>6014</v>
      </c>
      <c r="HU230" s="49">
        <f t="shared" ref="HU230:HU236" si="2119">+HT230/HO230*100</f>
        <v>94.411302982731542</v>
      </c>
      <c r="HV230" s="48"/>
      <c r="HW230" s="37"/>
      <c r="HX230" s="73">
        <f t="shared" ref="HX230:HX236" si="2120">SUM(G230,I230,S230,U230,AE230,AG230,AQ230,AS230,BC230,BE230)/SUM(E230,Q230,AC230,AO230,BA230)</f>
        <v>0.56571605703657779</v>
      </c>
      <c r="HY230" s="73">
        <f t="shared" ref="HY230:HY236" si="2121">SUM(BO230,BQ230,CA230,CC230,CM230,CO230,CY230,DA230,DK230,DM230)/SUM(BM230,BY230,CK230,CW230,DI230)</f>
        <v>0.51929158760278304</v>
      </c>
      <c r="HZ230" s="73">
        <f t="shared" ref="HZ230:HZ236" si="2122">SUM(DW230,DY230,EI230,EK230,EU230,EW230,FG230,FI230)/SUM(DU230,EG230,ES230,FE230)</f>
        <v>0.53224002981736862</v>
      </c>
      <c r="IA230" s="73">
        <f t="shared" ref="IA230:IA236" si="2123">SUM(FS230,FU230,GE230,GG230,GQ230,GS230,HC230,HE230)/SUM(FQ230,GC230,GO230,HA230)</f>
        <v>0.52810597923379876</v>
      </c>
    </row>
    <row r="231" spans="1:244" x14ac:dyDescent="0.25">
      <c r="A231" s="374"/>
      <c r="B231" s="41">
        <f t="shared" ref="B231:B236" si="2124">+B230+1</f>
        <v>45117</v>
      </c>
      <c r="C231" s="10"/>
      <c r="D231" s="11"/>
      <c r="E231" s="69">
        <f t="shared" ref="E231:E236" si="2125">E230-C231</f>
        <v>816</v>
      </c>
      <c r="F231" s="69">
        <f t="shared" ref="F231:F236" si="2126">F230-D231</f>
        <v>66</v>
      </c>
      <c r="G231" s="11">
        <v>453</v>
      </c>
      <c r="H231" s="12">
        <f t="shared" si="2076"/>
        <v>0.5625</v>
      </c>
      <c r="I231" s="11">
        <v>6</v>
      </c>
      <c r="J231" s="12">
        <f t="shared" si="2077"/>
        <v>1.3071895424836602E-2</v>
      </c>
      <c r="K231" s="13"/>
      <c r="L231" s="11"/>
      <c r="M231" s="11"/>
      <c r="N231" s="14"/>
      <c r="O231" s="10">
        <v>1</v>
      </c>
      <c r="P231" s="11"/>
      <c r="Q231" s="69">
        <f t="shared" ref="Q231:Q236" si="2127">Q230-O231</f>
        <v>746</v>
      </c>
      <c r="R231" s="69">
        <f t="shared" ref="R231:R236" si="2128">R230-P231</f>
        <v>60</v>
      </c>
      <c r="S231" s="11">
        <v>397</v>
      </c>
      <c r="T231" s="12">
        <f t="shared" si="2078"/>
        <v>0.56032171581769441</v>
      </c>
      <c r="U231" s="11">
        <v>21</v>
      </c>
      <c r="V231" s="12">
        <f t="shared" si="2079"/>
        <v>5.0239234449760764E-2</v>
      </c>
      <c r="W231" s="13"/>
      <c r="X231" s="11"/>
      <c r="Y231" s="11"/>
      <c r="Z231" s="14"/>
      <c r="AA231" s="10"/>
      <c r="AB231" s="11"/>
      <c r="AC231" s="69">
        <f t="shared" ref="AC231:AC236" si="2129">AC230-AA231</f>
        <v>157</v>
      </c>
      <c r="AD231" s="69">
        <f t="shared" ref="AD231:AD236" si="2130">AD230-AB231</f>
        <v>13</v>
      </c>
      <c r="AE231" s="11">
        <v>75</v>
      </c>
      <c r="AF231" s="12">
        <f t="shared" si="2080"/>
        <v>0.5286624203821656</v>
      </c>
      <c r="AG231" s="11">
        <v>8</v>
      </c>
      <c r="AH231" s="12">
        <f t="shared" si="2081"/>
        <v>9.6385542168674704E-2</v>
      </c>
      <c r="AI231" s="13"/>
      <c r="AJ231" s="11"/>
      <c r="AK231" s="11"/>
      <c r="AL231" s="14"/>
      <c r="AM231" s="10">
        <v>1</v>
      </c>
      <c r="AN231" s="11"/>
      <c r="AO231" s="69">
        <f t="shared" ref="AO231:AO236" si="2131">AO230-AM231</f>
        <v>756</v>
      </c>
      <c r="AP231" s="69">
        <f t="shared" ref="AP231:AP236" si="2132">AP230-AN231</f>
        <v>61</v>
      </c>
      <c r="AQ231" s="11">
        <v>413</v>
      </c>
      <c r="AR231" s="12">
        <f t="shared" si="2082"/>
        <v>0.56216931216931221</v>
      </c>
      <c r="AS231" s="11">
        <v>12</v>
      </c>
      <c r="AT231" s="12">
        <f t="shared" si="2083"/>
        <v>2.823529411764706E-2</v>
      </c>
      <c r="AU231" s="13"/>
      <c r="AV231" s="11"/>
      <c r="AW231" s="11"/>
      <c r="AX231" s="14"/>
      <c r="AY231" s="10"/>
      <c r="AZ231" s="11"/>
      <c r="BA231" s="69">
        <f t="shared" ref="BA231:BA236" si="2133">BA230-AY231</f>
        <v>749</v>
      </c>
      <c r="BB231" s="69">
        <f t="shared" ref="BB231:BB236" si="2134">BB230-AZ231</f>
        <v>60</v>
      </c>
      <c r="BC231" s="11">
        <v>421</v>
      </c>
      <c r="BD231" s="12">
        <f t="shared" si="2084"/>
        <v>0.58210947930574097</v>
      </c>
      <c r="BE231" s="11">
        <v>15</v>
      </c>
      <c r="BF231" s="12">
        <f t="shared" si="2085"/>
        <v>3.4403669724770644E-2</v>
      </c>
      <c r="BG231" s="13"/>
      <c r="BH231" s="11"/>
      <c r="BI231" s="11"/>
      <c r="BJ231" s="14"/>
      <c r="BK231" s="10"/>
      <c r="BL231" s="11"/>
      <c r="BM231" s="69">
        <f t="shared" ref="BM231:BM236" si="2135">BM230-BK231</f>
        <v>808</v>
      </c>
      <c r="BN231" s="69">
        <f t="shared" ref="BN231:BN236" si="2136">BN230-BL231</f>
        <v>64</v>
      </c>
      <c r="BO231" s="11">
        <v>448</v>
      </c>
      <c r="BP231" s="12">
        <f t="shared" si="2086"/>
        <v>0.56559405940594054</v>
      </c>
      <c r="BQ231" s="11">
        <v>9</v>
      </c>
      <c r="BR231" s="12">
        <f t="shared" si="2087"/>
        <v>1.9693654266958426E-2</v>
      </c>
      <c r="BS231" s="13"/>
      <c r="BT231" s="11"/>
      <c r="BU231" s="11"/>
      <c r="BV231" s="14"/>
      <c r="BW231" s="10"/>
      <c r="BX231" s="11"/>
      <c r="BY231" s="69">
        <f t="shared" ref="BY231:BY236" si="2137">BY230-BW231</f>
        <v>745</v>
      </c>
      <c r="BZ231" s="69">
        <f t="shared" ref="BZ231:BZ236" si="2138">BZ230-BX231</f>
        <v>59</v>
      </c>
      <c r="CA231" s="11">
        <v>369</v>
      </c>
      <c r="CB231" s="12">
        <f t="shared" ref="CB231:CB236" si="2139">((CA231+CC231)/BY231)</f>
        <v>0.51677852348993292</v>
      </c>
      <c r="CC231" s="11">
        <v>16</v>
      </c>
      <c r="CD231" s="12">
        <f t="shared" si="2088"/>
        <v>4.1558441558441558E-2</v>
      </c>
      <c r="CE231" s="13"/>
      <c r="CF231" s="11"/>
      <c r="CG231" s="11"/>
      <c r="CH231" s="14"/>
      <c r="CI231" s="10"/>
      <c r="CJ231" s="11"/>
      <c r="CK231" s="69">
        <f t="shared" ref="CK231:CK236" si="2140">CK230-CI231</f>
        <v>138</v>
      </c>
      <c r="CL231" s="69">
        <f t="shared" ref="CL231:CL236" si="2141">CL230-CJ231</f>
        <v>12</v>
      </c>
      <c r="CM231" s="11">
        <v>59</v>
      </c>
      <c r="CN231" s="12">
        <f t="shared" si="2089"/>
        <v>0.44927536231884058</v>
      </c>
      <c r="CO231" s="11">
        <v>3</v>
      </c>
      <c r="CP231" s="12">
        <f t="shared" si="2090"/>
        <v>4.8387096774193547E-2</v>
      </c>
      <c r="CQ231" s="13"/>
      <c r="CR231" s="11"/>
      <c r="CS231" s="11"/>
      <c r="CT231" s="14"/>
      <c r="CU231" s="10"/>
      <c r="CV231" s="11"/>
      <c r="CW231" s="69">
        <f t="shared" ref="CW231:CW236" si="2142">CW230-CU231</f>
        <v>735</v>
      </c>
      <c r="CX231" s="69">
        <f t="shared" ref="CX231:CX236" si="2143">CX230-CV231</f>
        <v>59</v>
      </c>
      <c r="CY231" s="11">
        <v>375</v>
      </c>
      <c r="CZ231" s="12">
        <f t="shared" si="2091"/>
        <v>0.52244897959183678</v>
      </c>
      <c r="DA231" s="11">
        <v>9</v>
      </c>
      <c r="DB231" s="12">
        <f t="shared" si="2092"/>
        <v>2.34375E-2</v>
      </c>
      <c r="DC231" s="13"/>
      <c r="DD231" s="11"/>
      <c r="DE231" s="11"/>
      <c r="DF231" s="14"/>
      <c r="DG231" s="10"/>
      <c r="DH231" s="11"/>
      <c r="DI231" s="69">
        <f t="shared" ref="DI231:DI236" si="2144">DI230-DG231</f>
        <v>736</v>
      </c>
      <c r="DJ231" s="69">
        <f t="shared" ref="DJ231:DJ236" si="2145">DJ230-DH231</f>
        <v>59</v>
      </c>
      <c r="DK231" s="11">
        <v>442</v>
      </c>
      <c r="DL231" s="12">
        <f t="shared" si="2093"/>
        <v>0.61684782608695654</v>
      </c>
      <c r="DM231" s="11">
        <v>12</v>
      </c>
      <c r="DN231" s="12">
        <f t="shared" si="2094"/>
        <v>2.643171806167401E-2</v>
      </c>
      <c r="DO231" s="13"/>
      <c r="DP231" s="11"/>
      <c r="DQ231" s="11"/>
      <c r="DR231" s="14"/>
      <c r="DS231" s="10">
        <v>1</v>
      </c>
      <c r="DT231" s="11"/>
      <c r="DU231" s="69">
        <f t="shared" ref="DU231:DU236" si="2146">DU230-DS231</f>
        <v>820</v>
      </c>
      <c r="DV231" s="69">
        <f t="shared" ref="DV231:DV236" si="2147">DV230-DT231</f>
        <v>66</v>
      </c>
      <c r="DW231" s="11">
        <v>417</v>
      </c>
      <c r="DX231" s="12">
        <f t="shared" si="2095"/>
        <v>0.5280487804878049</v>
      </c>
      <c r="DY231" s="11">
        <v>16</v>
      </c>
      <c r="DZ231" s="12">
        <f t="shared" si="2096"/>
        <v>3.695150115473441E-2</v>
      </c>
      <c r="EA231" s="13"/>
      <c r="EB231" s="11"/>
      <c r="EC231" s="11"/>
      <c r="ED231" s="14"/>
      <c r="EE231" s="10">
        <v>1</v>
      </c>
      <c r="EF231" s="11"/>
      <c r="EG231" s="69">
        <f t="shared" ref="EG231:EG236" si="2148">EG230-EE231</f>
        <v>843</v>
      </c>
      <c r="EH231" s="69">
        <f t="shared" ref="EH231:EH236" si="2149">EH230-EF231</f>
        <v>67</v>
      </c>
      <c r="EI231" s="11">
        <v>445</v>
      </c>
      <c r="EJ231" s="12">
        <f t="shared" si="2097"/>
        <v>0.54329774614472126</v>
      </c>
      <c r="EK231" s="11">
        <v>13</v>
      </c>
      <c r="EL231" s="12">
        <f t="shared" si="2098"/>
        <v>2.8384279475982533E-2</v>
      </c>
      <c r="EM231" s="13"/>
      <c r="EN231" s="11"/>
      <c r="EO231" s="11"/>
      <c r="EP231" s="14"/>
      <c r="EQ231" s="10"/>
      <c r="ER231" s="11"/>
      <c r="ES231" s="69">
        <f t="shared" ref="ES231:ES236" si="2150">ES230-EQ231</f>
        <v>170</v>
      </c>
      <c r="ET231" s="69">
        <f t="shared" ref="ET231:ET236" si="2151">ET230-ER231</f>
        <v>14</v>
      </c>
      <c r="EU231" s="11">
        <v>83</v>
      </c>
      <c r="EV231" s="12">
        <f t="shared" si="2099"/>
        <v>0.52941176470588236</v>
      </c>
      <c r="EW231" s="11">
        <v>7</v>
      </c>
      <c r="EX231" s="12">
        <f t="shared" si="2100"/>
        <v>7.7777777777777779E-2</v>
      </c>
      <c r="EY231" s="13"/>
      <c r="EZ231" s="11"/>
      <c r="FA231" s="11"/>
      <c r="FB231" s="14"/>
      <c r="FC231" s="10"/>
      <c r="FD231" s="11"/>
      <c r="FE231" s="69">
        <f t="shared" ref="FE231:FE236" si="2152">FE230-FC231</f>
        <v>848</v>
      </c>
      <c r="FF231" s="69">
        <f t="shared" ref="FF231:FF236" si="2153">FF230-FD231</f>
        <v>67</v>
      </c>
      <c r="FG231" s="11">
        <v>438</v>
      </c>
      <c r="FH231" s="12">
        <f t="shared" si="2101"/>
        <v>0.535377358490566</v>
      </c>
      <c r="FI231" s="11">
        <v>16</v>
      </c>
      <c r="FJ231" s="12">
        <f t="shared" si="2102"/>
        <v>3.5242290748898682E-2</v>
      </c>
      <c r="FK231" s="13"/>
      <c r="FL231" s="11"/>
      <c r="FM231" s="11"/>
      <c r="FN231" s="14"/>
      <c r="FO231" s="10">
        <v>1</v>
      </c>
      <c r="FP231" s="11"/>
      <c r="FQ231" s="69">
        <f t="shared" ref="FQ231:FQ236" si="2154">FQ230-FO231</f>
        <v>870</v>
      </c>
      <c r="FR231" s="69">
        <f t="shared" ref="FR231:FR236" si="2155">FR230-FP231</f>
        <v>70</v>
      </c>
      <c r="FS231" s="11">
        <v>459</v>
      </c>
      <c r="FT231" s="12">
        <f t="shared" si="2103"/>
        <v>0.55517241379310345</v>
      </c>
      <c r="FU231" s="11">
        <v>24</v>
      </c>
      <c r="FV231" s="12">
        <f t="shared" si="2104"/>
        <v>4.9689440993788817E-2</v>
      </c>
      <c r="FW231" s="13"/>
      <c r="FX231" s="11"/>
      <c r="FY231" s="11"/>
      <c r="FZ231" s="14"/>
      <c r="GA231" s="10"/>
      <c r="GB231" s="11"/>
      <c r="GC231" s="69">
        <f t="shared" ref="GC231:GC236" si="2156">GC230-GA231</f>
        <v>873</v>
      </c>
      <c r="GD231" s="69">
        <f t="shared" ref="GD231:GD236" si="2157">GD230-GB231</f>
        <v>71</v>
      </c>
      <c r="GE231" s="11">
        <v>476</v>
      </c>
      <c r="GF231" s="12">
        <f t="shared" si="2105"/>
        <v>0.56815578465062999</v>
      </c>
      <c r="GG231" s="11">
        <v>20</v>
      </c>
      <c r="GH231" s="12">
        <f t="shared" si="2106"/>
        <v>4.0322580645161289E-2</v>
      </c>
      <c r="GI231" s="13"/>
      <c r="GJ231" s="11"/>
      <c r="GK231" s="11"/>
      <c r="GL231" s="14"/>
      <c r="GM231" s="10"/>
      <c r="GN231" s="11"/>
      <c r="GO231" s="69">
        <f t="shared" ref="GO231:GO236" si="2158">GO230-GM231</f>
        <v>149</v>
      </c>
      <c r="GP231" s="69">
        <f t="shared" ref="GP231:GP236" si="2159">GP230-GN231</f>
        <v>12</v>
      </c>
      <c r="GQ231" s="11">
        <v>66</v>
      </c>
      <c r="GR231" s="12">
        <f t="shared" si="2107"/>
        <v>0.48322147651006714</v>
      </c>
      <c r="GS231" s="11">
        <v>6</v>
      </c>
      <c r="GT231" s="12">
        <f t="shared" si="2108"/>
        <v>8.3333333333333329E-2</v>
      </c>
      <c r="GU231" s="13"/>
      <c r="GV231" s="11"/>
      <c r="GW231" s="11"/>
      <c r="GX231" s="14"/>
      <c r="GY231" s="10"/>
      <c r="GZ231" s="11"/>
      <c r="HA231" s="69">
        <f t="shared" ref="HA231:HA236" si="2160">HA230-GY231</f>
        <v>900</v>
      </c>
      <c r="HB231" s="69">
        <f t="shared" ref="HB231:HB236" si="2161">HB230-GZ231</f>
        <v>73</v>
      </c>
      <c r="HC231" s="11">
        <v>440</v>
      </c>
      <c r="HD231" s="12">
        <f t="shared" si="2109"/>
        <v>0.50666666666666671</v>
      </c>
      <c r="HE231" s="11">
        <v>16</v>
      </c>
      <c r="HF231" s="12">
        <f t="shared" si="2110"/>
        <v>3.5087719298245612E-2</v>
      </c>
      <c r="HG231" s="13"/>
      <c r="HH231" s="11"/>
      <c r="HI231" s="11"/>
      <c r="HJ231" s="14"/>
      <c r="HK231" s="10">
        <f t="shared" si="2111"/>
        <v>5</v>
      </c>
      <c r="HL231" s="11">
        <f t="shared" si="2112"/>
        <v>0</v>
      </c>
      <c r="HM231" s="11">
        <f t="shared" si="2113"/>
        <v>11859</v>
      </c>
      <c r="HN231" s="11">
        <f t="shared" si="2114"/>
        <v>953</v>
      </c>
      <c r="HO231" s="11">
        <f t="shared" si="2115"/>
        <v>6505</v>
      </c>
      <c r="HP231" s="95">
        <f t="shared" si="2116"/>
        <v>0.54852854372206761</v>
      </c>
      <c r="HQ231" s="15">
        <f t="shared" si="2117"/>
        <v>229</v>
      </c>
      <c r="HR231" s="12">
        <f t="shared" si="2118"/>
        <v>3.5203689469638741E-2</v>
      </c>
      <c r="HS231" s="16">
        <v>65.2</v>
      </c>
      <c r="HT231" s="17">
        <v>6123</v>
      </c>
      <c r="HU231" s="16">
        <f t="shared" si="2119"/>
        <v>94.127594158339733</v>
      </c>
      <c r="HV231" s="15"/>
      <c r="HW231" s="14"/>
      <c r="HX231" s="73">
        <f t="shared" si="2120"/>
        <v>0.5648263027295285</v>
      </c>
      <c r="HY231" s="73">
        <f t="shared" si="2121"/>
        <v>0.55091714104996836</v>
      </c>
      <c r="HZ231" s="73">
        <f t="shared" si="2122"/>
        <v>0.53524804177545693</v>
      </c>
      <c r="IA231" s="73">
        <f t="shared" si="2123"/>
        <v>0.53975644699140402</v>
      </c>
    </row>
    <row r="232" spans="1:244" x14ac:dyDescent="0.25">
      <c r="A232" s="374"/>
      <c r="B232" s="41">
        <f t="shared" si="2124"/>
        <v>45118</v>
      </c>
      <c r="C232" s="10"/>
      <c r="D232" s="11"/>
      <c r="E232" s="69">
        <f t="shared" si="2125"/>
        <v>816</v>
      </c>
      <c r="F232" s="69">
        <f t="shared" si="2126"/>
        <v>66</v>
      </c>
      <c r="G232" s="11">
        <v>443</v>
      </c>
      <c r="H232" s="12">
        <f t="shared" si="2076"/>
        <v>0.56617647058823528</v>
      </c>
      <c r="I232" s="11">
        <v>19</v>
      </c>
      <c r="J232" s="12">
        <f t="shared" si="2077"/>
        <v>4.1125541125541128E-2</v>
      </c>
      <c r="K232" s="13"/>
      <c r="L232" s="11"/>
      <c r="M232" s="11"/>
      <c r="N232" s="14"/>
      <c r="O232" s="10"/>
      <c r="P232" s="11"/>
      <c r="Q232" s="69">
        <f t="shared" si="2127"/>
        <v>746</v>
      </c>
      <c r="R232" s="69">
        <f t="shared" si="2128"/>
        <v>60</v>
      </c>
      <c r="S232" s="11">
        <v>411</v>
      </c>
      <c r="T232" s="12">
        <f t="shared" si="2078"/>
        <v>0.57104557640750675</v>
      </c>
      <c r="U232" s="11">
        <v>15</v>
      </c>
      <c r="V232" s="12">
        <f t="shared" si="2079"/>
        <v>3.5211267605633804E-2</v>
      </c>
      <c r="W232" s="13"/>
      <c r="X232" s="11"/>
      <c r="Y232" s="11"/>
      <c r="Z232" s="14"/>
      <c r="AA232" s="10"/>
      <c r="AB232" s="11"/>
      <c r="AC232" s="69">
        <f t="shared" si="2129"/>
        <v>157</v>
      </c>
      <c r="AD232" s="69">
        <f t="shared" si="2130"/>
        <v>13</v>
      </c>
      <c r="AE232" s="11">
        <v>79</v>
      </c>
      <c r="AF232" s="12">
        <f t="shared" si="2080"/>
        <v>0.51592356687898089</v>
      </c>
      <c r="AG232" s="11">
        <v>2</v>
      </c>
      <c r="AH232" s="12">
        <f t="shared" si="2081"/>
        <v>2.4691358024691357E-2</v>
      </c>
      <c r="AI232" s="13"/>
      <c r="AJ232" s="11"/>
      <c r="AK232" s="11"/>
      <c r="AL232" s="14"/>
      <c r="AM232" s="10"/>
      <c r="AN232" s="11"/>
      <c r="AO232" s="69">
        <f t="shared" si="2131"/>
        <v>756</v>
      </c>
      <c r="AP232" s="69">
        <f t="shared" si="2132"/>
        <v>61</v>
      </c>
      <c r="AQ232" s="11">
        <v>410</v>
      </c>
      <c r="AR232" s="12">
        <f t="shared" si="2082"/>
        <v>0.55820105820105825</v>
      </c>
      <c r="AS232" s="11">
        <v>12</v>
      </c>
      <c r="AT232" s="12">
        <f t="shared" si="2083"/>
        <v>2.843601895734597E-2</v>
      </c>
      <c r="AU232" s="13"/>
      <c r="AV232" s="11"/>
      <c r="AW232" s="11"/>
      <c r="AX232" s="14"/>
      <c r="AY232" s="10"/>
      <c r="AZ232" s="11"/>
      <c r="BA232" s="69">
        <f t="shared" si="2133"/>
        <v>749</v>
      </c>
      <c r="BB232" s="69">
        <f t="shared" si="2134"/>
        <v>60</v>
      </c>
      <c r="BC232" s="11">
        <v>419</v>
      </c>
      <c r="BD232" s="12">
        <f t="shared" si="2084"/>
        <v>0.58210947930574097</v>
      </c>
      <c r="BE232" s="11">
        <v>17</v>
      </c>
      <c r="BF232" s="12">
        <f t="shared" si="2085"/>
        <v>3.8990825688073397E-2</v>
      </c>
      <c r="BG232" s="13"/>
      <c r="BH232" s="11"/>
      <c r="BI232" s="11"/>
      <c r="BJ232" s="14"/>
      <c r="BK232" s="10"/>
      <c r="BL232" s="11"/>
      <c r="BM232" s="69">
        <f t="shared" si="2135"/>
        <v>808</v>
      </c>
      <c r="BN232" s="69">
        <f t="shared" si="2136"/>
        <v>64</v>
      </c>
      <c r="BO232" s="11">
        <v>428</v>
      </c>
      <c r="BP232" s="12">
        <f t="shared" si="2086"/>
        <v>0.54702970297029707</v>
      </c>
      <c r="BQ232" s="11">
        <v>14</v>
      </c>
      <c r="BR232" s="12">
        <f t="shared" si="2087"/>
        <v>3.1674208144796379E-2</v>
      </c>
      <c r="BS232" s="13"/>
      <c r="BT232" s="11"/>
      <c r="BU232" s="11"/>
      <c r="BV232" s="14"/>
      <c r="BW232" s="10"/>
      <c r="BX232" s="11"/>
      <c r="BY232" s="69">
        <f t="shared" si="2137"/>
        <v>745</v>
      </c>
      <c r="BZ232" s="69">
        <f t="shared" si="2138"/>
        <v>59</v>
      </c>
      <c r="CA232" s="11">
        <v>376</v>
      </c>
      <c r="CB232" s="12">
        <f t="shared" si="2139"/>
        <v>0.52348993288590606</v>
      </c>
      <c r="CC232" s="11">
        <v>14</v>
      </c>
      <c r="CD232" s="12">
        <f t="shared" si="2088"/>
        <v>3.5897435897435895E-2</v>
      </c>
      <c r="CE232" s="13"/>
      <c r="CF232" s="11"/>
      <c r="CG232" s="11"/>
      <c r="CH232" s="14"/>
      <c r="CI232" s="10"/>
      <c r="CJ232" s="11"/>
      <c r="CK232" s="69">
        <f t="shared" si="2140"/>
        <v>138</v>
      </c>
      <c r="CL232" s="69">
        <f t="shared" si="2141"/>
        <v>12</v>
      </c>
      <c r="CM232" s="11">
        <v>58</v>
      </c>
      <c r="CN232" s="12">
        <f t="shared" si="2089"/>
        <v>0.46376811594202899</v>
      </c>
      <c r="CO232" s="11">
        <v>6</v>
      </c>
      <c r="CP232" s="12">
        <f t="shared" si="2090"/>
        <v>9.375E-2</v>
      </c>
      <c r="CQ232" s="13"/>
      <c r="CR232" s="11"/>
      <c r="CS232" s="11"/>
      <c r="CT232" s="14"/>
      <c r="CU232" s="10"/>
      <c r="CV232" s="11"/>
      <c r="CW232" s="69">
        <f t="shared" si="2142"/>
        <v>735</v>
      </c>
      <c r="CX232" s="69">
        <f t="shared" si="2143"/>
        <v>59</v>
      </c>
      <c r="CY232" s="11">
        <v>367</v>
      </c>
      <c r="CZ232" s="12">
        <f t="shared" si="2091"/>
        <v>0.50884353741496602</v>
      </c>
      <c r="DA232" s="11">
        <v>7</v>
      </c>
      <c r="DB232" s="12">
        <f t="shared" si="2092"/>
        <v>1.871657754010695E-2</v>
      </c>
      <c r="DC232" s="13"/>
      <c r="DD232" s="11"/>
      <c r="DE232" s="11"/>
      <c r="DF232" s="14"/>
      <c r="DG232" s="10">
        <v>1</v>
      </c>
      <c r="DH232" s="11"/>
      <c r="DI232" s="69">
        <f t="shared" si="2144"/>
        <v>735</v>
      </c>
      <c r="DJ232" s="69">
        <f t="shared" si="2145"/>
        <v>59</v>
      </c>
      <c r="DK232" s="11">
        <v>389</v>
      </c>
      <c r="DL232" s="12">
        <f t="shared" si="2093"/>
        <v>0.54829931972789114</v>
      </c>
      <c r="DM232" s="11">
        <v>14</v>
      </c>
      <c r="DN232" s="12">
        <f t="shared" si="2094"/>
        <v>3.4739454094292806E-2</v>
      </c>
      <c r="DO232" s="13"/>
      <c r="DP232" s="11"/>
      <c r="DQ232" s="11"/>
      <c r="DR232" s="14"/>
      <c r="DS232" s="10"/>
      <c r="DT232" s="11"/>
      <c r="DU232" s="69">
        <f t="shared" si="2146"/>
        <v>820</v>
      </c>
      <c r="DV232" s="69">
        <f t="shared" si="2147"/>
        <v>66</v>
      </c>
      <c r="DW232" s="11">
        <v>418</v>
      </c>
      <c r="DX232" s="12">
        <f t="shared" si="2095"/>
        <v>0.53414634146341466</v>
      </c>
      <c r="DY232" s="11">
        <v>20</v>
      </c>
      <c r="DZ232" s="12">
        <f t="shared" si="2096"/>
        <v>4.5662100456621002E-2</v>
      </c>
      <c r="EA232" s="13"/>
      <c r="EB232" s="11"/>
      <c r="EC232" s="11"/>
      <c r="ED232" s="14"/>
      <c r="EE232" s="10"/>
      <c r="EF232" s="11"/>
      <c r="EG232" s="69">
        <f t="shared" si="2148"/>
        <v>843</v>
      </c>
      <c r="EH232" s="69">
        <f t="shared" si="2149"/>
        <v>67</v>
      </c>
      <c r="EI232" s="11">
        <v>459</v>
      </c>
      <c r="EJ232" s="12">
        <f t="shared" si="2097"/>
        <v>0.55871886120996439</v>
      </c>
      <c r="EK232" s="11">
        <v>12</v>
      </c>
      <c r="EL232" s="12">
        <f t="shared" si="2098"/>
        <v>2.5477707006369428E-2</v>
      </c>
      <c r="EM232" s="13"/>
      <c r="EN232" s="11"/>
      <c r="EO232" s="11"/>
      <c r="EP232" s="14"/>
      <c r="EQ232" s="10"/>
      <c r="ER232" s="11"/>
      <c r="ES232" s="69">
        <f t="shared" si="2150"/>
        <v>170</v>
      </c>
      <c r="ET232" s="69">
        <f t="shared" si="2151"/>
        <v>14</v>
      </c>
      <c r="EU232" s="11">
        <v>81</v>
      </c>
      <c r="EV232" s="12">
        <f t="shared" si="2099"/>
        <v>0.50588235294117645</v>
      </c>
      <c r="EW232" s="11">
        <v>5</v>
      </c>
      <c r="EX232" s="12">
        <f t="shared" si="2100"/>
        <v>5.8139534883720929E-2</v>
      </c>
      <c r="EY232" s="13"/>
      <c r="EZ232" s="11"/>
      <c r="FA232" s="11"/>
      <c r="FB232" s="14"/>
      <c r="FC232" s="10"/>
      <c r="FD232" s="11"/>
      <c r="FE232" s="69">
        <f t="shared" si="2152"/>
        <v>848</v>
      </c>
      <c r="FF232" s="69">
        <f t="shared" si="2153"/>
        <v>67</v>
      </c>
      <c r="FG232" s="11">
        <v>479</v>
      </c>
      <c r="FH232" s="12">
        <f t="shared" si="2101"/>
        <v>0.57783018867924529</v>
      </c>
      <c r="FI232" s="11">
        <v>11</v>
      </c>
      <c r="FJ232" s="12">
        <f t="shared" si="2102"/>
        <v>2.2448979591836733E-2</v>
      </c>
      <c r="FK232" s="13"/>
      <c r="FL232" s="11"/>
      <c r="FM232" s="11"/>
      <c r="FN232" s="14"/>
      <c r="FO232" s="10">
        <v>1</v>
      </c>
      <c r="FP232" s="11"/>
      <c r="FQ232" s="69">
        <f t="shared" si="2154"/>
        <v>869</v>
      </c>
      <c r="FR232" s="69">
        <f t="shared" si="2155"/>
        <v>70</v>
      </c>
      <c r="FS232" s="11">
        <v>462</v>
      </c>
      <c r="FT232" s="12">
        <f t="shared" si="2103"/>
        <v>0.54775604142692746</v>
      </c>
      <c r="FU232" s="11">
        <v>14</v>
      </c>
      <c r="FV232" s="12">
        <f t="shared" si="2104"/>
        <v>2.9411764705882353E-2</v>
      </c>
      <c r="FW232" s="13"/>
      <c r="FX232" s="11"/>
      <c r="FY232" s="11"/>
      <c r="FZ232" s="14"/>
      <c r="GA232" s="10"/>
      <c r="GB232" s="11"/>
      <c r="GC232" s="69">
        <f t="shared" si="2156"/>
        <v>873</v>
      </c>
      <c r="GD232" s="69">
        <f t="shared" si="2157"/>
        <v>71</v>
      </c>
      <c r="GE232" s="11">
        <v>493</v>
      </c>
      <c r="GF232" s="12">
        <f t="shared" si="2105"/>
        <v>0.58419243986254299</v>
      </c>
      <c r="GG232" s="11">
        <v>17</v>
      </c>
      <c r="GH232" s="12">
        <f t="shared" si="2106"/>
        <v>3.3333333333333333E-2</v>
      </c>
      <c r="GI232" s="13"/>
      <c r="GJ232" s="11"/>
      <c r="GK232" s="11"/>
      <c r="GL232" s="14"/>
      <c r="GM232" s="10"/>
      <c r="GN232" s="11"/>
      <c r="GO232" s="69">
        <f t="shared" si="2158"/>
        <v>149</v>
      </c>
      <c r="GP232" s="69">
        <f t="shared" si="2159"/>
        <v>12</v>
      </c>
      <c r="GQ232" s="11">
        <v>72</v>
      </c>
      <c r="GR232" s="12">
        <f t="shared" si="2107"/>
        <v>0.48993288590604028</v>
      </c>
      <c r="GS232" s="11">
        <v>1</v>
      </c>
      <c r="GT232" s="12">
        <f t="shared" si="2108"/>
        <v>1.3698630136986301E-2</v>
      </c>
      <c r="GU232" s="13"/>
      <c r="GV232" s="11"/>
      <c r="GW232" s="11"/>
      <c r="GX232" s="14"/>
      <c r="GY232" s="10"/>
      <c r="GZ232" s="11"/>
      <c r="HA232" s="69">
        <f t="shared" si="2160"/>
        <v>900</v>
      </c>
      <c r="HB232" s="69">
        <f t="shared" si="2161"/>
        <v>73</v>
      </c>
      <c r="HC232" s="11">
        <v>531</v>
      </c>
      <c r="HD232" s="12">
        <f t="shared" si="2109"/>
        <v>0.61222222222222222</v>
      </c>
      <c r="HE232" s="11">
        <v>20</v>
      </c>
      <c r="HF232" s="12">
        <f t="shared" si="2110"/>
        <v>3.6297640653357534E-2</v>
      </c>
      <c r="HG232" s="13"/>
      <c r="HH232" s="11"/>
      <c r="HI232" s="11"/>
      <c r="HJ232" s="14"/>
      <c r="HK232" s="10">
        <f t="shared" si="2111"/>
        <v>2</v>
      </c>
      <c r="HL232" s="11">
        <f t="shared" si="2112"/>
        <v>0</v>
      </c>
      <c r="HM232" s="11">
        <f t="shared" si="2113"/>
        <v>11857</v>
      </c>
      <c r="HN232" s="11">
        <f t="shared" si="2114"/>
        <v>953</v>
      </c>
      <c r="HO232" s="11">
        <f t="shared" si="2115"/>
        <v>6595</v>
      </c>
      <c r="HP232" s="95">
        <f t="shared" si="2116"/>
        <v>0.55621152062073032</v>
      </c>
      <c r="HQ232" s="15">
        <f t="shared" si="2117"/>
        <v>220</v>
      </c>
      <c r="HR232" s="12">
        <f t="shared" si="2118"/>
        <v>3.3358605003790752E-2</v>
      </c>
      <c r="HS232" s="16">
        <v>65.3</v>
      </c>
      <c r="HT232" s="17">
        <v>6225</v>
      </c>
      <c r="HU232" s="16">
        <f t="shared" si="2119"/>
        <v>94.389689158453365</v>
      </c>
      <c r="HV232" s="15"/>
      <c r="HW232" s="14"/>
      <c r="HX232" s="73">
        <f t="shared" si="2120"/>
        <v>0.56668734491315131</v>
      </c>
      <c r="HY232" s="73">
        <f t="shared" si="2121"/>
        <v>0.5292628914900348</v>
      </c>
      <c r="HZ232" s="73">
        <f t="shared" si="2122"/>
        <v>0.55389779932860872</v>
      </c>
      <c r="IA232" s="73">
        <f t="shared" si="2123"/>
        <v>0.57685417413113582</v>
      </c>
    </row>
    <row r="233" spans="1:244" x14ac:dyDescent="0.25">
      <c r="A233" s="374"/>
      <c r="B233" s="41">
        <f t="shared" si="2124"/>
        <v>45119</v>
      </c>
      <c r="C233" s="10"/>
      <c r="D233" s="11"/>
      <c r="E233" s="69">
        <f t="shared" si="2125"/>
        <v>816</v>
      </c>
      <c r="F233" s="69">
        <f t="shared" si="2126"/>
        <v>66</v>
      </c>
      <c r="G233" s="11">
        <v>417</v>
      </c>
      <c r="H233" s="12">
        <f t="shared" si="2076"/>
        <v>0.53186274509803921</v>
      </c>
      <c r="I233" s="11">
        <v>17</v>
      </c>
      <c r="J233" s="12">
        <f t="shared" si="2077"/>
        <v>3.9170506912442393E-2</v>
      </c>
      <c r="K233" s="11"/>
      <c r="L233" s="11"/>
      <c r="M233" s="18"/>
      <c r="N233" s="20"/>
      <c r="O233" s="10"/>
      <c r="P233" s="11"/>
      <c r="Q233" s="69">
        <f t="shared" si="2127"/>
        <v>746</v>
      </c>
      <c r="R233" s="69">
        <f t="shared" si="2128"/>
        <v>60</v>
      </c>
      <c r="S233" s="11">
        <v>364</v>
      </c>
      <c r="T233" s="12">
        <f t="shared" si="2078"/>
        <v>0.50402144772117963</v>
      </c>
      <c r="U233" s="11">
        <v>12</v>
      </c>
      <c r="V233" s="12">
        <f t="shared" si="2079"/>
        <v>3.1914893617021274E-2</v>
      </c>
      <c r="W233" s="11"/>
      <c r="X233" s="11"/>
      <c r="Y233" s="18"/>
      <c r="Z233" s="20"/>
      <c r="AA233" s="10"/>
      <c r="AB233" s="11"/>
      <c r="AC233" s="69">
        <f t="shared" si="2129"/>
        <v>157</v>
      </c>
      <c r="AD233" s="69">
        <f t="shared" si="2130"/>
        <v>13</v>
      </c>
      <c r="AE233" s="11">
        <v>78</v>
      </c>
      <c r="AF233" s="12">
        <f t="shared" si="2080"/>
        <v>0.50955414012738853</v>
      </c>
      <c r="AG233" s="11">
        <v>2</v>
      </c>
      <c r="AH233" s="12">
        <f t="shared" si="2081"/>
        <v>2.5000000000000001E-2</v>
      </c>
      <c r="AI233" s="11"/>
      <c r="AJ233" s="11"/>
      <c r="AK233" s="18"/>
      <c r="AL233" s="20"/>
      <c r="AM233" s="10"/>
      <c r="AN233" s="11"/>
      <c r="AO233" s="69">
        <f t="shared" si="2131"/>
        <v>756</v>
      </c>
      <c r="AP233" s="69">
        <f t="shared" si="2132"/>
        <v>61</v>
      </c>
      <c r="AQ233" s="11">
        <v>381</v>
      </c>
      <c r="AR233" s="12">
        <f t="shared" si="2082"/>
        <v>0.52116402116402116</v>
      </c>
      <c r="AS233" s="11">
        <v>13</v>
      </c>
      <c r="AT233" s="12">
        <f t="shared" si="2083"/>
        <v>3.2994923857868022E-2</v>
      </c>
      <c r="AU233" s="11"/>
      <c r="AV233" s="11"/>
      <c r="AW233" s="18"/>
      <c r="AX233" s="20"/>
      <c r="AY233" s="10"/>
      <c r="AZ233" s="11"/>
      <c r="BA233" s="69">
        <f t="shared" si="2133"/>
        <v>749</v>
      </c>
      <c r="BB233" s="69">
        <f t="shared" si="2134"/>
        <v>60</v>
      </c>
      <c r="BC233" s="11">
        <v>430</v>
      </c>
      <c r="BD233" s="12">
        <f t="shared" si="2084"/>
        <v>0.59012016021361813</v>
      </c>
      <c r="BE233" s="11">
        <v>12</v>
      </c>
      <c r="BF233" s="12">
        <f t="shared" si="2085"/>
        <v>2.7149321266968326E-2</v>
      </c>
      <c r="BG233" s="11"/>
      <c r="BH233" s="11"/>
      <c r="BI233" s="18"/>
      <c r="BJ233" s="20"/>
      <c r="BK233" s="10">
        <v>1</v>
      </c>
      <c r="BL233" s="11"/>
      <c r="BM233" s="69">
        <f t="shared" si="2135"/>
        <v>807</v>
      </c>
      <c r="BN233" s="69">
        <f t="shared" si="2136"/>
        <v>64</v>
      </c>
      <c r="BO233" s="11">
        <v>422</v>
      </c>
      <c r="BP233" s="12">
        <f t="shared" si="2086"/>
        <v>0.54770755885997524</v>
      </c>
      <c r="BQ233" s="11">
        <v>20</v>
      </c>
      <c r="BR233" s="12">
        <f t="shared" si="2087"/>
        <v>4.5248868778280542E-2</v>
      </c>
      <c r="BS233" s="11"/>
      <c r="BT233" s="11"/>
      <c r="BU233" s="18"/>
      <c r="BV233" s="20"/>
      <c r="BW233" s="10"/>
      <c r="BX233" s="11"/>
      <c r="BY233" s="69">
        <f t="shared" si="2137"/>
        <v>745</v>
      </c>
      <c r="BZ233" s="69">
        <f t="shared" si="2138"/>
        <v>59</v>
      </c>
      <c r="CA233" s="11">
        <v>394</v>
      </c>
      <c r="CB233" s="12">
        <f t="shared" si="2139"/>
        <v>0.54899328859060403</v>
      </c>
      <c r="CC233" s="11">
        <v>15</v>
      </c>
      <c r="CD233" s="12">
        <f t="shared" si="2088"/>
        <v>3.6674816625916873E-2</v>
      </c>
      <c r="CE233" s="11"/>
      <c r="CF233" s="11"/>
      <c r="CG233" s="18"/>
      <c r="CH233" s="20"/>
      <c r="CI233" s="10"/>
      <c r="CJ233" s="11"/>
      <c r="CK233" s="69">
        <f t="shared" si="2140"/>
        <v>138</v>
      </c>
      <c r="CL233" s="69">
        <f t="shared" si="2141"/>
        <v>12</v>
      </c>
      <c r="CM233" s="11">
        <v>52</v>
      </c>
      <c r="CN233" s="12">
        <f t="shared" si="2089"/>
        <v>0.39130434782608697</v>
      </c>
      <c r="CO233" s="11">
        <v>2</v>
      </c>
      <c r="CP233" s="12">
        <f t="shared" si="2090"/>
        <v>3.7037037037037035E-2</v>
      </c>
      <c r="CQ233" s="11"/>
      <c r="CR233" s="11"/>
      <c r="CS233" s="18"/>
      <c r="CT233" s="20"/>
      <c r="CU233" s="10">
        <v>1</v>
      </c>
      <c r="CV233" s="11"/>
      <c r="CW233" s="69">
        <f t="shared" si="2142"/>
        <v>734</v>
      </c>
      <c r="CX233" s="69">
        <f t="shared" si="2143"/>
        <v>59</v>
      </c>
      <c r="CY233" s="11">
        <v>367</v>
      </c>
      <c r="CZ233" s="12">
        <f t="shared" si="2091"/>
        <v>0.52043596730245234</v>
      </c>
      <c r="DA233" s="11">
        <v>15</v>
      </c>
      <c r="DB233" s="12">
        <f t="shared" si="2092"/>
        <v>3.9267015706806283E-2</v>
      </c>
      <c r="DC233" s="11"/>
      <c r="DD233" s="11"/>
      <c r="DE233" s="18"/>
      <c r="DF233" s="20"/>
      <c r="DG233" s="10">
        <v>1</v>
      </c>
      <c r="DH233" s="11"/>
      <c r="DI233" s="69">
        <f t="shared" si="2144"/>
        <v>734</v>
      </c>
      <c r="DJ233" s="69">
        <f t="shared" si="2145"/>
        <v>59</v>
      </c>
      <c r="DK233" s="11">
        <v>411</v>
      </c>
      <c r="DL233" s="12">
        <f t="shared" si="2093"/>
        <v>0.57493188010899188</v>
      </c>
      <c r="DM233" s="11">
        <v>11</v>
      </c>
      <c r="DN233" s="12">
        <f t="shared" si="2094"/>
        <v>2.6066350710900472E-2</v>
      </c>
      <c r="DO233" s="11"/>
      <c r="DP233" s="11"/>
      <c r="DQ233" s="18"/>
      <c r="DR233" s="20"/>
      <c r="DS233" s="10"/>
      <c r="DT233" s="11"/>
      <c r="DU233" s="69">
        <f t="shared" si="2146"/>
        <v>820</v>
      </c>
      <c r="DV233" s="69">
        <f t="shared" si="2147"/>
        <v>66</v>
      </c>
      <c r="DW233" s="11">
        <v>438</v>
      </c>
      <c r="DX233" s="12">
        <f t="shared" si="2095"/>
        <v>0.56219512195121957</v>
      </c>
      <c r="DY233" s="11">
        <v>23</v>
      </c>
      <c r="DZ233" s="12">
        <f t="shared" si="2096"/>
        <v>4.9891540130151846E-2</v>
      </c>
      <c r="EA233" s="11"/>
      <c r="EB233" s="11"/>
      <c r="EC233" s="18"/>
      <c r="ED233" s="20"/>
      <c r="EE233" s="10"/>
      <c r="EF233" s="11"/>
      <c r="EG233" s="69">
        <f t="shared" si="2148"/>
        <v>843</v>
      </c>
      <c r="EH233" s="69">
        <f t="shared" si="2149"/>
        <v>67</v>
      </c>
      <c r="EI233" s="11">
        <v>450</v>
      </c>
      <c r="EJ233" s="12">
        <f t="shared" si="2097"/>
        <v>0.56109134045077103</v>
      </c>
      <c r="EK233" s="11">
        <v>23</v>
      </c>
      <c r="EL233" s="12">
        <f t="shared" si="2098"/>
        <v>4.8625792811839326E-2</v>
      </c>
      <c r="EM233" s="11"/>
      <c r="EN233" s="11"/>
      <c r="EO233" s="18"/>
      <c r="EP233" s="20"/>
      <c r="EQ233" s="10"/>
      <c r="ER233" s="11"/>
      <c r="ES233" s="69">
        <f t="shared" si="2150"/>
        <v>170</v>
      </c>
      <c r="ET233" s="69">
        <f t="shared" si="2151"/>
        <v>14</v>
      </c>
      <c r="EU233" s="11">
        <v>95</v>
      </c>
      <c r="EV233" s="12">
        <f t="shared" si="2099"/>
        <v>0.57647058823529407</v>
      </c>
      <c r="EW233" s="11">
        <v>3</v>
      </c>
      <c r="EX233" s="12">
        <f t="shared" si="2100"/>
        <v>3.0612244897959183E-2</v>
      </c>
      <c r="EY233" s="11"/>
      <c r="EZ233" s="11"/>
      <c r="FA233" s="18"/>
      <c r="FB233" s="20"/>
      <c r="FC233" s="10"/>
      <c r="FD233" s="11"/>
      <c r="FE233" s="69">
        <f t="shared" si="2152"/>
        <v>848</v>
      </c>
      <c r="FF233" s="69">
        <f t="shared" si="2153"/>
        <v>67</v>
      </c>
      <c r="FG233" s="11">
        <v>480</v>
      </c>
      <c r="FH233" s="12">
        <f t="shared" si="2101"/>
        <v>0.58490566037735847</v>
      </c>
      <c r="FI233" s="11">
        <v>16</v>
      </c>
      <c r="FJ233" s="12">
        <f t="shared" si="2102"/>
        <v>3.2258064516129031E-2</v>
      </c>
      <c r="FK233" s="11"/>
      <c r="FL233" s="11"/>
      <c r="FM233" s="18"/>
      <c r="FN233" s="20"/>
      <c r="FO233" s="10"/>
      <c r="FP233" s="11"/>
      <c r="FQ233" s="69">
        <f t="shared" si="2154"/>
        <v>869</v>
      </c>
      <c r="FR233" s="69">
        <f t="shared" si="2155"/>
        <v>70</v>
      </c>
      <c r="FS233" s="11">
        <v>423</v>
      </c>
      <c r="FT233" s="12">
        <f t="shared" si="2103"/>
        <v>0.51323360184119682</v>
      </c>
      <c r="FU233" s="11">
        <v>23</v>
      </c>
      <c r="FV233" s="12">
        <f t="shared" si="2104"/>
        <v>5.1569506726457402E-2</v>
      </c>
      <c r="FW233" s="11"/>
      <c r="FX233" s="11"/>
      <c r="FY233" s="18"/>
      <c r="FZ233" s="20"/>
      <c r="GA233" s="10"/>
      <c r="GB233" s="11"/>
      <c r="GC233" s="69">
        <f t="shared" si="2156"/>
        <v>873</v>
      </c>
      <c r="GD233" s="69">
        <f t="shared" si="2157"/>
        <v>71</v>
      </c>
      <c r="GE233" s="11">
        <v>444</v>
      </c>
      <c r="GF233" s="12">
        <f t="shared" si="2105"/>
        <v>0.52462772050400919</v>
      </c>
      <c r="GG233" s="11">
        <v>14</v>
      </c>
      <c r="GH233" s="12">
        <f t="shared" si="2106"/>
        <v>3.0567685589519649E-2</v>
      </c>
      <c r="GI233" s="11"/>
      <c r="GJ233" s="11"/>
      <c r="GK233" s="18"/>
      <c r="GL233" s="20"/>
      <c r="GM233" s="10">
        <v>1</v>
      </c>
      <c r="GN233" s="11"/>
      <c r="GO233" s="69">
        <f t="shared" si="2158"/>
        <v>148</v>
      </c>
      <c r="GP233" s="69">
        <f t="shared" si="2159"/>
        <v>12</v>
      </c>
      <c r="GQ233" s="11">
        <v>81</v>
      </c>
      <c r="GR233" s="12">
        <f t="shared" si="2107"/>
        <v>0.58108108108108103</v>
      </c>
      <c r="GS233" s="11">
        <v>5</v>
      </c>
      <c r="GT233" s="12">
        <f t="shared" si="2108"/>
        <v>5.8139534883720929E-2</v>
      </c>
      <c r="GU233" s="11"/>
      <c r="GV233" s="11"/>
      <c r="GW233" s="18"/>
      <c r="GX233" s="20"/>
      <c r="GY233" s="10">
        <v>1</v>
      </c>
      <c r="GZ233" s="11"/>
      <c r="HA233" s="69">
        <f t="shared" si="2160"/>
        <v>899</v>
      </c>
      <c r="HB233" s="69">
        <f t="shared" si="2161"/>
        <v>73</v>
      </c>
      <c r="HC233" s="11">
        <v>475</v>
      </c>
      <c r="HD233" s="12">
        <f t="shared" si="2109"/>
        <v>0.54727474972191326</v>
      </c>
      <c r="HE233" s="11">
        <v>17</v>
      </c>
      <c r="HF233" s="12">
        <f t="shared" si="2110"/>
        <v>3.4552845528455285E-2</v>
      </c>
      <c r="HG233" s="11"/>
      <c r="HH233" s="11"/>
      <c r="HI233" s="18"/>
      <c r="HJ233" s="20"/>
      <c r="HK233" s="10">
        <f t="shared" si="2111"/>
        <v>5</v>
      </c>
      <c r="HL233" s="11">
        <f t="shared" si="2112"/>
        <v>0</v>
      </c>
      <c r="HM233" s="11">
        <f t="shared" si="2113"/>
        <v>11852</v>
      </c>
      <c r="HN233" s="11">
        <f t="shared" si="2114"/>
        <v>953</v>
      </c>
      <c r="HO233" s="11">
        <f t="shared" si="2115"/>
        <v>6445</v>
      </c>
      <c r="HP233" s="95">
        <f t="shared" si="2116"/>
        <v>0.54379007762402964</v>
      </c>
      <c r="HQ233" s="15">
        <f t="shared" si="2117"/>
        <v>243</v>
      </c>
      <c r="HR233" s="12">
        <f t="shared" si="2118"/>
        <v>3.7703646237393328E-2</v>
      </c>
      <c r="HS233" s="16">
        <v>65.5</v>
      </c>
      <c r="HT233" s="17">
        <v>6040</v>
      </c>
      <c r="HU233" s="16">
        <f t="shared" si="2119"/>
        <v>93.716058960434452</v>
      </c>
      <c r="HV233" s="18"/>
      <c r="HW233" s="20"/>
      <c r="HX233" s="73">
        <f t="shared" si="2120"/>
        <v>0.53535980148883378</v>
      </c>
      <c r="HY233" s="73">
        <f t="shared" si="2121"/>
        <v>0.54116529449018369</v>
      </c>
      <c r="HZ233" s="73">
        <f t="shared" si="2122"/>
        <v>0.56993659082431924</v>
      </c>
      <c r="IA233" s="73">
        <f t="shared" si="2123"/>
        <v>0.53137325206167085</v>
      </c>
    </row>
    <row r="234" spans="1:244" x14ac:dyDescent="0.25">
      <c r="A234" s="374"/>
      <c r="B234" s="41">
        <f>+B233+1</f>
        <v>45120</v>
      </c>
      <c r="C234" s="10"/>
      <c r="D234" s="11"/>
      <c r="E234" s="69">
        <f t="shared" si="2125"/>
        <v>816</v>
      </c>
      <c r="F234" s="69">
        <f t="shared" si="2126"/>
        <v>66</v>
      </c>
      <c r="G234" s="11">
        <v>417</v>
      </c>
      <c r="H234" s="12">
        <f t="shared" si="2076"/>
        <v>0.53308823529411764</v>
      </c>
      <c r="I234" s="11">
        <v>18</v>
      </c>
      <c r="J234" s="12">
        <f t="shared" si="2077"/>
        <v>4.1379310344827586E-2</v>
      </c>
      <c r="K234" s="13"/>
      <c r="L234" s="13"/>
      <c r="M234" s="25">
        <v>4212</v>
      </c>
      <c r="N234" s="38">
        <v>4460</v>
      </c>
      <c r="O234" s="10"/>
      <c r="P234" s="11"/>
      <c r="Q234" s="69">
        <f t="shared" si="2127"/>
        <v>746</v>
      </c>
      <c r="R234" s="69">
        <f t="shared" si="2128"/>
        <v>60</v>
      </c>
      <c r="S234" s="11">
        <v>411</v>
      </c>
      <c r="T234" s="12">
        <f t="shared" si="2078"/>
        <v>0.57506702412868638</v>
      </c>
      <c r="U234" s="11">
        <v>18</v>
      </c>
      <c r="V234" s="12">
        <f t="shared" si="2079"/>
        <v>4.195804195804196E-2</v>
      </c>
      <c r="W234" s="13"/>
      <c r="X234" s="13"/>
      <c r="Y234" s="25">
        <v>4212</v>
      </c>
      <c r="Z234" s="38">
        <v>4460</v>
      </c>
      <c r="AA234" s="10"/>
      <c r="AB234" s="11"/>
      <c r="AC234" s="69">
        <f t="shared" si="2129"/>
        <v>157</v>
      </c>
      <c r="AD234" s="69">
        <f t="shared" si="2130"/>
        <v>13</v>
      </c>
      <c r="AE234" s="11">
        <v>73</v>
      </c>
      <c r="AF234" s="12">
        <f t="shared" si="2080"/>
        <v>0.49044585987261147</v>
      </c>
      <c r="AG234" s="11">
        <v>4</v>
      </c>
      <c r="AH234" s="12">
        <f t="shared" si="2081"/>
        <v>5.1948051948051951E-2</v>
      </c>
      <c r="AI234" s="13"/>
      <c r="AJ234" s="13"/>
      <c r="AK234" s="25">
        <v>4212</v>
      </c>
      <c r="AL234" s="38">
        <v>4460</v>
      </c>
      <c r="AM234" s="10"/>
      <c r="AN234" s="11"/>
      <c r="AO234" s="69">
        <f t="shared" si="2131"/>
        <v>756</v>
      </c>
      <c r="AP234" s="69">
        <f t="shared" si="2132"/>
        <v>61</v>
      </c>
      <c r="AQ234" s="11">
        <v>403</v>
      </c>
      <c r="AR234" s="12">
        <f t="shared" si="2082"/>
        <v>0.55026455026455023</v>
      </c>
      <c r="AS234" s="11">
        <v>13</v>
      </c>
      <c r="AT234" s="12">
        <f t="shared" si="2083"/>
        <v>3.125E-2</v>
      </c>
      <c r="AU234" s="13"/>
      <c r="AV234" s="13"/>
      <c r="AW234" s="25">
        <v>4212</v>
      </c>
      <c r="AX234" s="38">
        <v>4460</v>
      </c>
      <c r="AY234" s="10"/>
      <c r="AZ234" s="11"/>
      <c r="BA234" s="69">
        <f t="shared" si="2133"/>
        <v>749</v>
      </c>
      <c r="BB234" s="69">
        <f t="shared" si="2134"/>
        <v>60</v>
      </c>
      <c r="BC234" s="11">
        <v>439</v>
      </c>
      <c r="BD234" s="12">
        <f t="shared" si="2084"/>
        <v>0.61014686248331107</v>
      </c>
      <c r="BE234" s="11">
        <v>18</v>
      </c>
      <c r="BF234" s="12">
        <f t="shared" si="2085"/>
        <v>3.9387308533916851E-2</v>
      </c>
      <c r="BG234" s="13"/>
      <c r="BH234" s="13"/>
      <c r="BI234" s="25">
        <v>4212</v>
      </c>
      <c r="BJ234" s="38">
        <v>4460</v>
      </c>
      <c r="BK234" s="10"/>
      <c r="BL234" s="11"/>
      <c r="BM234" s="69">
        <f t="shared" si="2135"/>
        <v>807</v>
      </c>
      <c r="BN234" s="69">
        <f t="shared" si="2136"/>
        <v>64</v>
      </c>
      <c r="BO234" s="11">
        <v>410</v>
      </c>
      <c r="BP234" s="12">
        <f t="shared" si="2086"/>
        <v>0.52292441140024781</v>
      </c>
      <c r="BQ234" s="11">
        <v>12</v>
      </c>
      <c r="BR234" s="12">
        <f t="shared" si="2087"/>
        <v>2.843601895734597E-2</v>
      </c>
      <c r="BS234" s="13"/>
      <c r="BT234" s="13"/>
      <c r="BU234" s="25">
        <v>4212</v>
      </c>
      <c r="BV234" s="38">
        <v>4460</v>
      </c>
      <c r="BW234" s="10"/>
      <c r="BX234" s="11"/>
      <c r="BY234" s="69">
        <f t="shared" si="2137"/>
        <v>745</v>
      </c>
      <c r="BZ234" s="69">
        <f t="shared" si="2138"/>
        <v>59</v>
      </c>
      <c r="CA234" s="11">
        <v>403</v>
      </c>
      <c r="CB234" s="12">
        <f t="shared" si="2139"/>
        <v>0.56107382550335572</v>
      </c>
      <c r="CC234" s="11">
        <v>15</v>
      </c>
      <c r="CD234" s="12">
        <f t="shared" si="2088"/>
        <v>3.5885167464114832E-2</v>
      </c>
      <c r="CE234" s="13"/>
      <c r="CF234" s="13"/>
      <c r="CG234" s="25">
        <v>4212</v>
      </c>
      <c r="CH234" s="38">
        <v>4460</v>
      </c>
      <c r="CI234" s="10">
        <v>2</v>
      </c>
      <c r="CJ234" s="11"/>
      <c r="CK234" s="69">
        <f t="shared" si="2140"/>
        <v>136</v>
      </c>
      <c r="CL234" s="69">
        <f t="shared" si="2141"/>
        <v>12</v>
      </c>
      <c r="CM234" s="11">
        <v>60</v>
      </c>
      <c r="CN234" s="12">
        <f t="shared" si="2089"/>
        <v>0.47794117647058826</v>
      </c>
      <c r="CO234" s="11">
        <v>5</v>
      </c>
      <c r="CP234" s="12">
        <f t="shared" si="2090"/>
        <v>7.6923076923076927E-2</v>
      </c>
      <c r="CQ234" s="13"/>
      <c r="CR234" s="13"/>
      <c r="CS234" s="25">
        <v>4212</v>
      </c>
      <c r="CT234" s="38">
        <v>4460</v>
      </c>
      <c r="CU234" s="10"/>
      <c r="CV234" s="11"/>
      <c r="CW234" s="69">
        <f t="shared" si="2142"/>
        <v>734</v>
      </c>
      <c r="CX234" s="69">
        <f t="shared" si="2143"/>
        <v>59</v>
      </c>
      <c r="CY234" s="11">
        <v>396</v>
      </c>
      <c r="CZ234" s="12">
        <f t="shared" si="2091"/>
        <v>0.55313351498637597</v>
      </c>
      <c r="DA234" s="11">
        <v>10</v>
      </c>
      <c r="DB234" s="12">
        <f t="shared" si="2092"/>
        <v>2.4630541871921183E-2</v>
      </c>
      <c r="DC234" s="13"/>
      <c r="DD234" s="13"/>
      <c r="DE234" s="25">
        <v>4212</v>
      </c>
      <c r="DF234" s="38">
        <v>4460</v>
      </c>
      <c r="DG234" s="10"/>
      <c r="DH234" s="11"/>
      <c r="DI234" s="69">
        <f t="shared" si="2144"/>
        <v>734</v>
      </c>
      <c r="DJ234" s="69">
        <f t="shared" si="2145"/>
        <v>59</v>
      </c>
      <c r="DK234" s="11">
        <v>408</v>
      </c>
      <c r="DL234" s="12">
        <f t="shared" si="2093"/>
        <v>0.57084468664850141</v>
      </c>
      <c r="DM234" s="11">
        <v>11</v>
      </c>
      <c r="DN234" s="12">
        <f t="shared" si="2094"/>
        <v>2.6252983293556086E-2</v>
      </c>
      <c r="DO234" s="13"/>
      <c r="DP234" s="13"/>
      <c r="DQ234" s="25">
        <v>4212</v>
      </c>
      <c r="DR234" s="38">
        <v>4460</v>
      </c>
      <c r="DS234" s="10"/>
      <c r="DT234" s="11"/>
      <c r="DU234" s="69">
        <f t="shared" si="2146"/>
        <v>820</v>
      </c>
      <c r="DV234" s="69">
        <f t="shared" si="2147"/>
        <v>66</v>
      </c>
      <c r="DW234" s="11">
        <v>429</v>
      </c>
      <c r="DX234" s="12">
        <f t="shared" si="2095"/>
        <v>0.54268292682926833</v>
      </c>
      <c r="DY234" s="11">
        <v>16</v>
      </c>
      <c r="DZ234" s="12">
        <f t="shared" si="2096"/>
        <v>3.5955056179775284E-2</v>
      </c>
      <c r="EA234" s="13"/>
      <c r="EB234" s="13"/>
      <c r="EC234" s="25">
        <v>4212</v>
      </c>
      <c r="ED234" s="38">
        <v>4460</v>
      </c>
      <c r="EE234" s="10"/>
      <c r="EF234" s="11"/>
      <c r="EG234" s="69">
        <f t="shared" si="2148"/>
        <v>843</v>
      </c>
      <c r="EH234" s="69">
        <f t="shared" si="2149"/>
        <v>67</v>
      </c>
      <c r="EI234" s="11">
        <v>441</v>
      </c>
      <c r="EJ234" s="12">
        <f t="shared" si="2097"/>
        <v>0.53736654804270467</v>
      </c>
      <c r="EK234" s="11">
        <v>12</v>
      </c>
      <c r="EL234" s="12">
        <f t="shared" si="2098"/>
        <v>2.6490066225165563E-2</v>
      </c>
      <c r="EM234" s="13"/>
      <c r="EN234" s="13"/>
      <c r="EO234" s="25">
        <v>4212</v>
      </c>
      <c r="EP234" s="38">
        <v>4460</v>
      </c>
      <c r="EQ234" s="10"/>
      <c r="ER234" s="11"/>
      <c r="ES234" s="69">
        <f t="shared" si="2150"/>
        <v>170</v>
      </c>
      <c r="ET234" s="69">
        <f t="shared" si="2151"/>
        <v>14</v>
      </c>
      <c r="EU234" s="11">
        <v>75</v>
      </c>
      <c r="EV234" s="12">
        <f t="shared" si="2099"/>
        <v>0.4823529411764706</v>
      </c>
      <c r="EW234" s="11">
        <v>7</v>
      </c>
      <c r="EX234" s="12">
        <f t="shared" si="2100"/>
        <v>8.5365853658536592E-2</v>
      </c>
      <c r="EY234" s="13"/>
      <c r="EZ234" s="13"/>
      <c r="FA234" s="25">
        <v>4212</v>
      </c>
      <c r="FB234" s="38">
        <v>4460</v>
      </c>
      <c r="FC234" s="10"/>
      <c r="FD234" s="11"/>
      <c r="FE234" s="69">
        <f t="shared" si="2152"/>
        <v>848</v>
      </c>
      <c r="FF234" s="69">
        <f t="shared" si="2153"/>
        <v>67</v>
      </c>
      <c r="FG234" s="11">
        <v>465</v>
      </c>
      <c r="FH234" s="12">
        <f t="shared" si="2101"/>
        <v>0.56367924528301883</v>
      </c>
      <c r="FI234" s="11">
        <v>13</v>
      </c>
      <c r="FJ234" s="12">
        <f t="shared" si="2102"/>
        <v>2.7196652719665274E-2</v>
      </c>
      <c r="FK234" s="13"/>
      <c r="FL234" s="13"/>
      <c r="FM234" s="25">
        <v>4212</v>
      </c>
      <c r="FN234" s="38">
        <v>4460</v>
      </c>
      <c r="FO234" s="10"/>
      <c r="FP234" s="11"/>
      <c r="FQ234" s="69">
        <f t="shared" si="2154"/>
        <v>869</v>
      </c>
      <c r="FR234" s="69">
        <f t="shared" si="2155"/>
        <v>70</v>
      </c>
      <c r="FS234" s="11">
        <v>445</v>
      </c>
      <c r="FT234" s="12">
        <f t="shared" si="2103"/>
        <v>0.53739930955120829</v>
      </c>
      <c r="FU234" s="11">
        <v>22</v>
      </c>
      <c r="FV234" s="12">
        <f t="shared" si="2104"/>
        <v>4.7109207708779445E-2</v>
      </c>
      <c r="FW234" s="13"/>
      <c r="FX234" s="13"/>
      <c r="FY234" s="25">
        <v>4212</v>
      </c>
      <c r="FZ234" s="38">
        <v>4460</v>
      </c>
      <c r="GA234" s="10"/>
      <c r="GB234" s="11"/>
      <c r="GC234" s="69">
        <f t="shared" si="2156"/>
        <v>873</v>
      </c>
      <c r="GD234" s="69">
        <f t="shared" si="2157"/>
        <v>71</v>
      </c>
      <c r="GE234" s="11">
        <v>491</v>
      </c>
      <c r="GF234" s="12">
        <f t="shared" si="2105"/>
        <v>0.58075601374570451</v>
      </c>
      <c r="GG234" s="11">
        <v>16</v>
      </c>
      <c r="GH234" s="12">
        <f t="shared" si="2106"/>
        <v>3.1558185404339252E-2</v>
      </c>
      <c r="GI234" s="13"/>
      <c r="GJ234" s="13"/>
      <c r="GK234" s="25">
        <v>4212</v>
      </c>
      <c r="GL234" s="38">
        <v>4460</v>
      </c>
      <c r="GM234" s="10"/>
      <c r="GN234" s="11"/>
      <c r="GO234" s="69">
        <f t="shared" si="2158"/>
        <v>148</v>
      </c>
      <c r="GP234" s="69">
        <f t="shared" si="2159"/>
        <v>12</v>
      </c>
      <c r="GQ234" s="11">
        <v>71</v>
      </c>
      <c r="GR234" s="12">
        <f t="shared" si="2107"/>
        <v>0.49324324324324326</v>
      </c>
      <c r="GS234" s="11">
        <v>2</v>
      </c>
      <c r="GT234" s="12">
        <f t="shared" si="2108"/>
        <v>2.7397260273972601E-2</v>
      </c>
      <c r="GU234" s="13"/>
      <c r="GV234" s="13"/>
      <c r="GW234" s="25">
        <v>4212</v>
      </c>
      <c r="GX234" s="38">
        <v>4460</v>
      </c>
      <c r="GY234" s="10"/>
      <c r="GZ234" s="11"/>
      <c r="HA234" s="69">
        <f t="shared" si="2160"/>
        <v>899</v>
      </c>
      <c r="HB234" s="69">
        <f t="shared" si="2161"/>
        <v>73</v>
      </c>
      <c r="HC234" s="11">
        <v>496</v>
      </c>
      <c r="HD234" s="12">
        <f t="shared" si="2109"/>
        <v>0.57730812013348165</v>
      </c>
      <c r="HE234" s="11">
        <v>23</v>
      </c>
      <c r="HF234" s="12">
        <f t="shared" si="2110"/>
        <v>4.4315992292870907E-2</v>
      </c>
      <c r="HG234" s="13"/>
      <c r="HH234" s="13"/>
      <c r="HI234" s="25">
        <v>4212</v>
      </c>
      <c r="HJ234" s="38">
        <v>4460</v>
      </c>
      <c r="HK234" s="10">
        <f t="shared" si="2111"/>
        <v>2</v>
      </c>
      <c r="HL234" s="11">
        <f t="shared" si="2112"/>
        <v>0</v>
      </c>
      <c r="HM234" s="11">
        <f t="shared" si="2113"/>
        <v>11850</v>
      </c>
      <c r="HN234" s="11">
        <f t="shared" si="2114"/>
        <v>953</v>
      </c>
      <c r="HO234" s="11">
        <f t="shared" si="2115"/>
        <v>6568</v>
      </c>
      <c r="HP234" s="95">
        <f t="shared" si="2116"/>
        <v>0.55426160337552743</v>
      </c>
      <c r="HQ234" s="15">
        <f t="shared" si="2117"/>
        <v>235</v>
      </c>
      <c r="HR234" s="12">
        <f t="shared" si="2118"/>
        <v>3.5779537149817298E-2</v>
      </c>
      <c r="HS234" s="16">
        <v>65.400000000000006</v>
      </c>
      <c r="HT234" s="17">
        <v>6169</v>
      </c>
      <c r="HU234" s="16">
        <f t="shared" si="2119"/>
        <v>93.925091352009744</v>
      </c>
      <c r="HV234" s="23">
        <v>4212</v>
      </c>
      <c r="HW234" s="22">
        <v>4460</v>
      </c>
      <c r="HX234" s="73">
        <f t="shared" si="2120"/>
        <v>0.56265508684863519</v>
      </c>
      <c r="HY234" s="73">
        <f t="shared" si="2121"/>
        <v>0.54816223067173642</v>
      </c>
      <c r="HZ234" s="73">
        <f t="shared" si="2122"/>
        <v>0.5438269302499068</v>
      </c>
      <c r="IA234" s="73">
        <f t="shared" si="2123"/>
        <v>0.56149157404087491</v>
      </c>
    </row>
    <row r="235" spans="1:244" x14ac:dyDescent="0.25">
      <c r="A235" s="374"/>
      <c r="B235" s="41">
        <f t="shared" si="2124"/>
        <v>45121</v>
      </c>
      <c r="C235" s="10"/>
      <c r="D235" s="11"/>
      <c r="E235" s="69">
        <f t="shared" si="2125"/>
        <v>816</v>
      </c>
      <c r="F235" s="69">
        <f t="shared" si="2126"/>
        <v>66</v>
      </c>
      <c r="G235" s="11">
        <v>450</v>
      </c>
      <c r="H235" s="12">
        <f t="shared" si="2076"/>
        <v>0.56862745098039214</v>
      </c>
      <c r="I235" s="11">
        <v>14</v>
      </c>
      <c r="J235" s="12">
        <f t="shared" si="2077"/>
        <v>3.017241379310345E-2</v>
      </c>
      <c r="K235" s="13"/>
      <c r="L235" s="11"/>
      <c r="M235" s="25">
        <v>4610.7894736842109</v>
      </c>
      <c r="N235" s="38">
        <v>4612</v>
      </c>
      <c r="O235" s="10"/>
      <c r="P235" s="11"/>
      <c r="Q235" s="69">
        <f t="shared" si="2127"/>
        <v>746</v>
      </c>
      <c r="R235" s="69">
        <f t="shared" si="2128"/>
        <v>60</v>
      </c>
      <c r="S235" s="11">
        <v>413</v>
      </c>
      <c r="T235" s="12">
        <f t="shared" si="2078"/>
        <v>0.57238605898123329</v>
      </c>
      <c r="U235" s="11">
        <v>14</v>
      </c>
      <c r="V235" s="12">
        <f t="shared" si="2079"/>
        <v>3.2786885245901641E-2</v>
      </c>
      <c r="W235" s="13"/>
      <c r="X235" s="11"/>
      <c r="Y235" s="25">
        <v>4863.913043478261</v>
      </c>
      <c r="Z235" s="38">
        <v>4890.833333333333</v>
      </c>
      <c r="AA235" s="10"/>
      <c r="AB235" s="11"/>
      <c r="AC235" s="69">
        <f t="shared" si="2129"/>
        <v>157</v>
      </c>
      <c r="AD235" s="69">
        <f t="shared" si="2130"/>
        <v>13</v>
      </c>
      <c r="AE235" s="11">
        <v>83</v>
      </c>
      <c r="AF235" s="12">
        <f t="shared" si="2080"/>
        <v>0.54140127388535031</v>
      </c>
      <c r="AG235" s="11">
        <v>2</v>
      </c>
      <c r="AH235" s="12">
        <f t="shared" si="2081"/>
        <v>2.3529411764705882E-2</v>
      </c>
      <c r="AI235" s="13"/>
      <c r="AJ235" s="11"/>
      <c r="AK235" s="25">
        <v>4834.545454545455</v>
      </c>
      <c r="AL235" s="38">
        <v>4442.5</v>
      </c>
      <c r="AM235" s="10">
        <v>1</v>
      </c>
      <c r="AN235" s="11"/>
      <c r="AO235" s="69">
        <f t="shared" si="2131"/>
        <v>755</v>
      </c>
      <c r="AP235" s="69">
        <f t="shared" si="2132"/>
        <v>61</v>
      </c>
      <c r="AQ235" s="11">
        <v>420</v>
      </c>
      <c r="AR235" s="12">
        <f t="shared" si="2082"/>
        <v>0.57483443708609272</v>
      </c>
      <c r="AS235" s="11">
        <v>14</v>
      </c>
      <c r="AT235" s="12">
        <f t="shared" si="2083"/>
        <v>3.2258064516129031E-2</v>
      </c>
      <c r="AU235" s="13"/>
      <c r="AV235" s="11"/>
      <c r="AW235" s="25">
        <v>4806.666666666667</v>
      </c>
      <c r="AX235" s="38">
        <v>4775.625</v>
      </c>
      <c r="AY235" s="10"/>
      <c r="AZ235" s="11"/>
      <c r="BA235" s="69">
        <f t="shared" si="2133"/>
        <v>749</v>
      </c>
      <c r="BB235" s="69">
        <f t="shared" si="2134"/>
        <v>60</v>
      </c>
      <c r="BC235" s="11">
        <v>409</v>
      </c>
      <c r="BD235" s="12">
        <f t="shared" si="2084"/>
        <v>0.55941255006675572</v>
      </c>
      <c r="BE235" s="11">
        <v>10</v>
      </c>
      <c r="BF235" s="12">
        <f t="shared" si="2085"/>
        <v>2.386634844868735E-2</v>
      </c>
      <c r="BG235" s="13"/>
      <c r="BH235" s="11"/>
      <c r="BI235" s="25">
        <v>4831.3157894736842</v>
      </c>
      <c r="BJ235" s="38">
        <v>4844.166666666667</v>
      </c>
      <c r="BK235" s="10"/>
      <c r="BL235" s="11"/>
      <c r="BM235" s="69">
        <f t="shared" si="2135"/>
        <v>807</v>
      </c>
      <c r="BN235" s="69">
        <f t="shared" si="2136"/>
        <v>64</v>
      </c>
      <c r="BO235" s="11">
        <v>428</v>
      </c>
      <c r="BP235" s="12">
        <f t="shared" si="2086"/>
        <v>0.53903345724907059</v>
      </c>
      <c r="BQ235" s="11">
        <v>7</v>
      </c>
      <c r="BR235" s="12">
        <f t="shared" si="2087"/>
        <v>1.6091954022988506E-2</v>
      </c>
      <c r="BS235" s="13"/>
      <c r="BT235" s="11"/>
      <c r="BU235" s="25">
        <v>1</v>
      </c>
      <c r="BV235" s="38">
        <v>4496.1538461538457</v>
      </c>
      <c r="BW235" s="10"/>
      <c r="BX235" s="11"/>
      <c r="BY235" s="69">
        <f t="shared" si="2137"/>
        <v>745</v>
      </c>
      <c r="BZ235" s="69">
        <f t="shared" si="2138"/>
        <v>59</v>
      </c>
      <c r="CA235" s="11">
        <v>387</v>
      </c>
      <c r="CB235" s="12">
        <f t="shared" si="2139"/>
        <v>0.53959731543624156</v>
      </c>
      <c r="CC235" s="11">
        <v>15</v>
      </c>
      <c r="CD235" s="12">
        <f t="shared" si="2088"/>
        <v>3.7313432835820892E-2</v>
      </c>
      <c r="CE235" s="13"/>
      <c r="CF235" s="11"/>
      <c r="CG235" s="25">
        <v>4760.2857142857147</v>
      </c>
      <c r="CH235" s="38">
        <v>4629.2307692307695</v>
      </c>
      <c r="CI235" s="10">
        <v>1</v>
      </c>
      <c r="CJ235" s="11"/>
      <c r="CK235" s="69">
        <f t="shared" si="2140"/>
        <v>135</v>
      </c>
      <c r="CL235" s="69">
        <f t="shared" si="2141"/>
        <v>12</v>
      </c>
      <c r="CM235" s="11">
        <v>55</v>
      </c>
      <c r="CN235" s="12">
        <f t="shared" si="2089"/>
        <v>0.42222222222222222</v>
      </c>
      <c r="CO235" s="11">
        <v>2</v>
      </c>
      <c r="CP235" s="12">
        <f t="shared" si="2090"/>
        <v>3.5087719298245612E-2</v>
      </c>
      <c r="CQ235" s="13"/>
      <c r="CR235" s="11"/>
      <c r="CS235" s="25">
        <v>4882.727272727273</v>
      </c>
      <c r="CT235" s="38">
        <v>4432.5</v>
      </c>
      <c r="CU235" s="10"/>
      <c r="CV235" s="11"/>
      <c r="CW235" s="69">
        <f t="shared" si="2142"/>
        <v>734</v>
      </c>
      <c r="CX235" s="69">
        <f t="shared" si="2143"/>
        <v>59</v>
      </c>
      <c r="CY235" s="11">
        <v>374</v>
      </c>
      <c r="CZ235" s="12">
        <f t="shared" si="2091"/>
        <v>0.51634877384196187</v>
      </c>
      <c r="DA235" s="11">
        <v>5</v>
      </c>
      <c r="DB235" s="12">
        <f t="shared" si="2092"/>
        <v>1.3192612137203167E-2</v>
      </c>
      <c r="DC235" s="13"/>
      <c r="DD235" s="11"/>
      <c r="DE235" s="25">
        <v>4724.6875</v>
      </c>
      <c r="DF235" s="38">
        <v>4856.666666666667</v>
      </c>
      <c r="DG235" s="10">
        <v>1</v>
      </c>
      <c r="DH235" s="11"/>
      <c r="DI235" s="69">
        <f t="shared" si="2144"/>
        <v>733</v>
      </c>
      <c r="DJ235" s="69">
        <f t="shared" si="2145"/>
        <v>59</v>
      </c>
      <c r="DK235" s="11">
        <v>411</v>
      </c>
      <c r="DL235" s="12">
        <f t="shared" si="2093"/>
        <v>0.57435197817189632</v>
      </c>
      <c r="DM235" s="11">
        <v>10</v>
      </c>
      <c r="DN235" s="12">
        <f t="shared" si="2094"/>
        <v>2.3752969121140142E-2</v>
      </c>
      <c r="DO235" s="13"/>
      <c r="DP235" s="11"/>
      <c r="DQ235" s="25">
        <v>4806</v>
      </c>
      <c r="DR235" s="38">
        <v>4799.090909090909</v>
      </c>
      <c r="DS235" s="10"/>
      <c r="DT235" s="11"/>
      <c r="DU235" s="69">
        <f t="shared" si="2146"/>
        <v>820</v>
      </c>
      <c r="DV235" s="69">
        <f t="shared" si="2147"/>
        <v>66</v>
      </c>
      <c r="DW235" s="11">
        <v>472</v>
      </c>
      <c r="DX235" s="12">
        <f t="shared" si="2095"/>
        <v>0.59268292682926826</v>
      </c>
      <c r="DY235" s="11">
        <v>14</v>
      </c>
      <c r="DZ235" s="12">
        <f t="shared" si="2096"/>
        <v>2.8806584362139918E-2</v>
      </c>
      <c r="EA235" s="13"/>
      <c r="EB235" s="11"/>
      <c r="EC235" s="25">
        <v>4903.4883720930229</v>
      </c>
      <c r="ED235" s="38">
        <v>4562.727272727273</v>
      </c>
      <c r="EE235" s="10"/>
      <c r="EF235" s="11"/>
      <c r="EG235" s="69">
        <f t="shared" si="2148"/>
        <v>843</v>
      </c>
      <c r="EH235" s="69">
        <f t="shared" si="2149"/>
        <v>67</v>
      </c>
      <c r="EI235" s="11">
        <v>465</v>
      </c>
      <c r="EJ235" s="12">
        <f t="shared" si="2097"/>
        <v>0.57532621589561095</v>
      </c>
      <c r="EK235" s="11">
        <v>20</v>
      </c>
      <c r="EL235" s="12">
        <f t="shared" si="2098"/>
        <v>4.1237113402061855E-2</v>
      </c>
      <c r="EM235" s="13"/>
      <c r="EN235" s="11"/>
      <c r="EO235" s="25">
        <v>4650.6976744186049</v>
      </c>
      <c r="EP235" s="38">
        <v>4859.2307692307695</v>
      </c>
      <c r="EQ235" s="10"/>
      <c r="ER235" s="11"/>
      <c r="ES235" s="69">
        <f t="shared" si="2150"/>
        <v>170</v>
      </c>
      <c r="ET235" s="69">
        <f t="shared" si="2151"/>
        <v>14</v>
      </c>
      <c r="EU235" s="11">
        <v>88</v>
      </c>
      <c r="EV235" s="12">
        <f t="shared" si="2099"/>
        <v>0.54117647058823526</v>
      </c>
      <c r="EW235" s="11">
        <v>4</v>
      </c>
      <c r="EX235" s="12">
        <f t="shared" si="2100"/>
        <v>4.3478260869565216E-2</v>
      </c>
      <c r="EY235" s="13"/>
      <c r="EZ235" s="11"/>
      <c r="FA235" s="25">
        <v>4759.090909090909</v>
      </c>
      <c r="FB235" s="38">
        <v>4080</v>
      </c>
      <c r="FC235" s="10"/>
      <c r="FD235" s="11"/>
      <c r="FE235" s="69">
        <f t="shared" si="2152"/>
        <v>848</v>
      </c>
      <c r="FF235" s="69">
        <f t="shared" si="2153"/>
        <v>67</v>
      </c>
      <c r="FG235" s="11">
        <v>471</v>
      </c>
      <c r="FH235" s="12">
        <f t="shared" si="2101"/>
        <v>0.57665094339622647</v>
      </c>
      <c r="FI235" s="11">
        <v>18</v>
      </c>
      <c r="FJ235" s="12">
        <f t="shared" si="2102"/>
        <v>3.6809815950920248E-2</v>
      </c>
      <c r="FK235" s="13"/>
      <c r="FL235" s="11"/>
      <c r="FM235" s="25">
        <v>4875.5102040816328</v>
      </c>
      <c r="FN235" s="38">
        <v>4882.8571428571431</v>
      </c>
      <c r="FO235" s="10"/>
      <c r="FP235" s="11"/>
      <c r="FQ235" s="69">
        <f t="shared" si="2154"/>
        <v>869</v>
      </c>
      <c r="FR235" s="69">
        <f t="shared" si="2155"/>
        <v>70</v>
      </c>
      <c r="FS235" s="11">
        <v>490</v>
      </c>
      <c r="FT235" s="12">
        <f t="shared" si="2103"/>
        <v>0.58918296892980437</v>
      </c>
      <c r="FU235" s="11">
        <v>22</v>
      </c>
      <c r="FV235" s="12">
        <f t="shared" si="2104"/>
        <v>4.296875E-2</v>
      </c>
      <c r="FW235" s="13"/>
      <c r="FX235" s="11"/>
      <c r="FY235" s="25">
        <v>5007.7777777777774</v>
      </c>
      <c r="FZ235" s="38">
        <v>4655</v>
      </c>
      <c r="GA235" s="10"/>
      <c r="GB235" s="11"/>
      <c r="GC235" s="69">
        <f t="shared" si="2156"/>
        <v>873</v>
      </c>
      <c r="GD235" s="69">
        <f t="shared" si="2157"/>
        <v>71</v>
      </c>
      <c r="GE235" s="11">
        <v>469</v>
      </c>
      <c r="GF235" s="12">
        <f t="shared" si="2105"/>
        <v>0.55670103092783507</v>
      </c>
      <c r="GG235" s="11">
        <v>17</v>
      </c>
      <c r="GH235" s="12">
        <f t="shared" si="2106"/>
        <v>3.4979423868312758E-2</v>
      </c>
      <c r="GI235" s="13"/>
      <c r="GJ235" s="11"/>
      <c r="GK235" s="25">
        <v>4702.5</v>
      </c>
      <c r="GL235" s="38">
        <v>4821.25</v>
      </c>
      <c r="GM235" s="10"/>
      <c r="GN235" s="11"/>
      <c r="GO235" s="69">
        <f t="shared" si="2158"/>
        <v>148</v>
      </c>
      <c r="GP235" s="69">
        <f t="shared" si="2159"/>
        <v>12</v>
      </c>
      <c r="GQ235" s="11">
        <v>68</v>
      </c>
      <c r="GR235" s="12">
        <f t="shared" si="2107"/>
        <v>0.48648648648648651</v>
      </c>
      <c r="GS235" s="11">
        <v>4</v>
      </c>
      <c r="GT235" s="12">
        <f t="shared" si="2108"/>
        <v>5.5555555555555552E-2</v>
      </c>
      <c r="GU235" s="13"/>
      <c r="GV235" s="11"/>
      <c r="GW235" s="25">
        <v>4740.833333333333</v>
      </c>
      <c r="GX235" s="38">
        <v>4522.5</v>
      </c>
      <c r="GY235" s="10"/>
      <c r="GZ235" s="11"/>
      <c r="HA235" s="69">
        <f t="shared" si="2160"/>
        <v>899</v>
      </c>
      <c r="HB235" s="69">
        <f t="shared" si="2161"/>
        <v>73</v>
      </c>
      <c r="HC235" s="11">
        <v>512</v>
      </c>
      <c r="HD235" s="12">
        <f t="shared" si="2109"/>
        <v>0.58954393770856506</v>
      </c>
      <c r="HE235" s="11">
        <v>18</v>
      </c>
      <c r="HF235" s="12">
        <f t="shared" si="2110"/>
        <v>3.3962264150943396E-2</v>
      </c>
      <c r="HG235" s="13"/>
      <c r="HH235" s="11"/>
      <c r="HI235" s="25">
        <v>4923.5</v>
      </c>
      <c r="HJ235" s="38">
        <v>5003.5714285714284</v>
      </c>
      <c r="HK235" s="10">
        <f t="shared" si="2111"/>
        <v>3</v>
      </c>
      <c r="HL235" s="11">
        <f t="shared" si="2112"/>
        <v>0</v>
      </c>
      <c r="HM235" s="11">
        <f t="shared" si="2113"/>
        <v>11847</v>
      </c>
      <c r="HN235" s="11">
        <f t="shared" si="2114"/>
        <v>953</v>
      </c>
      <c r="HO235" s="11">
        <f t="shared" si="2115"/>
        <v>6675</v>
      </c>
      <c r="HP235" s="95">
        <f t="shared" si="2116"/>
        <v>0.56343378070397565</v>
      </c>
      <c r="HQ235" s="15">
        <f t="shared" si="2117"/>
        <v>210</v>
      </c>
      <c r="HR235" s="12">
        <f t="shared" si="2118"/>
        <v>3.1460674157303373E-2</v>
      </c>
      <c r="HS235" s="16">
        <v>65</v>
      </c>
      <c r="HT235" s="17">
        <v>6284</v>
      </c>
      <c r="HU235" s="16">
        <f t="shared" si="2119"/>
        <v>94.142322097378269</v>
      </c>
      <c r="HV235" s="23">
        <v>4821.5798319327732</v>
      </c>
      <c r="HW235" s="22">
        <v>4739.0099009900987</v>
      </c>
      <c r="HX235" s="73">
        <f t="shared" si="2120"/>
        <v>0.56748371082842075</v>
      </c>
      <c r="HY235" s="73">
        <f t="shared" si="2121"/>
        <v>0.53709575142675969</v>
      </c>
      <c r="HZ235" s="73">
        <f t="shared" si="2122"/>
        <v>0.57888847444983216</v>
      </c>
      <c r="IA235" s="73">
        <f t="shared" si="2123"/>
        <v>0.57368232341340986</v>
      </c>
    </row>
    <row r="236" spans="1:244" x14ac:dyDescent="0.25">
      <c r="A236" s="374"/>
      <c r="B236" s="41">
        <f t="shared" si="2124"/>
        <v>45122</v>
      </c>
      <c r="C236" s="10"/>
      <c r="D236" s="11"/>
      <c r="E236" s="69">
        <f t="shared" si="2125"/>
        <v>816</v>
      </c>
      <c r="F236" s="69">
        <f t="shared" si="2126"/>
        <v>66</v>
      </c>
      <c r="G236" s="11">
        <v>438</v>
      </c>
      <c r="H236" s="12">
        <f t="shared" si="2076"/>
        <v>0.55882352941176472</v>
      </c>
      <c r="I236" s="11">
        <v>18</v>
      </c>
      <c r="J236" s="12">
        <f t="shared" si="2077"/>
        <v>3.9473684210526314E-2</v>
      </c>
      <c r="K236" s="13"/>
      <c r="L236" s="11"/>
      <c r="M236" s="39">
        <v>94.736842105263165</v>
      </c>
      <c r="N236" s="43">
        <v>100</v>
      </c>
      <c r="O236" s="10"/>
      <c r="P236" s="11"/>
      <c r="Q236" s="69">
        <f t="shared" si="2127"/>
        <v>746</v>
      </c>
      <c r="R236" s="69">
        <f t="shared" si="2128"/>
        <v>60</v>
      </c>
      <c r="S236" s="11">
        <v>407</v>
      </c>
      <c r="T236" s="12">
        <f t="shared" si="2078"/>
        <v>0.55630026809651478</v>
      </c>
      <c r="U236" s="11">
        <v>8</v>
      </c>
      <c r="V236" s="12">
        <f t="shared" si="2079"/>
        <v>1.9277108433734941E-2</v>
      </c>
      <c r="W236" s="13"/>
      <c r="X236" s="11"/>
      <c r="Y236" s="39">
        <v>84.782608695652172</v>
      </c>
      <c r="Z236" s="43">
        <v>100</v>
      </c>
      <c r="AA236" s="10"/>
      <c r="AB236" s="11"/>
      <c r="AC236" s="69">
        <f t="shared" si="2129"/>
        <v>157</v>
      </c>
      <c r="AD236" s="69">
        <f t="shared" si="2130"/>
        <v>13</v>
      </c>
      <c r="AE236" s="11">
        <v>79</v>
      </c>
      <c r="AF236" s="12">
        <f t="shared" si="2080"/>
        <v>0.5286624203821656</v>
      </c>
      <c r="AG236" s="11">
        <v>4</v>
      </c>
      <c r="AH236" s="12">
        <f t="shared" si="2081"/>
        <v>4.8192771084337352E-2</v>
      </c>
      <c r="AI236" s="13"/>
      <c r="AJ236" s="11"/>
      <c r="AK236" s="39">
        <v>100</v>
      </c>
      <c r="AL236" s="43">
        <v>100</v>
      </c>
      <c r="AM236" s="10"/>
      <c r="AN236" s="11"/>
      <c r="AO236" s="69">
        <f t="shared" si="2131"/>
        <v>755</v>
      </c>
      <c r="AP236" s="69">
        <f t="shared" si="2132"/>
        <v>61</v>
      </c>
      <c r="AQ236" s="11">
        <v>424</v>
      </c>
      <c r="AR236" s="12">
        <f t="shared" si="2082"/>
        <v>0.57218543046357617</v>
      </c>
      <c r="AS236" s="11">
        <v>8</v>
      </c>
      <c r="AT236" s="12">
        <f t="shared" si="2083"/>
        <v>1.8518518518518517E-2</v>
      </c>
      <c r="AU236" s="13"/>
      <c r="AV236" s="11"/>
      <c r="AW236" s="39">
        <v>74.358974358974365</v>
      </c>
      <c r="AX236" s="43">
        <v>100</v>
      </c>
      <c r="AY236" s="10">
        <v>1</v>
      </c>
      <c r="AZ236" s="11"/>
      <c r="BA236" s="69">
        <f t="shared" si="2133"/>
        <v>748</v>
      </c>
      <c r="BB236" s="69">
        <f t="shared" si="2134"/>
        <v>60</v>
      </c>
      <c r="BC236" s="11">
        <v>423</v>
      </c>
      <c r="BD236" s="12">
        <f t="shared" si="2084"/>
        <v>0.58422459893048129</v>
      </c>
      <c r="BE236" s="11">
        <v>14</v>
      </c>
      <c r="BF236" s="12">
        <f t="shared" si="2085"/>
        <v>3.2036613272311214E-2</v>
      </c>
      <c r="BG236" s="13"/>
      <c r="BH236" s="11"/>
      <c r="BI236" s="39">
        <v>84.21052631578948</v>
      </c>
      <c r="BJ236" s="43">
        <v>100</v>
      </c>
      <c r="BK236" s="10"/>
      <c r="BL236" s="11"/>
      <c r="BM236" s="69">
        <f t="shared" si="2135"/>
        <v>807</v>
      </c>
      <c r="BN236" s="69">
        <f t="shared" si="2136"/>
        <v>64</v>
      </c>
      <c r="BO236" s="11">
        <v>438</v>
      </c>
      <c r="BP236" s="12">
        <f t="shared" si="2086"/>
        <v>0.56257744733581161</v>
      </c>
      <c r="BQ236" s="11">
        <v>16</v>
      </c>
      <c r="BR236" s="12">
        <f t="shared" si="2087"/>
        <v>3.5242290748898682E-2</v>
      </c>
      <c r="BS236" s="13"/>
      <c r="BT236" s="11"/>
      <c r="BU236" s="39">
        <v>1</v>
      </c>
      <c r="BV236" s="43">
        <v>100</v>
      </c>
      <c r="BW236" s="10"/>
      <c r="BX236" s="11"/>
      <c r="BY236" s="69">
        <f t="shared" si="2137"/>
        <v>745</v>
      </c>
      <c r="BZ236" s="69">
        <f t="shared" si="2138"/>
        <v>59</v>
      </c>
      <c r="CA236" s="11">
        <v>396</v>
      </c>
      <c r="CB236" s="12">
        <f t="shared" si="2139"/>
        <v>0.54228187919463089</v>
      </c>
      <c r="CC236" s="11">
        <v>8</v>
      </c>
      <c r="CD236" s="12">
        <f t="shared" si="2088"/>
        <v>1.9801980198019802E-2</v>
      </c>
      <c r="CE236" s="13"/>
      <c r="CF236" s="11"/>
      <c r="CG236" s="39">
        <v>88.571428571428569</v>
      </c>
      <c r="CH236" s="43">
        <v>92.307692307692307</v>
      </c>
      <c r="CI236" s="10">
        <v>1</v>
      </c>
      <c r="CJ236" s="11"/>
      <c r="CK236" s="69">
        <f t="shared" si="2140"/>
        <v>134</v>
      </c>
      <c r="CL236" s="69">
        <f t="shared" si="2141"/>
        <v>12</v>
      </c>
      <c r="CM236" s="11">
        <v>60</v>
      </c>
      <c r="CN236" s="12">
        <f t="shared" si="2089"/>
        <v>0.48507462686567165</v>
      </c>
      <c r="CO236" s="11">
        <v>5</v>
      </c>
      <c r="CP236" s="12">
        <f t="shared" si="2090"/>
        <v>7.6923076923076927E-2</v>
      </c>
      <c r="CQ236" s="13"/>
      <c r="CR236" s="11"/>
      <c r="CS236" s="39">
        <v>81.818181818181813</v>
      </c>
      <c r="CT236" s="43">
        <v>100</v>
      </c>
      <c r="CU236" s="10"/>
      <c r="CV236" s="11"/>
      <c r="CW236" s="69">
        <f t="shared" si="2142"/>
        <v>734</v>
      </c>
      <c r="CX236" s="69">
        <f t="shared" si="2143"/>
        <v>59</v>
      </c>
      <c r="CY236" s="11">
        <v>386</v>
      </c>
      <c r="CZ236" s="12">
        <f t="shared" si="2091"/>
        <v>0.53542234332425065</v>
      </c>
      <c r="DA236" s="11">
        <v>7</v>
      </c>
      <c r="DB236" s="12">
        <f t="shared" si="2092"/>
        <v>1.7811704834605598E-2</v>
      </c>
      <c r="DC236" s="13"/>
      <c r="DD236" s="11"/>
      <c r="DE236" s="39">
        <v>100</v>
      </c>
      <c r="DF236" s="43">
        <v>100</v>
      </c>
      <c r="DG236" s="10"/>
      <c r="DH236" s="11"/>
      <c r="DI236" s="69">
        <f t="shared" si="2144"/>
        <v>733</v>
      </c>
      <c r="DJ236" s="69">
        <f t="shared" si="2145"/>
        <v>59</v>
      </c>
      <c r="DK236" s="11">
        <v>380</v>
      </c>
      <c r="DL236" s="12">
        <f t="shared" si="2093"/>
        <v>0.53206002728512958</v>
      </c>
      <c r="DM236" s="11">
        <v>10</v>
      </c>
      <c r="DN236" s="12">
        <f t="shared" si="2094"/>
        <v>2.564102564102564E-2</v>
      </c>
      <c r="DO236" s="13"/>
      <c r="DP236" s="11"/>
      <c r="DQ236" s="39">
        <v>75</v>
      </c>
      <c r="DR236" s="43">
        <v>100</v>
      </c>
      <c r="DS236" s="10"/>
      <c r="DT236" s="11"/>
      <c r="DU236" s="69">
        <f t="shared" si="2146"/>
        <v>820</v>
      </c>
      <c r="DV236" s="69">
        <f t="shared" si="2147"/>
        <v>66</v>
      </c>
      <c r="DW236" s="11">
        <v>419</v>
      </c>
      <c r="DX236" s="12">
        <f t="shared" si="2095"/>
        <v>0.53536585365853662</v>
      </c>
      <c r="DY236" s="11">
        <v>20</v>
      </c>
      <c r="DZ236" s="12">
        <f t="shared" si="2096"/>
        <v>4.5558086560364468E-2</v>
      </c>
      <c r="EA236" s="13"/>
      <c r="EB236" s="11"/>
      <c r="EC236" s="39">
        <v>81.395348837209298</v>
      </c>
      <c r="ED236" s="43">
        <v>100</v>
      </c>
      <c r="EE236" s="10"/>
      <c r="EF236" s="11"/>
      <c r="EG236" s="69">
        <f t="shared" si="2148"/>
        <v>843</v>
      </c>
      <c r="EH236" s="69">
        <f t="shared" si="2149"/>
        <v>67</v>
      </c>
      <c r="EI236" s="11">
        <v>463</v>
      </c>
      <c r="EJ236" s="12">
        <f t="shared" si="2097"/>
        <v>0.57651245551601427</v>
      </c>
      <c r="EK236" s="11">
        <v>23</v>
      </c>
      <c r="EL236" s="12">
        <f t="shared" si="2098"/>
        <v>4.7325102880658436E-2</v>
      </c>
      <c r="EM236" s="13"/>
      <c r="EN236" s="11"/>
      <c r="EO236" s="39">
        <v>81.395348837209298</v>
      </c>
      <c r="EP236" s="43">
        <v>100</v>
      </c>
      <c r="EQ236" s="10">
        <v>1</v>
      </c>
      <c r="ER236" s="11"/>
      <c r="ES236" s="69">
        <f t="shared" si="2150"/>
        <v>169</v>
      </c>
      <c r="ET236" s="69">
        <f t="shared" si="2151"/>
        <v>14</v>
      </c>
      <c r="EU236" s="11">
        <v>78</v>
      </c>
      <c r="EV236" s="12">
        <f t="shared" si="2099"/>
        <v>0.46745562130177515</v>
      </c>
      <c r="EW236" s="11">
        <v>1</v>
      </c>
      <c r="EX236" s="12">
        <f t="shared" si="2100"/>
        <v>1.2658227848101266E-2</v>
      </c>
      <c r="EY236" s="13"/>
      <c r="EZ236" s="11"/>
      <c r="FA236" s="39">
        <v>63.636363636363633</v>
      </c>
      <c r="FB236" s="43">
        <v>100</v>
      </c>
      <c r="FC236" s="10"/>
      <c r="FD236" s="11"/>
      <c r="FE236" s="69">
        <f t="shared" si="2152"/>
        <v>848</v>
      </c>
      <c r="FF236" s="69">
        <f t="shared" si="2153"/>
        <v>67</v>
      </c>
      <c r="FG236" s="11">
        <v>467</v>
      </c>
      <c r="FH236" s="12">
        <f t="shared" si="2101"/>
        <v>0.56603773584905659</v>
      </c>
      <c r="FI236" s="11">
        <v>13</v>
      </c>
      <c r="FJ236" s="12">
        <f t="shared" si="2102"/>
        <v>2.7083333333333334E-2</v>
      </c>
      <c r="FK236" s="13"/>
      <c r="FL236" s="11"/>
      <c r="FM236" s="39">
        <v>75.510204081632651</v>
      </c>
      <c r="FN236" s="43">
        <v>100</v>
      </c>
      <c r="FO236" s="10"/>
      <c r="FP236" s="11"/>
      <c r="FQ236" s="69">
        <f t="shared" si="2154"/>
        <v>869</v>
      </c>
      <c r="FR236" s="69">
        <f t="shared" si="2155"/>
        <v>70</v>
      </c>
      <c r="FS236" s="11">
        <v>441</v>
      </c>
      <c r="FT236" s="12">
        <f t="shared" si="2103"/>
        <v>0.52359033371691599</v>
      </c>
      <c r="FU236" s="11">
        <v>14</v>
      </c>
      <c r="FV236" s="12">
        <f t="shared" si="2104"/>
        <v>3.0769230769230771E-2</v>
      </c>
      <c r="FW236" s="13"/>
      <c r="FX236" s="11"/>
      <c r="FY236" s="39">
        <v>82.222222222222229</v>
      </c>
      <c r="FZ236" s="43">
        <v>100</v>
      </c>
      <c r="GA236" s="10"/>
      <c r="GB236" s="11"/>
      <c r="GC236" s="69">
        <f t="shared" si="2156"/>
        <v>873</v>
      </c>
      <c r="GD236" s="69">
        <f t="shared" si="2157"/>
        <v>71</v>
      </c>
      <c r="GE236" s="11">
        <v>477</v>
      </c>
      <c r="GF236" s="12">
        <f t="shared" si="2105"/>
        <v>0.55784650630011456</v>
      </c>
      <c r="GG236" s="11">
        <v>10</v>
      </c>
      <c r="GH236" s="12">
        <f t="shared" si="2106"/>
        <v>2.0533880903490759E-2</v>
      </c>
      <c r="GI236" s="13"/>
      <c r="GJ236" s="11"/>
      <c r="GK236" s="39">
        <v>72.916666666666671</v>
      </c>
      <c r="GL236" s="43">
        <v>100</v>
      </c>
      <c r="GM236" s="10"/>
      <c r="GN236" s="11"/>
      <c r="GO236" s="69">
        <f t="shared" si="2158"/>
        <v>148</v>
      </c>
      <c r="GP236" s="69">
        <f t="shared" si="2159"/>
        <v>12</v>
      </c>
      <c r="GQ236" s="11">
        <v>69</v>
      </c>
      <c r="GR236" s="12">
        <f t="shared" si="2107"/>
        <v>0.47972972972972971</v>
      </c>
      <c r="GS236" s="11">
        <v>2</v>
      </c>
      <c r="GT236" s="12">
        <f t="shared" si="2108"/>
        <v>2.8169014084507043E-2</v>
      </c>
      <c r="GU236" s="13"/>
      <c r="GV236" s="11"/>
      <c r="GW236" s="39">
        <v>91.666666666666671</v>
      </c>
      <c r="GX236" s="43">
        <v>100</v>
      </c>
      <c r="GY236" s="10"/>
      <c r="GZ236" s="11"/>
      <c r="HA236" s="69">
        <f t="shared" si="2160"/>
        <v>899</v>
      </c>
      <c r="HB236" s="69">
        <f t="shared" si="2161"/>
        <v>73</v>
      </c>
      <c r="HC236" s="11">
        <v>484</v>
      </c>
      <c r="HD236" s="12">
        <f t="shared" si="2109"/>
        <v>0.56062291434927702</v>
      </c>
      <c r="HE236" s="11">
        <v>20</v>
      </c>
      <c r="HF236" s="12">
        <f t="shared" si="2110"/>
        <v>3.968253968253968E-2</v>
      </c>
      <c r="HG236" s="13"/>
      <c r="HH236" s="11"/>
      <c r="HI236" s="39">
        <v>85</v>
      </c>
      <c r="HJ236" s="43">
        <v>100</v>
      </c>
      <c r="HK236" s="10">
        <f t="shared" si="2111"/>
        <v>3</v>
      </c>
      <c r="HL236" s="11">
        <f t="shared" si="2112"/>
        <v>0</v>
      </c>
      <c r="HM236" s="11">
        <f t="shared" si="2113"/>
        <v>11844</v>
      </c>
      <c r="HN236" s="11">
        <f t="shared" si="2114"/>
        <v>953</v>
      </c>
      <c r="HO236" s="11">
        <f t="shared" si="2115"/>
        <v>6530</v>
      </c>
      <c r="HP236" s="95">
        <f t="shared" si="2116"/>
        <v>0.55133400878081729</v>
      </c>
      <c r="HQ236" s="15">
        <f t="shared" si="2117"/>
        <v>201</v>
      </c>
      <c r="HR236" s="12">
        <f t="shared" si="2118"/>
        <v>3.0781010719754975E-2</v>
      </c>
      <c r="HS236" s="16">
        <v>65.3</v>
      </c>
      <c r="HT236" s="17">
        <v>6195</v>
      </c>
      <c r="HU236" s="16">
        <f t="shared" si="2119"/>
        <v>94.869831546707502</v>
      </c>
      <c r="HV236" s="23">
        <v>78.151260504201687</v>
      </c>
      <c r="HW236" s="22">
        <v>94.059405940594061</v>
      </c>
      <c r="HX236" s="73">
        <f t="shared" si="2120"/>
        <v>0.56579764121663567</v>
      </c>
      <c r="HY236" s="73">
        <f t="shared" si="2121"/>
        <v>0.54107199492546776</v>
      </c>
      <c r="HZ236" s="73">
        <f t="shared" si="2122"/>
        <v>0.55373134328358209</v>
      </c>
      <c r="IA236" s="73">
        <f t="shared" si="2123"/>
        <v>0.54392255288633917</v>
      </c>
      <c r="IF236" s="85">
        <f>IF237/IF238</f>
        <v>1.5494267121165168E-3</v>
      </c>
      <c r="IG236" s="85">
        <f>IG237/IG238</f>
        <v>2.8462998102466793E-3</v>
      </c>
      <c r="IH236" s="85">
        <f>IH237/IH238</f>
        <v>1.8621973929236499E-3</v>
      </c>
      <c r="II236" s="85">
        <f>II237/II238</f>
        <v>1.4321518080916578E-3</v>
      </c>
      <c r="IJ236" s="88" t="s">
        <v>90</v>
      </c>
    </row>
    <row r="237" spans="1:244" ht="19.5" thickBot="1" x14ac:dyDescent="0.3">
      <c r="A237" s="374"/>
      <c r="B237" s="42"/>
      <c r="C237" s="26">
        <f>SUM(C230:C236)</f>
        <v>0</v>
      </c>
      <c r="D237" s="27">
        <f>SUM(D230:D236)</f>
        <v>0</v>
      </c>
      <c r="E237" s="27"/>
      <c r="F237" s="27"/>
      <c r="G237" s="27">
        <f>SUM(G230:G236)</f>
        <v>3054</v>
      </c>
      <c r="H237" s="28">
        <f>((G237+I237)/7)/E236</f>
        <v>0.55217086834733886</v>
      </c>
      <c r="I237" s="27">
        <f>SUM(I230:I236)</f>
        <v>100</v>
      </c>
      <c r="J237" s="28">
        <f>(I237/(I237+G237))</f>
        <v>3.1705770450221937E-2</v>
      </c>
      <c r="K237" s="27"/>
      <c r="L237" s="27"/>
      <c r="M237" s="29">
        <f>M235/M234*100-100</f>
        <v>9.4679362223222086</v>
      </c>
      <c r="N237" s="67">
        <f>N235/N234*100-100</f>
        <v>3.4080717488789105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2804</v>
      </c>
      <c r="T237" s="28">
        <f>((S237+U237)/7)/Q236</f>
        <v>0.55706625813864419</v>
      </c>
      <c r="U237" s="27">
        <f>SUM(U230:U236)</f>
        <v>105</v>
      </c>
      <c r="V237" s="28">
        <f>(U237/(U237+S237))</f>
        <v>3.6094877964936406E-2</v>
      </c>
      <c r="W237" s="27"/>
      <c r="X237" s="27"/>
      <c r="Y237" s="29">
        <f>Y235/Y234*100-100</f>
        <v>15.477517651430702</v>
      </c>
      <c r="Z237" s="67">
        <f>Z235/Z234*100-100</f>
        <v>9.6599402092675462</v>
      </c>
      <c r="AA237" s="26">
        <f>SUM(AA230:AA236)</f>
        <v>0</v>
      </c>
      <c r="AB237" s="27">
        <f>SUM(AB230:AB236)</f>
        <v>0</v>
      </c>
      <c r="AC237" s="27"/>
      <c r="AD237" s="27"/>
      <c r="AE237" s="27">
        <f>SUM(AE230:AE236)</f>
        <v>542</v>
      </c>
      <c r="AF237" s="28">
        <f>((AE237+AG237)/7)/AC236</f>
        <v>0.51319381255686991</v>
      </c>
      <c r="AG237" s="27">
        <f>SUM(AG230:AG236)</f>
        <v>22</v>
      </c>
      <c r="AH237" s="28">
        <f>(AG237/(AG237+AE237))</f>
        <v>3.9007092198581561E-2</v>
      </c>
      <c r="AI237" s="27"/>
      <c r="AJ237" s="27"/>
      <c r="AK237" s="29">
        <f>AK235/AK234*100-100</f>
        <v>14.780281446948123</v>
      </c>
      <c r="AL237" s="67">
        <f>AL235/AL234*100-100</f>
        <v>-0.39237668161435124</v>
      </c>
      <c r="AM237" s="26">
        <f>SUM(AM230:AM236)</f>
        <v>2</v>
      </c>
      <c r="AN237" s="27">
        <f>SUM(AN230:AN236)</f>
        <v>0</v>
      </c>
      <c r="AO237" s="27"/>
      <c r="AP237" s="27"/>
      <c r="AQ237" s="27">
        <f>SUM(AQ230:AQ236)</f>
        <v>2881</v>
      </c>
      <c r="AR237" s="28">
        <f>((AQ237+AS237)/7)/AO236</f>
        <v>0.56026490066225165</v>
      </c>
      <c r="AS237" s="27">
        <f>SUM(AS230:AS236)</f>
        <v>80</v>
      </c>
      <c r="AT237" s="28">
        <f>(AS237/(AS237+AQ237))</f>
        <v>2.7017899358324889E-2</v>
      </c>
      <c r="AU237" s="27"/>
      <c r="AV237" s="27"/>
      <c r="AW237" s="29">
        <f>AW235/AW234*100-100</f>
        <v>14.118391896169683</v>
      </c>
      <c r="AX237" s="67">
        <f>AX235/AX234*100-100</f>
        <v>7.0767937219730896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2979</v>
      </c>
      <c r="BD237" s="28">
        <f>((BC237+BE237)/7)/BA236</f>
        <v>0.58766233766233766</v>
      </c>
      <c r="BE237" s="27">
        <f>SUM(BE230:BE236)</f>
        <v>98</v>
      </c>
      <c r="BF237" s="28">
        <f>(BE237/(BE237+BC237))</f>
        <v>3.184920376990575E-2</v>
      </c>
      <c r="BG237" s="27"/>
      <c r="BH237" s="27"/>
      <c r="BI237" s="29">
        <f>BI235/BI234*100-100</f>
        <v>14.703603738691456</v>
      </c>
      <c r="BJ237" s="67">
        <f>BJ235/BJ234*100-100</f>
        <v>8.6136023916292999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2992</v>
      </c>
      <c r="BP237" s="28">
        <f>((BO237+BQ237)/7)/BM236</f>
        <v>0.5446981766684369</v>
      </c>
      <c r="BQ237" s="27">
        <f>SUM(BQ230:BQ236)</f>
        <v>85</v>
      </c>
      <c r="BR237" s="28">
        <f>(BQ237/(BQ237+BO237))</f>
        <v>2.7624309392265192E-2</v>
      </c>
      <c r="BS237" s="27"/>
      <c r="BT237" s="27"/>
      <c r="BU237" s="29">
        <f>BU235/BU234*100-100</f>
        <v>-99.976258309591643</v>
      </c>
      <c r="BV237" s="67">
        <f>BV235/BV234*100-100</f>
        <v>0.8106243532252364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2695</v>
      </c>
      <c r="CB237" s="28">
        <f>((CA237+CC237)/7)/BY236</f>
        <v>0.53499520613614571</v>
      </c>
      <c r="CC237" s="27">
        <f>SUM(CC230:CC236)</f>
        <v>95</v>
      </c>
      <c r="CD237" s="28">
        <f>(CC237/(CC237+CA237))</f>
        <v>3.4050179211469536E-2</v>
      </c>
      <c r="CE237" s="27"/>
      <c r="CF237" s="27"/>
      <c r="CG237" s="29">
        <f>CG235/CG234*100-100</f>
        <v>13.01722968389636</v>
      </c>
      <c r="CH237" s="67">
        <f>CH235/CH234*100-100</f>
        <v>3.7944118661607433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396</v>
      </c>
      <c r="CN237" s="28">
        <f>((CM237+CO237)/7)/CK236</f>
        <v>0.45202558635394458</v>
      </c>
      <c r="CO237" s="27">
        <f>SUM(CO230:CO236)</f>
        <v>28</v>
      </c>
      <c r="CP237" s="28">
        <f>(CO237/(CO237+CM237))</f>
        <v>6.6037735849056603E-2</v>
      </c>
      <c r="CQ237" s="27"/>
      <c r="CR237" s="27"/>
      <c r="CS237" s="29">
        <f>CS235/CS234*100-100</f>
        <v>15.924199257532592</v>
      </c>
      <c r="CT237" s="67">
        <f>CT235/CT234*100-100</f>
        <v>-0.61659192825112541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2631</v>
      </c>
      <c r="CZ237" s="28">
        <f>((CY237+DA237)/7)/CW236</f>
        <v>0.52413390424289608</v>
      </c>
      <c r="DA237" s="27">
        <f>SUM(DA230:DA236)</f>
        <v>62</v>
      </c>
      <c r="DB237" s="28">
        <f>(DA237/(DA237+CY237))</f>
        <v>2.3022651318232456E-2</v>
      </c>
      <c r="DC237" s="27"/>
      <c r="DD237" s="27"/>
      <c r="DE237" s="29">
        <f>DE235/DE234*100-100</f>
        <v>12.17206790123457</v>
      </c>
      <c r="DF237" s="67">
        <f>DF235/DF234*100-100</f>
        <v>8.8938714499252569</v>
      </c>
      <c r="DG237" s="26">
        <f>SUM(DG230:DG236)</f>
        <v>3</v>
      </c>
      <c r="DH237" s="27">
        <f>SUM(DH230:DH236)</f>
        <v>0</v>
      </c>
      <c r="DI237" s="27"/>
      <c r="DJ237" s="27"/>
      <c r="DK237" s="27">
        <f>SUM(DK230:DK236)</f>
        <v>2837</v>
      </c>
      <c r="DL237" s="28">
        <f>((DK237+DM237)/7)/DI236</f>
        <v>0.56753069577080495</v>
      </c>
      <c r="DM237" s="27">
        <f>SUM(DM230:DM236)</f>
        <v>75</v>
      </c>
      <c r="DN237" s="28">
        <f>(DM237/(DM237+DK237))</f>
        <v>2.5755494505494504E-2</v>
      </c>
      <c r="DO237" s="27"/>
      <c r="DP237" s="27"/>
      <c r="DQ237" s="29">
        <f>DQ235/DQ234*100-100</f>
        <v>14.102564102564102</v>
      </c>
      <c r="DR237" s="67">
        <f>DR235/DR234*100-100</f>
        <v>7.6029351814105155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2999</v>
      </c>
      <c r="DX237" s="28">
        <f>((DW237+DY237)/7)/DU236</f>
        <v>0.54355400696864109</v>
      </c>
      <c r="DY237" s="27">
        <f>SUM(DY230:DY236)</f>
        <v>121</v>
      </c>
      <c r="DZ237" s="28">
        <f>(DY237/(DY237+DW237))</f>
        <v>3.8782051282051283E-2</v>
      </c>
      <c r="EA237" s="27"/>
      <c r="EB237" s="27"/>
      <c r="EC237" s="29">
        <f>EC235/EC234*100-100</f>
        <v>16.417102851211368</v>
      </c>
      <c r="ED237" s="67">
        <f>ED235/ED234*100-100</f>
        <v>2.3033020790868477</v>
      </c>
      <c r="EE237" s="26">
        <f>SUM(EE230:EE236)</f>
        <v>1</v>
      </c>
      <c r="EF237" s="27">
        <f>SUM(EF230:EF236)</f>
        <v>0</v>
      </c>
      <c r="EG237" s="27"/>
      <c r="EH237" s="27"/>
      <c r="EI237" s="27">
        <f>SUM(EI230:EI236)</f>
        <v>3164</v>
      </c>
      <c r="EJ237" s="28">
        <f>((EI237+EK237)/7)/EG236</f>
        <v>0.55753262158956107</v>
      </c>
      <c r="EK237" s="27">
        <f>SUM(EK230:EK236)</f>
        <v>126</v>
      </c>
      <c r="EL237" s="28">
        <f>(EK237/(EK237+EI237))</f>
        <v>3.8297872340425532E-2</v>
      </c>
      <c r="EM237" s="27"/>
      <c r="EN237" s="27"/>
      <c r="EO237" s="29">
        <f>EO235/EO234*100-100</f>
        <v>10.415424368912738</v>
      </c>
      <c r="EP237" s="67">
        <f>EP235/EP234*100-100</f>
        <v>8.9513625388064781</v>
      </c>
      <c r="EQ237" s="26">
        <f>SUM(EQ230:EQ236)</f>
        <v>2</v>
      </c>
      <c r="ER237" s="27">
        <f>SUM(ER230:ER236)</f>
        <v>0</v>
      </c>
      <c r="ES237" s="27"/>
      <c r="ET237" s="27"/>
      <c r="EU237" s="27">
        <f>SUM(EU230:EU236)</f>
        <v>575</v>
      </c>
      <c r="EV237" s="28">
        <f>((EU237+EW237)/7)/ES236</f>
        <v>0.50972104818258657</v>
      </c>
      <c r="EW237" s="27">
        <f>SUM(EW230:EW236)</f>
        <v>28</v>
      </c>
      <c r="EX237" s="28">
        <f>(EW237/(EW237+EU237))</f>
        <v>4.6434494195688222E-2</v>
      </c>
      <c r="EY237" s="27"/>
      <c r="EZ237" s="27"/>
      <c r="FA237" s="29">
        <f>FA235/FA234*100-100</f>
        <v>12.988862988862991</v>
      </c>
      <c r="FB237" s="67">
        <f>FB235/FB234*100-100</f>
        <v>-8.5201793721973047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3256</v>
      </c>
      <c r="FH237" s="28">
        <f>((FG237+FI237)/7)/FE236</f>
        <v>0.56553234501347704</v>
      </c>
      <c r="FI237" s="27">
        <f>SUM(FI230:FI236)</f>
        <v>101</v>
      </c>
      <c r="FJ237" s="28">
        <f>(FI237/(FI237+FG237))</f>
        <v>3.0086386654751267E-2</v>
      </c>
      <c r="FK237" s="27"/>
      <c r="FL237" s="27"/>
      <c r="FM237" s="29">
        <f>FM235/FM234*100-100</f>
        <v>15.752853848091945</v>
      </c>
      <c r="FN237" s="67">
        <f>FN235/FN234*100-100</f>
        <v>9.4811018577834858</v>
      </c>
      <c r="FO237" s="26">
        <f>SUM(FO230:FO236)</f>
        <v>2</v>
      </c>
      <c r="FP237" s="27">
        <f>SUM(FP230:FP236)</f>
        <v>0</v>
      </c>
      <c r="FQ237" s="27"/>
      <c r="FR237" s="27"/>
      <c r="FS237" s="27">
        <f>SUM(FS230:FS236)</f>
        <v>3144</v>
      </c>
      <c r="FT237" s="28">
        <f>((FS237+FU237)/7)/FQ236</f>
        <v>0.53953641295413446</v>
      </c>
      <c r="FU237" s="27">
        <f>SUM(FU230:FU236)</f>
        <v>138</v>
      </c>
      <c r="FV237" s="28">
        <f>(FU237/(FU237+FS237))</f>
        <v>4.2047531992687383E-2</v>
      </c>
      <c r="FW237" s="27"/>
      <c r="FX237" s="27"/>
      <c r="FY237" s="29">
        <f>FY235/FY234*100-100</f>
        <v>18.893109633850358</v>
      </c>
      <c r="FZ237" s="67">
        <f>FZ235/FZ234*100-100</f>
        <v>4.3721973094170465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3321</v>
      </c>
      <c r="GF237" s="28">
        <f>((GE237+GG237)/7)/GC236</f>
        <v>0.5609556537391589</v>
      </c>
      <c r="GG237" s="27">
        <f>SUM(GG230:GG236)</f>
        <v>107</v>
      </c>
      <c r="GH237" s="28">
        <f>(GG237/(GG237+GE237))</f>
        <v>3.1213535589264877E-2</v>
      </c>
      <c r="GI237" s="27"/>
      <c r="GJ237" s="27"/>
      <c r="GK237" s="29">
        <f>GK235/GK234*100-100</f>
        <v>11.645299145299148</v>
      </c>
      <c r="GL237" s="67">
        <f>GL235/GL234*100-100</f>
        <v>8.099775784753362</v>
      </c>
      <c r="GM237" s="26">
        <f>SUM(GM230:GM236)</f>
        <v>1</v>
      </c>
      <c r="GN237" s="27">
        <f>SUM(GN230:GN236)</f>
        <v>0</v>
      </c>
      <c r="GO237" s="27"/>
      <c r="GP237" s="27"/>
      <c r="GQ237" s="27">
        <f>SUM(GQ230:GQ236)</f>
        <v>490</v>
      </c>
      <c r="GR237" s="28">
        <f>((GQ237+GS237)/7)/GO236</f>
        <v>0.49420849420849416</v>
      </c>
      <c r="GS237" s="27">
        <f>SUM(GS230:GS236)</f>
        <v>22</v>
      </c>
      <c r="GT237" s="28">
        <f>(GS237/(GS237+GQ237))</f>
        <v>4.296875E-2</v>
      </c>
      <c r="GU237" s="27"/>
      <c r="GV237" s="27"/>
      <c r="GW237" s="29">
        <f>GW235/GW234*100-100</f>
        <v>12.555397277619491</v>
      </c>
      <c r="GX237" s="67">
        <f>GX235/GX234*100-100</f>
        <v>1.4013452914798137</v>
      </c>
      <c r="GY237" s="26">
        <f>SUM(GY230:GY236)</f>
        <v>1</v>
      </c>
      <c r="GZ237" s="27">
        <f>SUM(GZ230:GZ236)</f>
        <v>0</v>
      </c>
      <c r="HA237" s="27"/>
      <c r="HB237" s="27"/>
      <c r="HC237" s="27">
        <f>SUM(HC230:HC236)</f>
        <v>3401</v>
      </c>
      <c r="HD237" s="28">
        <f>((HC237+HE237)/7)/HA236</f>
        <v>0.56173526140155727</v>
      </c>
      <c r="HE237" s="27">
        <f>SUM(HE230:HE236)</f>
        <v>134</v>
      </c>
      <c r="HF237" s="28">
        <f>(HE237/(HE237+HC237))</f>
        <v>3.790664780763791E-2</v>
      </c>
      <c r="HG237" s="27"/>
      <c r="HH237" s="27"/>
      <c r="HI237" s="29">
        <f>HI235/HI234*100-100</f>
        <v>16.892212725546059</v>
      </c>
      <c r="HJ237" s="67">
        <f>HJ235/HJ234*100-100</f>
        <v>12.187700192184494</v>
      </c>
      <c r="HK237" s="26">
        <f t="shared" si="2111"/>
        <v>23</v>
      </c>
      <c r="HL237" s="27">
        <f t="shared" si="2112"/>
        <v>0</v>
      </c>
      <c r="HM237" s="27">
        <f t="shared" si="2113"/>
        <v>0</v>
      </c>
      <c r="HN237" s="27">
        <f t="shared" si="2114"/>
        <v>0</v>
      </c>
      <c r="HO237" s="27">
        <f t="shared" si="2115"/>
        <v>45688</v>
      </c>
      <c r="HP237" s="96">
        <f>+((HO237)/HM236)/7</f>
        <v>0.55106865441211939</v>
      </c>
      <c r="HQ237" s="62">
        <f t="shared" si="2117"/>
        <v>1527</v>
      </c>
      <c r="HR237" s="52">
        <f t="shared" si="2118"/>
        <v>3.3422342847137104E-2</v>
      </c>
      <c r="HS237" s="53">
        <f>SUM(HS230:HS236)/7</f>
        <v>65.285714285714292</v>
      </c>
      <c r="HT237" s="54">
        <f>SUM(HT230:HT236)</f>
        <v>43050</v>
      </c>
      <c r="HU237" s="53">
        <f>AVERAGE(HU230:HU236)</f>
        <v>94.225984322293513</v>
      </c>
      <c r="HV237" s="63">
        <f>HV235/HV234*100-100</f>
        <v>14.472455648926228</v>
      </c>
      <c r="HW237" s="67">
        <f>HW235/HW234*100-100</f>
        <v>6.2558273764596208</v>
      </c>
      <c r="HX237" s="73">
        <f>SUM(G237,I237,S237,U237,AE237,AG237,AQ237,AS237,BC237,BE237)/7/SUM(E236,Q236,AC236,AO236,BA236)</f>
        <v>0.56154119003281011</v>
      </c>
      <c r="HY237" s="73">
        <f>SUM(BO237,BQ237,CA237,CC237,CM237,CO237,CY237,DA237,DK237,DM237)/7/SUM(BM236,BY236,CK236,CW236,DI236)</f>
        <v>0.5389878120610756</v>
      </c>
      <c r="HZ237" s="73">
        <f>SUM(DW237,DY237,EI237,EK237,EU237,EW237,FG237,FI237)/7/SUM(DU236,EG236,ES236,FE236)</f>
        <v>0.55277185501066095</v>
      </c>
      <c r="IA237" s="73">
        <f>SUM(FS237,FU237,GE237,GG237,GQ237,GS237,HC237,HE237)/7/SUM(FQ236,GC236,GO236,HA236)</f>
        <v>0.55099113865696869</v>
      </c>
      <c r="IB237" s="84">
        <f>SUM(I237,U237,AG237,AS237,BE237)/SUM(G237,I237,S237,U237,AE237,AG237,AQ237,AS237,BC237,BE237)</f>
        <v>3.1977891827872092E-2</v>
      </c>
      <c r="IC237" s="84">
        <f>SUM(BQ237,CC237,CO237,DA237,DM237)/SUM(BO237,BQ237,CA237,CC237,CM237,CO237,CY237,DA237,DK237,DM237)</f>
        <v>2.9001344989912577E-2</v>
      </c>
      <c r="ID237" s="84">
        <f>SUM(DY237,EK237,EW237,FI237)/SUM(DW237,DY237,EI237,EK237,EU237,EW237,FG237,FI237)</f>
        <v>3.6258437801350046E-2</v>
      </c>
      <c r="IE237" s="84">
        <f>SUM(FU237,GG237,GS237,HE237)/SUM(FS237,FU237,GE237,GG237,GQ237,GS237,HC237,HE237)</f>
        <v>3.7278051501347963E-2</v>
      </c>
      <c r="IF237" s="86">
        <f>SUM(C237,O237,AA237,AM237,AY237)</f>
        <v>5</v>
      </c>
      <c r="IG237" s="86">
        <f>SUM(BK237,BW237,CI237,CU237,DG237)</f>
        <v>9</v>
      </c>
      <c r="IH237" s="86">
        <f>SUM(DS237,EE237,EQ237,FC237)</f>
        <v>5</v>
      </c>
      <c r="II237" s="86">
        <f>SUM(FO237,GA237,GM237,GY237)</f>
        <v>4</v>
      </c>
      <c r="IJ237" s="88" t="s">
        <v>89</v>
      </c>
    </row>
    <row r="238" spans="1:244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HK237/HM230</f>
        <v>1.9386378961564396E-3</v>
      </c>
      <c r="HL238" s="66">
        <f>HL237/HN230</f>
        <v>0</v>
      </c>
      <c r="HM238" s="45"/>
      <c r="HN238" s="45"/>
      <c r="HO238" s="45"/>
      <c r="HP238" s="98"/>
      <c r="HQ238" s="45"/>
      <c r="HR238" s="45"/>
      <c r="HS238" s="45"/>
      <c r="HT238" s="55"/>
      <c r="HU238" s="45"/>
      <c r="HV238" s="45"/>
      <c r="HW238" s="46"/>
      <c r="HY238" s="72"/>
      <c r="HZ238" s="72"/>
      <c r="IA238" s="72"/>
      <c r="IF238" s="86">
        <f>SUM(E227,Q227,AC227,AO227,BA227)</f>
        <v>3227</v>
      </c>
      <c r="IG238" s="86">
        <f>SUM(BM227,BY227,CK227,CW227,DI227)</f>
        <v>3162</v>
      </c>
      <c r="IH238" s="86">
        <f>SUM(DU227,EG227,ES227,FE227)</f>
        <v>2685</v>
      </c>
      <c r="II238" s="86">
        <f>SUM(FQ227,GC227,GO227,HA227)</f>
        <v>2793</v>
      </c>
      <c r="IJ238" s="88" t="s">
        <v>84</v>
      </c>
    </row>
    <row r="239" spans="1:244" x14ac:dyDescent="0.25">
      <c r="A239" s="373">
        <v>51</v>
      </c>
      <c r="B239" s="68">
        <f>B236+1</f>
        <v>45123</v>
      </c>
      <c r="C239" s="33"/>
      <c r="D239" s="34"/>
      <c r="E239" s="34">
        <f>E236-C239</f>
        <v>816</v>
      </c>
      <c r="F239" s="34">
        <f>F236-D239</f>
        <v>66</v>
      </c>
      <c r="G239" s="34">
        <v>452</v>
      </c>
      <c r="H239" s="35">
        <f t="shared" ref="H239:H245" si="2162">((G239+I239)/E239)</f>
        <v>0.56985294117647056</v>
      </c>
      <c r="I239" s="34">
        <v>13</v>
      </c>
      <c r="J239" s="35">
        <f t="shared" ref="J239:J245" si="2163">I239/(G239+I239)</f>
        <v>2.7956989247311829E-2</v>
      </c>
      <c r="K239" s="36"/>
      <c r="L239" s="34"/>
      <c r="M239" s="34"/>
      <c r="N239" s="37"/>
      <c r="O239" s="33"/>
      <c r="P239" s="34"/>
      <c r="Q239" s="34">
        <f>Q236-O239</f>
        <v>746</v>
      </c>
      <c r="R239" s="34">
        <f>R236-P239</f>
        <v>60</v>
      </c>
      <c r="S239" s="34">
        <v>386</v>
      </c>
      <c r="T239" s="35">
        <f t="shared" ref="T239:T245" si="2164">((S239+U239)/Q239)</f>
        <v>0.53083109919571048</v>
      </c>
      <c r="U239" s="34">
        <v>10</v>
      </c>
      <c r="V239" s="35">
        <f t="shared" ref="V239:V245" si="2165">U239/(S239+U239)</f>
        <v>2.5252525252525252E-2</v>
      </c>
      <c r="W239" s="36"/>
      <c r="X239" s="34"/>
      <c r="Y239" s="34"/>
      <c r="Z239" s="37"/>
      <c r="AA239" s="33"/>
      <c r="AB239" s="34"/>
      <c r="AC239" s="34">
        <f>AC236-AA239</f>
        <v>157</v>
      </c>
      <c r="AD239" s="34">
        <f>AD236-AB239</f>
        <v>13</v>
      </c>
      <c r="AE239" s="34">
        <v>83</v>
      </c>
      <c r="AF239" s="35">
        <f t="shared" ref="AF239:AF245" si="2166">((AE239+AG239)/AC239)</f>
        <v>0.54777070063694266</v>
      </c>
      <c r="AG239" s="34">
        <v>3</v>
      </c>
      <c r="AH239" s="35">
        <f t="shared" ref="AH239:AH245" si="2167">AG239/(AE239+AG239)</f>
        <v>3.4883720930232558E-2</v>
      </c>
      <c r="AI239" s="36"/>
      <c r="AJ239" s="34"/>
      <c r="AK239" s="34"/>
      <c r="AL239" s="37"/>
      <c r="AM239" s="33"/>
      <c r="AN239" s="34"/>
      <c r="AO239" s="34">
        <f>AO236-AM239</f>
        <v>755</v>
      </c>
      <c r="AP239" s="34">
        <f>AP236-AN239</f>
        <v>61</v>
      </c>
      <c r="AQ239" s="34">
        <v>384</v>
      </c>
      <c r="AR239" s="35">
        <f t="shared" ref="AR239:AR245" si="2168">((AQ239+AS239)/AO239)</f>
        <v>0.53112582781456952</v>
      </c>
      <c r="AS239" s="34">
        <v>17</v>
      </c>
      <c r="AT239" s="35">
        <f t="shared" ref="AT239:AT245" si="2169">AS239/(AQ239+AS239)</f>
        <v>4.2394014962593519E-2</v>
      </c>
      <c r="AU239" s="36"/>
      <c r="AV239" s="34"/>
      <c r="AW239" s="34"/>
      <c r="AX239" s="37"/>
      <c r="AY239" s="33"/>
      <c r="AZ239" s="34"/>
      <c r="BA239" s="34">
        <f>BA236-AY239</f>
        <v>748</v>
      </c>
      <c r="BB239" s="34">
        <f>BB236-AZ239</f>
        <v>60</v>
      </c>
      <c r="BC239" s="34">
        <v>417</v>
      </c>
      <c r="BD239" s="35">
        <f t="shared" ref="BD239:BD245" si="2170">((BC239+BE239)/BA239)</f>
        <v>0.57887700534759357</v>
      </c>
      <c r="BE239" s="34">
        <v>16</v>
      </c>
      <c r="BF239" s="35">
        <f t="shared" ref="BF239:BF245" si="2171">BE239/(BC239+BE239)</f>
        <v>3.695150115473441E-2</v>
      </c>
      <c r="BG239" s="36"/>
      <c r="BH239" s="34"/>
      <c r="BI239" s="34"/>
      <c r="BJ239" s="37"/>
      <c r="BK239" s="33"/>
      <c r="BL239" s="34"/>
      <c r="BM239" s="34">
        <f>BM236-BK239</f>
        <v>807</v>
      </c>
      <c r="BN239" s="34">
        <f>BN236-BL239</f>
        <v>64</v>
      </c>
      <c r="BO239" s="34">
        <v>444</v>
      </c>
      <c r="BP239" s="35">
        <f t="shared" ref="BP239:BP245" si="2172">((BO239+BQ239)/BM239)</f>
        <v>0.56133828996282531</v>
      </c>
      <c r="BQ239" s="34">
        <v>9</v>
      </c>
      <c r="BR239" s="35">
        <f t="shared" ref="BR239:BR245" si="2173">BQ239/(BO239+BQ239)</f>
        <v>1.9867549668874173E-2</v>
      </c>
      <c r="BS239" s="36"/>
      <c r="BT239" s="34"/>
      <c r="BU239" s="34"/>
      <c r="BV239" s="37"/>
      <c r="BW239" s="33">
        <v>1</v>
      </c>
      <c r="BX239" s="34"/>
      <c r="BY239" s="34">
        <f>BY236-BW239</f>
        <v>744</v>
      </c>
      <c r="BZ239" s="34">
        <f>BZ236-BX239</f>
        <v>59</v>
      </c>
      <c r="CA239" s="34">
        <v>384</v>
      </c>
      <c r="CB239" s="35">
        <f t="shared" ref="CB239:CB245" si="2174">((CA239+CC239)/BY239)</f>
        <v>0.543010752688172</v>
      </c>
      <c r="CC239" s="34">
        <v>20</v>
      </c>
      <c r="CD239" s="35">
        <f t="shared" ref="CD239:CD245" si="2175">CC239/(CA239+CC239)</f>
        <v>4.9504950495049507E-2</v>
      </c>
      <c r="CE239" s="36"/>
      <c r="CF239" s="34"/>
      <c r="CG239" s="34"/>
      <c r="CH239" s="37"/>
      <c r="CI239" s="33"/>
      <c r="CJ239" s="34"/>
      <c r="CK239" s="34">
        <f>CK236-CI239</f>
        <v>134</v>
      </c>
      <c r="CL239" s="34">
        <f>CL236-CJ239</f>
        <v>12</v>
      </c>
      <c r="CM239" s="34">
        <v>63</v>
      </c>
      <c r="CN239" s="35">
        <f t="shared" ref="CN239:CN245" si="2176">((CM239+CO239)/CK239)</f>
        <v>0.48507462686567165</v>
      </c>
      <c r="CO239" s="34">
        <v>2</v>
      </c>
      <c r="CP239" s="35">
        <f t="shared" ref="CP239:CP245" si="2177">CO239/(CM239+CO239)</f>
        <v>3.0769230769230771E-2</v>
      </c>
      <c r="CQ239" s="36"/>
      <c r="CR239" s="34"/>
      <c r="CS239" s="34"/>
      <c r="CT239" s="37"/>
      <c r="CU239" s="33"/>
      <c r="CV239" s="34"/>
      <c r="CW239" s="34">
        <f>CW236-CU239</f>
        <v>734</v>
      </c>
      <c r="CX239" s="34">
        <f>CX236-CV239</f>
        <v>59</v>
      </c>
      <c r="CY239" s="34">
        <v>329</v>
      </c>
      <c r="CZ239" s="35">
        <f t="shared" ref="CZ239:CZ245" si="2178">((CY239+DA239)/CW239)</f>
        <v>0.45776566757493187</v>
      </c>
      <c r="DA239" s="34">
        <v>7</v>
      </c>
      <c r="DB239" s="35">
        <f t="shared" ref="DB239:DB245" si="2179">DA239/(CY239+DA239)</f>
        <v>2.0833333333333332E-2</v>
      </c>
      <c r="DC239" s="36"/>
      <c r="DD239" s="34"/>
      <c r="DE239" s="34"/>
      <c r="DF239" s="37"/>
      <c r="DG239" s="33"/>
      <c r="DH239" s="34"/>
      <c r="DI239" s="34">
        <f>DI236-DG239</f>
        <v>733</v>
      </c>
      <c r="DJ239" s="34">
        <f>DJ236-DH239</f>
        <v>59</v>
      </c>
      <c r="DK239" s="34">
        <v>402</v>
      </c>
      <c r="DL239" s="35">
        <f t="shared" ref="DL239:DL245" si="2180">((DK239+DM239)/DI239)</f>
        <v>0.56753069577080495</v>
      </c>
      <c r="DM239" s="34">
        <v>14</v>
      </c>
      <c r="DN239" s="35">
        <f t="shared" ref="DN239:DN245" si="2181">DM239/(DK239+DM239)</f>
        <v>3.3653846153846152E-2</v>
      </c>
      <c r="DO239" s="36"/>
      <c r="DP239" s="34"/>
      <c r="DQ239" s="34"/>
      <c r="DR239" s="37"/>
      <c r="DS239" s="33"/>
      <c r="DT239" s="34"/>
      <c r="DU239" s="34">
        <f>DU236-DS239</f>
        <v>820</v>
      </c>
      <c r="DV239" s="34">
        <f>DV236-DT239</f>
        <v>66</v>
      </c>
      <c r="DW239" s="34">
        <v>426</v>
      </c>
      <c r="DX239" s="35">
        <f t="shared" ref="DX239:DX245" si="2182">((DW239+DY239)/DU239)</f>
        <v>0.54390243902439028</v>
      </c>
      <c r="DY239" s="34">
        <v>20</v>
      </c>
      <c r="DZ239" s="35">
        <f t="shared" ref="DZ239:DZ245" si="2183">DY239/(DW239+DY239)</f>
        <v>4.4843049327354258E-2</v>
      </c>
      <c r="EA239" s="36"/>
      <c r="EB239" s="34"/>
      <c r="EC239" s="34"/>
      <c r="ED239" s="37"/>
      <c r="EE239" s="33"/>
      <c r="EF239" s="34"/>
      <c r="EG239" s="34">
        <f>EG236-EE239</f>
        <v>843</v>
      </c>
      <c r="EH239" s="34">
        <f>EH236-EF239</f>
        <v>67</v>
      </c>
      <c r="EI239" s="34">
        <v>441</v>
      </c>
      <c r="EJ239" s="35">
        <f t="shared" ref="EJ239:EJ245" si="2184">((EI239+EK239)/EG239)</f>
        <v>0.54804270462633453</v>
      </c>
      <c r="EK239" s="34">
        <v>21</v>
      </c>
      <c r="EL239" s="35">
        <f t="shared" ref="EL239:EL245" si="2185">EK239/(EI239+EK239)</f>
        <v>4.5454545454545456E-2</v>
      </c>
      <c r="EM239" s="36"/>
      <c r="EN239" s="34"/>
      <c r="EO239" s="34"/>
      <c r="EP239" s="37"/>
      <c r="EQ239" s="33">
        <v>1</v>
      </c>
      <c r="ER239" s="34"/>
      <c r="ES239" s="34">
        <f>ES236-EQ239</f>
        <v>168</v>
      </c>
      <c r="ET239" s="34">
        <f>ET236-ER239</f>
        <v>14</v>
      </c>
      <c r="EU239" s="34">
        <v>79</v>
      </c>
      <c r="EV239" s="35">
        <f t="shared" ref="EV239:EV245" si="2186">((EU239+EW239)/ES239)</f>
        <v>0.49404761904761907</v>
      </c>
      <c r="EW239" s="34">
        <v>4</v>
      </c>
      <c r="EX239" s="35">
        <f t="shared" ref="EX239:EX245" si="2187">EW239/(EU239+EW239)</f>
        <v>4.8192771084337352E-2</v>
      </c>
      <c r="EY239" s="36"/>
      <c r="EZ239" s="34"/>
      <c r="FA239" s="34"/>
      <c r="FB239" s="37"/>
      <c r="FC239" s="33"/>
      <c r="FD239" s="34"/>
      <c r="FE239" s="34">
        <f>FE236-FC239</f>
        <v>848</v>
      </c>
      <c r="FF239" s="34">
        <f>FF236-FD239</f>
        <v>67</v>
      </c>
      <c r="FG239" s="34">
        <v>475</v>
      </c>
      <c r="FH239" s="35">
        <f t="shared" ref="FH239:FH245" si="2188">((FG239+FI239)/FE239)</f>
        <v>0.57665094339622647</v>
      </c>
      <c r="FI239" s="34">
        <v>14</v>
      </c>
      <c r="FJ239" s="35">
        <f t="shared" ref="FJ239:FJ245" si="2189">FI239/(FG239+FI239)</f>
        <v>2.8629856850715747E-2</v>
      </c>
      <c r="FK239" s="36"/>
      <c r="FL239" s="34"/>
      <c r="FM239" s="34"/>
      <c r="FN239" s="37"/>
      <c r="FO239" s="33"/>
      <c r="FP239" s="34"/>
      <c r="FQ239" s="34">
        <f>FQ236-FO239</f>
        <v>869</v>
      </c>
      <c r="FR239" s="34">
        <f>FR236-FP239</f>
        <v>70</v>
      </c>
      <c r="FS239" s="34">
        <v>457</v>
      </c>
      <c r="FT239" s="35">
        <f t="shared" ref="FT239:FT245" si="2190">((FS239+FU239)/FQ239)</f>
        <v>0.54430379746835444</v>
      </c>
      <c r="FU239" s="34">
        <v>16</v>
      </c>
      <c r="FV239" s="35">
        <f t="shared" ref="FV239:FV245" si="2191">FU239/(FS239+FU239)</f>
        <v>3.382663847780127E-2</v>
      </c>
      <c r="FW239" s="36"/>
      <c r="FX239" s="34"/>
      <c r="FY239" s="34"/>
      <c r="FZ239" s="37"/>
      <c r="GA239" s="33"/>
      <c r="GB239" s="34"/>
      <c r="GC239" s="34">
        <f>GC236-GA239</f>
        <v>873</v>
      </c>
      <c r="GD239" s="34">
        <f>GD236-GB239</f>
        <v>71</v>
      </c>
      <c r="GE239" s="34">
        <v>470</v>
      </c>
      <c r="GF239" s="35">
        <f t="shared" ref="GF239:GF245" si="2192">((GE239+GG239)/GC239)</f>
        <v>0.56013745704467355</v>
      </c>
      <c r="GG239" s="34">
        <v>19</v>
      </c>
      <c r="GH239" s="35">
        <f t="shared" ref="GH239:GH245" si="2193">GG239/(GE239+GG239)</f>
        <v>3.8854805725971372E-2</v>
      </c>
      <c r="GI239" s="36"/>
      <c r="GJ239" s="34"/>
      <c r="GK239" s="34"/>
      <c r="GL239" s="37"/>
      <c r="GM239" s="33">
        <v>1</v>
      </c>
      <c r="GN239" s="34"/>
      <c r="GO239" s="34">
        <f>GO236-GM239</f>
        <v>147</v>
      </c>
      <c r="GP239" s="34">
        <f>GP236-GN239</f>
        <v>12</v>
      </c>
      <c r="GQ239" s="34">
        <v>77</v>
      </c>
      <c r="GR239" s="35">
        <f t="shared" ref="GR239:GR245" si="2194">((GQ239+GS239)/GO239)</f>
        <v>0.5374149659863946</v>
      </c>
      <c r="GS239" s="34">
        <v>2</v>
      </c>
      <c r="GT239" s="35">
        <f t="shared" ref="GT239:GT245" si="2195">GS239/(GQ239+GS239)</f>
        <v>2.5316455696202531E-2</v>
      </c>
      <c r="GU239" s="36"/>
      <c r="GV239" s="34"/>
      <c r="GW239" s="34"/>
      <c r="GX239" s="37"/>
      <c r="GY239" s="33"/>
      <c r="GZ239" s="34"/>
      <c r="HA239" s="34">
        <f>HA236-GY239</f>
        <v>899</v>
      </c>
      <c r="HB239" s="34">
        <f>HB236-GZ239</f>
        <v>73</v>
      </c>
      <c r="HC239" s="34">
        <v>492</v>
      </c>
      <c r="HD239" s="35">
        <f t="shared" ref="HD239:HD245" si="2196">((HC239+HE239)/HA239)</f>
        <v>0.56618464961067849</v>
      </c>
      <c r="HE239" s="34">
        <v>17</v>
      </c>
      <c r="HF239" s="35">
        <f t="shared" ref="HF239:HF245" si="2197">HE239/(HC239+HE239)</f>
        <v>3.3398821218074658E-2</v>
      </c>
      <c r="HG239" s="36"/>
      <c r="HH239" s="34"/>
      <c r="HI239" s="34"/>
      <c r="HJ239" s="37"/>
      <c r="HK239" s="33">
        <f t="shared" ref="HK239:HK246" si="2198">+C239+O239+AA239+AM239+AY239+BK239+BW239+CI239+CU239+DG239+DS239+EE239+EQ239+FC239+FO239+GA239+GM239+GY239</f>
        <v>3</v>
      </c>
      <c r="HL239" s="34">
        <f t="shared" ref="HL239:HL246" si="2199">+D239+P239+AB239+AN239+AZ239+BL239+BX239+CJ239+CV239+DH239+DT239+EF239+ER239+FD239+FP239+GB239+GN239+GZ239</f>
        <v>0</v>
      </c>
      <c r="HM239" s="34">
        <f t="shared" ref="HM239:HM246" si="2200">+E239+Q239+AC239+AO239+BA239+BM239+BY239+CK239+CW239+DI239+DU239+EG239+ES239+FE239+FQ239+GC239+GO239+HA239</f>
        <v>11841</v>
      </c>
      <c r="HN239" s="34">
        <f t="shared" ref="HN239:HN246" si="2201">+F239+R239+AD239+AP239+BB239+BN239+BZ239+CL239+CX239+DJ239+DV239+EH239+ET239+FF239+FR239+GD239+GP239+HB239</f>
        <v>953</v>
      </c>
      <c r="HO239" s="34">
        <f t="shared" ref="HO239:HO246" si="2202">+G239+S239+AE239+AQ239+BC239+BO239+CA239+CM239+CY239+DK239+DW239+EI239+EU239+FG239+FS239+GE239+GQ239+HC239+I239+U239+AG239+AS239+BE239+BQ239+CC239+CO239+DA239+DM239+DY239+EK239+EW239+FI239+FU239+GG239+GS239+HE239</f>
        <v>6485</v>
      </c>
      <c r="HP239" s="94">
        <f t="shared" ref="HP239:HP245" si="2203">+(HO239)/HM239</f>
        <v>0.54767333840047294</v>
      </c>
      <c r="HQ239" s="48">
        <f t="shared" ref="HQ239:HQ246" si="2204">+I239+U239+AG239+AS239+BE239+BQ239+CC239+CO239+DA239+DM239+DY239+EK239+EW239+FI239+FU239+GG239+GS239+HE239</f>
        <v>224</v>
      </c>
      <c r="HR239" s="35">
        <f t="shared" ref="HR239:HR246" si="2205">+(HQ239/(HO239))</f>
        <v>3.4541249036237474E-2</v>
      </c>
      <c r="HS239" s="49">
        <v>65.5</v>
      </c>
      <c r="HT239" s="50">
        <v>6090</v>
      </c>
      <c r="HU239" s="49">
        <f t="shared" ref="HU239:HU245" si="2206">+HT239/HO239*100</f>
        <v>93.90902081727063</v>
      </c>
      <c r="HV239" s="48"/>
      <c r="HW239" s="37"/>
      <c r="HX239" s="73">
        <f t="shared" ref="HX239:HX245" si="2207">SUM(G239,I239,S239,U239,AE239,AG239,AQ239,AS239,BC239,BE239)/SUM(E239,Q239,AC239,AO239,BA239)</f>
        <v>0.55276225946617008</v>
      </c>
      <c r="HY239" s="73">
        <f t="shared" ref="HY239:HY245" si="2208">SUM(BO239,BQ239,CA239,CC239,CM239,CO239,CY239,DA239,DK239,DM239)/SUM(BM239,BY239,CK239,CW239,DI239)</f>
        <v>0.53109137055837563</v>
      </c>
      <c r="HZ239" s="73">
        <f t="shared" ref="HZ239:HZ245" si="2209">SUM(DW239,DY239,EI239,EK239,EU239,EW239,FG239,FI239)/SUM(DU239,EG239,ES239,FE239)</f>
        <v>0.55244494214259054</v>
      </c>
      <c r="IA239" s="73">
        <f t="shared" ref="IA239:IA245" si="2210">SUM(FS239,FU239,GE239,GG239,GQ239,GS239,HC239,HE239)/SUM(FQ239,GC239,GO239,HA239)</f>
        <v>0.55595408895265419</v>
      </c>
    </row>
    <row r="240" spans="1:244" x14ac:dyDescent="0.25">
      <c r="A240" s="374"/>
      <c r="B240" s="41">
        <f t="shared" ref="B240:B245" si="2211">+B239+1</f>
        <v>45124</v>
      </c>
      <c r="C240" s="10"/>
      <c r="D240" s="11"/>
      <c r="E240" s="69">
        <f t="shared" ref="E240:E245" si="2212">E239-C240</f>
        <v>816</v>
      </c>
      <c r="F240" s="69">
        <f t="shared" ref="F240:F245" si="2213">F239-D240</f>
        <v>66</v>
      </c>
      <c r="G240" s="11">
        <v>448</v>
      </c>
      <c r="H240" s="12">
        <f t="shared" si="2162"/>
        <v>0.56740196078431371</v>
      </c>
      <c r="I240" s="11">
        <v>15</v>
      </c>
      <c r="J240" s="12">
        <f t="shared" si="2163"/>
        <v>3.2397408207343416E-2</v>
      </c>
      <c r="K240" s="13"/>
      <c r="L240" s="11"/>
      <c r="M240" s="11"/>
      <c r="N240" s="14"/>
      <c r="O240" s="10"/>
      <c r="P240" s="11"/>
      <c r="Q240" s="69">
        <f t="shared" ref="Q240:Q245" si="2214">Q239-O240</f>
        <v>746</v>
      </c>
      <c r="R240" s="69">
        <f t="shared" ref="R240:R245" si="2215">R239-P240</f>
        <v>60</v>
      </c>
      <c r="S240" s="11">
        <v>390</v>
      </c>
      <c r="T240" s="12">
        <f t="shared" si="2164"/>
        <v>0.53217158176943702</v>
      </c>
      <c r="U240" s="11">
        <v>7</v>
      </c>
      <c r="V240" s="12">
        <f t="shared" si="2165"/>
        <v>1.7632241813602016E-2</v>
      </c>
      <c r="W240" s="13"/>
      <c r="X240" s="11"/>
      <c r="Y240" s="11"/>
      <c r="Z240" s="14"/>
      <c r="AA240" s="10"/>
      <c r="AB240" s="11"/>
      <c r="AC240" s="69">
        <f t="shared" ref="AC240:AC245" si="2216">AC239-AA240</f>
        <v>157</v>
      </c>
      <c r="AD240" s="69">
        <f t="shared" ref="AD240:AD245" si="2217">AD239-AB240</f>
        <v>13</v>
      </c>
      <c r="AE240" s="11">
        <v>68</v>
      </c>
      <c r="AF240" s="12">
        <f t="shared" si="2166"/>
        <v>0.45859872611464969</v>
      </c>
      <c r="AG240" s="11">
        <v>4</v>
      </c>
      <c r="AH240" s="12">
        <f t="shared" si="2167"/>
        <v>5.5555555555555552E-2</v>
      </c>
      <c r="AI240" s="13"/>
      <c r="AJ240" s="11"/>
      <c r="AK240" s="11"/>
      <c r="AL240" s="14"/>
      <c r="AM240" s="10"/>
      <c r="AN240" s="11"/>
      <c r="AO240" s="69">
        <f t="shared" ref="AO240:AO245" si="2218">AO239-AM240</f>
        <v>755</v>
      </c>
      <c r="AP240" s="69">
        <f t="shared" ref="AP240:AP245" si="2219">AP239-AN240</f>
        <v>61</v>
      </c>
      <c r="AQ240" s="11">
        <v>386</v>
      </c>
      <c r="AR240" s="12">
        <f t="shared" si="2168"/>
        <v>0.52847682119205297</v>
      </c>
      <c r="AS240" s="11">
        <v>13</v>
      </c>
      <c r="AT240" s="12">
        <f t="shared" si="2169"/>
        <v>3.2581453634085211E-2</v>
      </c>
      <c r="AU240" s="13"/>
      <c r="AV240" s="11"/>
      <c r="AW240" s="11"/>
      <c r="AX240" s="14"/>
      <c r="AY240" s="10"/>
      <c r="AZ240" s="11"/>
      <c r="BA240" s="69">
        <f t="shared" ref="BA240:BA245" si="2220">BA239-AY240</f>
        <v>748</v>
      </c>
      <c r="BB240" s="69">
        <f t="shared" ref="BB240:BB245" si="2221">BB239-AZ240</f>
        <v>60</v>
      </c>
      <c r="BC240" s="11">
        <v>361</v>
      </c>
      <c r="BD240" s="12">
        <f t="shared" si="2170"/>
        <v>0.50133689839572193</v>
      </c>
      <c r="BE240" s="11">
        <v>14</v>
      </c>
      <c r="BF240" s="12">
        <f t="shared" si="2171"/>
        <v>3.7333333333333336E-2</v>
      </c>
      <c r="BG240" s="13"/>
      <c r="BH240" s="11"/>
      <c r="BI240" s="11"/>
      <c r="BJ240" s="14"/>
      <c r="BK240" s="10"/>
      <c r="BL240" s="11"/>
      <c r="BM240" s="69">
        <f t="shared" ref="BM240:BM245" si="2222">BM239-BK240</f>
        <v>807</v>
      </c>
      <c r="BN240" s="69">
        <f t="shared" ref="BN240:BN245" si="2223">BN239-BL240</f>
        <v>64</v>
      </c>
      <c r="BO240" s="11">
        <v>400</v>
      </c>
      <c r="BP240" s="12">
        <f t="shared" si="2172"/>
        <v>0.50557620817843862</v>
      </c>
      <c r="BQ240" s="11">
        <v>8</v>
      </c>
      <c r="BR240" s="12">
        <f t="shared" si="2173"/>
        <v>1.9607843137254902E-2</v>
      </c>
      <c r="BS240" s="13"/>
      <c r="BT240" s="11"/>
      <c r="BU240" s="11"/>
      <c r="BV240" s="14"/>
      <c r="BW240" s="10">
        <v>1</v>
      </c>
      <c r="BX240" s="11"/>
      <c r="BY240" s="69">
        <f t="shared" ref="BY240:BY245" si="2224">BY239-BW240</f>
        <v>743</v>
      </c>
      <c r="BZ240" s="69">
        <f t="shared" ref="BZ240:BZ245" si="2225">BZ239-BX240</f>
        <v>59</v>
      </c>
      <c r="CA240" s="11">
        <v>371</v>
      </c>
      <c r="CB240" s="12">
        <f t="shared" si="2174"/>
        <v>0.52624495289367434</v>
      </c>
      <c r="CC240" s="11">
        <v>20</v>
      </c>
      <c r="CD240" s="12">
        <f t="shared" si="2175"/>
        <v>5.1150895140664961E-2</v>
      </c>
      <c r="CE240" s="13"/>
      <c r="CF240" s="11"/>
      <c r="CG240" s="11"/>
      <c r="CH240" s="14"/>
      <c r="CI240" s="10">
        <v>1</v>
      </c>
      <c r="CJ240" s="11"/>
      <c r="CK240" s="69">
        <f t="shared" ref="CK240:CK245" si="2226">CK239-CI240</f>
        <v>133</v>
      </c>
      <c r="CL240" s="69">
        <f t="shared" ref="CL240:CL245" si="2227">CL239-CJ240</f>
        <v>12</v>
      </c>
      <c r="CM240" s="11">
        <v>56</v>
      </c>
      <c r="CN240" s="12">
        <f t="shared" si="2176"/>
        <v>0.45112781954887216</v>
      </c>
      <c r="CO240" s="11">
        <v>4</v>
      </c>
      <c r="CP240" s="12">
        <f t="shared" si="2177"/>
        <v>6.6666666666666666E-2</v>
      </c>
      <c r="CQ240" s="13"/>
      <c r="CR240" s="11"/>
      <c r="CS240" s="11"/>
      <c r="CT240" s="14"/>
      <c r="CU240" s="10"/>
      <c r="CV240" s="11"/>
      <c r="CW240" s="69">
        <f t="shared" ref="CW240:CW245" si="2228">CW239-CU240</f>
        <v>734</v>
      </c>
      <c r="CX240" s="69">
        <f t="shared" ref="CX240:CX245" si="2229">CX239-CV240</f>
        <v>59</v>
      </c>
      <c r="CY240" s="11">
        <v>384</v>
      </c>
      <c r="CZ240" s="12">
        <f t="shared" si="2178"/>
        <v>0.53950953678474112</v>
      </c>
      <c r="DA240" s="11">
        <v>12</v>
      </c>
      <c r="DB240" s="12">
        <f t="shared" si="2179"/>
        <v>3.0303030303030304E-2</v>
      </c>
      <c r="DC240" s="13"/>
      <c r="DD240" s="11"/>
      <c r="DE240" s="11"/>
      <c r="DF240" s="14"/>
      <c r="DG240" s="10"/>
      <c r="DH240" s="11"/>
      <c r="DI240" s="69">
        <f t="shared" ref="DI240:DI245" si="2230">DI239-DG240</f>
        <v>733</v>
      </c>
      <c r="DJ240" s="69">
        <f t="shared" ref="DJ240:DJ245" si="2231">DJ239-DH240</f>
        <v>59</v>
      </c>
      <c r="DK240" s="11">
        <v>389</v>
      </c>
      <c r="DL240" s="12">
        <f t="shared" si="2180"/>
        <v>0.5429740791268759</v>
      </c>
      <c r="DM240" s="11">
        <v>9</v>
      </c>
      <c r="DN240" s="12">
        <f t="shared" si="2181"/>
        <v>2.2613065326633167E-2</v>
      </c>
      <c r="DO240" s="13"/>
      <c r="DP240" s="11"/>
      <c r="DQ240" s="11"/>
      <c r="DR240" s="14"/>
      <c r="DS240" s="10"/>
      <c r="DT240" s="11"/>
      <c r="DU240" s="69">
        <f t="shared" ref="DU240:DU245" si="2232">DU239-DS240</f>
        <v>820</v>
      </c>
      <c r="DV240" s="69">
        <f t="shared" ref="DV240:DV245" si="2233">DV239-DT240</f>
        <v>66</v>
      </c>
      <c r="DW240" s="11">
        <v>414</v>
      </c>
      <c r="DX240" s="12">
        <f t="shared" si="2182"/>
        <v>0.52195121951219514</v>
      </c>
      <c r="DY240" s="11">
        <v>14</v>
      </c>
      <c r="DZ240" s="12">
        <f t="shared" si="2183"/>
        <v>3.2710280373831772E-2</v>
      </c>
      <c r="EA240" s="13"/>
      <c r="EB240" s="11"/>
      <c r="EC240" s="11"/>
      <c r="ED240" s="14"/>
      <c r="EE240" s="10"/>
      <c r="EF240" s="11"/>
      <c r="EG240" s="69">
        <f t="shared" ref="EG240:EG245" si="2234">EG239-EE240</f>
        <v>843</v>
      </c>
      <c r="EH240" s="69">
        <f t="shared" ref="EH240:EH245" si="2235">EH239-EF240</f>
        <v>67</v>
      </c>
      <c r="EI240" s="11">
        <v>410</v>
      </c>
      <c r="EJ240" s="12">
        <f t="shared" si="2184"/>
        <v>0.50415183867141167</v>
      </c>
      <c r="EK240" s="11">
        <v>15</v>
      </c>
      <c r="EL240" s="12">
        <f t="shared" si="2185"/>
        <v>3.5294117647058823E-2</v>
      </c>
      <c r="EM240" s="13"/>
      <c r="EN240" s="11"/>
      <c r="EO240" s="11"/>
      <c r="EP240" s="14"/>
      <c r="EQ240" s="10"/>
      <c r="ER240" s="11"/>
      <c r="ES240" s="69">
        <f t="shared" ref="ES240:ES245" si="2236">ES239-EQ240</f>
        <v>168</v>
      </c>
      <c r="ET240" s="69">
        <f t="shared" ref="ET240:ET245" si="2237">ET239-ER240</f>
        <v>14</v>
      </c>
      <c r="EU240" s="11">
        <v>76</v>
      </c>
      <c r="EV240" s="12">
        <f t="shared" si="2186"/>
        <v>0.5</v>
      </c>
      <c r="EW240" s="11">
        <v>8</v>
      </c>
      <c r="EX240" s="12">
        <f t="shared" si="2187"/>
        <v>9.5238095238095233E-2</v>
      </c>
      <c r="EY240" s="13"/>
      <c r="EZ240" s="11"/>
      <c r="FA240" s="11"/>
      <c r="FB240" s="14"/>
      <c r="FC240" s="10"/>
      <c r="FD240" s="11"/>
      <c r="FE240" s="69">
        <f t="shared" ref="FE240:FE245" si="2238">FE239-FC240</f>
        <v>848</v>
      </c>
      <c r="FF240" s="69">
        <f t="shared" ref="FF240:FF245" si="2239">FF239-FD240</f>
        <v>67</v>
      </c>
      <c r="FG240" s="11">
        <v>487</v>
      </c>
      <c r="FH240" s="12">
        <f t="shared" si="2188"/>
        <v>0.59551886792452835</v>
      </c>
      <c r="FI240" s="11">
        <v>18</v>
      </c>
      <c r="FJ240" s="12">
        <f t="shared" si="2189"/>
        <v>3.5643564356435641E-2</v>
      </c>
      <c r="FK240" s="13"/>
      <c r="FL240" s="11"/>
      <c r="FM240" s="11"/>
      <c r="FN240" s="14"/>
      <c r="FO240" s="10"/>
      <c r="FP240" s="11"/>
      <c r="FQ240" s="69">
        <f t="shared" ref="FQ240:FQ245" si="2240">FQ239-FO240</f>
        <v>869</v>
      </c>
      <c r="FR240" s="69">
        <f t="shared" ref="FR240:FR245" si="2241">FR239-FP240</f>
        <v>70</v>
      </c>
      <c r="FS240" s="11">
        <v>466</v>
      </c>
      <c r="FT240" s="12">
        <f t="shared" si="2190"/>
        <v>0.55466052934407362</v>
      </c>
      <c r="FU240" s="11">
        <v>16</v>
      </c>
      <c r="FV240" s="12">
        <f t="shared" si="2191"/>
        <v>3.3195020746887967E-2</v>
      </c>
      <c r="FW240" s="13"/>
      <c r="FX240" s="11"/>
      <c r="FY240" s="11"/>
      <c r="FZ240" s="14"/>
      <c r="GA240" s="10"/>
      <c r="GB240" s="11"/>
      <c r="GC240" s="69">
        <f t="shared" ref="GC240:GC245" si="2242">GC239-GA240</f>
        <v>873</v>
      </c>
      <c r="GD240" s="69">
        <f t="shared" ref="GD240:GD245" si="2243">GD239-GB240</f>
        <v>71</v>
      </c>
      <c r="GE240" s="11">
        <v>455</v>
      </c>
      <c r="GF240" s="12">
        <f t="shared" si="2192"/>
        <v>0.54295532646048106</v>
      </c>
      <c r="GG240" s="11">
        <v>19</v>
      </c>
      <c r="GH240" s="12">
        <f t="shared" si="2193"/>
        <v>4.0084388185654012E-2</v>
      </c>
      <c r="GI240" s="13"/>
      <c r="GJ240" s="11"/>
      <c r="GK240" s="11"/>
      <c r="GL240" s="14"/>
      <c r="GM240" s="10"/>
      <c r="GN240" s="11"/>
      <c r="GO240" s="69">
        <f t="shared" ref="GO240:GO245" si="2244">GO239-GM240</f>
        <v>147</v>
      </c>
      <c r="GP240" s="69">
        <f t="shared" ref="GP240:GP245" si="2245">GP239-GN240</f>
        <v>12</v>
      </c>
      <c r="GQ240" s="11">
        <v>66</v>
      </c>
      <c r="GR240" s="12">
        <f t="shared" si="2194"/>
        <v>0.48299319727891155</v>
      </c>
      <c r="GS240" s="11">
        <v>5</v>
      </c>
      <c r="GT240" s="12">
        <f t="shared" si="2195"/>
        <v>7.0422535211267609E-2</v>
      </c>
      <c r="GU240" s="13"/>
      <c r="GV240" s="11"/>
      <c r="GW240" s="11"/>
      <c r="GX240" s="14"/>
      <c r="GY240" s="10"/>
      <c r="GZ240" s="11"/>
      <c r="HA240" s="69">
        <f t="shared" ref="HA240:HA245" si="2246">HA239-GY240</f>
        <v>899</v>
      </c>
      <c r="HB240" s="69">
        <f t="shared" ref="HB240:HB245" si="2247">HB239-GZ240</f>
        <v>73</v>
      </c>
      <c r="HC240" s="11">
        <v>495</v>
      </c>
      <c r="HD240" s="12">
        <f t="shared" si="2196"/>
        <v>0.56952169076751946</v>
      </c>
      <c r="HE240" s="11">
        <v>17</v>
      </c>
      <c r="HF240" s="12">
        <f t="shared" si="2197"/>
        <v>3.3203125E-2</v>
      </c>
      <c r="HG240" s="13"/>
      <c r="HH240" s="11"/>
      <c r="HI240" s="11"/>
      <c r="HJ240" s="14"/>
      <c r="HK240" s="10">
        <f t="shared" si="2198"/>
        <v>2</v>
      </c>
      <c r="HL240" s="11">
        <f t="shared" si="2199"/>
        <v>0</v>
      </c>
      <c r="HM240" s="11">
        <f t="shared" si="2200"/>
        <v>11839</v>
      </c>
      <c r="HN240" s="11">
        <f t="shared" si="2201"/>
        <v>953</v>
      </c>
      <c r="HO240" s="11">
        <f t="shared" si="2202"/>
        <v>6340</v>
      </c>
      <c r="HP240" s="95">
        <f t="shared" si="2203"/>
        <v>0.53551820255089111</v>
      </c>
      <c r="HQ240" s="15">
        <f t="shared" si="2204"/>
        <v>218</v>
      </c>
      <c r="HR240" s="12">
        <f t="shared" si="2205"/>
        <v>3.4384858044164038E-2</v>
      </c>
      <c r="HS240" s="16">
        <v>65.7</v>
      </c>
      <c r="HT240" s="17">
        <v>5984</v>
      </c>
      <c r="HU240" s="16">
        <f t="shared" si="2206"/>
        <v>94.384858044164034</v>
      </c>
      <c r="HV240" s="15"/>
      <c r="HW240" s="14"/>
      <c r="HX240" s="73">
        <f t="shared" si="2207"/>
        <v>0.52948479205462451</v>
      </c>
      <c r="HY240" s="73">
        <f t="shared" si="2208"/>
        <v>0.52476190476190476</v>
      </c>
      <c r="HZ240" s="73">
        <f t="shared" si="2209"/>
        <v>0.53826054497946996</v>
      </c>
      <c r="IA240" s="73">
        <f t="shared" si="2210"/>
        <v>0.55200860832137733</v>
      </c>
    </row>
    <row r="241" spans="1:244" x14ac:dyDescent="0.25">
      <c r="A241" s="374"/>
      <c r="B241" s="41">
        <f t="shared" si="2211"/>
        <v>45125</v>
      </c>
      <c r="C241" s="10"/>
      <c r="D241" s="11"/>
      <c r="E241" s="69">
        <f t="shared" si="2212"/>
        <v>816</v>
      </c>
      <c r="F241" s="69">
        <f t="shared" si="2213"/>
        <v>66</v>
      </c>
      <c r="G241" s="11">
        <v>442</v>
      </c>
      <c r="H241" s="12">
        <f t="shared" si="2162"/>
        <v>0.55269607843137258</v>
      </c>
      <c r="I241" s="11">
        <v>9</v>
      </c>
      <c r="J241" s="12">
        <f t="shared" si="2163"/>
        <v>1.9955654101995565E-2</v>
      </c>
      <c r="K241" s="13"/>
      <c r="L241" s="11"/>
      <c r="M241" s="11"/>
      <c r="N241" s="14"/>
      <c r="O241" s="10"/>
      <c r="P241" s="11"/>
      <c r="Q241" s="69">
        <f t="shared" si="2214"/>
        <v>746</v>
      </c>
      <c r="R241" s="69">
        <f t="shared" si="2215"/>
        <v>60</v>
      </c>
      <c r="S241" s="11">
        <v>423</v>
      </c>
      <c r="T241" s="12">
        <f t="shared" si="2164"/>
        <v>0.58310991957104563</v>
      </c>
      <c r="U241" s="11">
        <v>12</v>
      </c>
      <c r="V241" s="12">
        <f t="shared" si="2165"/>
        <v>2.7586206896551724E-2</v>
      </c>
      <c r="W241" s="13"/>
      <c r="X241" s="11"/>
      <c r="Y241" s="11"/>
      <c r="Z241" s="14"/>
      <c r="AA241" s="10"/>
      <c r="AB241" s="11"/>
      <c r="AC241" s="69">
        <f t="shared" si="2216"/>
        <v>157</v>
      </c>
      <c r="AD241" s="69">
        <f t="shared" si="2217"/>
        <v>13</v>
      </c>
      <c r="AE241" s="11">
        <v>81</v>
      </c>
      <c r="AF241" s="12">
        <f t="shared" si="2166"/>
        <v>0.53503184713375795</v>
      </c>
      <c r="AG241" s="11">
        <v>3</v>
      </c>
      <c r="AH241" s="12">
        <f t="shared" si="2167"/>
        <v>3.5714285714285712E-2</v>
      </c>
      <c r="AI241" s="13"/>
      <c r="AJ241" s="11"/>
      <c r="AK241" s="11"/>
      <c r="AL241" s="14"/>
      <c r="AM241" s="10"/>
      <c r="AN241" s="11"/>
      <c r="AO241" s="69">
        <f t="shared" si="2218"/>
        <v>755</v>
      </c>
      <c r="AP241" s="69">
        <f t="shared" si="2219"/>
        <v>61</v>
      </c>
      <c r="AQ241" s="11">
        <v>415</v>
      </c>
      <c r="AR241" s="12">
        <f t="shared" si="2168"/>
        <v>0.56158940397350998</v>
      </c>
      <c r="AS241" s="11">
        <v>9</v>
      </c>
      <c r="AT241" s="12">
        <f t="shared" si="2169"/>
        <v>2.1226415094339621E-2</v>
      </c>
      <c r="AU241" s="13"/>
      <c r="AV241" s="11"/>
      <c r="AW241" s="11"/>
      <c r="AX241" s="14"/>
      <c r="AY241" s="10"/>
      <c r="AZ241" s="11"/>
      <c r="BA241" s="69">
        <f t="shared" si="2220"/>
        <v>748</v>
      </c>
      <c r="BB241" s="69">
        <f t="shared" si="2221"/>
        <v>60</v>
      </c>
      <c r="BC241" s="11">
        <v>430</v>
      </c>
      <c r="BD241" s="12">
        <f t="shared" si="2170"/>
        <v>0.58556149732620322</v>
      </c>
      <c r="BE241" s="11">
        <v>8</v>
      </c>
      <c r="BF241" s="12">
        <f t="shared" si="2171"/>
        <v>1.8264840182648401E-2</v>
      </c>
      <c r="BG241" s="13"/>
      <c r="BH241" s="11"/>
      <c r="BI241" s="11"/>
      <c r="BJ241" s="14"/>
      <c r="BK241" s="10"/>
      <c r="BL241" s="11">
        <v>1</v>
      </c>
      <c r="BM241" s="69">
        <f t="shared" si="2222"/>
        <v>807</v>
      </c>
      <c r="BN241" s="69">
        <f t="shared" si="2223"/>
        <v>63</v>
      </c>
      <c r="BO241" s="11">
        <v>461</v>
      </c>
      <c r="BP241" s="12">
        <f t="shared" si="2172"/>
        <v>0.59603469640644358</v>
      </c>
      <c r="BQ241" s="11">
        <v>20</v>
      </c>
      <c r="BR241" s="12">
        <f t="shared" si="2173"/>
        <v>4.1580041580041582E-2</v>
      </c>
      <c r="BS241" s="13"/>
      <c r="BT241" s="11"/>
      <c r="BU241" s="11"/>
      <c r="BV241" s="14"/>
      <c r="BW241" s="10">
        <v>1</v>
      </c>
      <c r="BX241" s="11"/>
      <c r="BY241" s="69">
        <f t="shared" si="2224"/>
        <v>742</v>
      </c>
      <c r="BZ241" s="69">
        <f t="shared" si="2225"/>
        <v>59</v>
      </c>
      <c r="CA241" s="11">
        <v>412</v>
      </c>
      <c r="CB241" s="12">
        <f t="shared" si="2174"/>
        <v>0.57951482479784366</v>
      </c>
      <c r="CC241" s="11">
        <v>18</v>
      </c>
      <c r="CD241" s="12">
        <f t="shared" si="2175"/>
        <v>4.1860465116279069E-2</v>
      </c>
      <c r="CE241" s="13"/>
      <c r="CF241" s="11"/>
      <c r="CG241" s="11"/>
      <c r="CH241" s="14"/>
      <c r="CI241" s="10"/>
      <c r="CJ241" s="11"/>
      <c r="CK241" s="69">
        <f t="shared" si="2226"/>
        <v>133</v>
      </c>
      <c r="CL241" s="69">
        <f t="shared" si="2227"/>
        <v>12</v>
      </c>
      <c r="CM241" s="11">
        <v>60</v>
      </c>
      <c r="CN241" s="12">
        <f t="shared" si="2176"/>
        <v>0.45112781954887216</v>
      </c>
      <c r="CO241" s="11">
        <v>0</v>
      </c>
      <c r="CP241" s="12">
        <f t="shared" si="2177"/>
        <v>0</v>
      </c>
      <c r="CQ241" s="13"/>
      <c r="CR241" s="11"/>
      <c r="CS241" s="11"/>
      <c r="CT241" s="14"/>
      <c r="CU241" s="10"/>
      <c r="CV241" s="11"/>
      <c r="CW241" s="69">
        <f t="shared" si="2228"/>
        <v>734</v>
      </c>
      <c r="CX241" s="69">
        <f t="shared" si="2229"/>
        <v>59</v>
      </c>
      <c r="CY241" s="11">
        <v>372</v>
      </c>
      <c r="CZ241" s="12">
        <f t="shared" si="2178"/>
        <v>0.52452316076294281</v>
      </c>
      <c r="DA241" s="11">
        <v>13</v>
      </c>
      <c r="DB241" s="12">
        <f t="shared" si="2179"/>
        <v>3.3766233766233764E-2</v>
      </c>
      <c r="DC241" s="13"/>
      <c r="DD241" s="11"/>
      <c r="DE241" s="11"/>
      <c r="DF241" s="14"/>
      <c r="DG241" s="10"/>
      <c r="DH241" s="11"/>
      <c r="DI241" s="69">
        <f t="shared" si="2230"/>
        <v>733</v>
      </c>
      <c r="DJ241" s="69">
        <f t="shared" si="2231"/>
        <v>59</v>
      </c>
      <c r="DK241" s="11">
        <v>450</v>
      </c>
      <c r="DL241" s="12">
        <f t="shared" si="2180"/>
        <v>0.62619372442019094</v>
      </c>
      <c r="DM241" s="11">
        <v>9</v>
      </c>
      <c r="DN241" s="12">
        <f t="shared" si="2181"/>
        <v>1.9607843137254902E-2</v>
      </c>
      <c r="DO241" s="13"/>
      <c r="DP241" s="11"/>
      <c r="DQ241" s="11"/>
      <c r="DR241" s="14"/>
      <c r="DS241" s="10"/>
      <c r="DT241" s="11"/>
      <c r="DU241" s="69">
        <f t="shared" si="2232"/>
        <v>820</v>
      </c>
      <c r="DV241" s="69">
        <f t="shared" si="2233"/>
        <v>66</v>
      </c>
      <c r="DW241" s="11">
        <v>403</v>
      </c>
      <c r="DX241" s="12">
        <f t="shared" si="2182"/>
        <v>0.53292682926829271</v>
      </c>
      <c r="DY241" s="11">
        <v>34</v>
      </c>
      <c r="DZ241" s="12">
        <f t="shared" si="2183"/>
        <v>7.780320366132723E-2</v>
      </c>
      <c r="EA241" s="13"/>
      <c r="EB241" s="11"/>
      <c r="EC241" s="11"/>
      <c r="ED241" s="14"/>
      <c r="EE241" s="10"/>
      <c r="EF241" s="11"/>
      <c r="EG241" s="69">
        <f t="shared" si="2234"/>
        <v>843</v>
      </c>
      <c r="EH241" s="69">
        <f t="shared" si="2235"/>
        <v>67</v>
      </c>
      <c r="EI241" s="11">
        <v>469</v>
      </c>
      <c r="EJ241" s="12">
        <f t="shared" si="2184"/>
        <v>0.57651245551601427</v>
      </c>
      <c r="EK241" s="11">
        <v>17</v>
      </c>
      <c r="EL241" s="12">
        <f t="shared" si="2185"/>
        <v>3.4979423868312758E-2</v>
      </c>
      <c r="EM241" s="13"/>
      <c r="EN241" s="11"/>
      <c r="EO241" s="11"/>
      <c r="EP241" s="14"/>
      <c r="EQ241" s="10"/>
      <c r="ER241" s="11"/>
      <c r="ES241" s="69">
        <f t="shared" si="2236"/>
        <v>168</v>
      </c>
      <c r="ET241" s="69">
        <f t="shared" si="2237"/>
        <v>14</v>
      </c>
      <c r="EU241" s="11">
        <v>88</v>
      </c>
      <c r="EV241" s="12">
        <f t="shared" si="2186"/>
        <v>0.5535714285714286</v>
      </c>
      <c r="EW241" s="11">
        <v>5</v>
      </c>
      <c r="EX241" s="12">
        <f t="shared" si="2187"/>
        <v>5.3763440860215055E-2</v>
      </c>
      <c r="EY241" s="13"/>
      <c r="EZ241" s="11"/>
      <c r="FA241" s="11"/>
      <c r="FB241" s="14"/>
      <c r="FC241" s="10"/>
      <c r="FD241" s="11"/>
      <c r="FE241" s="69">
        <f t="shared" si="2238"/>
        <v>848</v>
      </c>
      <c r="FF241" s="69">
        <f t="shared" si="2239"/>
        <v>67</v>
      </c>
      <c r="FG241" s="11">
        <v>484</v>
      </c>
      <c r="FH241" s="12">
        <f t="shared" si="2188"/>
        <v>0.59433962264150941</v>
      </c>
      <c r="FI241" s="11">
        <v>20</v>
      </c>
      <c r="FJ241" s="12">
        <f t="shared" si="2189"/>
        <v>3.968253968253968E-2</v>
      </c>
      <c r="FK241" s="13"/>
      <c r="FL241" s="11"/>
      <c r="FM241" s="11"/>
      <c r="FN241" s="14"/>
      <c r="FO241" s="10">
        <v>1</v>
      </c>
      <c r="FP241" s="11"/>
      <c r="FQ241" s="69">
        <f t="shared" si="2240"/>
        <v>868</v>
      </c>
      <c r="FR241" s="69">
        <f t="shared" si="2241"/>
        <v>70</v>
      </c>
      <c r="FS241" s="11">
        <v>456</v>
      </c>
      <c r="FT241" s="12">
        <f t="shared" si="2190"/>
        <v>0.54953917050691248</v>
      </c>
      <c r="FU241" s="11">
        <v>21</v>
      </c>
      <c r="FV241" s="12">
        <f t="shared" si="2191"/>
        <v>4.40251572327044E-2</v>
      </c>
      <c r="FW241" s="13"/>
      <c r="FX241" s="11"/>
      <c r="FY241" s="11"/>
      <c r="FZ241" s="14"/>
      <c r="GA241" s="10"/>
      <c r="GB241" s="11"/>
      <c r="GC241" s="69">
        <f t="shared" si="2242"/>
        <v>873</v>
      </c>
      <c r="GD241" s="69">
        <f t="shared" si="2243"/>
        <v>71</v>
      </c>
      <c r="GE241" s="11">
        <v>427</v>
      </c>
      <c r="GF241" s="12">
        <f t="shared" si="2192"/>
        <v>0.50515463917525771</v>
      </c>
      <c r="GG241" s="11">
        <v>14</v>
      </c>
      <c r="GH241" s="12">
        <f t="shared" si="2193"/>
        <v>3.1746031746031744E-2</v>
      </c>
      <c r="GI241" s="13"/>
      <c r="GJ241" s="11"/>
      <c r="GK241" s="11"/>
      <c r="GL241" s="14"/>
      <c r="GM241" s="10"/>
      <c r="GN241" s="11"/>
      <c r="GO241" s="69">
        <f t="shared" si="2244"/>
        <v>147</v>
      </c>
      <c r="GP241" s="69">
        <f t="shared" si="2245"/>
        <v>12</v>
      </c>
      <c r="GQ241" s="11">
        <v>73</v>
      </c>
      <c r="GR241" s="12">
        <f t="shared" si="2194"/>
        <v>0.5374149659863946</v>
      </c>
      <c r="GS241" s="11">
        <v>6</v>
      </c>
      <c r="GT241" s="12">
        <f t="shared" si="2195"/>
        <v>7.5949367088607597E-2</v>
      </c>
      <c r="GU241" s="13"/>
      <c r="GV241" s="11"/>
      <c r="GW241" s="11"/>
      <c r="GX241" s="14"/>
      <c r="GY241" s="10"/>
      <c r="GZ241" s="11"/>
      <c r="HA241" s="69">
        <f t="shared" si="2246"/>
        <v>899</v>
      </c>
      <c r="HB241" s="69">
        <f t="shared" si="2247"/>
        <v>73</v>
      </c>
      <c r="HC241" s="11">
        <v>469</v>
      </c>
      <c r="HD241" s="12">
        <f t="shared" si="2196"/>
        <v>0.53503893214682985</v>
      </c>
      <c r="HE241" s="11">
        <v>12</v>
      </c>
      <c r="HF241" s="12">
        <f t="shared" si="2197"/>
        <v>2.4948024948024949E-2</v>
      </c>
      <c r="HG241" s="13"/>
      <c r="HH241" s="11"/>
      <c r="HI241" s="11"/>
      <c r="HJ241" s="14"/>
      <c r="HK241" s="10">
        <f t="shared" si="2198"/>
        <v>2</v>
      </c>
      <c r="HL241" s="11">
        <f t="shared" si="2199"/>
        <v>1</v>
      </c>
      <c r="HM241" s="11">
        <f t="shared" si="2200"/>
        <v>11837</v>
      </c>
      <c r="HN241" s="11">
        <f t="shared" si="2201"/>
        <v>952</v>
      </c>
      <c r="HO241" s="11">
        <f t="shared" si="2202"/>
        <v>6645</v>
      </c>
      <c r="HP241" s="95">
        <f t="shared" si="2203"/>
        <v>0.56137534848356851</v>
      </c>
      <c r="HQ241" s="15">
        <f t="shared" si="2204"/>
        <v>230</v>
      </c>
      <c r="HR241" s="12">
        <f t="shared" si="2205"/>
        <v>3.4612490594431902E-2</v>
      </c>
      <c r="HS241" s="16">
        <v>65.7</v>
      </c>
      <c r="HT241" s="17">
        <v>6283</v>
      </c>
      <c r="HU241" s="16">
        <f t="shared" si="2206"/>
        <v>94.552294958615505</v>
      </c>
      <c r="HV241" s="15"/>
      <c r="HW241" s="14"/>
      <c r="HX241" s="73">
        <f t="shared" si="2207"/>
        <v>0.56859093730602106</v>
      </c>
      <c r="HY241" s="73">
        <f t="shared" si="2208"/>
        <v>0.57637345188948874</v>
      </c>
      <c r="HZ241" s="73">
        <f t="shared" si="2209"/>
        <v>0.56737588652482274</v>
      </c>
      <c r="IA241" s="73">
        <f t="shared" si="2210"/>
        <v>0.53031933979189094</v>
      </c>
    </row>
    <row r="242" spans="1:244" x14ac:dyDescent="0.25">
      <c r="A242" s="374"/>
      <c r="B242" s="41">
        <f t="shared" si="2211"/>
        <v>45126</v>
      </c>
      <c r="C242" s="10"/>
      <c r="D242" s="11"/>
      <c r="E242" s="69">
        <f t="shared" si="2212"/>
        <v>816</v>
      </c>
      <c r="F242" s="69">
        <f t="shared" si="2213"/>
        <v>66</v>
      </c>
      <c r="G242" s="11">
        <v>424</v>
      </c>
      <c r="H242" s="12">
        <f t="shared" si="2162"/>
        <v>0.53186274509803921</v>
      </c>
      <c r="I242" s="11">
        <v>10</v>
      </c>
      <c r="J242" s="12">
        <f t="shared" si="2163"/>
        <v>2.3041474654377881E-2</v>
      </c>
      <c r="K242" s="11"/>
      <c r="L242" s="11"/>
      <c r="M242" s="18"/>
      <c r="N242" s="20"/>
      <c r="O242" s="10"/>
      <c r="P242" s="11"/>
      <c r="Q242" s="69">
        <f t="shared" si="2214"/>
        <v>746</v>
      </c>
      <c r="R242" s="69">
        <f t="shared" si="2215"/>
        <v>60</v>
      </c>
      <c r="S242" s="11">
        <v>370</v>
      </c>
      <c r="T242" s="12">
        <f t="shared" si="2164"/>
        <v>0.51608579088471851</v>
      </c>
      <c r="U242" s="11">
        <v>15</v>
      </c>
      <c r="V242" s="12">
        <f t="shared" si="2165"/>
        <v>3.896103896103896E-2</v>
      </c>
      <c r="W242" s="11"/>
      <c r="X242" s="11"/>
      <c r="Y242" s="18"/>
      <c r="Z242" s="20"/>
      <c r="AA242" s="10"/>
      <c r="AB242" s="11"/>
      <c r="AC242" s="69">
        <f t="shared" si="2216"/>
        <v>157</v>
      </c>
      <c r="AD242" s="69">
        <f t="shared" si="2217"/>
        <v>13</v>
      </c>
      <c r="AE242" s="11">
        <v>89</v>
      </c>
      <c r="AF242" s="12">
        <f t="shared" si="2166"/>
        <v>0.57961783439490444</v>
      </c>
      <c r="AG242" s="11">
        <v>2</v>
      </c>
      <c r="AH242" s="12">
        <f t="shared" si="2167"/>
        <v>2.197802197802198E-2</v>
      </c>
      <c r="AI242" s="11"/>
      <c r="AJ242" s="11"/>
      <c r="AK242" s="18"/>
      <c r="AL242" s="20"/>
      <c r="AM242" s="10">
        <v>1</v>
      </c>
      <c r="AN242" s="11"/>
      <c r="AO242" s="69">
        <f t="shared" si="2218"/>
        <v>754</v>
      </c>
      <c r="AP242" s="69">
        <f t="shared" si="2219"/>
        <v>61</v>
      </c>
      <c r="AQ242" s="11">
        <v>418</v>
      </c>
      <c r="AR242" s="12">
        <f t="shared" si="2168"/>
        <v>0.56498673740053051</v>
      </c>
      <c r="AS242" s="11">
        <v>8</v>
      </c>
      <c r="AT242" s="12">
        <f t="shared" si="2169"/>
        <v>1.8779342723004695E-2</v>
      </c>
      <c r="AU242" s="11"/>
      <c r="AV242" s="11"/>
      <c r="AW242" s="18"/>
      <c r="AX242" s="20"/>
      <c r="AY242" s="10"/>
      <c r="AZ242" s="11"/>
      <c r="BA242" s="69">
        <f t="shared" si="2220"/>
        <v>748</v>
      </c>
      <c r="BB242" s="69">
        <f t="shared" si="2221"/>
        <v>60</v>
      </c>
      <c r="BC242" s="11">
        <v>422</v>
      </c>
      <c r="BD242" s="12">
        <f t="shared" si="2170"/>
        <v>0.5762032085561497</v>
      </c>
      <c r="BE242" s="11">
        <v>9</v>
      </c>
      <c r="BF242" s="12">
        <f t="shared" si="2171"/>
        <v>2.0881670533642691E-2</v>
      </c>
      <c r="BG242" s="11"/>
      <c r="BH242" s="11"/>
      <c r="BI242" s="18"/>
      <c r="BJ242" s="20"/>
      <c r="BK242" s="10"/>
      <c r="BL242" s="11"/>
      <c r="BM242" s="69">
        <f t="shared" si="2222"/>
        <v>807</v>
      </c>
      <c r="BN242" s="69">
        <f t="shared" si="2223"/>
        <v>63</v>
      </c>
      <c r="BO242" s="11">
        <v>402</v>
      </c>
      <c r="BP242" s="12">
        <f t="shared" si="2172"/>
        <v>0.51425030978934327</v>
      </c>
      <c r="BQ242" s="11">
        <v>13</v>
      </c>
      <c r="BR242" s="12">
        <f t="shared" si="2173"/>
        <v>3.1325301204819279E-2</v>
      </c>
      <c r="BS242" s="11"/>
      <c r="BT242" s="11"/>
      <c r="BU242" s="18"/>
      <c r="BV242" s="20"/>
      <c r="BW242" s="10"/>
      <c r="BX242" s="11"/>
      <c r="BY242" s="69">
        <f t="shared" si="2224"/>
        <v>742</v>
      </c>
      <c r="BZ242" s="69">
        <f t="shared" si="2225"/>
        <v>59</v>
      </c>
      <c r="CA242" s="11">
        <v>381</v>
      </c>
      <c r="CB242" s="12">
        <f t="shared" si="2174"/>
        <v>0.53099730458221028</v>
      </c>
      <c r="CC242" s="11">
        <v>13</v>
      </c>
      <c r="CD242" s="12">
        <f t="shared" si="2175"/>
        <v>3.2994923857868022E-2</v>
      </c>
      <c r="CE242" s="11"/>
      <c r="CF242" s="11"/>
      <c r="CG242" s="18"/>
      <c r="CH242" s="20"/>
      <c r="CI242" s="10"/>
      <c r="CJ242" s="11"/>
      <c r="CK242" s="69">
        <f t="shared" si="2226"/>
        <v>133</v>
      </c>
      <c r="CL242" s="69">
        <f t="shared" si="2227"/>
        <v>12</v>
      </c>
      <c r="CM242" s="11">
        <v>56</v>
      </c>
      <c r="CN242" s="12">
        <f t="shared" si="2176"/>
        <v>0.48120300751879697</v>
      </c>
      <c r="CO242" s="11">
        <v>8</v>
      </c>
      <c r="CP242" s="12">
        <f t="shared" si="2177"/>
        <v>0.125</v>
      </c>
      <c r="CQ242" s="11"/>
      <c r="CR242" s="11"/>
      <c r="CS242" s="18"/>
      <c r="CT242" s="20"/>
      <c r="CU242" s="10"/>
      <c r="CV242" s="11"/>
      <c r="CW242" s="69">
        <f t="shared" si="2228"/>
        <v>734</v>
      </c>
      <c r="CX242" s="69">
        <f t="shared" si="2229"/>
        <v>59</v>
      </c>
      <c r="CY242" s="11">
        <v>369</v>
      </c>
      <c r="CZ242" s="12">
        <f t="shared" si="2178"/>
        <v>0.52452316076294281</v>
      </c>
      <c r="DA242" s="11">
        <v>16</v>
      </c>
      <c r="DB242" s="12">
        <f t="shared" si="2179"/>
        <v>4.1558441558441558E-2</v>
      </c>
      <c r="DC242" s="11"/>
      <c r="DD242" s="11"/>
      <c r="DE242" s="18"/>
      <c r="DF242" s="20"/>
      <c r="DG242" s="10">
        <v>1</v>
      </c>
      <c r="DH242" s="11"/>
      <c r="DI242" s="69">
        <f t="shared" si="2230"/>
        <v>732</v>
      </c>
      <c r="DJ242" s="69">
        <f t="shared" si="2231"/>
        <v>59</v>
      </c>
      <c r="DK242" s="11">
        <v>408</v>
      </c>
      <c r="DL242" s="12">
        <f t="shared" si="2180"/>
        <v>0.58333333333333337</v>
      </c>
      <c r="DM242" s="11">
        <v>19</v>
      </c>
      <c r="DN242" s="12">
        <f t="shared" si="2181"/>
        <v>4.449648711943794E-2</v>
      </c>
      <c r="DO242" s="11"/>
      <c r="DP242" s="11"/>
      <c r="DQ242" s="18"/>
      <c r="DR242" s="20"/>
      <c r="DS242" s="10"/>
      <c r="DT242" s="11"/>
      <c r="DU242" s="69">
        <f t="shared" si="2232"/>
        <v>820</v>
      </c>
      <c r="DV242" s="69">
        <f t="shared" si="2233"/>
        <v>66</v>
      </c>
      <c r="DW242" s="11">
        <v>413</v>
      </c>
      <c r="DX242" s="12">
        <f t="shared" si="2182"/>
        <v>0.53170731707317076</v>
      </c>
      <c r="DY242" s="11">
        <v>23</v>
      </c>
      <c r="DZ242" s="12">
        <f t="shared" si="2183"/>
        <v>5.2752293577981654E-2</v>
      </c>
      <c r="EA242" s="11"/>
      <c r="EB242" s="11"/>
      <c r="EC242" s="18"/>
      <c r="ED242" s="20"/>
      <c r="EE242" s="10"/>
      <c r="EF242" s="11"/>
      <c r="EG242" s="69">
        <f t="shared" si="2234"/>
        <v>843</v>
      </c>
      <c r="EH242" s="69">
        <f t="shared" si="2235"/>
        <v>67</v>
      </c>
      <c r="EI242" s="11">
        <v>434</v>
      </c>
      <c r="EJ242" s="12">
        <f t="shared" si="2184"/>
        <v>0.53855278766310799</v>
      </c>
      <c r="EK242" s="11">
        <v>20</v>
      </c>
      <c r="EL242" s="12">
        <f t="shared" si="2185"/>
        <v>4.405286343612335E-2</v>
      </c>
      <c r="EM242" s="11"/>
      <c r="EN242" s="11"/>
      <c r="EO242" s="18"/>
      <c r="EP242" s="20"/>
      <c r="EQ242" s="10"/>
      <c r="ER242" s="11"/>
      <c r="ES242" s="69">
        <f t="shared" si="2236"/>
        <v>168</v>
      </c>
      <c r="ET242" s="69">
        <f t="shared" si="2237"/>
        <v>14</v>
      </c>
      <c r="EU242" s="11">
        <v>74</v>
      </c>
      <c r="EV242" s="12">
        <f t="shared" si="2186"/>
        <v>0.47619047619047616</v>
      </c>
      <c r="EW242" s="11">
        <v>6</v>
      </c>
      <c r="EX242" s="12">
        <f t="shared" si="2187"/>
        <v>7.4999999999999997E-2</v>
      </c>
      <c r="EY242" s="11"/>
      <c r="EZ242" s="11"/>
      <c r="FA242" s="18"/>
      <c r="FB242" s="20"/>
      <c r="FC242" s="10"/>
      <c r="FD242" s="11"/>
      <c r="FE242" s="69">
        <f t="shared" si="2238"/>
        <v>848</v>
      </c>
      <c r="FF242" s="69">
        <f t="shared" si="2239"/>
        <v>67</v>
      </c>
      <c r="FG242" s="11">
        <v>451</v>
      </c>
      <c r="FH242" s="12">
        <f t="shared" si="2188"/>
        <v>0.54716981132075471</v>
      </c>
      <c r="FI242" s="11">
        <v>13</v>
      </c>
      <c r="FJ242" s="12">
        <f t="shared" si="2189"/>
        <v>2.8017241379310345E-2</v>
      </c>
      <c r="FK242" s="11"/>
      <c r="FL242" s="11"/>
      <c r="FM242" s="18"/>
      <c r="FN242" s="20"/>
      <c r="FO242" s="10"/>
      <c r="FP242" s="11"/>
      <c r="FQ242" s="69">
        <f t="shared" si="2240"/>
        <v>868</v>
      </c>
      <c r="FR242" s="69">
        <f t="shared" si="2241"/>
        <v>70</v>
      </c>
      <c r="FS242" s="11">
        <v>457</v>
      </c>
      <c r="FT242" s="12">
        <f t="shared" si="2190"/>
        <v>0.55069124423963134</v>
      </c>
      <c r="FU242" s="11">
        <v>21</v>
      </c>
      <c r="FV242" s="12">
        <f t="shared" si="2191"/>
        <v>4.3933054393305436E-2</v>
      </c>
      <c r="FW242" s="11"/>
      <c r="FX242" s="11"/>
      <c r="FY242" s="18"/>
      <c r="FZ242" s="20"/>
      <c r="GA242" s="10"/>
      <c r="GB242" s="11"/>
      <c r="GC242" s="69">
        <f t="shared" si="2242"/>
        <v>873</v>
      </c>
      <c r="GD242" s="69">
        <f t="shared" si="2243"/>
        <v>71</v>
      </c>
      <c r="GE242" s="11">
        <v>474</v>
      </c>
      <c r="GF242" s="12">
        <f t="shared" si="2192"/>
        <v>0.57044673539518898</v>
      </c>
      <c r="GG242" s="11">
        <v>24</v>
      </c>
      <c r="GH242" s="12">
        <f t="shared" si="2193"/>
        <v>4.8192771084337352E-2</v>
      </c>
      <c r="GI242" s="11"/>
      <c r="GJ242" s="11"/>
      <c r="GK242" s="18"/>
      <c r="GL242" s="20"/>
      <c r="GM242" s="10"/>
      <c r="GN242" s="11"/>
      <c r="GO242" s="69">
        <f t="shared" si="2244"/>
        <v>147</v>
      </c>
      <c r="GP242" s="69">
        <f t="shared" si="2245"/>
        <v>12</v>
      </c>
      <c r="GQ242" s="11">
        <v>66</v>
      </c>
      <c r="GR242" s="12">
        <f t="shared" si="2194"/>
        <v>0.46938775510204084</v>
      </c>
      <c r="GS242" s="11">
        <v>3</v>
      </c>
      <c r="GT242" s="12">
        <f t="shared" si="2195"/>
        <v>4.3478260869565216E-2</v>
      </c>
      <c r="GU242" s="11"/>
      <c r="GV242" s="11"/>
      <c r="GW242" s="18"/>
      <c r="GX242" s="20"/>
      <c r="GY242" s="10"/>
      <c r="GZ242" s="11"/>
      <c r="HA242" s="69">
        <f t="shared" si="2246"/>
        <v>899</v>
      </c>
      <c r="HB242" s="69">
        <f t="shared" si="2247"/>
        <v>73</v>
      </c>
      <c r="HC242" s="11">
        <v>460</v>
      </c>
      <c r="HD242" s="12">
        <f t="shared" si="2196"/>
        <v>0.53392658509454949</v>
      </c>
      <c r="HE242" s="11">
        <v>20</v>
      </c>
      <c r="HF242" s="12">
        <f t="shared" si="2197"/>
        <v>4.1666666666666664E-2</v>
      </c>
      <c r="HG242" s="11"/>
      <c r="HH242" s="11"/>
      <c r="HI242" s="18"/>
      <c r="HJ242" s="20"/>
      <c r="HK242" s="10">
        <f t="shared" si="2198"/>
        <v>2</v>
      </c>
      <c r="HL242" s="11">
        <f t="shared" si="2199"/>
        <v>0</v>
      </c>
      <c r="HM242" s="11">
        <f t="shared" si="2200"/>
        <v>11835</v>
      </c>
      <c r="HN242" s="11">
        <f t="shared" si="2201"/>
        <v>952</v>
      </c>
      <c r="HO242" s="11">
        <f t="shared" si="2202"/>
        <v>6411</v>
      </c>
      <c r="HP242" s="95">
        <f t="shared" si="2203"/>
        <v>0.54169835234474017</v>
      </c>
      <c r="HQ242" s="15">
        <f t="shared" si="2204"/>
        <v>243</v>
      </c>
      <c r="HR242" s="12">
        <f t="shared" si="2205"/>
        <v>3.7903603182030884E-2</v>
      </c>
      <c r="HS242" s="16">
        <v>65.8</v>
      </c>
      <c r="HT242" s="17">
        <v>5974</v>
      </c>
      <c r="HU242" s="16">
        <f t="shared" si="2206"/>
        <v>93.183590703478387</v>
      </c>
      <c r="HV242" s="18"/>
      <c r="HW242" s="20"/>
      <c r="HX242" s="73">
        <f t="shared" si="2207"/>
        <v>0.54858739521887612</v>
      </c>
      <c r="HY242" s="73">
        <f t="shared" si="2208"/>
        <v>0.53526048284625161</v>
      </c>
      <c r="HZ242" s="73">
        <f t="shared" si="2209"/>
        <v>0.53527435610302354</v>
      </c>
      <c r="IA242" s="73">
        <f t="shared" si="2210"/>
        <v>0.54718335127377105</v>
      </c>
    </row>
    <row r="243" spans="1:244" x14ac:dyDescent="0.25">
      <c r="A243" s="374"/>
      <c r="B243" s="41">
        <f>+B242+1</f>
        <v>45127</v>
      </c>
      <c r="C243" s="10">
        <v>1</v>
      </c>
      <c r="D243" s="11"/>
      <c r="E243" s="69">
        <f t="shared" si="2212"/>
        <v>815</v>
      </c>
      <c r="F243" s="69">
        <f t="shared" si="2213"/>
        <v>66</v>
      </c>
      <c r="G243" s="11">
        <v>445</v>
      </c>
      <c r="H243" s="12">
        <f t="shared" si="2162"/>
        <v>0.56441717791411039</v>
      </c>
      <c r="I243" s="11">
        <v>15</v>
      </c>
      <c r="J243" s="12">
        <f t="shared" si="2163"/>
        <v>3.2608695652173912E-2</v>
      </c>
      <c r="K243" s="13"/>
      <c r="L243" s="13"/>
      <c r="M243" s="25"/>
      <c r="N243" s="38">
        <v>4475</v>
      </c>
      <c r="O243" s="10"/>
      <c r="P243" s="11"/>
      <c r="Q243" s="69">
        <f t="shared" si="2214"/>
        <v>746</v>
      </c>
      <c r="R243" s="69">
        <f t="shared" si="2215"/>
        <v>60</v>
      </c>
      <c r="S243" s="11">
        <v>388</v>
      </c>
      <c r="T243" s="12">
        <f t="shared" si="2164"/>
        <v>0.56032171581769441</v>
      </c>
      <c r="U243" s="11">
        <v>30</v>
      </c>
      <c r="V243" s="12">
        <f t="shared" si="2165"/>
        <v>7.1770334928229665E-2</v>
      </c>
      <c r="W243" s="13"/>
      <c r="X243" s="13"/>
      <c r="Y243" s="25"/>
      <c r="Z243" s="38">
        <v>4475</v>
      </c>
      <c r="AA243" s="10"/>
      <c r="AB243" s="11"/>
      <c r="AC243" s="69">
        <f t="shared" si="2216"/>
        <v>157</v>
      </c>
      <c r="AD243" s="69">
        <f t="shared" si="2217"/>
        <v>13</v>
      </c>
      <c r="AE243" s="11">
        <v>88</v>
      </c>
      <c r="AF243" s="12">
        <f t="shared" si="2166"/>
        <v>0.57324840764331209</v>
      </c>
      <c r="AG243" s="11">
        <v>2</v>
      </c>
      <c r="AH243" s="12">
        <f t="shared" si="2167"/>
        <v>2.2222222222222223E-2</v>
      </c>
      <c r="AI243" s="13"/>
      <c r="AJ243" s="13"/>
      <c r="AK243" s="25"/>
      <c r="AL243" s="38">
        <v>4475</v>
      </c>
      <c r="AM243" s="10"/>
      <c r="AN243" s="11"/>
      <c r="AO243" s="69">
        <f t="shared" si="2218"/>
        <v>754</v>
      </c>
      <c r="AP243" s="69">
        <f t="shared" si="2219"/>
        <v>61</v>
      </c>
      <c r="AQ243" s="11">
        <v>387</v>
      </c>
      <c r="AR243" s="12">
        <f t="shared" si="2168"/>
        <v>0.5251989389920424</v>
      </c>
      <c r="AS243" s="11">
        <v>9</v>
      </c>
      <c r="AT243" s="12">
        <f t="shared" si="2169"/>
        <v>2.2727272727272728E-2</v>
      </c>
      <c r="AU243" s="13"/>
      <c r="AV243" s="13"/>
      <c r="AW243" s="25"/>
      <c r="AX243" s="38">
        <v>4475</v>
      </c>
      <c r="AY243" s="10">
        <v>1</v>
      </c>
      <c r="AZ243" s="11"/>
      <c r="BA243" s="69">
        <f t="shared" si="2220"/>
        <v>747</v>
      </c>
      <c r="BB243" s="69">
        <f t="shared" si="2221"/>
        <v>60</v>
      </c>
      <c r="BC243" s="11">
        <v>432</v>
      </c>
      <c r="BD243" s="12">
        <f t="shared" si="2170"/>
        <v>0.5970548862115127</v>
      </c>
      <c r="BE243" s="11">
        <v>14</v>
      </c>
      <c r="BF243" s="12">
        <f t="shared" si="2171"/>
        <v>3.1390134529147982E-2</v>
      </c>
      <c r="BG243" s="13"/>
      <c r="BH243" s="13"/>
      <c r="BI243" s="25"/>
      <c r="BJ243" s="38">
        <v>4475</v>
      </c>
      <c r="BK243" s="10"/>
      <c r="BL243" s="11"/>
      <c r="BM243" s="69">
        <f t="shared" si="2222"/>
        <v>807</v>
      </c>
      <c r="BN243" s="69">
        <f t="shared" si="2223"/>
        <v>63</v>
      </c>
      <c r="BO243" s="11">
        <v>443</v>
      </c>
      <c r="BP243" s="12">
        <f t="shared" si="2172"/>
        <v>0.56629491945477073</v>
      </c>
      <c r="BQ243" s="11">
        <v>14</v>
      </c>
      <c r="BR243" s="12">
        <f t="shared" si="2173"/>
        <v>3.0634573304157548E-2</v>
      </c>
      <c r="BS243" s="13"/>
      <c r="BT243" s="13"/>
      <c r="BU243" s="25"/>
      <c r="BV243" s="38">
        <v>4475</v>
      </c>
      <c r="BW243" s="10"/>
      <c r="BX243" s="11"/>
      <c r="BY243" s="69">
        <f t="shared" si="2224"/>
        <v>742</v>
      </c>
      <c r="BZ243" s="69">
        <f t="shared" si="2225"/>
        <v>59</v>
      </c>
      <c r="CA243" s="11">
        <v>370</v>
      </c>
      <c r="CB243" s="12">
        <f t="shared" si="2174"/>
        <v>0.51347708894878707</v>
      </c>
      <c r="CC243" s="11">
        <v>11</v>
      </c>
      <c r="CD243" s="12">
        <f t="shared" si="2175"/>
        <v>2.8871391076115485E-2</v>
      </c>
      <c r="CE243" s="13"/>
      <c r="CF243" s="13"/>
      <c r="CG243" s="25"/>
      <c r="CH243" s="38">
        <v>4475</v>
      </c>
      <c r="CI243" s="10"/>
      <c r="CJ243" s="11"/>
      <c r="CK243" s="69">
        <f t="shared" si="2226"/>
        <v>133</v>
      </c>
      <c r="CL243" s="69">
        <f t="shared" si="2227"/>
        <v>12</v>
      </c>
      <c r="CM243" s="11">
        <v>48</v>
      </c>
      <c r="CN243" s="12">
        <f t="shared" si="2176"/>
        <v>0.37593984962406013</v>
      </c>
      <c r="CO243" s="11">
        <v>2</v>
      </c>
      <c r="CP243" s="12">
        <f t="shared" si="2177"/>
        <v>0.04</v>
      </c>
      <c r="CQ243" s="13"/>
      <c r="CR243" s="13"/>
      <c r="CS243" s="25"/>
      <c r="CT243" s="38">
        <v>4475</v>
      </c>
      <c r="CU243" s="10"/>
      <c r="CV243" s="11"/>
      <c r="CW243" s="69">
        <f t="shared" si="2228"/>
        <v>734</v>
      </c>
      <c r="CX243" s="69">
        <f t="shared" si="2229"/>
        <v>59</v>
      </c>
      <c r="CY243" s="11">
        <v>385</v>
      </c>
      <c r="CZ243" s="12">
        <f t="shared" si="2178"/>
        <v>0.54223433242506813</v>
      </c>
      <c r="DA243" s="11">
        <v>13</v>
      </c>
      <c r="DB243" s="12">
        <f t="shared" si="2179"/>
        <v>3.2663316582914576E-2</v>
      </c>
      <c r="DC243" s="13"/>
      <c r="DD243" s="13"/>
      <c r="DE243" s="25"/>
      <c r="DF243" s="38">
        <v>4475</v>
      </c>
      <c r="DG243" s="10"/>
      <c r="DH243" s="11"/>
      <c r="DI243" s="69">
        <f t="shared" si="2230"/>
        <v>732</v>
      </c>
      <c r="DJ243" s="69">
        <f t="shared" si="2231"/>
        <v>59</v>
      </c>
      <c r="DK243" s="11">
        <v>400</v>
      </c>
      <c r="DL243" s="12">
        <f t="shared" si="2180"/>
        <v>0.56557377049180324</v>
      </c>
      <c r="DM243" s="11">
        <v>14</v>
      </c>
      <c r="DN243" s="12">
        <f t="shared" si="2181"/>
        <v>3.3816425120772944E-2</v>
      </c>
      <c r="DO243" s="13"/>
      <c r="DP243" s="13"/>
      <c r="DQ243" s="25"/>
      <c r="DR243" s="38">
        <v>4475</v>
      </c>
      <c r="DS243" s="10"/>
      <c r="DT243" s="11"/>
      <c r="DU243" s="69">
        <f t="shared" si="2232"/>
        <v>820</v>
      </c>
      <c r="DV243" s="69">
        <f t="shared" si="2233"/>
        <v>66</v>
      </c>
      <c r="DW243" s="11">
        <v>453</v>
      </c>
      <c r="DX243" s="12">
        <f t="shared" si="2182"/>
        <v>0.58048780487804874</v>
      </c>
      <c r="DY243" s="11">
        <v>23</v>
      </c>
      <c r="DZ243" s="12">
        <f t="shared" si="2183"/>
        <v>4.8319327731092439E-2</v>
      </c>
      <c r="EA243" s="13"/>
      <c r="EB243" s="13"/>
      <c r="EC243" s="25"/>
      <c r="ED243" s="38">
        <v>4475</v>
      </c>
      <c r="EE243" s="10"/>
      <c r="EF243" s="11"/>
      <c r="EG243" s="69">
        <f t="shared" si="2234"/>
        <v>843</v>
      </c>
      <c r="EH243" s="69">
        <f t="shared" si="2235"/>
        <v>67</v>
      </c>
      <c r="EI243" s="11">
        <v>448</v>
      </c>
      <c r="EJ243" s="12">
        <f t="shared" si="2184"/>
        <v>0.55634638196915775</v>
      </c>
      <c r="EK243" s="11">
        <v>21</v>
      </c>
      <c r="EL243" s="12">
        <f t="shared" si="2185"/>
        <v>4.4776119402985072E-2</v>
      </c>
      <c r="EM243" s="13"/>
      <c r="EN243" s="13"/>
      <c r="EO243" s="25"/>
      <c r="EP243" s="38">
        <v>4475</v>
      </c>
      <c r="EQ243" s="10">
        <v>1</v>
      </c>
      <c r="ER243" s="11"/>
      <c r="ES243" s="69">
        <f t="shared" si="2236"/>
        <v>167</v>
      </c>
      <c r="ET243" s="69">
        <f t="shared" si="2237"/>
        <v>14</v>
      </c>
      <c r="EU243" s="11">
        <v>92</v>
      </c>
      <c r="EV243" s="12">
        <f t="shared" si="2186"/>
        <v>0.57485029940119758</v>
      </c>
      <c r="EW243" s="11">
        <v>4</v>
      </c>
      <c r="EX243" s="12">
        <f t="shared" si="2187"/>
        <v>4.1666666666666664E-2</v>
      </c>
      <c r="EY243" s="13"/>
      <c r="EZ243" s="13"/>
      <c r="FA243" s="25"/>
      <c r="FB243" s="38">
        <v>4475</v>
      </c>
      <c r="FC243" s="10"/>
      <c r="FD243" s="11"/>
      <c r="FE243" s="69">
        <f t="shared" si="2238"/>
        <v>848</v>
      </c>
      <c r="FF243" s="69">
        <f t="shared" si="2239"/>
        <v>67</v>
      </c>
      <c r="FG243" s="11">
        <v>489</v>
      </c>
      <c r="FH243" s="12">
        <f t="shared" si="2188"/>
        <v>0.59080188679245282</v>
      </c>
      <c r="FI243" s="11">
        <v>12</v>
      </c>
      <c r="FJ243" s="12">
        <f t="shared" si="2189"/>
        <v>2.3952095808383235E-2</v>
      </c>
      <c r="FK243" s="13"/>
      <c r="FL243" s="13"/>
      <c r="FM243" s="25"/>
      <c r="FN243" s="38">
        <v>4475</v>
      </c>
      <c r="FO243" s="10"/>
      <c r="FP243" s="11"/>
      <c r="FQ243" s="69">
        <f t="shared" si="2240"/>
        <v>868</v>
      </c>
      <c r="FR243" s="69">
        <f t="shared" si="2241"/>
        <v>70</v>
      </c>
      <c r="FS243" s="11">
        <v>438</v>
      </c>
      <c r="FT243" s="12">
        <f t="shared" si="2190"/>
        <v>0.52995391705069128</v>
      </c>
      <c r="FU243" s="11">
        <v>22</v>
      </c>
      <c r="FV243" s="12">
        <f t="shared" si="2191"/>
        <v>4.7826086956521741E-2</v>
      </c>
      <c r="FW243" s="13"/>
      <c r="FX243" s="13"/>
      <c r="FY243" s="25"/>
      <c r="FZ243" s="38">
        <v>4475</v>
      </c>
      <c r="GA243" s="10"/>
      <c r="GB243" s="11"/>
      <c r="GC243" s="69">
        <f t="shared" si="2242"/>
        <v>873</v>
      </c>
      <c r="GD243" s="69">
        <f t="shared" si="2243"/>
        <v>71</v>
      </c>
      <c r="GE243" s="11">
        <v>470</v>
      </c>
      <c r="GF243" s="12">
        <f t="shared" si="2192"/>
        <v>0.55670103092783507</v>
      </c>
      <c r="GG243" s="11">
        <v>16</v>
      </c>
      <c r="GH243" s="12">
        <f t="shared" si="2193"/>
        <v>3.292181069958848E-2</v>
      </c>
      <c r="GI243" s="13"/>
      <c r="GJ243" s="13"/>
      <c r="GK243" s="25"/>
      <c r="GL243" s="38">
        <v>4475</v>
      </c>
      <c r="GM243" s="10"/>
      <c r="GN243" s="11"/>
      <c r="GO243" s="69">
        <f t="shared" si="2244"/>
        <v>147</v>
      </c>
      <c r="GP243" s="69">
        <f t="shared" si="2245"/>
        <v>12</v>
      </c>
      <c r="GQ243" s="11">
        <v>63</v>
      </c>
      <c r="GR243" s="12">
        <f t="shared" si="2194"/>
        <v>0.47619047619047616</v>
      </c>
      <c r="GS243" s="11">
        <v>7</v>
      </c>
      <c r="GT243" s="12">
        <f t="shared" si="2195"/>
        <v>0.1</v>
      </c>
      <c r="GU243" s="13"/>
      <c r="GV243" s="13"/>
      <c r="GW243" s="25"/>
      <c r="GX243" s="38">
        <v>4475</v>
      </c>
      <c r="GY243" s="10"/>
      <c r="GZ243" s="11"/>
      <c r="HA243" s="69">
        <f t="shared" si="2246"/>
        <v>899</v>
      </c>
      <c r="HB243" s="69">
        <f t="shared" si="2247"/>
        <v>73</v>
      </c>
      <c r="HC243" s="11">
        <v>500</v>
      </c>
      <c r="HD243" s="12">
        <f t="shared" si="2196"/>
        <v>0.56952169076751946</v>
      </c>
      <c r="HE243" s="11">
        <v>12</v>
      </c>
      <c r="HF243" s="12">
        <f t="shared" si="2197"/>
        <v>2.34375E-2</v>
      </c>
      <c r="HG243" s="13"/>
      <c r="HH243" s="13"/>
      <c r="HI243" s="25"/>
      <c r="HJ243" s="38">
        <v>4475</v>
      </c>
      <c r="HK243" s="10">
        <f t="shared" si="2198"/>
        <v>3</v>
      </c>
      <c r="HL243" s="11">
        <f t="shared" si="2199"/>
        <v>0</v>
      </c>
      <c r="HM243" s="11">
        <f t="shared" si="2200"/>
        <v>11832</v>
      </c>
      <c r="HN243" s="11">
        <f t="shared" si="2201"/>
        <v>952</v>
      </c>
      <c r="HO243" s="11">
        <f t="shared" si="2202"/>
        <v>6580</v>
      </c>
      <c r="HP243" s="95">
        <f t="shared" si="2203"/>
        <v>0.55611899932386744</v>
      </c>
      <c r="HQ243" s="15">
        <f t="shared" si="2204"/>
        <v>241</v>
      </c>
      <c r="HR243" s="12">
        <f t="shared" si="2205"/>
        <v>3.6626139817629182E-2</v>
      </c>
      <c r="HS243" s="16">
        <v>65.400000000000006</v>
      </c>
      <c r="HT243" s="17">
        <v>6187</v>
      </c>
      <c r="HU243" s="16">
        <f t="shared" si="2206"/>
        <v>94.027355623100306</v>
      </c>
      <c r="HV243" s="23"/>
      <c r="HW243" s="22">
        <v>4475</v>
      </c>
      <c r="HX243" s="73">
        <f t="shared" si="2207"/>
        <v>0.56228642435538989</v>
      </c>
      <c r="HY243" s="73">
        <f t="shared" si="2208"/>
        <v>0.54002541296060991</v>
      </c>
      <c r="HZ243" s="73">
        <f t="shared" si="2209"/>
        <v>0.5758028379387603</v>
      </c>
      <c r="IA243" s="73">
        <f t="shared" si="2210"/>
        <v>0.54825977753857191</v>
      </c>
    </row>
    <row r="244" spans="1:244" x14ac:dyDescent="0.25">
      <c r="A244" s="374"/>
      <c r="B244" s="41">
        <f t="shared" si="2211"/>
        <v>45128</v>
      </c>
      <c r="C244" s="10"/>
      <c r="D244" s="11"/>
      <c r="E244" s="69">
        <f t="shared" si="2212"/>
        <v>815</v>
      </c>
      <c r="F244" s="69">
        <f t="shared" si="2213"/>
        <v>66</v>
      </c>
      <c r="G244" s="11">
        <v>416</v>
      </c>
      <c r="H244" s="12">
        <f t="shared" si="2162"/>
        <v>0.52392638036809813</v>
      </c>
      <c r="I244" s="11">
        <v>11</v>
      </c>
      <c r="J244" s="12">
        <f t="shared" si="2163"/>
        <v>2.576112412177986E-2</v>
      </c>
      <c r="K244" s="13"/>
      <c r="L244" s="11"/>
      <c r="M244" s="25"/>
      <c r="N244" s="38">
        <v>4680.666666666667</v>
      </c>
      <c r="O244" s="10"/>
      <c r="P244" s="11"/>
      <c r="Q244" s="69">
        <f t="shared" si="2214"/>
        <v>746</v>
      </c>
      <c r="R244" s="69">
        <f t="shared" si="2215"/>
        <v>60</v>
      </c>
      <c r="S244" s="11">
        <v>408</v>
      </c>
      <c r="T244" s="12">
        <f t="shared" si="2164"/>
        <v>0.56836461126005366</v>
      </c>
      <c r="U244" s="11">
        <v>16</v>
      </c>
      <c r="V244" s="12">
        <f t="shared" si="2165"/>
        <v>3.7735849056603772E-2</v>
      </c>
      <c r="W244" s="13"/>
      <c r="X244" s="11"/>
      <c r="Y244" s="25"/>
      <c r="Z244" s="38">
        <v>4937.333333333333</v>
      </c>
      <c r="AA244" s="10"/>
      <c r="AB244" s="11"/>
      <c r="AC244" s="69">
        <f t="shared" si="2216"/>
        <v>157</v>
      </c>
      <c r="AD244" s="69">
        <f t="shared" si="2217"/>
        <v>13</v>
      </c>
      <c r="AE244" s="11">
        <v>73</v>
      </c>
      <c r="AF244" s="12">
        <f t="shared" si="2166"/>
        <v>0.46496815286624205</v>
      </c>
      <c r="AG244" s="11">
        <v>0</v>
      </c>
      <c r="AH244" s="12">
        <f t="shared" si="2167"/>
        <v>0</v>
      </c>
      <c r="AI244" s="13"/>
      <c r="AJ244" s="11"/>
      <c r="AK244" s="25"/>
      <c r="AL244" s="38">
        <v>4503.333333333333</v>
      </c>
      <c r="AM244" s="10"/>
      <c r="AN244" s="11"/>
      <c r="AO244" s="69">
        <f t="shared" si="2218"/>
        <v>754</v>
      </c>
      <c r="AP244" s="69">
        <f t="shared" si="2219"/>
        <v>61</v>
      </c>
      <c r="AQ244" s="11">
        <v>377</v>
      </c>
      <c r="AR244" s="12">
        <f t="shared" si="2168"/>
        <v>0.50795755968169765</v>
      </c>
      <c r="AS244" s="11">
        <v>6</v>
      </c>
      <c r="AT244" s="12">
        <f t="shared" si="2169"/>
        <v>1.5665796344647518E-2</v>
      </c>
      <c r="AU244" s="13"/>
      <c r="AV244" s="11"/>
      <c r="AW244" s="25"/>
      <c r="AX244" s="38">
        <v>4798.4615384615381</v>
      </c>
      <c r="AY244" s="10"/>
      <c r="AZ244" s="11"/>
      <c r="BA244" s="69">
        <f t="shared" si="2220"/>
        <v>747</v>
      </c>
      <c r="BB244" s="69">
        <f t="shared" si="2221"/>
        <v>60</v>
      </c>
      <c r="BC244" s="11">
        <v>402</v>
      </c>
      <c r="BD244" s="12">
        <f t="shared" si="2170"/>
        <v>0.55957161981258363</v>
      </c>
      <c r="BE244" s="11">
        <v>16</v>
      </c>
      <c r="BF244" s="12">
        <f t="shared" si="2171"/>
        <v>3.8277511961722487E-2</v>
      </c>
      <c r="BG244" s="13"/>
      <c r="BH244" s="11"/>
      <c r="BI244" s="25"/>
      <c r="BJ244" s="38">
        <v>5008.181818181818</v>
      </c>
      <c r="BK244" s="10">
        <v>1</v>
      </c>
      <c r="BL244" s="11"/>
      <c r="BM244" s="69">
        <f t="shared" si="2222"/>
        <v>806</v>
      </c>
      <c r="BN244" s="69">
        <f t="shared" si="2223"/>
        <v>63</v>
      </c>
      <c r="BO244" s="11">
        <v>451</v>
      </c>
      <c r="BP244" s="12">
        <f t="shared" si="2172"/>
        <v>0.58064516129032262</v>
      </c>
      <c r="BQ244" s="11">
        <v>17</v>
      </c>
      <c r="BR244" s="12">
        <f t="shared" si="2173"/>
        <v>3.6324786324786328E-2</v>
      </c>
      <c r="BS244" s="13"/>
      <c r="BT244" s="11"/>
      <c r="BU244" s="25"/>
      <c r="BV244" s="38">
        <v>4532.666666666667</v>
      </c>
      <c r="BW244" s="10">
        <v>2</v>
      </c>
      <c r="BX244" s="11"/>
      <c r="BY244" s="69">
        <f t="shared" si="2224"/>
        <v>740</v>
      </c>
      <c r="BZ244" s="69">
        <f t="shared" si="2225"/>
        <v>59</v>
      </c>
      <c r="CA244" s="11">
        <v>395</v>
      </c>
      <c r="CB244" s="12">
        <f t="shared" si="2174"/>
        <v>0.54054054054054057</v>
      </c>
      <c r="CC244" s="11">
        <v>5</v>
      </c>
      <c r="CD244" s="12">
        <f t="shared" si="2175"/>
        <v>1.2500000000000001E-2</v>
      </c>
      <c r="CE244" s="13"/>
      <c r="CF244" s="11"/>
      <c r="CG244" s="25"/>
      <c r="CH244" s="38">
        <v>4605.3846153846152</v>
      </c>
      <c r="CI244" s="10"/>
      <c r="CJ244" s="11"/>
      <c r="CK244" s="69">
        <f t="shared" si="2226"/>
        <v>133</v>
      </c>
      <c r="CL244" s="69">
        <f t="shared" si="2227"/>
        <v>12</v>
      </c>
      <c r="CM244" s="11">
        <v>62</v>
      </c>
      <c r="CN244" s="12">
        <f t="shared" si="2176"/>
        <v>0.48120300751879697</v>
      </c>
      <c r="CO244" s="11">
        <v>2</v>
      </c>
      <c r="CP244" s="12">
        <f t="shared" si="2177"/>
        <v>3.125E-2</v>
      </c>
      <c r="CQ244" s="13"/>
      <c r="CR244" s="11"/>
      <c r="CS244" s="25"/>
      <c r="CT244" s="38">
        <v>4350</v>
      </c>
      <c r="CU244" s="10"/>
      <c r="CV244" s="11"/>
      <c r="CW244" s="69">
        <f t="shared" si="2228"/>
        <v>734</v>
      </c>
      <c r="CX244" s="69">
        <f t="shared" si="2229"/>
        <v>59</v>
      </c>
      <c r="CY244" s="11">
        <v>359</v>
      </c>
      <c r="CZ244" s="12">
        <f t="shared" si="2178"/>
        <v>0.49455040871934602</v>
      </c>
      <c r="DA244" s="11">
        <v>4</v>
      </c>
      <c r="DB244" s="12">
        <f t="shared" si="2179"/>
        <v>1.1019283746556474E-2</v>
      </c>
      <c r="DC244" s="13"/>
      <c r="DD244" s="11"/>
      <c r="DE244" s="25"/>
      <c r="DF244" s="38">
        <v>4839.2307692307695</v>
      </c>
      <c r="DG244" s="10"/>
      <c r="DH244" s="11"/>
      <c r="DI244" s="69">
        <f t="shared" si="2230"/>
        <v>732</v>
      </c>
      <c r="DJ244" s="69">
        <f t="shared" si="2231"/>
        <v>59</v>
      </c>
      <c r="DK244" s="11">
        <v>428</v>
      </c>
      <c r="DL244" s="12">
        <f t="shared" si="2180"/>
        <v>0.59699453551912574</v>
      </c>
      <c r="DM244" s="11">
        <v>9</v>
      </c>
      <c r="DN244" s="12">
        <f t="shared" si="2181"/>
        <v>2.0594965675057208E-2</v>
      </c>
      <c r="DO244" s="13"/>
      <c r="DP244" s="11"/>
      <c r="DQ244" s="25"/>
      <c r="DR244" s="38">
        <v>5195.7142857142853</v>
      </c>
      <c r="DS244" s="10"/>
      <c r="DT244" s="11"/>
      <c r="DU244" s="69">
        <f t="shared" si="2232"/>
        <v>820</v>
      </c>
      <c r="DV244" s="69">
        <f t="shared" si="2233"/>
        <v>66</v>
      </c>
      <c r="DW244" s="11">
        <v>429</v>
      </c>
      <c r="DX244" s="12">
        <f t="shared" si="2182"/>
        <v>0.55243902439024395</v>
      </c>
      <c r="DY244" s="11">
        <v>24</v>
      </c>
      <c r="DZ244" s="12">
        <f t="shared" si="2183"/>
        <v>5.2980132450331126E-2</v>
      </c>
      <c r="EA244" s="13"/>
      <c r="EB244" s="11"/>
      <c r="EC244" s="25"/>
      <c r="ED244" s="38">
        <v>4752.5</v>
      </c>
      <c r="EE244" s="10"/>
      <c r="EF244" s="11"/>
      <c r="EG244" s="69">
        <f t="shared" si="2234"/>
        <v>843</v>
      </c>
      <c r="EH244" s="69">
        <f t="shared" si="2235"/>
        <v>67</v>
      </c>
      <c r="EI244" s="11">
        <v>454</v>
      </c>
      <c r="EJ244" s="12">
        <f t="shared" si="2184"/>
        <v>0.55871886120996439</v>
      </c>
      <c r="EK244" s="11">
        <v>17</v>
      </c>
      <c r="EL244" s="12">
        <f t="shared" si="2185"/>
        <v>3.6093418259023353E-2</v>
      </c>
      <c r="EM244" s="13"/>
      <c r="EN244" s="11"/>
      <c r="EO244" s="25"/>
      <c r="EP244" s="38">
        <v>4837.8571428571431</v>
      </c>
      <c r="EQ244" s="10"/>
      <c r="ER244" s="11"/>
      <c r="ES244" s="69">
        <f t="shared" si="2236"/>
        <v>167</v>
      </c>
      <c r="ET244" s="69">
        <f t="shared" si="2237"/>
        <v>14</v>
      </c>
      <c r="EU244" s="11">
        <v>70</v>
      </c>
      <c r="EV244" s="12">
        <f t="shared" si="2186"/>
        <v>0.43712574850299402</v>
      </c>
      <c r="EW244" s="11">
        <v>3</v>
      </c>
      <c r="EX244" s="12">
        <f t="shared" si="2187"/>
        <v>4.1095890410958902E-2</v>
      </c>
      <c r="EY244" s="13"/>
      <c r="EZ244" s="11"/>
      <c r="FA244" s="25"/>
      <c r="FB244" s="38">
        <v>4233.333333333333</v>
      </c>
      <c r="FC244" s="10"/>
      <c r="FD244" s="11"/>
      <c r="FE244" s="69">
        <f t="shared" si="2238"/>
        <v>848</v>
      </c>
      <c r="FF244" s="69">
        <f t="shared" si="2239"/>
        <v>67</v>
      </c>
      <c r="FG244" s="11">
        <v>478</v>
      </c>
      <c r="FH244" s="12">
        <f t="shared" si="2188"/>
        <v>0.57665094339622647</v>
      </c>
      <c r="FI244" s="11">
        <v>11</v>
      </c>
      <c r="FJ244" s="12">
        <f t="shared" si="2189"/>
        <v>2.2494887525562373E-2</v>
      </c>
      <c r="FK244" s="13"/>
      <c r="FL244" s="11"/>
      <c r="FM244" s="25"/>
      <c r="FN244" s="38">
        <v>4935.333333333333</v>
      </c>
      <c r="FO244" s="10"/>
      <c r="FP244" s="11"/>
      <c r="FQ244" s="69">
        <f t="shared" si="2240"/>
        <v>868</v>
      </c>
      <c r="FR244" s="69">
        <f t="shared" si="2241"/>
        <v>70</v>
      </c>
      <c r="FS244" s="11">
        <v>458</v>
      </c>
      <c r="FT244" s="12">
        <f t="shared" si="2190"/>
        <v>0.54493087557603692</v>
      </c>
      <c r="FU244" s="11">
        <v>15</v>
      </c>
      <c r="FV244" s="12">
        <f t="shared" si="2191"/>
        <v>3.1712473572938688E-2</v>
      </c>
      <c r="FW244" s="13"/>
      <c r="FX244" s="11"/>
      <c r="FY244" s="25"/>
      <c r="FZ244" s="38">
        <v>4832.666666666667</v>
      </c>
      <c r="GA244" s="10"/>
      <c r="GB244" s="11"/>
      <c r="GC244" s="69">
        <f t="shared" si="2242"/>
        <v>873</v>
      </c>
      <c r="GD244" s="69">
        <f t="shared" si="2243"/>
        <v>71</v>
      </c>
      <c r="GE244" s="11">
        <v>481</v>
      </c>
      <c r="GF244" s="12">
        <f t="shared" si="2192"/>
        <v>0.56815578465062999</v>
      </c>
      <c r="GG244" s="11">
        <v>15</v>
      </c>
      <c r="GH244" s="12">
        <f t="shared" si="2193"/>
        <v>3.0241935483870969E-2</v>
      </c>
      <c r="GI244" s="13"/>
      <c r="GJ244" s="11"/>
      <c r="GK244" s="25"/>
      <c r="GL244" s="38">
        <v>4766.25</v>
      </c>
      <c r="GM244" s="10"/>
      <c r="GN244" s="11"/>
      <c r="GO244" s="69">
        <f t="shared" si="2244"/>
        <v>147</v>
      </c>
      <c r="GP244" s="69">
        <f t="shared" si="2245"/>
        <v>12</v>
      </c>
      <c r="GQ244" s="11">
        <v>59</v>
      </c>
      <c r="GR244" s="12">
        <f t="shared" si="2194"/>
        <v>0.42176870748299322</v>
      </c>
      <c r="GS244" s="11">
        <v>3</v>
      </c>
      <c r="GT244" s="12">
        <f t="shared" si="2195"/>
        <v>4.8387096774193547E-2</v>
      </c>
      <c r="GU244" s="13"/>
      <c r="GV244" s="11"/>
      <c r="GW244" s="25"/>
      <c r="GX244" s="38">
        <v>4373.333333333333</v>
      </c>
      <c r="GY244" s="10"/>
      <c r="GZ244" s="11"/>
      <c r="HA244" s="69">
        <f t="shared" si="2246"/>
        <v>899</v>
      </c>
      <c r="HB244" s="69">
        <f t="shared" si="2247"/>
        <v>73</v>
      </c>
      <c r="HC244" s="11">
        <v>505</v>
      </c>
      <c r="HD244" s="12">
        <f t="shared" si="2196"/>
        <v>0.56952169076751946</v>
      </c>
      <c r="HE244" s="11">
        <v>7</v>
      </c>
      <c r="HF244" s="12">
        <f t="shared" si="2197"/>
        <v>1.3671875E-2</v>
      </c>
      <c r="HG244" s="13"/>
      <c r="HH244" s="11"/>
      <c r="HI244" s="25"/>
      <c r="HJ244" s="38">
        <v>4999.333333333333</v>
      </c>
      <c r="HK244" s="10">
        <f t="shared" si="2198"/>
        <v>3</v>
      </c>
      <c r="HL244" s="11">
        <f t="shared" si="2199"/>
        <v>0</v>
      </c>
      <c r="HM244" s="11">
        <f t="shared" si="2200"/>
        <v>11829</v>
      </c>
      <c r="HN244" s="11">
        <f t="shared" si="2201"/>
        <v>952</v>
      </c>
      <c r="HO244" s="11">
        <f t="shared" si="2202"/>
        <v>6486</v>
      </c>
      <c r="HP244" s="95">
        <f t="shared" si="2203"/>
        <v>0.54831346690337301</v>
      </c>
      <c r="HQ244" s="15">
        <f t="shared" si="2204"/>
        <v>181</v>
      </c>
      <c r="HR244" s="12">
        <f t="shared" si="2205"/>
        <v>2.7906259636139377E-2</v>
      </c>
      <c r="HS244" s="16">
        <v>65.5</v>
      </c>
      <c r="HT244" s="17">
        <v>6149</v>
      </c>
      <c r="HU244" s="16">
        <f t="shared" si="2206"/>
        <v>94.80419364785692</v>
      </c>
      <c r="HV244" s="23"/>
      <c r="HW244" s="22">
        <v>4793.5321100917436</v>
      </c>
      <c r="HX244" s="73">
        <f t="shared" si="2207"/>
        <v>0.53588070829450141</v>
      </c>
      <c r="HY244" s="73">
        <f t="shared" si="2208"/>
        <v>0.55071542130365658</v>
      </c>
      <c r="HZ244" s="73">
        <f t="shared" si="2209"/>
        <v>0.55489171023151607</v>
      </c>
      <c r="IA244" s="73">
        <f t="shared" si="2210"/>
        <v>0.55364190886257625</v>
      </c>
    </row>
    <row r="245" spans="1:244" x14ac:dyDescent="0.25">
      <c r="A245" s="374"/>
      <c r="B245" s="41">
        <f t="shared" si="2211"/>
        <v>45129</v>
      </c>
      <c r="C245" s="10"/>
      <c r="D245" s="11"/>
      <c r="E245" s="69">
        <f t="shared" si="2212"/>
        <v>815</v>
      </c>
      <c r="F245" s="69">
        <f t="shared" si="2213"/>
        <v>66</v>
      </c>
      <c r="G245" s="11">
        <v>430</v>
      </c>
      <c r="H245" s="12">
        <f t="shared" si="2162"/>
        <v>0.54723926380368093</v>
      </c>
      <c r="I245" s="11">
        <v>16</v>
      </c>
      <c r="J245" s="12">
        <f t="shared" si="2163"/>
        <v>3.5874439461883408E-2</v>
      </c>
      <c r="K245" s="13"/>
      <c r="L245" s="11"/>
      <c r="M245" s="39"/>
      <c r="N245" s="43">
        <v>100</v>
      </c>
      <c r="O245" s="10"/>
      <c r="P245" s="11"/>
      <c r="Q245" s="69">
        <f t="shared" si="2214"/>
        <v>746</v>
      </c>
      <c r="R245" s="69">
        <f t="shared" si="2215"/>
        <v>60</v>
      </c>
      <c r="S245" s="11">
        <v>406</v>
      </c>
      <c r="T245" s="12">
        <f t="shared" si="2164"/>
        <v>0.56702412868632712</v>
      </c>
      <c r="U245" s="11">
        <v>17</v>
      </c>
      <c r="V245" s="12">
        <f t="shared" si="2165"/>
        <v>4.0189125295508277E-2</v>
      </c>
      <c r="W245" s="13"/>
      <c r="X245" s="11"/>
      <c r="Y245" s="39"/>
      <c r="Z245" s="43">
        <v>100</v>
      </c>
      <c r="AA245" s="10"/>
      <c r="AB245" s="11"/>
      <c r="AC245" s="69">
        <f t="shared" si="2216"/>
        <v>157</v>
      </c>
      <c r="AD245" s="69">
        <f t="shared" si="2217"/>
        <v>13</v>
      </c>
      <c r="AE245" s="11">
        <v>82</v>
      </c>
      <c r="AF245" s="12">
        <f t="shared" si="2166"/>
        <v>0.55414012738853502</v>
      </c>
      <c r="AG245" s="11">
        <v>5</v>
      </c>
      <c r="AH245" s="12">
        <f t="shared" si="2167"/>
        <v>5.7471264367816091E-2</v>
      </c>
      <c r="AI245" s="13"/>
      <c r="AJ245" s="11"/>
      <c r="AK245" s="39"/>
      <c r="AL245" s="43">
        <v>100</v>
      </c>
      <c r="AM245" s="10">
        <v>1</v>
      </c>
      <c r="AN245" s="11"/>
      <c r="AO245" s="69">
        <f t="shared" si="2218"/>
        <v>753</v>
      </c>
      <c r="AP245" s="69">
        <f t="shared" si="2219"/>
        <v>61</v>
      </c>
      <c r="AQ245" s="11">
        <v>385</v>
      </c>
      <c r="AR245" s="12">
        <f t="shared" si="2168"/>
        <v>0.52456839309428949</v>
      </c>
      <c r="AS245" s="11">
        <v>10</v>
      </c>
      <c r="AT245" s="12">
        <f t="shared" si="2169"/>
        <v>2.5316455696202531E-2</v>
      </c>
      <c r="AU245" s="13"/>
      <c r="AV245" s="11"/>
      <c r="AW245" s="39"/>
      <c r="AX245" s="43">
        <v>92.307692307692307</v>
      </c>
      <c r="AY245" s="10">
        <v>1</v>
      </c>
      <c r="AZ245" s="11"/>
      <c r="BA245" s="69">
        <f t="shared" si="2220"/>
        <v>746</v>
      </c>
      <c r="BB245" s="69">
        <f t="shared" si="2221"/>
        <v>60</v>
      </c>
      <c r="BC245" s="11">
        <v>382</v>
      </c>
      <c r="BD245" s="12">
        <f t="shared" si="2170"/>
        <v>0.52680965147453085</v>
      </c>
      <c r="BE245" s="11">
        <v>11</v>
      </c>
      <c r="BF245" s="12">
        <f t="shared" si="2171"/>
        <v>2.7989821882951654E-2</v>
      </c>
      <c r="BG245" s="13"/>
      <c r="BH245" s="11"/>
      <c r="BI245" s="39"/>
      <c r="BJ245" s="43">
        <v>100</v>
      </c>
      <c r="BK245" s="10"/>
      <c r="BL245" s="11"/>
      <c r="BM245" s="69">
        <f t="shared" si="2222"/>
        <v>806</v>
      </c>
      <c r="BN245" s="69">
        <f t="shared" si="2223"/>
        <v>63</v>
      </c>
      <c r="BO245" s="11">
        <v>424</v>
      </c>
      <c r="BP245" s="12">
        <f t="shared" si="2172"/>
        <v>0.532258064516129</v>
      </c>
      <c r="BQ245" s="11">
        <v>5</v>
      </c>
      <c r="BR245" s="12">
        <f t="shared" si="2173"/>
        <v>1.1655011655011656E-2</v>
      </c>
      <c r="BS245" s="13"/>
      <c r="BT245" s="11"/>
      <c r="BU245" s="39"/>
      <c r="BV245" s="43">
        <v>100</v>
      </c>
      <c r="BW245" s="10"/>
      <c r="BX245" s="11"/>
      <c r="BY245" s="69">
        <f t="shared" si="2224"/>
        <v>740</v>
      </c>
      <c r="BZ245" s="69">
        <f t="shared" si="2225"/>
        <v>59</v>
      </c>
      <c r="CA245" s="11">
        <v>360</v>
      </c>
      <c r="CB245" s="12">
        <f t="shared" si="2174"/>
        <v>0.49729729729729732</v>
      </c>
      <c r="CC245" s="11">
        <v>8</v>
      </c>
      <c r="CD245" s="12">
        <f t="shared" si="2175"/>
        <v>2.1739130434782608E-2</v>
      </c>
      <c r="CE245" s="13"/>
      <c r="CF245" s="11"/>
      <c r="CG245" s="39"/>
      <c r="CH245" s="43">
        <v>100</v>
      </c>
      <c r="CI245" s="10"/>
      <c r="CJ245" s="11"/>
      <c r="CK245" s="69">
        <f t="shared" si="2226"/>
        <v>133</v>
      </c>
      <c r="CL245" s="69">
        <f t="shared" si="2227"/>
        <v>12</v>
      </c>
      <c r="CM245" s="11">
        <v>59</v>
      </c>
      <c r="CN245" s="12">
        <f t="shared" si="2176"/>
        <v>0.46616541353383456</v>
      </c>
      <c r="CO245" s="11">
        <v>3</v>
      </c>
      <c r="CP245" s="12">
        <f t="shared" si="2177"/>
        <v>4.8387096774193547E-2</v>
      </c>
      <c r="CQ245" s="13"/>
      <c r="CR245" s="11"/>
      <c r="CS245" s="39"/>
      <c r="CT245" s="43">
        <v>100</v>
      </c>
      <c r="CU245" s="10"/>
      <c r="CV245" s="11"/>
      <c r="CW245" s="69">
        <f t="shared" si="2228"/>
        <v>734</v>
      </c>
      <c r="CX245" s="69">
        <f t="shared" si="2229"/>
        <v>59</v>
      </c>
      <c r="CY245" s="11">
        <v>379</v>
      </c>
      <c r="CZ245" s="12">
        <f t="shared" si="2178"/>
        <v>0.52316076294277924</v>
      </c>
      <c r="DA245" s="11">
        <v>5</v>
      </c>
      <c r="DB245" s="12">
        <f t="shared" si="2179"/>
        <v>1.3020833333333334E-2</v>
      </c>
      <c r="DC245" s="13"/>
      <c r="DD245" s="11"/>
      <c r="DE245" s="39"/>
      <c r="DF245" s="43">
        <v>100</v>
      </c>
      <c r="DG245" s="10">
        <v>1</v>
      </c>
      <c r="DH245" s="11"/>
      <c r="DI245" s="69">
        <f t="shared" si="2230"/>
        <v>731</v>
      </c>
      <c r="DJ245" s="69">
        <f t="shared" si="2231"/>
        <v>59</v>
      </c>
      <c r="DK245" s="11">
        <v>410</v>
      </c>
      <c r="DL245" s="12">
        <f t="shared" si="2180"/>
        <v>0.56908344733242133</v>
      </c>
      <c r="DM245" s="11">
        <v>6</v>
      </c>
      <c r="DN245" s="12">
        <f t="shared" si="2181"/>
        <v>1.4423076923076924E-2</v>
      </c>
      <c r="DO245" s="13"/>
      <c r="DP245" s="11"/>
      <c r="DQ245" s="39"/>
      <c r="DR245" s="43">
        <v>100</v>
      </c>
      <c r="DS245" s="10"/>
      <c r="DT245" s="11"/>
      <c r="DU245" s="69">
        <f t="shared" si="2232"/>
        <v>820</v>
      </c>
      <c r="DV245" s="69">
        <f t="shared" si="2233"/>
        <v>66</v>
      </c>
      <c r="DW245" s="11">
        <v>415</v>
      </c>
      <c r="DX245" s="12">
        <f t="shared" si="2182"/>
        <v>0.5280487804878049</v>
      </c>
      <c r="DY245" s="11">
        <v>18</v>
      </c>
      <c r="DZ245" s="12">
        <f t="shared" si="2183"/>
        <v>4.1570438799076209E-2</v>
      </c>
      <c r="EA245" s="13"/>
      <c r="EB245" s="11"/>
      <c r="EC245" s="39"/>
      <c r="ED245" s="43">
        <v>100</v>
      </c>
      <c r="EE245" s="10"/>
      <c r="EF245" s="11"/>
      <c r="EG245" s="69">
        <f t="shared" si="2234"/>
        <v>843</v>
      </c>
      <c r="EH245" s="69">
        <f t="shared" si="2235"/>
        <v>67</v>
      </c>
      <c r="EI245" s="11">
        <v>421</v>
      </c>
      <c r="EJ245" s="12">
        <f t="shared" si="2184"/>
        <v>0.5266903914590747</v>
      </c>
      <c r="EK245" s="11">
        <v>23</v>
      </c>
      <c r="EL245" s="12">
        <f t="shared" si="2185"/>
        <v>5.18018018018018E-2</v>
      </c>
      <c r="EM245" s="13"/>
      <c r="EN245" s="11"/>
      <c r="EO245" s="39"/>
      <c r="EP245" s="43">
        <v>100</v>
      </c>
      <c r="EQ245" s="10"/>
      <c r="ER245" s="11"/>
      <c r="ES245" s="69">
        <f t="shared" si="2236"/>
        <v>167</v>
      </c>
      <c r="ET245" s="69">
        <f t="shared" si="2237"/>
        <v>14</v>
      </c>
      <c r="EU245" s="11">
        <v>73</v>
      </c>
      <c r="EV245" s="12">
        <f t="shared" si="2186"/>
        <v>0.44910179640718562</v>
      </c>
      <c r="EW245" s="11">
        <v>2</v>
      </c>
      <c r="EX245" s="12">
        <f t="shared" si="2187"/>
        <v>2.6666666666666668E-2</v>
      </c>
      <c r="EY245" s="13"/>
      <c r="EZ245" s="11"/>
      <c r="FA245" s="39"/>
      <c r="FB245" s="43">
        <v>100</v>
      </c>
      <c r="FC245" s="10"/>
      <c r="FD245" s="11"/>
      <c r="FE245" s="69">
        <f t="shared" si="2238"/>
        <v>848</v>
      </c>
      <c r="FF245" s="69">
        <f t="shared" si="2239"/>
        <v>67</v>
      </c>
      <c r="FG245" s="11">
        <v>428</v>
      </c>
      <c r="FH245" s="12">
        <f t="shared" si="2188"/>
        <v>0.52476415094339623</v>
      </c>
      <c r="FI245" s="11">
        <v>17</v>
      </c>
      <c r="FJ245" s="12">
        <f t="shared" si="2189"/>
        <v>3.8202247191011236E-2</v>
      </c>
      <c r="FK245" s="13"/>
      <c r="FL245" s="11"/>
      <c r="FM245" s="39"/>
      <c r="FN245" s="43">
        <v>100</v>
      </c>
      <c r="FO245" s="10"/>
      <c r="FP245" s="11"/>
      <c r="FQ245" s="69">
        <f t="shared" si="2240"/>
        <v>868</v>
      </c>
      <c r="FR245" s="69">
        <f t="shared" si="2241"/>
        <v>70</v>
      </c>
      <c r="FS245" s="11">
        <v>443</v>
      </c>
      <c r="FT245" s="12">
        <f t="shared" si="2190"/>
        <v>0.52534562211981561</v>
      </c>
      <c r="FU245" s="11">
        <v>13</v>
      </c>
      <c r="FV245" s="12">
        <f t="shared" si="2191"/>
        <v>2.850877192982456E-2</v>
      </c>
      <c r="FW245" s="13"/>
      <c r="FX245" s="11"/>
      <c r="FY245" s="39"/>
      <c r="FZ245" s="43">
        <v>86.666666666666671</v>
      </c>
      <c r="GA245" s="10"/>
      <c r="GB245" s="11"/>
      <c r="GC245" s="69">
        <f t="shared" si="2242"/>
        <v>873</v>
      </c>
      <c r="GD245" s="69">
        <f t="shared" si="2243"/>
        <v>71</v>
      </c>
      <c r="GE245" s="11">
        <v>465</v>
      </c>
      <c r="GF245" s="12">
        <f t="shared" si="2192"/>
        <v>0.54410080183276055</v>
      </c>
      <c r="GG245" s="11">
        <v>10</v>
      </c>
      <c r="GH245" s="12">
        <f t="shared" si="2193"/>
        <v>2.1052631578947368E-2</v>
      </c>
      <c r="GI245" s="13"/>
      <c r="GJ245" s="11"/>
      <c r="GK245" s="39"/>
      <c r="GL245" s="43">
        <v>100</v>
      </c>
      <c r="GM245" s="10"/>
      <c r="GN245" s="11"/>
      <c r="GO245" s="69">
        <f t="shared" si="2244"/>
        <v>147</v>
      </c>
      <c r="GP245" s="69">
        <f t="shared" si="2245"/>
        <v>12</v>
      </c>
      <c r="GQ245" s="11">
        <v>63</v>
      </c>
      <c r="GR245" s="12">
        <f t="shared" si="2194"/>
        <v>0.44897959183673469</v>
      </c>
      <c r="GS245" s="11">
        <v>3</v>
      </c>
      <c r="GT245" s="12">
        <f t="shared" si="2195"/>
        <v>4.5454545454545456E-2</v>
      </c>
      <c r="GU245" s="13"/>
      <c r="GV245" s="11"/>
      <c r="GW245" s="39"/>
      <c r="GX245" s="43">
        <v>100</v>
      </c>
      <c r="GY245" s="10"/>
      <c r="GZ245" s="11"/>
      <c r="HA245" s="69">
        <f t="shared" si="2246"/>
        <v>899</v>
      </c>
      <c r="HB245" s="69">
        <f t="shared" si="2247"/>
        <v>73</v>
      </c>
      <c r="HC245" s="11">
        <v>473</v>
      </c>
      <c r="HD245" s="12">
        <f t="shared" si="2196"/>
        <v>0.54171301446051168</v>
      </c>
      <c r="HE245" s="11">
        <v>14</v>
      </c>
      <c r="HF245" s="12">
        <f t="shared" si="2197"/>
        <v>2.8747433264887063E-2</v>
      </c>
      <c r="HG245" s="13"/>
      <c r="HH245" s="11"/>
      <c r="HI245" s="39"/>
      <c r="HJ245" s="43">
        <v>100</v>
      </c>
      <c r="HK245" s="10">
        <f t="shared" si="2198"/>
        <v>3</v>
      </c>
      <c r="HL245" s="11">
        <f t="shared" si="2199"/>
        <v>0</v>
      </c>
      <c r="HM245" s="11">
        <f t="shared" si="2200"/>
        <v>11826</v>
      </c>
      <c r="HN245" s="11">
        <f t="shared" si="2201"/>
        <v>952</v>
      </c>
      <c r="HO245" s="11">
        <f t="shared" si="2202"/>
        <v>6284</v>
      </c>
      <c r="HP245" s="95">
        <f t="shared" si="2203"/>
        <v>0.5313715542026044</v>
      </c>
      <c r="HQ245" s="15">
        <f t="shared" si="2204"/>
        <v>186</v>
      </c>
      <c r="HR245" s="12">
        <f t="shared" si="2205"/>
        <v>2.9598981540420115E-2</v>
      </c>
      <c r="HS245" s="16">
        <v>65.5</v>
      </c>
      <c r="HT245" s="17">
        <v>5976</v>
      </c>
      <c r="HU245" s="16">
        <f t="shared" si="2206"/>
        <v>95.098663271801399</v>
      </c>
      <c r="HV245" s="23"/>
      <c r="HW245" s="22">
        <v>88.532110091743121</v>
      </c>
      <c r="HX245" s="73">
        <f t="shared" si="2207"/>
        <v>0.54211998756605528</v>
      </c>
      <c r="HY245" s="73">
        <f t="shared" si="2208"/>
        <v>0.52767175572519087</v>
      </c>
      <c r="HZ245" s="73">
        <f t="shared" si="2209"/>
        <v>0.52165795369678869</v>
      </c>
      <c r="IA245" s="73">
        <f t="shared" si="2210"/>
        <v>0.53247219232149268</v>
      </c>
      <c r="IF245" s="85">
        <f>IF246/IF247</f>
        <v>1.5518311607697084E-3</v>
      </c>
      <c r="IG245" s="85">
        <f>IG246/IG247</f>
        <v>2.8544243577545195E-3</v>
      </c>
      <c r="IH245" s="85">
        <f>IH246/IH247</f>
        <v>7.4626865671641792E-4</v>
      </c>
      <c r="II245" s="85">
        <f>II246/II247</f>
        <v>7.1710290426676233E-4</v>
      </c>
      <c r="IJ245" s="88" t="s">
        <v>90</v>
      </c>
    </row>
    <row r="246" spans="1:244" ht="19.5" thickBot="1" x14ac:dyDescent="0.3">
      <c r="A246" s="374"/>
      <c r="B246" s="42"/>
      <c r="C246" s="26">
        <f>SUM(C239:C245)</f>
        <v>1</v>
      </c>
      <c r="D246" s="27">
        <f>SUM(D239:D245)</f>
        <v>0</v>
      </c>
      <c r="E246" s="27"/>
      <c r="F246" s="27"/>
      <c r="G246" s="27">
        <f>SUM(G239:G245)</f>
        <v>3057</v>
      </c>
      <c r="H246" s="28">
        <f>((G246+I246)/7)/E245</f>
        <v>0.5514460999123576</v>
      </c>
      <c r="I246" s="27">
        <f>SUM(I239:I245)</f>
        <v>89</v>
      </c>
      <c r="J246" s="28">
        <f>(I246/(I246+G246))</f>
        <v>2.8289891926255563E-2</v>
      </c>
      <c r="K246" s="27"/>
      <c r="L246" s="27"/>
      <c r="M246" s="29" t="e">
        <f>M244/M243*100-100</f>
        <v>#DIV/0!</v>
      </c>
      <c r="N246" s="67">
        <f>N244/N243*100-100</f>
        <v>4.5959031657355638</v>
      </c>
      <c r="O246" s="26">
        <f>SUM(O239:O245)</f>
        <v>0</v>
      </c>
      <c r="P246" s="27">
        <f>SUM(P239:P245)</f>
        <v>0</v>
      </c>
      <c r="Q246" s="27"/>
      <c r="R246" s="27"/>
      <c r="S246" s="27">
        <f>SUM(S239:S245)</f>
        <v>2771</v>
      </c>
      <c r="T246" s="28">
        <f>((S246+U246)/7)/Q245</f>
        <v>0.55112983531214099</v>
      </c>
      <c r="U246" s="27">
        <f>SUM(U239:U245)</f>
        <v>107</v>
      </c>
      <c r="V246" s="28">
        <f>(U246/(U246+S246))</f>
        <v>3.7178596247394023E-2</v>
      </c>
      <c r="W246" s="27"/>
      <c r="X246" s="27"/>
      <c r="Y246" s="29" t="e">
        <f>Y244/Y243*100-100</f>
        <v>#DIV/0!</v>
      </c>
      <c r="Z246" s="67">
        <f>Z244/Z243*100-100</f>
        <v>10.33147113594039</v>
      </c>
      <c r="AA246" s="26">
        <f>SUM(AA239:AA245)</f>
        <v>0</v>
      </c>
      <c r="AB246" s="27">
        <f>SUM(AB239:AB245)</f>
        <v>0</v>
      </c>
      <c r="AC246" s="27"/>
      <c r="AD246" s="27"/>
      <c r="AE246" s="27">
        <f>SUM(AE239:AE245)</f>
        <v>564</v>
      </c>
      <c r="AF246" s="28">
        <f>((AE246+AG246)/7)/AC245</f>
        <v>0.53048225659690629</v>
      </c>
      <c r="AG246" s="27">
        <f>SUM(AG239:AG245)</f>
        <v>19</v>
      </c>
      <c r="AH246" s="28">
        <f>(AG246/(AG246+AE246))</f>
        <v>3.2590051457975985E-2</v>
      </c>
      <c r="AI246" s="27"/>
      <c r="AJ246" s="27"/>
      <c r="AK246" s="29" t="e">
        <f>AK244/AK243*100-100</f>
        <v>#DIV/0!</v>
      </c>
      <c r="AL246" s="67">
        <f>AL244/AL243*100-100</f>
        <v>0.63314711359403475</v>
      </c>
      <c r="AM246" s="26">
        <f>SUM(AM239:AM245)</f>
        <v>2</v>
      </c>
      <c r="AN246" s="27">
        <f>SUM(AN239:AN245)</f>
        <v>0</v>
      </c>
      <c r="AO246" s="27"/>
      <c r="AP246" s="27"/>
      <c r="AQ246" s="27">
        <f>SUM(AQ239:AQ245)</f>
        <v>2752</v>
      </c>
      <c r="AR246" s="28">
        <f>((AQ246+AS246)/7)/AO245</f>
        <v>0.53576171504458359</v>
      </c>
      <c r="AS246" s="27">
        <f>SUM(AS239:AS245)</f>
        <v>72</v>
      </c>
      <c r="AT246" s="28">
        <f>(AS246/(AS246+AQ246))</f>
        <v>2.5495750708215296E-2</v>
      </c>
      <c r="AU246" s="27"/>
      <c r="AV246" s="27"/>
      <c r="AW246" s="29" t="e">
        <f>AW244/AW243*100-100</f>
        <v>#DIV/0!</v>
      </c>
      <c r="AX246" s="67">
        <f>AX244/AX243*100-100</f>
        <v>7.2281908036097917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2846</v>
      </c>
      <c r="BD246" s="28">
        <f>((BC246+BE246)/7)/BA245</f>
        <v>0.56185369590195333</v>
      </c>
      <c r="BE246" s="27">
        <f>SUM(BE239:BE245)</f>
        <v>88</v>
      </c>
      <c r="BF246" s="28">
        <f>(BE246/(BE246+BC246))</f>
        <v>2.9993183367416496E-2</v>
      </c>
      <c r="BG246" s="27"/>
      <c r="BH246" s="27"/>
      <c r="BI246" s="29" t="e">
        <f>BI244/BI243*100-100</f>
        <v>#DIV/0!</v>
      </c>
      <c r="BJ246" s="67">
        <f>BJ244/BJ243*100-100</f>
        <v>11.914677501269665</v>
      </c>
      <c r="BK246" s="26">
        <f>SUM(BK239:BK245)</f>
        <v>1</v>
      </c>
      <c r="BL246" s="27">
        <f>SUM(BL239:BL245)</f>
        <v>1</v>
      </c>
      <c r="BM246" s="27"/>
      <c r="BN246" s="27"/>
      <c r="BO246" s="27">
        <f>SUM(BO239:BO245)</f>
        <v>3025</v>
      </c>
      <c r="BP246" s="28">
        <f>((BO246+BQ246)/7)/BM245</f>
        <v>0.5514002126905353</v>
      </c>
      <c r="BQ246" s="27">
        <f>SUM(BQ239:BQ245)</f>
        <v>86</v>
      </c>
      <c r="BR246" s="28">
        <f>(BQ246/(BQ246+BO246))</f>
        <v>2.7643844423015106E-2</v>
      </c>
      <c r="BS246" s="27"/>
      <c r="BT246" s="27"/>
      <c r="BU246" s="29" t="e">
        <f>BU244/BU243*100-100</f>
        <v>#DIV/0!</v>
      </c>
      <c r="BV246" s="67">
        <f>BV244/BV243*100-100</f>
        <v>1.2886405959031606</v>
      </c>
      <c r="BW246" s="26">
        <f>SUM(BW239:BW245)</f>
        <v>5</v>
      </c>
      <c r="BX246" s="27">
        <f>SUM(BX239:BX245)</f>
        <v>0</v>
      </c>
      <c r="BY246" s="27"/>
      <c r="BZ246" s="27"/>
      <c r="CA246" s="27">
        <f>SUM(CA239:CA245)</f>
        <v>2673</v>
      </c>
      <c r="CB246" s="28">
        <f>((CA246+CC246)/7)/BY245</f>
        <v>0.53436293436293436</v>
      </c>
      <c r="CC246" s="27">
        <f>SUM(CC239:CC245)</f>
        <v>95</v>
      </c>
      <c r="CD246" s="28">
        <f>(CC246/(CC246+CA246))</f>
        <v>3.4320809248554913E-2</v>
      </c>
      <c r="CE246" s="27"/>
      <c r="CF246" s="27"/>
      <c r="CG246" s="29" t="e">
        <f>CG244/CG243*100-100</f>
        <v>#DIV/0!</v>
      </c>
      <c r="CH246" s="67">
        <f>CH244/CH243*100-100</f>
        <v>2.9136226901590021</v>
      </c>
      <c r="CI246" s="26">
        <f>SUM(CI239:CI245)</f>
        <v>1</v>
      </c>
      <c r="CJ246" s="27">
        <f>SUM(CJ239:CJ245)</f>
        <v>0</v>
      </c>
      <c r="CK246" s="27"/>
      <c r="CL246" s="27"/>
      <c r="CM246" s="27">
        <f>SUM(CM239:CM245)</f>
        <v>404</v>
      </c>
      <c r="CN246" s="28">
        <f>((CM246+CO246)/7)/CK245</f>
        <v>0.4564983888292159</v>
      </c>
      <c r="CO246" s="27">
        <f>SUM(CO239:CO245)</f>
        <v>21</v>
      </c>
      <c r="CP246" s="28">
        <f>(CO246/(CO246+CM246))</f>
        <v>4.9411764705882349E-2</v>
      </c>
      <c r="CQ246" s="27"/>
      <c r="CR246" s="27"/>
      <c r="CS246" s="29" t="e">
        <f>CS244/CS243*100-100</f>
        <v>#DIV/0!</v>
      </c>
      <c r="CT246" s="67">
        <f>CT244/CT243*100-100</f>
        <v>-2.7932960893854784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2577</v>
      </c>
      <c r="CZ246" s="28">
        <f>((CY246+DA246)/7)/CW245</f>
        <v>0.51518100428182179</v>
      </c>
      <c r="DA246" s="27">
        <f>SUM(DA239:DA245)</f>
        <v>70</v>
      </c>
      <c r="DB246" s="28">
        <f>(DA246/(DA246+CY246))</f>
        <v>2.6445032111824706E-2</v>
      </c>
      <c r="DC246" s="27"/>
      <c r="DD246" s="27"/>
      <c r="DE246" s="29" t="e">
        <f>DE244/DE243*100-100</f>
        <v>#DIV/0!</v>
      </c>
      <c r="DF246" s="67">
        <f>DF244/DF243*100-100</f>
        <v>8.1392350666093876</v>
      </c>
      <c r="DG246" s="26">
        <f>SUM(DG239:DG245)</f>
        <v>2</v>
      </c>
      <c r="DH246" s="27">
        <f>SUM(DH239:DH245)</f>
        <v>0</v>
      </c>
      <c r="DI246" s="27"/>
      <c r="DJ246" s="27"/>
      <c r="DK246" s="27">
        <f>SUM(DK239:DK245)</f>
        <v>2887</v>
      </c>
      <c r="DL246" s="28">
        <f>((DK246+DM246)/7)/DI245</f>
        <v>0.57983193277310918</v>
      </c>
      <c r="DM246" s="27">
        <f>SUM(DM239:DM245)</f>
        <v>80</v>
      </c>
      <c r="DN246" s="28">
        <f>(DM246/(DM246+DK246))</f>
        <v>2.6963262554769128E-2</v>
      </c>
      <c r="DO246" s="27"/>
      <c r="DP246" s="27"/>
      <c r="DQ246" s="29" t="e">
        <f>DQ244/DQ243*100-100</f>
        <v>#DIV/0!</v>
      </c>
      <c r="DR246" s="67">
        <f>DR244/DR243*100-100</f>
        <v>16.105347166799675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2953</v>
      </c>
      <c r="DX246" s="28">
        <f>((DW246+DY246)/7)/DU245</f>
        <v>0.54163763066202097</v>
      </c>
      <c r="DY246" s="27">
        <f>SUM(DY239:DY245)</f>
        <v>156</v>
      </c>
      <c r="DZ246" s="28">
        <f>(DY246/(DY246+DW246))</f>
        <v>5.0176905757478289E-2</v>
      </c>
      <c r="EA246" s="27"/>
      <c r="EB246" s="27"/>
      <c r="EC246" s="29" t="e">
        <f>EC244/EC243*100-100</f>
        <v>#DIV/0!</v>
      </c>
      <c r="ED246" s="67">
        <f>ED244/ED243*100-100</f>
        <v>6.2011173184357631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3077</v>
      </c>
      <c r="EJ246" s="28">
        <f>((EI246+EK246)/7)/EG245</f>
        <v>0.54414506015929509</v>
      </c>
      <c r="EK246" s="27">
        <f>SUM(EK239:EK245)</f>
        <v>134</v>
      </c>
      <c r="EL246" s="28">
        <f>(EK246/(EK246+EI246))</f>
        <v>4.17315478044223E-2</v>
      </c>
      <c r="EM246" s="27"/>
      <c r="EN246" s="27"/>
      <c r="EO246" s="29" t="e">
        <f>EO244/EO243*100-100</f>
        <v>#DIV/0!</v>
      </c>
      <c r="EP246" s="67">
        <f>EP244/EP243*100-100</f>
        <v>8.1085395051875508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552</v>
      </c>
      <c r="EV246" s="28">
        <f>((EU246+EW246)/7)/ES245</f>
        <v>0.49957228400342174</v>
      </c>
      <c r="EW246" s="27">
        <f>SUM(EW239:EW245)</f>
        <v>32</v>
      </c>
      <c r="EX246" s="28">
        <f>(EW246/(EW246+EU246))</f>
        <v>5.4794520547945202E-2</v>
      </c>
      <c r="EY246" s="27"/>
      <c r="EZ246" s="27"/>
      <c r="FA246" s="29" t="e">
        <f>FA244/FA243*100-100</f>
        <v>#DIV/0!</v>
      </c>
      <c r="FB246" s="67">
        <f>FB244/FB243*100-100</f>
        <v>-5.4003724394786019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3292</v>
      </c>
      <c r="FH246" s="28">
        <f>((FG246+FI246)/7)/FE245</f>
        <v>0.57227088948787064</v>
      </c>
      <c r="FI246" s="27">
        <f>SUM(FI239:FI245)</f>
        <v>105</v>
      </c>
      <c r="FJ246" s="28">
        <f>(FI246/(FI246+FG246))</f>
        <v>3.0909626140712392E-2</v>
      </c>
      <c r="FK246" s="27"/>
      <c r="FL246" s="27"/>
      <c r="FM246" s="29" t="e">
        <f>FM244/FM243*100-100</f>
        <v>#DIV/0!</v>
      </c>
      <c r="FN246" s="67">
        <f>FN244/FN243*100-100</f>
        <v>10.286778398510251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3175</v>
      </c>
      <c r="FT246" s="28">
        <f>((FS246+FU246)/7)/FQ245</f>
        <v>0.542955892034233</v>
      </c>
      <c r="FU246" s="27">
        <f>SUM(FU239:FU245)</f>
        <v>124</v>
      </c>
      <c r="FV246" s="28">
        <f>(FU246/(FU246+FS246))</f>
        <v>3.7587147620491056E-2</v>
      </c>
      <c r="FW246" s="27"/>
      <c r="FX246" s="27"/>
      <c r="FY246" s="29" t="e">
        <f>FY244/FY243*100-100</f>
        <v>#DIV/0!</v>
      </c>
      <c r="FZ246" s="67">
        <f>FZ244/FZ243*100-100</f>
        <v>7.9925512104283172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3242</v>
      </c>
      <c r="GF246" s="28">
        <f>((GE246+GG246)/7)/GC245</f>
        <v>0.54966453935526094</v>
      </c>
      <c r="GG246" s="27">
        <f>SUM(GG239:GG245)</f>
        <v>117</v>
      </c>
      <c r="GH246" s="28">
        <f>(GG246/(GG246+GE246))</f>
        <v>3.4831795177136055E-2</v>
      </c>
      <c r="GI246" s="27"/>
      <c r="GJ246" s="27"/>
      <c r="GK246" s="29" t="e">
        <f>GK244/GK243*100-100</f>
        <v>#DIV/0!</v>
      </c>
      <c r="GL246" s="67">
        <f>GL244/GL243*100-100</f>
        <v>6.5083798882681521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467</v>
      </c>
      <c r="GR246" s="28">
        <f>((GQ246+GS246)/7)/GO245</f>
        <v>0.48202137998056366</v>
      </c>
      <c r="GS246" s="27">
        <f>SUM(GS239:GS245)</f>
        <v>29</v>
      </c>
      <c r="GT246" s="28">
        <f>(GS246/(GS246+GQ246))</f>
        <v>5.8467741935483868E-2</v>
      </c>
      <c r="GU246" s="27"/>
      <c r="GV246" s="27"/>
      <c r="GW246" s="29" t="e">
        <f>GW244/GW243*100-100</f>
        <v>#DIV/0!</v>
      </c>
      <c r="GX246" s="67">
        <f>GX244/GX243*100-100</f>
        <v>-2.2718808193668565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3394</v>
      </c>
      <c r="HD246" s="28">
        <f>((HC246+HE246)/7)/HA245</f>
        <v>0.55506117908787544</v>
      </c>
      <c r="HE246" s="27">
        <f>SUM(HE239:HE245)</f>
        <v>99</v>
      </c>
      <c r="HF246" s="28">
        <f>(HE246/(HE246+HC246))</f>
        <v>2.8342399083882051E-2</v>
      </c>
      <c r="HG246" s="27"/>
      <c r="HH246" s="27"/>
      <c r="HI246" s="29" t="e">
        <f>HI244/HI243*100-100</f>
        <v>#DIV/0!</v>
      </c>
      <c r="HJ246" s="67">
        <f>HJ244/HJ243*100-100</f>
        <v>11.716945996275598</v>
      </c>
      <c r="HK246" s="26">
        <f t="shared" si="2198"/>
        <v>18</v>
      </c>
      <c r="HL246" s="27">
        <f t="shared" si="2199"/>
        <v>1</v>
      </c>
      <c r="HM246" s="27">
        <f t="shared" si="2200"/>
        <v>0</v>
      </c>
      <c r="HN246" s="27">
        <f t="shared" si="2201"/>
        <v>0</v>
      </c>
      <c r="HO246" s="27">
        <f t="shared" si="2202"/>
        <v>45231</v>
      </c>
      <c r="HP246" s="96">
        <f>+((HO246)/HM245)/7</f>
        <v>0.54638689570196419</v>
      </c>
      <c r="HQ246" s="62">
        <f t="shared" si="2204"/>
        <v>1523</v>
      </c>
      <c r="HR246" s="52">
        <f t="shared" si="2205"/>
        <v>3.3671596913621191E-2</v>
      </c>
      <c r="HS246" s="53">
        <f>SUM(HS239:HS245)/7</f>
        <v>65.585714285714289</v>
      </c>
      <c r="HT246" s="54">
        <f>SUM(HT239:HT245)</f>
        <v>42643</v>
      </c>
      <c r="HU246" s="53">
        <f>AVERAGE(HU239:HU245)</f>
        <v>94.279996723755303</v>
      </c>
      <c r="HV246" s="63" t="e">
        <f>HV244/HV243*100-100</f>
        <v>#DIV/0!</v>
      </c>
      <c r="HW246" s="67">
        <f>HW244/HW243*100-100</f>
        <v>7.1180359797037767</v>
      </c>
      <c r="HX246" s="73">
        <f>SUM(G246,I246,S246,U246,AE246,AG246,AQ246,AS246,BC246,BE246)/7/SUM(E245,Q245,AC245,AO245,BA245)</f>
        <v>0.54909187796971448</v>
      </c>
      <c r="HY246" s="73">
        <f>SUM(BO246,BQ246,CA246,CC246,CM246,CO246,CY246,DA246,DK246,DM246)/7/SUM(BM245,BY245,CK245,CW245,DI245)</f>
        <v>0.54153035259905491</v>
      </c>
      <c r="HZ246" s="73">
        <f>SUM(DW246,DY246,EI246,EK246,EU246,EW246,FG246,FI246)/7/SUM(DU245,EG245,ES245,FE245)</f>
        <v>0.5495038941640884</v>
      </c>
      <c r="IA246" s="73">
        <f>SUM(FS246,FU246,GE246,GG246,GQ246,GS246,HC246,HE246)/7/SUM(FQ245,GC245,GO245,HA245)</f>
        <v>0.54574811625403663</v>
      </c>
      <c r="IB246" s="84">
        <f>SUM(I246,U246,AG246,AS246,BE246)/SUM(G246,I246,S246,U246,AE246,AG246,AQ246,AS246,BC246,BE246)</f>
        <v>3.0327537403962799E-2</v>
      </c>
      <c r="IC246" s="84">
        <f>SUM(BQ246,CC246,CO246,DA246,DM246)/SUM(BO246,BQ246,CA246,CC246,CM246,CO246,CY246,DA246,DK246,DM246)</f>
        <v>2.9535156905521061E-2</v>
      </c>
      <c r="ID246" s="84">
        <f>SUM(DY246,EK246,EW246,FI246)/SUM(DW246,DY246,EI246,EK246,EU246,EW246,FG246,FI246)</f>
        <v>4.1452286185807201E-2</v>
      </c>
      <c r="IE246" s="84">
        <f>SUM(FU246,GG246,GS246,HE246)/SUM(FS246,FU246,GE246,GG246,GQ246,GS246,HC246,HE246)</f>
        <v>3.4657650042265425E-2</v>
      </c>
      <c r="IF246" s="86">
        <f>SUM(C246,O246,AA246,AM246,AY246)</f>
        <v>5</v>
      </c>
      <c r="IG246" s="86">
        <f>SUM(BK246,BW246,CI246,CU246,DG246)</f>
        <v>9</v>
      </c>
      <c r="IH246" s="86">
        <f>SUM(DS246,EE246,EQ246,FC246)</f>
        <v>2</v>
      </c>
      <c r="II246" s="86">
        <f>SUM(FO246,GA246,GM246,GY246)</f>
        <v>2</v>
      </c>
      <c r="IJ246" s="88" t="s">
        <v>89</v>
      </c>
    </row>
    <row r="247" spans="1:244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HK246/HM239</f>
        <v>1.5201418799087915E-3</v>
      </c>
      <c r="HL247" s="66">
        <f>HL246/HN239</f>
        <v>1.0493179433368311E-3</v>
      </c>
      <c r="HM247" s="45"/>
      <c r="HN247" s="45"/>
      <c r="HO247" s="45"/>
      <c r="HP247" s="98"/>
      <c r="HQ247" s="45"/>
      <c r="HR247" s="45"/>
      <c r="HS247" s="45"/>
      <c r="HT247" s="55"/>
      <c r="HU247" s="45"/>
      <c r="HV247" s="45"/>
      <c r="HW247" s="46"/>
      <c r="HY247" s="72"/>
      <c r="HZ247" s="72"/>
      <c r="IA247" s="72"/>
      <c r="IF247" s="86">
        <f>SUM(E236,Q236,AC236,AO236,BA236)</f>
        <v>3222</v>
      </c>
      <c r="IG247" s="86">
        <f>SUM(BM236,BY236,CK236,CW236,DI236)</f>
        <v>3153</v>
      </c>
      <c r="IH247" s="86">
        <f>SUM(DU236,EG236,ES236,FE236)</f>
        <v>2680</v>
      </c>
      <c r="II247" s="86">
        <f>SUM(FQ236,GC236,GO236,HA236)</f>
        <v>2789</v>
      </c>
      <c r="IJ247" s="88" t="s">
        <v>84</v>
      </c>
    </row>
    <row r="248" spans="1:244" x14ac:dyDescent="0.25">
      <c r="A248" s="373">
        <v>52</v>
      </c>
      <c r="B248" s="68">
        <f>B245+1</f>
        <v>45130</v>
      </c>
      <c r="C248" s="33"/>
      <c r="D248" s="34"/>
      <c r="E248" s="34">
        <f>E245-C248</f>
        <v>815</v>
      </c>
      <c r="F248" s="34">
        <f>F245-D248</f>
        <v>66</v>
      </c>
      <c r="G248" s="34">
        <v>438</v>
      </c>
      <c r="H248" s="35">
        <f t="shared" ref="H248:H254" si="2248">((G248+I248)/E248)</f>
        <v>0.54846625766871171</v>
      </c>
      <c r="I248" s="34">
        <v>9</v>
      </c>
      <c r="J248" s="35">
        <f t="shared" ref="J248:J254" si="2249">I248/(G248+I248)</f>
        <v>2.0134228187919462E-2</v>
      </c>
      <c r="K248" s="36"/>
      <c r="L248" s="34"/>
      <c r="M248" s="34"/>
      <c r="N248" s="37"/>
      <c r="O248" s="33"/>
      <c r="P248" s="34"/>
      <c r="Q248" s="34">
        <f>Q245-O248</f>
        <v>746</v>
      </c>
      <c r="R248" s="34">
        <f>R245-P248</f>
        <v>60</v>
      </c>
      <c r="S248" s="34">
        <v>391</v>
      </c>
      <c r="T248" s="35">
        <f t="shared" ref="T248:T254" si="2250">((S248+U248)/Q248)</f>
        <v>0.5348525469168901</v>
      </c>
      <c r="U248" s="34">
        <v>8</v>
      </c>
      <c r="V248" s="35">
        <f t="shared" ref="V248:V254" si="2251">U248/(S248+U248)</f>
        <v>2.0050125313283207E-2</v>
      </c>
      <c r="W248" s="36"/>
      <c r="X248" s="34"/>
      <c r="Y248" s="34"/>
      <c r="Z248" s="37"/>
      <c r="AA248" s="33"/>
      <c r="AB248" s="34"/>
      <c r="AC248" s="34">
        <f>AC245-AA248</f>
        <v>157</v>
      </c>
      <c r="AD248" s="34">
        <f>AD245-AB248</f>
        <v>13</v>
      </c>
      <c r="AE248" s="34">
        <v>82</v>
      </c>
      <c r="AF248" s="35">
        <f t="shared" ref="AF248:AF254" si="2252">((AE248+AG248)/AC248)</f>
        <v>0.55414012738853502</v>
      </c>
      <c r="AG248" s="34">
        <v>5</v>
      </c>
      <c r="AH248" s="35">
        <f t="shared" ref="AH248:AH254" si="2253">AG248/(AE248+AG248)</f>
        <v>5.7471264367816091E-2</v>
      </c>
      <c r="AI248" s="36"/>
      <c r="AJ248" s="34"/>
      <c r="AK248" s="34"/>
      <c r="AL248" s="37"/>
      <c r="AM248" s="33"/>
      <c r="AN248" s="34"/>
      <c r="AO248" s="34">
        <f>AO245-AM248</f>
        <v>753</v>
      </c>
      <c r="AP248" s="34">
        <f>AP245-AN248</f>
        <v>61</v>
      </c>
      <c r="AQ248" s="34">
        <v>406</v>
      </c>
      <c r="AR248" s="35">
        <f t="shared" ref="AR248:AR254" si="2254">((AQ248+AS248)/AO248)</f>
        <v>0.5524568393094289</v>
      </c>
      <c r="AS248" s="34">
        <v>10</v>
      </c>
      <c r="AT248" s="35">
        <f t="shared" ref="AT248:AT254" si="2255">AS248/(AQ248+AS248)</f>
        <v>2.403846153846154E-2</v>
      </c>
      <c r="AU248" s="36"/>
      <c r="AV248" s="34"/>
      <c r="AW248" s="34"/>
      <c r="AX248" s="37"/>
      <c r="AY248" s="33"/>
      <c r="AZ248" s="34"/>
      <c r="BA248" s="34">
        <f>BA245-AY248</f>
        <v>746</v>
      </c>
      <c r="BB248" s="34">
        <f>BB245-AZ248</f>
        <v>60</v>
      </c>
      <c r="BC248" s="34">
        <v>384</v>
      </c>
      <c r="BD248" s="35">
        <f t="shared" ref="BD248:BD254" si="2256">((BC248+BE248)/BA248)</f>
        <v>0.52680965147453085</v>
      </c>
      <c r="BE248" s="34">
        <v>9</v>
      </c>
      <c r="BF248" s="35">
        <f t="shared" ref="BF248:BF254" si="2257">BE248/(BC248+BE248)</f>
        <v>2.2900763358778626E-2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805</v>
      </c>
      <c r="BN248" s="34">
        <f>BN245-BL248</f>
        <v>63</v>
      </c>
      <c r="BO248" s="34">
        <v>424</v>
      </c>
      <c r="BP248" s="35">
        <f t="shared" ref="BP248:BP254" si="2258">((BO248+BQ248)/BM248)</f>
        <v>0.55031055900621118</v>
      </c>
      <c r="BQ248" s="34">
        <v>19</v>
      </c>
      <c r="BR248" s="35">
        <f t="shared" ref="BR248:BR254" si="2259">BQ248/(BO248+BQ248)</f>
        <v>4.2889390519187359E-2</v>
      </c>
      <c r="BS248" s="36"/>
      <c r="BT248" s="34"/>
      <c r="BU248" s="34"/>
      <c r="BV248" s="37"/>
      <c r="BW248" s="33"/>
      <c r="BX248" s="34"/>
      <c r="BY248" s="34">
        <f>BY245-BW248</f>
        <v>740</v>
      </c>
      <c r="BZ248" s="34">
        <f>BZ245-BX248</f>
        <v>59</v>
      </c>
      <c r="CA248" s="34">
        <v>374</v>
      </c>
      <c r="CB248" s="35">
        <f t="shared" ref="CB248:CB254" si="2260">((CA248+CC248)/BY248)</f>
        <v>0.52702702702702697</v>
      </c>
      <c r="CC248" s="34">
        <v>16</v>
      </c>
      <c r="CD248" s="35">
        <f t="shared" ref="CD248:CD254" si="2261">CC248/(CA248+CC248)</f>
        <v>4.1025641025641026E-2</v>
      </c>
      <c r="CE248" s="36"/>
      <c r="CF248" s="34"/>
      <c r="CG248" s="34"/>
      <c r="CH248" s="37"/>
      <c r="CI248" s="33"/>
      <c r="CJ248" s="34"/>
      <c r="CK248" s="34">
        <f>CK245-CI248</f>
        <v>133</v>
      </c>
      <c r="CL248" s="34">
        <f>CL245-CJ248</f>
        <v>12</v>
      </c>
      <c r="CM248" s="34">
        <v>51</v>
      </c>
      <c r="CN248" s="35">
        <f t="shared" ref="CN248:CN254" si="2262">((CM248+CO248)/CK248)</f>
        <v>0.39849624060150374</v>
      </c>
      <c r="CO248" s="34">
        <v>2</v>
      </c>
      <c r="CP248" s="35">
        <f t="shared" ref="CP248:CP254" si="2263">CO248/(CM248+CO248)</f>
        <v>3.7735849056603772E-2</v>
      </c>
      <c r="CQ248" s="36"/>
      <c r="CR248" s="34"/>
      <c r="CS248" s="34"/>
      <c r="CT248" s="37"/>
      <c r="CU248" s="33"/>
      <c r="CV248" s="34"/>
      <c r="CW248" s="34">
        <f>CW245-CU248</f>
        <v>734</v>
      </c>
      <c r="CX248" s="34">
        <f>CX245-CV248</f>
        <v>59</v>
      </c>
      <c r="CY248" s="34">
        <v>372</v>
      </c>
      <c r="CZ248" s="35">
        <f t="shared" ref="CZ248:CZ254" si="2264">((CY248+DA248)/CW248)</f>
        <v>0.52316076294277924</v>
      </c>
      <c r="DA248" s="34">
        <v>12</v>
      </c>
      <c r="DB248" s="35">
        <f t="shared" ref="DB248:DB254" si="2265">DA248/(CY248+DA248)</f>
        <v>3.125E-2</v>
      </c>
      <c r="DC248" s="36"/>
      <c r="DD248" s="34"/>
      <c r="DE248" s="34"/>
      <c r="DF248" s="37"/>
      <c r="DG248" s="33"/>
      <c r="DH248" s="34"/>
      <c r="DI248" s="34">
        <f>DI245-DG248</f>
        <v>731</v>
      </c>
      <c r="DJ248" s="34">
        <f>DJ245-DH248</f>
        <v>59</v>
      </c>
      <c r="DK248" s="34">
        <v>408</v>
      </c>
      <c r="DL248" s="35">
        <f t="shared" ref="DL248:DL254" si="2266">((DK248+DM248)/DI248)</f>
        <v>0.57181942544459641</v>
      </c>
      <c r="DM248" s="34">
        <v>10</v>
      </c>
      <c r="DN248" s="35">
        <f t="shared" ref="DN248:DN254" si="2267">DM248/(DK248+DM248)</f>
        <v>2.3923444976076555E-2</v>
      </c>
      <c r="DO248" s="36"/>
      <c r="DP248" s="34"/>
      <c r="DQ248" s="34"/>
      <c r="DR248" s="37"/>
      <c r="DS248" s="33"/>
      <c r="DT248" s="34"/>
      <c r="DU248" s="34">
        <f>DU245-DS248</f>
        <v>820</v>
      </c>
      <c r="DV248" s="34">
        <f>DV245-DT248</f>
        <v>66</v>
      </c>
      <c r="DW248" s="34">
        <v>444</v>
      </c>
      <c r="DX248" s="35">
        <f t="shared" ref="DX248:DX254" si="2268">((DW248+DY248)/DU248)</f>
        <v>0.56341463414634141</v>
      </c>
      <c r="DY248" s="34">
        <v>18</v>
      </c>
      <c r="DZ248" s="35">
        <f t="shared" ref="DZ248:DZ254" si="2269">DY248/(DW248+DY248)</f>
        <v>3.896103896103896E-2</v>
      </c>
      <c r="EA248" s="36"/>
      <c r="EB248" s="34"/>
      <c r="EC248" s="34"/>
      <c r="ED248" s="37"/>
      <c r="EE248" s="33"/>
      <c r="EF248" s="34"/>
      <c r="EG248" s="34">
        <f>EG245-EE248</f>
        <v>843</v>
      </c>
      <c r="EH248" s="34">
        <f>EH245-EF248</f>
        <v>67</v>
      </c>
      <c r="EI248" s="34">
        <v>448</v>
      </c>
      <c r="EJ248" s="35">
        <f t="shared" ref="EJ248:EJ254" si="2270">((EI248+EK248)/EG248)</f>
        <v>0.5527876631079478</v>
      </c>
      <c r="EK248" s="34">
        <v>18</v>
      </c>
      <c r="EL248" s="35">
        <f t="shared" ref="EL248:EL254" si="2271">EK248/(EI248+EK248)</f>
        <v>3.8626609442060089E-2</v>
      </c>
      <c r="EM248" s="36"/>
      <c r="EN248" s="34"/>
      <c r="EO248" s="34"/>
      <c r="EP248" s="37"/>
      <c r="EQ248" s="33"/>
      <c r="ER248" s="34"/>
      <c r="ES248" s="34">
        <f>ES245-EQ248</f>
        <v>167</v>
      </c>
      <c r="ET248" s="34">
        <f>ET245-ER248</f>
        <v>14</v>
      </c>
      <c r="EU248" s="34">
        <v>80</v>
      </c>
      <c r="EV248" s="35">
        <f t="shared" ref="EV248:EV254" si="2272">((EU248+EW248)/ES248)</f>
        <v>0.50898203592814373</v>
      </c>
      <c r="EW248" s="34">
        <v>5</v>
      </c>
      <c r="EX248" s="35">
        <f t="shared" ref="EX248:EX254" si="2273">EW248/(EU248+EW248)</f>
        <v>5.8823529411764705E-2</v>
      </c>
      <c r="EY248" s="36"/>
      <c r="EZ248" s="34"/>
      <c r="FA248" s="34"/>
      <c r="FB248" s="37"/>
      <c r="FC248" s="33"/>
      <c r="FD248" s="34"/>
      <c r="FE248" s="34">
        <f>FE245-FC248</f>
        <v>848</v>
      </c>
      <c r="FF248" s="34">
        <f>FF245-FD248</f>
        <v>67</v>
      </c>
      <c r="FG248" s="34">
        <v>427</v>
      </c>
      <c r="FH248" s="35">
        <f t="shared" ref="FH248:FH254" si="2274">((FG248+FI248)/FE248)</f>
        <v>0.51768867924528306</v>
      </c>
      <c r="FI248" s="34">
        <v>12</v>
      </c>
      <c r="FJ248" s="35">
        <f t="shared" ref="FJ248:FJ254" si="2275">FI248/(FG248+FI248)</f>
        <v>2.7334851936218679E-2</v>
      </c>
      <c r="FK248" s="36"/>
      <c r="FL248" s="34"/>
      <c r="FM248" s="34"/>
      <c r="FN248" s="37"/>
      <c r="FO248" s="33"/>
      <c r="FP248" s="34"/>
      <c r="FQ248" s="34">
        <f>FQ245-FO248</f>
        <v>868</v>
      </c>
      <c r="FR248" s="34">
        <f>FR245-FP248</f>
        <v>70</v>
      </c>
      <c r="FS248" s="34">
        <v>423</v>
      </c>
      <c r="FT248" s="35">
        <f t="shared" ref="FT248:FT254" si="2276">((FS248+FU248)/FQ248)</f>
        <v>0.50806451612903225</v>
      </c>
      <c r="FU248" s="34">
        <v>18</v>
      </c>
      <c r="FV248" s="35">
        <f t="shared" ref="FV248:FV254" si="2277">FU248/(FS248+FU248)</f>
        <v>4.0816326530612242E-2</v>
      </c>
      <c r="FW248" s="36"/>
      <c r="FX248" s="34"/>
      <c r="FY248" s="34"/>
      <c r="FZ248" s="37"/>
      <c r="GA248" s="33"/>
      <c r="GB248" s="34"/>
      <c r="GC248" s="34">
        <f>GC245-GA248</f>
        <v>873</v>
      </c>
      <c r="GD248" s="34">
        <f>GD245-GB248</f>
        <v>71</v>
      </c>
      <c r="GE248" s="34">
        <v>440</v>
      </c>
      <c r="GF248" s="35">
        <f t="shared" ref="GF248:GF254" si="2278">((GE248+GG248)/GC248)</f>
        <v>0.5223367697594502</v>
      </c>
      <c r="GG248" s="34">
        <v>16</v>
      </c>
      <c r="GH248" s="35">
        <f t="shared" ref="GH248:GH254" si="2279">GG248/(GE248+GG248)</f>
        <v>3.5087719298245612E-2</v>
      </c>
      <c r="GI248" s="36"/>
      <c r="GJ248" s="34"/>
      <c r="GK248" s="34"/>
      <c r="GL248" s="37"/>
      <c r="GM248" s="33">
        <v>2</v>
      </c>
      <c r="GN248" s="34"/>
      <c r="GO248" s="34">
        <f>GO245-GM248</f>
        <v>145</v>
      </c>
      <c r="GP248" s="34">
        <f>GP245-GN248</f>
        <v>12</v>
      </c>
      <c r="GQ248" s="34">
        <v>70</v>
      </c>
      <c r="GR248" s="35">
        <f t="shared" ref="GR248:GR254" si="2280">((GQ248+GS248)/GO248)</f>
        <v>0.51034482758620692</v>
      </c>
      <c r="GS248" s="34">
        <v>4</v>
      </c>
      <c r="GT248" s="35">
        <f t="shared" ref="GT248:GT254" si="2281">GS248/(GQ248+GS248)</f>
        <v>5.4054054054054057E-2</v>
      </c>
      <c r="GU248" s="36"/>
      <c r="GV248" s="34"/>
      <c r="GW248" s="34"/>
      <c r="GX248" s="37"/>
      <c r="GY248" s="33"/>
      <c r="GZ248" s="34"/>
      <c r="HA248" s="34">
        <f>HA245-GY248</f>
        <v>899</v>
      </c>
      <c r="HB248" s="34">
        <f>HB245-GZ248</f>
        <v>73</v>
      </c>
      <c r="HC248" s="34">
        <v>462</v>
      </c>
      <c r="HD248" s="35">
        <f t="shared" ref="HD248:HD254" si="2282">((HC248+HE248)/HA248)</f>
        <v>0.52502780867630705</v>
      </c>
      <c r="HE248" s="34">
        <v>10</v>
      </c>
      <c r="HF248" s="35">
        <f t="shared" ref="HF248:HF254" si="2283">HE248/(HC248+HE248)</f>
        <v>2.1186440677966101E-2</v>
      </c>
      <c r="HG248" s="36"/>
      <c r="HH248" s="34"/>
      <c r="HI248" s="34"/>
      <c r="HJ248" s="37"/>
      <c r="HK248" s="33">
        <f t="shared" ref="HK248:HK255" si="2284">+C248+O248+AA248+AM248+AY248+BK248+BW248+CI248+CU248+DG248+DS248+EE248+EQ248+FC248+FO248+GA248+GM248+GY248</f>
        <v>3</v>
      </c>
      <c r="HL248" s="34">
        <f t="shared" ref="HL248:HL255" si="2285">+D248+P248+AB248+AN248+AZ248+BL248+BX248+CJ248+CV248+DH248+DT248+EF248+ER248+FD248+FP248+GB248+GN248+GZ248</f>
        <v>0</v>
      </c>
      <c r="HM248" s="34">
        <f t="shared" ref="HM248:HM255" si="2286">+E248+Q248+AC248+AO248+BA248+BM248+BY248+CK248+CW248+DI248+DU248+EG248+ES248+FE248+FQ248+GC248+GO248+HA248</f>
        <v>11823</v>
      </c>
      <c r="HN248" s="34">
        <f t="shared" ref="HN248:HN255" si="2287">+F248+R248+AD248+AP248+BB248+BN248+BZ248+CL248+CX248+DJ248+DV248+EH248+ET248+FF248+FR248+GD248+GP248+HB248</f>
        <v>952</v>
      </c>
      <c r="HO248" s="34">
        <f t="shared" ref="HO248:HO255" si="2288">+G248+S248+AE248+AQ248+BC248+BO248+CA248+CM248+CY248+DK248+DW248+EI248+EU248+FG248+FS248+GE248+GQ248+HC248+I248+U248+AG248+AS248+BE248+BQ248+CC248+CO248+DA248+DM248+DY248+EK248+EW248+FI248+FU248+GG248+GS248+HE248</f>
        <v>6325</v>
      </c>
      <c r="HP248" s="94">
        <f t="shared" ref="HP248:HP254" si="2289">+(HO248)/HM248</f>
        <v>0.53497420282500208</v>
      </c>
      <c r="HQ248" s="48">
        <f t="shared" ref="HQ248:HQ255" si="2290">+I248+U248+AG248+AS248+BE248+BQ248+CC248+CO248+DA248+DM248+DY248+EK248+EW248+FI248+FU248+GG248+GS248+HE248</f>
        <v>201</v>
      </c>
      <c r="HR248" s="35">
        <f t="shared" ref="HR248:HR255" si="2291">+(HQ248/(HO248))</f>
        <v>3.1778656126482216E-2</v>
      </c>
      <c r="HS248" s="49">
        <v>65.599999999999994</v>
      </c>
      <c r="HT248" s="50">
        <v>5985</v>
      </c>
      <c r="HU248" s="49">
        <f t="shared" ref="HU248:HU254" si="2292">+HT248/HO248*100</f>
        <v>94.62450592885375</v>
      </c>
      <c r="HV248" s="48"/>
      <c r="HW248" s="37"/>
      <c r="HX248" s="73">
        <f t="shared" ref="HX248:HX254" si="2293">SUM(G248,I248,S248,U248,AE248,AG248,AQ248,AS248,BC248,BE248)/SUM(E248,Q248,AC248,AO248,BA248)</f>
        <v>0.54149829033260799</v>
      </c>
      <c r="HY248" s="73">
        <f t="shared" ref="HY248:HY254" si="2294">SUM(BO248,BQ248,CA248,CC248,CM248,CO248,CY248,DA248,DK248,DM248)/SUM(BM248,BY248,CK248,CW248,DI248)</f>
        <v>0.53706649697741016</v>
      </c>
      <c r="HZ248" s="73">
        <f t="shared" ref="HZ248:HZ254" si="2295">SUM(DW248,DY248,EI248,EK248,EU248,EW248,FG248,FI248)/SUM(DU248,EG248,ES248,FE248)</f>
        <v>0.54219566840926059</v>
      </c>
      <c r="IA248" s="73">
        <f t="shared" ref="IA248:IA254" si="2296">SUM(FS248,FU248,GE248,GG248,GQ248,GS248,HC248,HE248)/SUM(FQ248,GC248,GO248,HA248)</f>
        <v>0.51813285457809699</v>
      </c>
    </row>
    <row r="249" spans="1:244" x14ac:dyDescent="0.25">
      <c r="A249" s="374"/>
      <c r="B249" s="41">
        <f t="shared" ref="B249:B254" si="2297">+B248+1</f>
        <v>45131</v>
      </c>
      <c r="C249" s="10">
        <v>1</v>
      </c>
      <c r="D249" s="11"/>
      <c r="E249" s="69">
        <f t="shared" ref="E249:E254" si="2298">E248-C249</f>
        <v>814</v>
      </c>
      <c r="F249" s="69">
        <f t="shared" ref="F249:F254" si="2299">F248-D249</f>
        <v>66</v>
      </c>
      <c r="G249" s="11">
        <v>418</v>
      </c>
      <c r="H249" s="12">
        <f t="shared" si="2248"/>
        <v>0.53071253071253066</v>
      </c>
      <c r="I249" s="11">
        <v>14</v>
      </c>
      <c r="J249" s="12">
        <f t="shared" si="2249"/>
        <v>3.2407407407407406E-2</v>
      </c>
      <c r="K249" s="13"/>
      <c r="L249" s="11"/>
      <c r="M249" s="11"/>
      <c r="N249" s="14"/>
      <c r="O249" s="10"/>
      <c r="P249" s="11"/>
      <c r="Q249" s="69">
        <f t="shared" ref="Q249:Q254" si="2300">Q248-O249</f>
        <v>746</v>
      </c>
      <c r="R249" s="69">
        <f t="shared" ref="R249:R254" si="2301">R248-P249</f>
        <v>60</v>
      </c>
      <c r="S249" s="11">
        <v>363</v>
      </c>
      <c r="T249" s="12">
        <f t="shared" si="2250"/>
        <v>0.50536193029490617</v>
      </c>
      <c r="U249" s="11">
        <v>14</v>
      </c>
      <c r="V249" s="12">
        <f t="shared" si="2251"/>
        <v>3.7135278514588858E-2</v>
      </c>
      <c r="W249" s="13"/>
      <c r="X249" s="11"/>
      <c r="Y249" s="11"/>
      <c r="Z249" s="14"/>
      <c r="AA249" s="10"/>
      <c r="AB249" s="11"/>
      <c r="AC249" s="69">
        <f t="shared" ref="AC249:AC254" si="2302">AC248-AA249</f>
        <v>157</v>
      </c>
      <c r="AD249" s="69">
        <f t="shared" ref="AD249:AD254" si="2303">AD248-AB249</f>
        <v>13</v>
      </c>
      <c r="AE249" s="11">
        <v>71</v>
      </c>
      <c r="AF249" s="12">
        <f t="shared" si="2252"/>
        <v>0.46496815286624205</v>
      </c>
      <c r="AG249" s="11">
        <v>2</v>
      </c>
      <c r="AH249" s="12">
        <f t="shared" si="2253"/>
        <v>2.7397260273972601E-2</v>
      </c>
      <c r="AI249" s="13"/>
      <c r="AJ249" s="11"/>
      <c r="AK249" s="11"/>
      <c r="AL249" s="14"/>
      <c r="AM249" s="10"/>
      <c r="AN249" s="11"/>
      <c r="AO249" s="69">
        <f t="shared" ref="AO249:AO254" si="2304">AO248-AM249</f>
        <v>753</v>
      </c>
      <c r="AP249" s="69">
        <f t="shared" ref="AP249:AP254" si="2305">AP248-AN249</f>
        <v>61</v>
      </c>
      <c r="AQ249" s="11">
        <v>376</v>
      </c>
      <c r="AR249" s="12">
        <f t="shared" si="2254"/>
        <v>0.51792828685258963</v>
      </c>
      <c r="AS249" s="11">
        <v>14</v>
      </c>
      <c r="AT249" s="12">
        <f t="shared" si="2255"/>
        <v>3.5897435897435895E-2</v>
      </c>
      <c r="AU249" s="13"/>
      <c r="AV249" s="11"/>
      <c r="AW249" s="11"/>
      <c r="AX249" s="14"/>
      <c r="AY249" s="10"/>
      <c r="AZ249" s="11"/>
      <c r="BA249" s="69">
        <f t="shared" ref="BA249:BA254" si="2306">BA248-AY249</f>
        <v>746</v>
      </c>
      <c r="BB249" s="69">
        <f t="shared" ref="BB249:BB254" si="2307">BB248-AZ249</f>
        <v>60</v>
      </c>
      <c r="BC249" s="11">
        <v>415</v>
      </c>
      <c r="BD249" s="12">
        <f t="shared" si="2256"/>
        <v>0.56970509383378021</v>
      </c>
      <c r="BE249" s="11">
        <v>10</v>
      </c>
      <c r="BF249" s="12">
        <f t="shared" si="2257"/>
        <v>2.3529411764705882E-2</v>
      </c>
      <c r="BG249" s="13"/>
      <c r="BH249" s="11"/>
      <c r="BI249" s="11"/>
      <c r="BJ249" s="14"/>
      <c r="BK249" s="10"/>
      <c r="BL249" s="11"/>
      <c r="BM249" s="69">
        <f t="shared" ref="BM249:BM254" si="2308">BM248-BK249</f>
        <v>805</v>
      </c>
      <c r="BN249" s="69">
        <f t="shared" ref="BN249:BN254" si="2309">BN248-BL249</f>
        <v>63</v>
      </c>
      <c r="BO249" s="11">
        <v>426</v>
      </c>
      <c r="BP249" s="12">
        <f t="shared" si="2258"/>
        <v>0.53788819875776395</v>
      </c>
      <c r="BQ249" s="11">
        <v>7</v>
      </c>
      <c r="BR249" s="12">
        <f t="shared" si="2259"/>
        <v>1.6166281755196306E-2</v>
      </c>
      <c r="BS249" s="13"/>
      <c r="BT249" s="11"/>
      <c r="BU249" s="11"/>
      <c r="BV249" s="14"/>
      <c r="BW249" s="10"/>
      <c r="BX249" s="11"/>
      <c r="BY249" s="69">
        <f t="shared" ref="BY249:BY254" si="2310">BY248-BW249</f>
        <v>740</v>
      </c>
      <c r="BZ249" s="69">
        <f t="shared" ref="BZ249:BZ254" si="2311">BZ248-BX249</f>
        <v>59</v>
      </c>
      <c r="CA249" s="11">
        <v>370</v>
      </c>
      <c r="CB249" s="12">
        <f t="shared" si="2260"/>
        <v>0.51216216216216215</v>
      </c>
      <c r="CC249" s="11">
        <v>9</v>
      </c>
      <c r="CD249" s="12">
        <f t="shared" si="2261"/>
        <v>2.3746701846965697E-2</v>
      </c>
      <c r="CE249" s="13"/>
      <c r="CF249" s="11"/>
      <c r="CG249" s="11"/>
      <c r="CH249" s="14"/>
      <c r="CI249" s="10"/>
      <c r="CJ249" s="11"/>
      <c r="CK249" s="69">
        <f t="shared" ref="CK249:CK254" si="2312">CK248-CI249</f>
        <v>133</v>
      </c>
      <c r="CL249" s="69">
        <f t="shared" ref="CL249:CL254" si="2313">CL248-CJ249</f>
        <v>12</v>
      </c>
      <c r="CM249" s="11">
        <v>41</v>
      </c>
      <c r="CN249" s="12">
        <f t="shared" si="2262"/>
        <v>0.33082706766917291</v>
      </c>
      <c r="CO249" s="11">
        <v>3</v>
      </c>
      <c r="CP249" s="12">
        <f t="shared" si="2263"/>
        <v>6.8181818181818177E-2</v>
      </c>
      <c r="CQ249" s="13"/>
      <c r="CR249" s="11"/>
      <c r="CS249" s="11"/>
      <c r="CT249" s="14"/>
      <c r="CU249" s="10"/>
      <c r="CV249" s="11"/>
      <c r="CW249" s="69">
        <f t="shared" ref="CW249:CW254" si="2314">CW248-CU249</f>
        <v>734</v>
      </c>
      <c r="CX249" s="69">
        <f t="shared" ref="CX249:CX254" si="2315">CX248-CV249</f>
        <v>59</v>
      </c>
      <c r="CY249" s="11">
        <v>385</v>
      </c>
      <c r="CZ249" s="12">
        <f t="shared" si="2264"/>
        <v>0.52588555858310626</v>
      </c>
      <c r="DA249" s="11">
        <v>1</v>
      </c>
      <c r="DB249" s="12">
        <f t="shared" si="2265"/>
        <v>2.5906735751295338E-3</v>
      </c>
      <c r="DC249" s="13"/>
      <c r="DD249" s="11"/>
      <c r="DE249" s="11"/>
      <c r="DF249" s="14"/>
      <c r="DG249" s="10">
        <v>1</v>
      </c>
      <c r="DH249" s="11"/>
      <c r="DI249" s="69">
        <f t="shared" ref="DI249:DI254" si="2316">DI248-DG249</f>
        <v>730</v>
      </c>
      <c r="DJ249" s="69">
        <f t="shared" ref="DJ249:DJ254" si="2317">DJ248-DH249</f>
        <v>59</v>
      </c>
      <c r="DK249" s="11">
        <v>424</v>
      </c>
      <c r="DL249" s="12">
        <f t="shared" si="2266"/>
        <v>0.58904109589041098</v>
      </c>
      <c r="DM249" s="11">
        <v>6</v>
      </c>
      <c r="DN249" s="12">
        <f t="shared" si="2267"/>
        <v>1.3953488372093023E-2</v>
      </c>
      <c r="DO249" s="13"/>
      <c r="DP249" s="11"/>
      <c r="DQ249" s="11"/>
      <c r="DR249" s="14"/>
      <c r="DS249" s="10"/>
      <c r="DT249" s="11"/>
      <c r="DU249" s="69">
        <f t="shared" ref="DU249:DU254" si="2318">DU248-DS249</f>
        <v>820</v>
      </c>
      <c r="DV249" s="69">
        <f t="shared" ref="DV249:DV254" si="2319">DV248-DT249</f>
        <v>66</v>
      </c>
      <c r="DW249" s="11">
        <v>424</v>
      </c>
      <c r="DX249" s="12">
        <f t="shared" si="2268"/>
        <v>0.53658536585365857</v>
      </c>
      <c r="DY249" s="11">
        <v>16</v>
      </c>
      <c r="DZ249" s="12">
        <f t="shared" si="2269"/>
        <v>3.6363636363636362E-2</v>
      </c>
      <c r="EA249" s="13"/>
      <c r="EB249" s="11"/>
      <c r="EC249" s="11"/>
      <c r="ED249" s="14"/>
      <c r="EE249" s="10"/>
      <c r="EF249" s="11"/>
      <c r="EG249" s="69">
        <f t="shared" ref="EG249:EG254" si="2320">EG248-EE249</f>
        <v>843</v>
      </c>
      <c r="EH249" s="69">
        <f t="shared" ref="EH249:EH254" si="2321">EH248-EF249</f>
        <v>67</v>
      </c>
      <c r="EI249" s="11">
        <v>424</v>
      </c>
      <c r="EJ249" s="12">
        <f t="shared" si="2270"/>
        <v>0.53499406880189804</v>
      </c>
      <c r="EK249" s="11">
        <v>27</v>
      </c>
      <c r="EL249" s="12">
        <f t="shared" si="2271"/>
        <v>5.9866962305986697E-2</v>
      </c>
      <c r="EM249" s="13"/>
      <c r="EN249" s="11"/>
      <c r="EO249" s="11"/>
      <c r="EP249" s="14"/>
      <c r="EQ249" s="10"/>
      <c r="ER249" s="11"/>
      <c r="ES249" s="69">
        <f t="shared" ref="ES249:ES254" si="2322">ES248-EQ249</f>
        <v>167</v>
      </c>
      <c r="ET249" s="69">
        <f t="shared" ref="ET249:ET254" si="2323">ET248-ER249</f>
        <v>14</v>
      </c>
      <c r="EU249" s="11">
        <v>80</v>
      </c>
      <c r="EV249" s="12">
        <f t="shared" si="2272"/>
        <v>0.50898203592814373</v>
      </c>
      <c r="EW249" s="11">
        <v>5</v>
      </c>
      <c r="EX249" s="12">
        <f t="shared" si="2273"/>
        <v>5.8823529411764705E-2</v>
      </c>
      <c r="EY249" s="13"/>
      <c r="EZ249" s="11"/>
      <c r="FA249" s="11"/>
      <c r="FB249" s="14"/>
      <c r="FC249" s="10"/>
      <c r="FD249" s="11"/>
      <c r="FE249" s="69">
        <f t="shared" ref="FE249:FE254" si="2324">FE248-FC249</f>
        <v>848</v>
      </c>
      <c r="FF249" s="69">
        <f t="shared" ref="FF249:FF254" si="2325">FF248-FD249</f>
        <v>67</v>
      </c>
      <c r="FG249" s="11">
        <v>470</v>
      </c>
      <c r="FH249" s="12">
        <f t="shared" si="2274"/>
        <v>0.56957547169811318</v>
      </c>
      <c r="FI249" s="11">
        <v>13</v>
      </c>
      <c r="FJ249" s="12">
        <f t="shared" si="2275"/>
        <v>2.6915113871635612E-2</v>
      </c>
      <c r="FK249" s="13"/>
      <c r="FL249" s="11"/>
      <c r="FM249" s="11"/>
      <c r="FN249" s="14"/>
      <c r="FO249" s="10"/>
      <c r="FP249" s="11"/>
      <c r="FQ249" s="69">
        <f t="shared" ref="FQ249:FQ254" si="2326">FQ248-FO249</f>
        <v>868</v>
      </c>
      <c r="FR249" s="69">
        <f t="shared" ref="FR249:FR254" si="2327">FR248-FP249</f>
        <v>70</v>
      </c>
      <c r="FS249" s="11">
        <v>444</v>
      </c>
      <c r="FT249" s="12">
        <f t="shared" si="2276"/>
        <v>0.52649769585253459</v>
      </c>
      <c r="FU249" s="11">
        <v>13</v>
      </c>
      <c r="FV249" s="12">
        <f t="shared" si="2277"/>
        <v>2.8446389496717725E-2</v>
      </c>
      <c r="FW249" s="13"/>
      <c r="FX249" s="11"/>
      <c r="FY249" s="11"/>
      <c r="FZ249" s="14"/>
      <c r="GA249" s="10"/>
      <c r="GB249" s="11"/>
      <c r="GC249" s="69">
        <f t="shared" ref="GC249:GC254" si="2328">GC248-GA249</f>
        <v>873</v>
      </c>
      <c r="GD249" s="69">
        <f t="shared" ref="GD249:GD254" si="2329">GD248-GB249</f>
        <v>71</v>
      </c>
      <c r="GE249" s="11">
        <v>434</v>
      </c>
      <c r="GF249" s="12">
        <f t="shared" si="2278"/>
        <v>0.51775486827033224</v>
      </c>
      <c r="GG249" s="11">
        <v>18</v>
      </c>
      <c r="GH249" s="12">
        <f t="shared" si="2279"/>
        <v>3.9823008849557522E-2</v>
      </c>
      <c r="GI249" s="13"/>
      <c r="GJ249" s="11"/>
      <c r="GK249" s="11"/>
      <c r="GL249" s="14"/>
      <c r="GM249" s="10"/>
      <c r="GN249" s="11"/>
      <c r="GO249" s="69">
        <f t="shared" ref="GO249:GO254" si="2330">GO248-GM249</f>
        <v>145</v>
      </c>
      <c r="GP249" s="69">
        <f t="shared" ref="GP249:GP254" si="2331">GP248-GN249</f>
        <v>12</v>
      </c>
      <c r="GQ249" s="11">
        <v>59</v>
      </c>
      <c r="GR249" s="12">
        <f t="shared" si="2280"/>
        <v>0.40689655172413791</v>
      </c>
      <c r="GS249" s="11">
        <v>0</v>
      </c>
      <c r="GT249" s="12">
        <f t="shared" si="2281"/>
        <v>0</v>
      </c>
      <c r="GU249" s="13"/>
      <c r="GV249" s="11"/>
      <c r="GW249" s="11"/>
      <c r="GX249" s="14"/>
      <c r="GY249" s="10"/>
      <c r="GZ249" s="11"/>
      <c r="HA249" s="69">
        <f t="shared" ref="HA249:HA254" si="2332">HA248-GY249</f>
        <v>899</v>
      </c>
      <c r="HB249" s="69">
        <f t="shared" ref="HB249:HB254" si="2333">HB248-GZ249</f>
        <v>73</v>
      </c>
      <c r="HC249" s="11">
        <v>464</v>
      </c>
      <c r="HD249" s="12">
        <f t="shared" si="2282"/>
        <v>0.5361512791991101</v>
      </c>
      <c r="HE249" s="11">
        <v>18</v>
      </c>
      <c r="HF249" s="12">
        <f t="shared" si="2283"/>
        <v>3.7344398340248962E-2</v>
      </c>
      <c r="HG249" s="13"/>
      <c r="HH249" s="11"/>
      <c r="HI249" s="11"/>
      <c r="HJ249" s="14"/>
      <c r="HK249" s="10">
        <f t="shared" si="2284"/>
        <v>2</v>
      </c>
      <c r="HL249" s="11">
        <f t="shared" si="2285"/>
        <v>0</v>
      </c>
      <c r="HM249" s="11">
        <f t="shared" si="2286"/>
        <v>11821</v>
      </c>
      <c r="HN249" s="11">
        <f t="shared" si="2287"/>
        <v>952</v>
      </c>
      <c r="HO249" s="11">
        <f t="shared" si="2288"/>
        <v>6278</v>
      </c>
      <c r="HP249" s="95">
        <f t="shared" si="2289"/>
        <v>0.5310887403772947</v>
      </c>
      <c r="HQ249" s="15">
        <f t="shared" si="2290"/>
        <v>190</v>
      </c>
      <c r="HR249" s="12">
        <f t="shared" si="2291"/>
        <v>3.0264415418923225E-2</v>
      </c>
      <c r="HS249" s="16">
        <v>66.099999999999994</v>
      </c>
      <c r="HT249" s="17">
        <v>5960</v>
      </c>
      <c r="HU249" s="16">
        <f t="shared" si="2292"/>
        <v>94.934692577253898</v>
      </c>
      <c r="HV249" s="15"/>
      <c r="HW249" s="14"/>
      <c r="HX249" s="73">
        <f t="shared" si="2293"/>
        <v>0.52767412935323388</v>
      </c>
      <c r="HY249" s="73">
        <f t="shared" si="2294"/>
        <v>0.53214513049013368</v>
      </c>
      <c r="HZ249" s="73">
        <f t="shared" si="2295"/>
        <v>0.54480955937266617</v>
      </c>
      <c r="IA249" s="73">
        <f t="shared" si="2296"/>
        <v>0.52064631956912033</v>
      </c>
    </row>
    <row r="250" spans="1:244" x14ac:dyDescent="0.25">
      <c r="A250" s="374"/>
      <c r="B250" s="41">
        <f t="shared" si="2297"/>
        <v>45132</v>
      </c>
      <c r="C250" s="10">
        <v>1</v>
      </c>
      <c r="D250" s="11"/>
      <c r="E250" s="69">
        <f t="shared" si="2298"/>
        <v>813</v>
      </c>
      <c r="F250" s="69">
        <f t="shared" si="2299"/>
        <v>66</v>
      </c>
      <c r="G250" s="11">
        <v>421</v>
      </c>
      <c r="H250" s="12">
        <f t="shared" si="2248"/>
        <v>0.53751537515375158</v>
      </c>
      <c r="I250" s="11">
        <v>16</v>
      </c>
      <c r="J250" s="12">
        <f t="shared" si="2249"/>
        <v>3.6613272311212815E-2</v>
      </c>
      <c r="K250" s="13"/>
      <c r="L250" s="11"/>
      <c r="M250" s="11"/>
      <c r="N250" s="14"/>
      <c r="O250" s="10"/>
      <c r="P250" s="11"/>
      <c r="Q250" s="69">
        <f t="shared" si="2300"/>
        <v>746</v>
      </c>
      <c r="R250" s="69">
        <f t="shared" si="2301"/>
        <v>60</v>
      </c>
      <c r="S250" s="11">
        <v>412</v>
      </c>
      <c r="T250" s="12">
        <f t="shared" si="2250"/>
        <v>0.58176943699731909</v>
      </c>
      <c r="U250" s="11">
        <v>22</v>
      </c>
      <c r="V250" s="12">
        <f t="shared" si="2251"/>
        <v>5.0691244239631339E-2</v>
      </c>
      <c r="W250" s="13"/>
      <c r="X250" s="11"/>
      <c r="Y250" s="11"/>
      <c r="Z250" s="14"/>
      <c r="AA250" s="10"/>
      <c r="AB250" s="11"/>
      <c r="AC250" s="69">
        <f t="shared" si="2302"/>
        <v>157</v>
      </c>
      <c r="AD250" s="69">
        <f t="shared" si="2303"/>
        <v>13</v>
      </c>
      <c r="AE250" s="11">
        <v>72</v>
      </c>
      <c r="AF250" s="12">
        <f t="shared" si="2252"/>
        <v>0.46496815286624205</v>
      </c>
      <c r="AG250" s="11">
        <v>1</v>
      </c>
      <c r="AH250" s="12">
        <f t="shared" si="2253"/>
        <v>1.3698630136986301E-2</v>
      </c>
      <c r="AI250" s="13"/>
      <c r="AJ250" s="11"/>
      <c r="AK250" s="11"/>
      <c r="AL250" s="14"/>
      <c r="AM250" s="10"/>
      <c r="AN250" s="11"/>
      <c r="AO250" s="69">
        <f t="shared" si="2304"/>
        <v>753</v>
      </c>
      <c r="AP250" s="69">
        <f t="shared" si="2305"/>
        <v>61</v>
      </c>
      <c r="AQ250" s="11">
        <v>404</v>
      </c>
      <c r="AR250" s="12">
        <f t="shared" si="2254"/>
        <v>0.54714475431606902</v>
      </c>
      <c r="AS250" s="11">
        <v>8</v>
      </c>
      <c r="AT250" s="12">
        <f t="shared" si="2255"/>
        <v>1.9417475728155338E-2</v>
      </c>
      <c r="AU250" s="13"/>
      <c r="AV250" s="11"/>
      <c r="AW250" s="11"/>
      <c r="AX250" s="14"/>
      <c r="AY250" s="10"/>
      <c r="AZ250" s="11"/>
      <c r="BA250" s="69">
        <f t="shared" si="2306"/>
        <v>746</v>
      </c>
      <c r="BB250" s="69">
        <f t="shared" si="2307"/>
        <v>60</v>
      </c>
      <c r="BC250" s="11">
        <v>404</v>
      </c>
      <c r="BD250" s="12">
        <f t="shared" si="2256"/>
        <v>0.55764075067024133</v>
      </c>
      <c r="BE250" s="11">
        <v>12</v>
      </c>
      <c r="BF250" s="12">
        <f t="shared" si="2257"/>
        <v>2.8846153846153848E-2</v>
      </c>
      <c r="BG250" s="13"/>
      <c r="BH250" s="11"/>
      <c r="BI250" s="11"/>
      <c r="BJ250" s="14"/>
      <c r="BK250" s="10">
        <v>1</v>
      </c>
      <c r="BL250" s="11"/>
      <c r="BM250" s="69">
        <f t="shared" si="2308"/>
        <v>804</v>
      </c>
      <c r="BN250" s="69">
        <f t="shared" si="2309"/>
        <v>63</v>
      </c>
      <c r="BO250" s="11">
        <v>420</v>
      </c>
      <c r="BP250" s="12">
        <f t="shared" si="2258"/>
        <v>0.53358208955223885</v>
      </c>
      <c r="BQ250" s="11">
        <v>9</v>
      </c>
      <c r="BR250" s="12">
        <f t="shared" si="2259"/>
        <v>2.097902097902098E-2</v>
      </c>
      <c r="BS250" s="13"/>
      <c r="BT250" s="11"/>
      <c r="BU250" s="11"/>
      <c r="BV250" s="14"/>
      <c r="BW250" s="10"/>
      <c r="BX250" s="11"/>
      <c r="BY250" s="69">
        <f t="shared" si="2310"/>
        <v>740</v>
      </c>
      <c r="BZ250" s="69">
        <f t="shared" si="2311"/>
        <v>59</v>
      </c>
      <c r="CA250" s="11">
        <v>367</v>
      </c>
      <c r="CB250" s="12">
        <f t="shared" si="2260"/>
        <v>0.50810810810810814</v>
      </c>
      <c r="CC250" s="11">
        <v>9</v>
      </c>
      <c r="CD250" s="12">
        <f t="shared" si="2261"/>
        <v>2.3936170212765957E-2</v>
      </c>
      <c r="CE250" s="13"/>
      <c r="CF250" s="11"/>
      <c r="CG250" s="11"/>
      <c r="CH250" s="14"/>
      <c r="CI250" s="10"/>
      <c r="CJ250" s="11"/>
      <c r="CK250" s="69">
        <f t="shared" si="2312"/>
        <v>133</v>
      </c>
      <c r="CL250" s="69">
        <f t="shared" si="2313"/>
        <v>12</v>
      </c>
      <c r="CM250" s="11">
        <v>72</v>
      </c>
      <c r="CN250" s="12">
        <f t="shared" si="2262"/>
        <v>0.56390977443609025</v>
      </c>
      <c r="CO250" s="11">
        <v>3</v>
      </c>
      <c r="CP250" s="12">
        <f t="shared" si="2263"/>
        <v>0.04</v>
      </c>
      <c r="CQ250" s="13"/>
      <c r="CR250" s="11"/>
      <c r="CS250" s="11"/>
      <c r="CT250" s="14"/>
      <c r="CU250" s="10"/>
      <c r="CV250" s="11"/>
      <c r="CW250" s="69">
        <f t="shared" si="2314"/>
        <v>734</v>
      </c>
      <c r="CX250" s="69">
        <f t="shared" si="2315"/>
        <v>59</v>
      </c>
      <c r="CY250" s="11">
        <v>334</v>
      </c>
      <c r="CZ250" s="12">
        <f t="shared" si="2264"/>
        <v>0.47002724795640327</v>
      </c>
      <c r="DA250" s="11">
        <v>11</v>
      </c>
      <c r="DB250" s="12">
        <f t="shared" si="2265"/>
        <v>3.1884057971014491E-2</v>
      </c>
      <c r="DC250" s="13"/>
      <c r="DD250" s="11"/>
      <c r="DE250" s="11"/>
      <c r="DF250" s="14"/>
      <c r="DG250" s="10"/>
      <c r="DH250" s="11"/>
      <c r="DI250" s="69">
        <f t="shared" si="2316"/>
        <v>730</v>
      </c>
      <c r="DJ250" s="69">
        <f t="shared" si="2317"/>
        <v>59</v>
      </c>
      <c r="DK250" s="11">
        <v>415</v>
      </c>
      <c r="DL250" s="12">
        <f t="shared" si="2266"/>
        <v>0.57808219178082187</v>
      </c>
      <c r="DM250" s="11">
        <v>7</v>
      </c>
      <c r="DN250" s="12">
        <f t="shared" si="2267"/>
        <v>1.6587677725118485E-2</v>
      </c>
      <c r="DO250" s="13"/>
      <c r="DP250" s="11"/>
      <c r="DQ250" s="11"/>
      <c r="DR250" s="14"/>
      <c r="DS250" s="10"/>
      <c r="DT250" s="11"/>
      <c r="DU250" s="69">
        <f t="shared" si="2318"/>
        <v>820</v>
      </c>
      <c r="DV250" s="69">
        <f t="shared" si="2319"/>
        <v>66</v>
      </c>
      <c r="DW250" s="11">
        <v>437</v>
      </c>
      <c r="DX250" s="12">
        <f t="shared" si="2268"/>
        <v>0.55243902439024395</v>
      </c>
      <c r="DY250" s="11">
        <v>16</v>
      </c>
      <c r="DZ250" s="12">
        <f t="shared" si="2269"/>
        <v>3.5320088300220751E-2</v>
      </c>
      <c r="EA250" s="13"/>
      <c r="EB250" s="11"/>
      <c r="EC250" s="11"/>
      <c r="ED250" s="14"/>
      <c r="EE250" s="10"/>
      <c r="EF250" s="11"/>
      <c r="EG250" s="69">
        <f t="shared" si="2320"/>
        <v>843</v>
      </c>
      <c r="EH250" s="69">
        <f t="shared" si="2321"/>
        <v>67</v>
      </c>
      <c r="EI250" s="11">
        <v>416</v>
      </c>
      <c r="EJ250" s="12">
        <f t="shared" si="2270"/>
        <v>0.51838671411625148</v>
      </c>
      <c r="EK250" s="11">
        <v>21</v>
      </c>
      <c r="EL250" s="12">
        <f t="shared" si="2271"/>
        <v>4.8054919908466817E-2</v>
      </c>
      <c r="EM250" s="13"/>
      <c r="EN250" s="11"/>
      <c r="EO250" s="11"/>
      <c r="EP250" s="14"/>
      <c r="EQ250" s="10"/>
      <c r="ER250" s="11"/>
      <c r="ES250" s="69">
        <f t="shared" si="2322"/>
        <v>167</v>
      </c>
      <c r="ET250" s="69">
        <f t="shared" si="2323"/>
        <v>14</v>
      </c>
      <c r="EU250" s="11">
        <v>75</v>
      </c>
      <c r="EV250" s="12">
        <f t="shared" si="2272"/>
        <v>0.49700598802395207</v>
      </c>
      <c r="EW250" s="11">
        <v>8</v>
      </c>
      <c r="EX250" s="12">
        <f t="shared" si="2273"/>
        <v>9.6385542168674704E-2</v>
      </c>
      <c r="EY250" s="13"/>
      <c r="EZ250" s="11"/>
      <c r="FA250" s="11"/>
      <c r="FB250" s="14"/>
      <c r="FC250" s="10"/>
      <c r="FD250" s="11"/>
      <c r="FE250" s="69">
        <f t="shared" si="2324"/>
        <v>848</v>
      </c>
      <c r="FF250" s="69">
        <f t="shared" si="2325"/>
        <v>67</v>
      </c>
      <c r="FG250" s="11">
        <v>432</v>
      </c>
      <c r="FH250" s="12">
        <f t="shared" si="2274"/>
        <v>0.52122641509433965</v>
      </c>
      <c r="FI250" s="11">
        <v>10</v>
      </c>
      <c r="FJ250" s="12">
        <f t="shared" si="2275"/>
        <v>2.2624434389140271E-2</v>
      </c>
      <c r="FK250" s="13"/>
      <c r="FL250" s="11"/>
      <c r="FM250" s="11"/>
      <c r="FN250" s="14"/>
      <c r="FO250" s="10">
        <v>1</v>
      </c>
      <c r="FP250" s="11"/>
      <c r="FQ250" s="69">
        <f t="shared" si="2326"/>
        <v>867</v>
      </c>
      <c r="FR250" s="69">
        <f t="shared" si="2327"/>
        <v>70</v>
      </c>
      <c r="FS250" s="11">
        <v>448</v>
      </c>
      <c r="FT250" s="12">
        <f t="shared" si="2276"/>
        <v>0.53863898500576701</v>
      </c>
      <c r="FU250" s="11">
        <v>19</v>
      </c>
      <c r="FV250" s="12">
        <f t="shared" si="2277"/>
        <v>4.068522483940043E-2</v>
      </c>
      <c r="FW250" s="13"/>
      <c r="FX250" s="11"/>
      <c r="FY250" s="11"/>
      <c r="FZ250" s="14"/>
      <c r="GA250" s="10">
        <v>1</v>
      </c>
      <c r="GB250" s="11"/>
      <c r="GC250" s="69">
        <f t="shared" si="2328"/>
        <v>872</v>
      </c>
      <c r="GD250" s="69">
        <f t="shared" si="2329"/>
        <v>71</v>
      </c>
      <c r="GE250" s="11">
        <v>487</v>
      </c>
      <c r="GF250" s="12">
        <f t="shared" si="2278"/>
        <v>0.58027522935779818</v>
      </c>
      <c r="GG250" s="11">
        <v>19</v>
      </c>
      <c r="GH250" s="12">
        <f t="shared" si="2279"/>
        <v>3.7549407114624504E-2</v>
      </c>
      <c r="GI250" s="13"/>
      <c r="GJ250" s="11"/>
      <c r="GK250" s="11"/>
      <c r="GL250" s="14"/>
      <c r="GM250" s="10"/>
      <c r="GN250" s="11"/>
      <c r="GO250" s="69">
        <f t="shared" si="2330"/>
        <v>145</v>
      </c>
      <c r="GP250" s="69">
        <f t="shared" si="2331"/>
        <v>12</v>
      </c>
      <c r="GQ250" s="11">
        <v>68</v>
      </c>
      <c r="GR250" s="12">
        <f t="shared" si="2280"/>
        <v>0.50344827586206897</v>
      </c>
      <c r="GS250" s="11">
        <v>5</v>
      </c>
      <c r="GT250" s="12">
        <f t="shared" si="2281"/>
        <v>6.8493150684931503E-2</v>
      </c>
      <c r="GU250" s="13"/>
      <c r="GV250" s="11"/>
      <c r="GW250" s="11"/>
      <c r="GX250" s="14"/>
      <c r="GY250" s="10"/>
      <c r="GZ250" s="11"/>
      <c r="HA250" s="69">
        <f t="shared" si="2332"/>
        <v>899</v>
      </c>
      <c r="HB250" s="69">
        <f t="shared" si="2333"/>
        <v>73</v>
      </c>
      <c r="HC250" s="11">
        <v>496</v>
      </c>
      <c r="HD250" s="12">
        <f t="shared" si="2282"/>
        <v>0.56618464961067849</v>
      </c>
      <c r="HE250" s="11">
        <v>13</v>
      </c>
      <c r="HF250" s="12">
        <f t="shared" si="2283"/>
        <v>2.5540275049115914E-2</v>
      </c>
      <c r="HG250" s="13"/>
      <c r="HH250" s="11"/>
      <c r="HI250" s="11"/>
      <c r="HJ250" s="14"/>
      <c r="HK250" s="10">
        <f t="shared" si="2284"/>
        <v>4</v>
      </c>
      <c r="HL250" s="11">
        <f t="shared" si="2285"/>
        <v>0</v>
      </c>
      <c r="HM250" s="11">
        <f t="shared" si="2286"/>
        <v>11817</v>
      </c>
      <c r="HN250" s="11">
        <f t="shared" si="2287"/>
        <v>952</v>
      </c>
      <c r="HO250" s="11">
        <f t="shared" si="2288"/>
        <v>6389</v>
      </c>
      <c r="HP250" s="95">
        <f t="shared" si="2289"/>
        <v>0.5406617584835407</v>
      </c>
      <c r="HQ250" s="15">
        <f t="shared" si="2290"/>
        <v>209</v>
      </c>
      <c r="HR250" s="12">
        <f t="shared" si="2291"/>
        <v>3.2712474565659726E-2</v>
      </c>
      <c r="HS250" s="16">
        <v>66</v>
      </c>
      <c r="HT250" s="17">
        <v>6057</v>
      </c>
      <c r="HU250" s="16">
        <f t="shared" si="2292"/>
        <v>94.803568633588981</v>
      </c>
      <c r="HV250" s="15"/>
      <c r="HW250" s="14"/>
      <c r="HX250" s="73">
        <f t="shared" si="2293"/>
        <v>0.55116640746500778</v>
      </c>
      <c r="HY250" s="73">
        <f t="shared" si="2294"/>
        <v>0.52435530085959881</v>
      </c>
      <c r="HZ250" s="73">
        <f t="shared" si="2295"/>
        <v>0.52837938760268854</v>
      </c>
      <c r="IA250" s="73">
        <f t="shared" si="2296"/>
        <v>0.55874955084441247</v>
      </c>
    </row>
    <row r="251" spans="1:244" x14ac:dyDescent="0.25">
      <c r="A251" s="374"/>
      <c r="B251" s="41">
        <f t="shared" si="2297"/>
        <v>45133</v>
      </c>
      <c r="C251" s="10"/>
      <c r="D251" s="11"/>
      <c r="E251" s="69">
        <f t="shared" si="2298"/>
        <v>813</v>
      </c>
      <c r="F251" s="69">
        <f t="shared" si="2299"/>
        <v>66</v>
      </c>
      <c r="G251" s="11">
        <v>429</v>
      </c>
      <c r="H251" s="12">
        <f t="shared" si="2248"/>
        <v>0.54858548585485856</v>
      </c>
      <c r="I251" s="11">
        <v>17</v>
      </c>
      <c r="J251" s="12">
        <f t="shared" si="2249"/>
        <v>3.811659192825112E-2</v>
      </c>
      <c r="K251" s="11"/>
      <c r="L251" s="11"/>
      <c r="M251" s="18"/>
      <c r="N251" s="20"/>
      <c r="O251" s="10"/>
      <c r="P251" s="11"/>
      <c r="Q251" s="69">
        <f t="shared" si="2300"/>
        <v>746</v>
      </c>
      <c r="R251" s="69">
        <f t="shared" si="2301"/>
        <v>60</v>
      </c>
      <c r="S251" s="11">
        <v>379</v>
      </c>
      <c r="T251" s="12">
        <f t="shared" si="2250"/>
        <v>0.53083109919571048</v>
      </c>
      <c r="U251" s="11">
        <v>17</v>
      </c>
      <c r="V251" s="12">
        <f t="shared" si="2251"/>
        <v>4.2929292929292928E-2</v>
      </c>
      <c r="W251" s="11"/>
      <c r="X251" s="11"/>
      <c r="Y251" s="18"/>
      <c r="Z251" s="20"/>
      <c r="AA251" s="10"/>
      <c r="AB251" s="11"/>
      <c r="AC251" s="69">
        <f t="shared" si="2302"/>
        <v>157</v>
      </c>
      <c r="AD251" s="69">
        <f t="shared" si="2303"/>
        <v>13</v>
      </c>
      <c r="AE251" s="11">
        <v>80</v>
      </c>
      <c r="AF251" s="12">
        <f t="shared" si="2252"/>
        <v>0.51592356687898089</v>
      </c>
      <c r="AG251" s="11">
        <v>1</v>
      </c>
      <c r="AH251" s="12">
        <f t="shared" si="2253"/>
        <v>1.2345679012345678E-2</v>
      </c>
      <c r="AI251" s="11"/>
      <c r="AJ251" s="11"/>
      <c r="AK251" s="18"/>
      <c r="AL251" s="20"/>
      <c r="AM251" s="10"/>
      <c r="AN251" s="11"/>
      <c r="AO251" s="69">
        <f t="shared" si="2304"/>
        <v>753</v>
      </c>
      <c r="AP251" s="69">
        <f t="shared" si="2305"/>
        <v>61</v>
      </c>
      <c r="AQ251" s="11">
        <v>399</v>
      </c>
      <c r="AR251" s="12">
        <f t="shared" si="2254"/>
        <v>0.54050464807436915</v>
      </c>
      <c r="AS251" s="11">
        <v>8</v>
      </c>
      <c r="AT251" s="12">
        <f t="shared" si="2255"/>
        <v>1.9656019656019656E-2</v>
      </c>
      <c r="AU251" s="11"/>
      <c r="AV251" s="11"/>
      <c r="AW251" s="18"/>
      <c r="AX251" s="20"/>
      <c r="AY251" s="10"/>
      <c r="AZ251" s="11"/>
      <c r="BA251" s="69">
        <f t="shared" si="2306"/>
        <v>746</v>
      </c>
      <c r="BB251" s="69">
        <f t="shared" si="2307"/>
        <v>60</v>
      </c>
      <c r="BC251" s="11">
        <v>385</v>
      </c>
      <c r="BD251" s="12">
        <f t="shared" si="2256"/>
        <v>0.52680965147453085</v>
      </c>
      <c r="BE251" s="11">
        <v>8</v>
      </c>
      <c r="BF251" s="12">
        <f t="shared" si="2257"/>
        <v>2.0356234096692113E-2</v>
      </c>
      <c r="BG251" s="11"/>
      <c r="BH251" s="11"/>
      <c r="BI251" s="18"/>
      <c r="BJ251" s="20"/>
      <c r="BK251" s="10"/>
      <c r="BL251" s="11"/>
      <c r="BM251" s="69">
        <f t="shared" si="2308"/>
        <v>804</v>
      </c>
      <c r="BN251" s="69">
        <f t="shared" si="2309"/>
        <v>63</v>
      </c>
      <c r="BO251" s="11">
        <v>429</v>
      </c>
      <c r="BP251" s="12">
        <f t="shared" si="2258"/>
        <v>0.54850746268656714</v>
      </c>
      <c r="BQ251" s="11">
        <v>12</v>
      </c>
      <c r="BR251" s="12">
        <f t="shared" si="2259"/>
        <v>2.7210884353741496E-2</v>
      </c>
      <c r="BS251" s="11"/>
      <c r="BT251" s="11"/>
      <c r="BU251" s="18"/>
      <c r="BV251" s="20"/>
      <c r="BW251" s="10"/>
      <c r="BX251" s="11"/>
      <c r="BY251" s="69">
        <f t="shared" si="2310"/>
        <v>740</v>
      </c>
      <c r="BZ251" s="69">
        <f t="shared" si="2311"/>
        <v>59</v>
      </c>
      <c r="CA251" s="11">
        <v>379</v>
      </c>
      <c r="CB251" s="12">
        <f t="shared" si="2260"/>
        <v>0.5243243243243243</v>
      </c>
      <c r="CC251" s="11">
        <v>9</v>
      </c>
      <c r="CD251" s="12">
        <f t="shared" si="2261"/>
        <v>2.3195876288659795E-2</v>
      </c>
      <c r="CE251" s="11"/>
      <c r="CF251" s="11"/>
      <c r="CG251" s="18"/>
      <c r="CH251" s="20"/>
      <c r="CI251" s="10"/>
      <c r="CJ251" s="11"/>
      <c r="CK251" s="69">
        <f t="shared" si="2312"/>
        <v>133</v>
      </c>
      <c r="CL251" s="69">
        <f t="shared" si="2313"/>
        <v>12</v>
      </c>
      <c r="CM251" s="11">
        <v>62</v>
      </c>
      <c r="CN251" s="12">
        <f t="shared" si="2262"/>
        <v>0.48120300751879697</v>
      </c>
      <c r="CO251" s="11">
        <v>2</v>
      </c>
      <c r="CP251" s="12">
        <f t="shared" si="2263"/>
        <v>3.125E-2</v>
      </c>
      <c r="CQ251" s="11"/>
      <c r="CR251" s="11"/>
      <c r="CS251" s="18"/>
      <c r="CT251" s="20"/>
      <c r="CU251" s="10"/>
      <c r="CV251" s="11"/>
      <c r="CW251" s="69">
        <f t="shared" si="2314"/>
        <v>734</v>
      </c>
      <c r="CX251" s="69">
        <f t="shared" si="2315"/>
        <v>59</v>
      </c>
      <c r="CY251" s="11">
        <v>364</v>
      </c>
      <c r="CZ251" s="12">
        <f t="shared" si="2264"/>
        <v>0.50681198910081748</v>
      </c>
      <c r="DA251" s="11">
        <v>8</v>
      </c>
      <c r="DB251" s="12">
        <f t="shared" si="2265"/>
        <v>2.1505376344086023E-2</v>
      </c>
      <c r="DC251" s="11"/>
      <c r="DD251" s="11"/>
      <c r="DE251" s="18"/>
      <c r="DF251" s="20"/>
      <c r="DG251" s="10">
        <v>1</v>
      </c>
      <c r="DH251" s="11"/>
      <c r="DI251" s="69">
        <f t="shared" si="2316"/>
        <v>729</v>
      </c>
      <c r="DJ251" s="69">
        <f t="shared" si="2317"/>
        <v>59</v>
      </c>
      <c r="DK251" s="11">
        <v>401</v>
      </c>
      <c r="DL251" s="12">
        <f t="shared" si="2266"/>
        <v>0.56104252400548693</v>
      </c>
      <c r="DM251" s="11">
        <v>8</v>
      </c>
      <c r="DN251" s="12">
        <f t="shared" si="2267"/>
        <v>1.9559902200488997E-2</v>
      </c>
      <c r="DO251" s="11"/>
      <c r="DP251" s="11"/>
      <c r="DQ251" s="18"/>
      <c r="DR251" s="20"/>
      <c r="DS251" s="10">
        <v>1</v>
      </c>
      <c r="DT251" s="11"/>
      <c r="DU251" s="69">
        <f t="shared" si="2318"/>
        <v>819</v>
      </c>
      <c r="DV251" s="69">
        <f t="shared" si="2319"/>
        <v>66</v>
      </c>
      <c r="DW251" s="11">
        <v>378</v>
      </c>
      <c r="DX251" s="12">
        <f t="shared" si="2268"/>
        <v>0.4822954822954823</v>
      </c>
      <c r="DY251" s="11">
        <v>17</v>
      </c>
      <c r="DZ251" s="12">
        <f t="shared" si="2269"/>
        <v>4.3037974683544304E-2</v>
      </c>
      <c r="EA251" s="11"/>
      <c r="EB251" s="11"/>
      <c r="EC251" s="18"/>
      <c r="ED251" s="20"/>
      <c r="EE251" s="10"/>
      <c r="EF251" s="11"/>
      <c r="EG251" s="69">
        <f t="shared" si="2320"/>
        <v>843</v>
      </c>
      <c r="EH251" s="69">
        <f t="shared" si="2321"/>
        <v>67</v>
      </c>
      <c r="EI251" s="11">
        <v>405</v>
      </c>
      <c r="EJ251" s="12">
        <f t="shared" si="2270"/>
        <v>0.49822064056939502</v>
      </c>
      <c r="EK251" s="11">
        <v>15</v>
      </c>
      <c r="EL251" s="12">
        <f t="shared" si="2271"/>
        <v>3.5714285714285712E-2</v>
      </c>
      <c r="EM251" s="11"/>
      <c r="EN251" s="11"/>
      <c r="EO251" s="18"/>
      <c r="EP251" s="20"/>
      <c r="EQ251" s="10"/>
      <c r="ER251" s="11"/>
      <c r="ES251" s="69">
        <f t="shared" si="2322"/>
        <v>167</v>
      </c>
      <c r="ET251" s="69">
        <f t="shared" si="2323"/>
        <v>14</v>
      </c>
      <c r="EU251" s="11">
        <v>77</v>
      </c>
      <c r="EV251" s="12">
        <f t="shared" si="2272"/>
        <v>0.48502994011976047</v>
      </c>
      <c r="EW251" s="11">
        <v>4</v>
      </c>
      <c r="EX251" s="12">
        <f t="shared" si="2273"/>
        <v>4.9382716049382713E-2</v>
      </c>
      <c r="EY251" s="11"/>
      <c r="EZ251" s="11"/>
      <c r="FA251" s="18"/>
      <c r="FB251" s="20"/>
      <c r="FC251" s="10"/>
      <c r="FD251" s="11"/>
      <c r="FE251" s="69">
        <f t="shared" si="2324"/>
        <v>848</v>
      </c>
      <c r="FF251" s="69">
        <f t="shared" si="2325"/>
        <v>67</v>
      </c>
      <c r="FG251" s="11">
        <v>414</v>
      </c>
      <c r="FH251" s="12">
        <f t="shared" si="2274"/>
        <v>0.50589622641509435</v>
      </c>
      <c r="FI251" s="11">
        <v>15</v>
      </c>
      <c r="FJ251" s="12">
        <f t="shared" si="2275"/>
        <v>3.4965034965034968E-2</v>
      </c>
      <c r="FK251" s="11"/>
      <c r="FL251" s="11"/>
      <c r="FM251" s="18"/>
      <c r="FN251" s="20"/>
      <c r="FO251" s="10"/>
      <c r="FP251" s="11"/>
      <c r="FQ251" s="69">
        <f t="shared" si="2326"/>
        <v>867</v>
      </c>
      <c r="FR251" s="69">
        <f t="shared" si="2327"/>
        <v>70</v>
      </c>
      <c r="FS251" s="11">
        <v>418</v>
      </c>
      <c r="FT251" s="12">
        <f t="shared" si="2276"/>
        <v>0.50865051903114189</v>
      </c>
      <c r="FU251" s="11">
        <v>23</v>
      </c>
      <c r="FV251" s="12">
        <f t="shared" si="2277"/>
        <v>5.2154195011337869E-2</v>
      </c>
      <c r="FW251" s="11"/>
      <c r="FX251" s="11"/>
      <c r="FY251" s="18"/>
      <c r="FZ251" s="20"/>
      <c r="GA251" s="10"/>
      <c r="GB251" s="11"/>
      <c r="GC251" s="69">
        <f t="shared" si="2328"/>
        <v>872</v>
      </c>
      <c r="GD251" s="69">
        <f t="shared" si="2329"/>
        <v>71</v>
      </c>
      <c r="GE251" s="11">
        <v>429</v>
      </c>
      <c r="GF251" s="12">
        <f t="shared" si="2278"/>
        <v>0.51146788990825687</v>
      </c>
      <c r="GG251" s="11">
        <v>17</v>
      </c>
      <c r="GH251" s="12">
        <f t="shared" si="2279"/>
        <v>3.811659192825112E-2</v>
      </c>
      <c r="GI251" s="11"/>
      <c r="GJ251" s="11"/>
      <c r="GK251" s="18"/>
      <c r="GL251" s="20"/>
      <c r="GM251" s="10"/>
      <c r="GN251" s="11"/>
      <c r="GO251" s="69">
        <f t="shared" si="2330"/>
        <v>145</v>
      </c>
      <c r="GP251" s="69">
        <f t="shared" si="2331"/>
        <v>12</v>
      </c>
      <c r="GQ251" s="11">
        <v>53</v>
      </c>
      <c r="GR251" s="12">
        <f t="shared" si="2280"/>
        <v>0.37931034482758619</v>
      </c>
      <c r="GS251" s="11">
        <v>2</v>
      </c>
      <c r="GT251" s="12">
        <f t="shared" si="2281"/>
        <v>3.6363636363636362E-2</v>
      </c>
      <c r="GU251" s="11"/>
      <c r="GV251" s="11"/>
      <c r="GW251" s="18"/>
      <c r="GX251" s="20"/>
      <c r="GY251" s="10"/>
      <c r="GZ251" s="11"/>
      <c r="HA251" s="69">
        <f t="shared" si="2332"/>
        <v>899</v>
      </c>
      <c r="HB251" s="69">
        <f t="shared" si="2333"/>
        <v>73</v>
      </c>
      <c r="HC251" s="11">
        <v>442</v>
      </c>
      <c r="HD251" s="12">
        <f t="shared" si="2282"/>
        <v>0.51167964404894328</v>
      </c>
      <c r="HE251" s="11">
        <v>18</v>
      </c>
      <c r="HF251" s="12">
        <f t="shared" si="2283"/>
        <v>3.9130434782608699E-2</v>
      </c>
      <c r="HG251" s="11"/>
      <c r="HH251" s="11"/>
      <c r="HI251" s="18"/>
      <c r="HJ251" s="20"/>
      <c r="HK251" s="10">
        <f t="shared" si="2284"/>
        <v>2</v>
      </c>
      <c r="HL251" s="11">
        <f t="shared" si="2285"/>
        <v>0</v>
      </c>
      <c r="HM251" s="11">
        <f t="shared" si="2286"/>
        <v>11815</v>
      </c>
      <c r="HN251" s="11">
        <f t="shared" si="2287"/>
        <v>952</v>
      </c>
      <c r="HO251" s="11">
        <f t="shared" si="2288"/>
        <v>6124</v>
      </c>
      <c r="HP251" s="95">
        <f t="shared" si="2289"/>
        <v>0.51832416419805327</v>
      </c>
      <c r="HQ251" s="15">
        <f t="shared" si="2290"/>
        <v>201</v>
      </c>
      <c r="HR251" s="12">
        <f t="shared" si="2291"/>
        <v>3.2821685173089483E-2</v>
      </c>
      <c r="HS251" s="16">
        <v>65.7</v>
      </c>
      <c r="HT251" s="17">
        <v>5757</v>
      </c>
      <c r="HU251" s="16">
        <f t="shared" si="2292"/>
        <v>94.007184846505552</v>
      </c>
      <c r="HV251" s="18"/>
      <c r="HW251" s="20"/>
      <c r="HX251" s="73">
        <f t="shared" si="2293"/>
        <v>0.5359253499222395</v>
      </c>
      <c r="HY251" s="73">
        <f t="shared" si="2294"/>
        <v>0.53312101910828025</v>
      </c>
      <c r="HZ251" s="73">
        <f t="shared" si="2295"/>
        <v>0.49495704146432573</v>
      </c>
      <c r="IA251" s="73">
        <f t="shared" si="2296"/>
        <v>0.50377290693496224</v>
      </c>
    </row>
    <row r="252" spans="1:244" x14ac:dyDescent="0.25">
      <c r="A252" s="374"/>
      <c r="B252" s="41">
        <f>+B251+1</f>
        <v>45134</v>
      </c>
      <c r="C252" s="10"/>
      <c r="D252" s="11"/>
      <c r="E252" s="69">
        <f t="shared" si="2298"/>
        <v>813</v>
      </c>
      <c r="F252" s="69">
        <f t="shared" si="2299"/>
        <v>66</v>
      </c>
      <c r="G252" s="11">
        <v>421</v>
      </c>
      <c r="H252" s="12">
        <f t="shared" si="2248"/>
        <v>0.5264452644526445</v>
      </c>
      <c r="I252" s="11">
        <v>7</v>
      </c>
      <c r="J252" s="12">
        <f t="shared" si="2249"/>
        <v>1.6355140186915886E-2</v>
      </c>
      <c r="K252" s="13"/>
      <c r="L252" s="13"/>
      <c r="M252" s="25">
        <v>4248</v>
      </c>
      <c r="N252" s="38">
        <v>4490</v>
      </c>
      <c r="O252" s="10"/>
      <c r="P252" s="11"/>
      <c r="Q252" s="69">
        <f t="shared" si="2300"/>
        <v>746</v>
      </c>
      <c r="R252" s="69">
        <f t="shared" si="2301"/>
        <v>60</v>
      </c>
      <c r="S252" s="11">
        <v>427</v>
      </c>
      <c r="T252" s="12">
        <f t="shared" si="2250"/>
        <v>0.5951742627345844</v>
      </c>
      <c r="U252" s="11">
        <v>17</v>
      </c>
      <c r="V252" s="12">
        <f t="shared" si="2251"/>
        <v>3.8288288288288286E-2</v>
      </c>
      <c r="W252" s="13"/>
      <c r="X252" s="13"/>
      <c r="Y252" s="25">
        <v>4248</v>
      </c>
      <c r="Z252" s="38">
        <v>4490</v>
      </c>
      <c r="AA252" s="10"/>
      <c r="AB252" s="11"/>
      <c r="AC252" s="69">
        <f t="shared" si="2302"/>
        <v>157</v>
      </c>
      <c r="AD252" s="69">
        <f t="shared" si="2303"/>
        <v>13</v>
      </c>
      <c r="AE252" s="11">
        <v>82</v>
      </c>
      <c r="AF252" s="12">
        <f t="shared" si="2252"/>
        <v>0.54140127388535031</v>
      </c>
      <c r="AG252" s="11">
        <v>3</v>
      </c>
      <c r="AH252" s="12">
        <f t="shared" si="2253"/>
        <v>3.5294117647058823E-2</v>
      </c>
      <c r="AI252" s="13"/>
      <c r="AJ252" s="13"/>
      <c r="AK252" s="25">
        <v>4248</v>
      </c>
      <c r="AL252" s="38">
        <v>4490</v>
      </c>
      <c r="AM252" s="10"/>
      <c r="AN252" s="11"/>
      <c r="AO252" s="69">
        <f t="shared" si="2304"/>
        <v>753</v>
      </c>
      <c r="AP252" s="69">
        <f t="shared" si="2305"/>
        <v>61</v>
      </c>
      <c r="AQ252" s="11">
        <v>410</v>
      </c>
      <c r="AR252" s="12">
        <f t="shared" si="2254"/>
        <v>0.5524568393094289</v>
      </c>
      <c r="AS252" s="11">
        <v>6</v>
      </c>
      <c r="AT252" s="12">
        <f t="shared" si="2255"/>
        <v>1.4423076923076924E-2</v>
      </c>
      <c r="AU252" s="13"/>
      <c r="AV252" s="13"/>
      <c r="AW252" s="25">
        <v>4248</v>
      </c>
      <c r="AX252" s="38">
        <v>4490</v>
      </c>
      <c r="AY252" s="10"/>
      <c r="AZ252" s="11"/>
      <c r="BA252" s="69">
        <f t="shared" si="2306"/>
        <v>746</v>
      </c>
      <c r="BB252" s="69">
        <f t="shared" si="2307"/>
        <v>60</v>
      </c>
      <c r="BC252" s="11">
        <v>447</v>
      </c>
      <c r="BD252" s="12">
        <f t="shared" si="2256"/>
        <v>0.61528150134048254</v>
      </c>
      <c r="BE252" s="11">
        <v>12</v>
      </c>
      <c r="BF252" s="12">
        <f t="shared" si="2257"/>
        <v>2.6143790849673203E-2</v>
      </c>
      <c r="BG252" s="13"/>
      <c r="BH252" s="13"/>
      <c r="BI252" s="25">
        <v>4248</v>
      </c>
      <c r="BJ252" s="38">
        <v>4490</v>
      </c>
      <c r="BK252" s="10"/>
      <c r="BL252" s="11"/>
      <c r="BM252" s="69">
        <f t="shared" si="2308"/>
        <v>804</v>
      </c>
      <c r="BN252" s="69">
        <f t="shared" si="2309"/>
        <v>63</v>
      </c>
      <c r="BO252" s="11">
        <v>442</v>
      </c>
      <c r="BP252" s="12">
        <f t="shared" si="2258"/>
        <v>0.56094527363184077</v>
      </c>
      <c r="BQ252" s="11">
        <v>9</v>
      </c>
      <c r="BR252" s="12">
        <f t="shared" si="2259"/>
        <v>1.9955654101995565E-2</v>
      </c>
      <c r="BS252" s="13"/>
      <c r="BT252" s="13"/>
      <c r="BU252" s="25">
        <v>4248</v>
      </c>
      <c r="BV252" s="38">
        <v>4490</v>
      </c>
      <c r="BW252" s="10"/>
      <c r="BX252" s="11"/>
      <c r="BY252" s="69">
        <f t="shared" si="2310"/>
        <v>740</v>
      </c>
      <c r="BZ252" s="69">
        <f t="shared" si="2311"/>
        <v>59</v>
      </c>
      <c r="CA252" s="11">
        <v>388</v>
      </c>
      <c r="CB252" s="12">
        <f t="shared" si="2260"/>
        <v>0.53783783783783778</v>
      </c>
      <c r="CC252" s="11">
        <v>10</v>
      </c>
      <c r="CD252" s="12">
        <f t="shared" si="2261"/>
        <v>2.5125628140703519E-2</v>
      </c>
      <c r="CE252" s="13"/>
      <c r="CF252" s="13"/>
      <c r="CG252" s="25">
        <v>4248</v>
      </c>
      <c r="CH252" s="38">
        <v>4490</v>
      </c>
      <c r="CI252" s="10">
        <v>1</v>
      </c>
      <c r="CJ252" s="11"/>
      <c r="CK252" s="69">
        <f t="shared" si="2312"/>
        <v>132</v>
      </c>
      <c r="CL252" s="69">
        <f t="shared" si="2313"/>
        <v>12</v>
      </c>
      <c r="CM252" s="11">
        <v>44</v>
      </c>
      <c r="CN252" s="12">
        <f t="shared" si="2262"/>
        <v>0.35606060606060608</v>
      </c>
      <c r="CO252" s="11">
        <v>3</v>
      </c>
      <c r="CP252" s="12">
        <f t="shared" si="2263"/>
        <v>6.3829787234042548E-2</v>
      </c>
      <c r="CQ252" s="13"/>
      <c r="CR252" s="13"/>
      <c r="CS252" s="25">
        <v>4248</v>
      </c>
      <c r="CT252" s="38">
        <v>4490</v>
      </c>
      <c r="CU252" s="10"/>
      <c r="CV252" s="11"/>
      <c r="CW252" s="69">
        <f t="shared" si="2314"/>
        <v>734</v>
      </c>
      <c r="CX252" s="69">
        <f t="shared" si="2315"/>
        <v>59</v>
      </c>
      <c r="CY252" s="11">
        <v>378</v>
      </c>
      <c r="CZ252" s="12">
        <f t="shared" si="2264"/>
        <v>0.52861035422343328</v>
      </c>
      <c r="DA252" s="11">
        <v>10</v>
      </c>
      <c r="DB252" s="12">
        <f t="shared" si="2265"/>
        <v>2.5773195876288658E-2</v>
      </c>
      <c r="DC252" s="13"/>
      <c r="DD252" s="13"/>
      <c r="DE252" s="25">
        <v>4248</v>
      </c>
      <c r="DF252" s="38">
        <v>4490</v>
      </c>
      <c r="DG252" s="10"/>
      <c r="DH252" s="11"/>
      <c r="DI252" s="69">
        <f t="shared" si="2316"/>
        <v>729</v>
      </c>
      <c r="DJ252" s="69">
        <f t="shared" si="2317"/>
        <v>59</v>
      </c>
      <c r="DK252" s="11">
        <v>420</v>
      </c>
      <c r="DL252" s="12">
        <f t="shared" si="2266"/>
        <v>0.58984910836762694</v>
      </c>
      <c r="DM252" s="11">
        <v>10</v>
      </c>
      <c r="DN252" s="12">
        <f t="shared" si="2267"/>
        <v>2.3255813953488372E-2</v>
      </c>
      <c r="DO252" s="13"/>
      <c r="DP252" s="13"/>
      <c r="DQ252" s="25">
        <v>4248</v>
      </c>
      <c r="DR252" s="38">
        <v>4490</v>
      </c>
      <c r="DS252" s="10"/>
      <c r="DT252" s="11"/>
      <c r="DU252" s="69">
        <f t="shared" si="2318"/>
        <v>819</v>
      </c>
      <c r="DV252" s="69">
        <f t="shared" si="2319"/>
        <v>66</v>
      </c>
      <c r="DW252" s="11">
        <v>452</v>
      </c>
      <c r="DX252" s="12">
        <f t="shared" si="2268"/>
        <v>0.56898656898656896</v>
      </c>
      <c r="DY252" s="11">
        <v>14</v>
      </c>
      <c r="DZ252" s="12">
        <f t="shared" si="2269"/>
        <v>3.0042918454935622E-2</v>
      </c>
      <c r="EA252" s="13"/>
      <c r="EB252" s="13"/>
      <c r="EC252" s="25">
        <v>4248</v>
      </c>
      <c r="ED252" s="38">
        <v>4490</v>
      </c>
      <c r="EE252" s="10"/>
      <c r="EF252" s="11"/>
      <c r="EG252" s="69">
        <f t="shared" si="2320"/>
        <v>843</v>
      </c>
      <c r="EH252" s="69">
        <f t="shared" si="2321"/>
        <v>67</v>
      </c>
      <c r="EI252" s="11">
        <v>456</v>
      </c>
      <c r="EJ252" s="12">
        <f t="shared" si="2270"/>
        <v>0.56939501779359436</v>
      </c>
      <c r="EK252" s="11">
        <v>24</v>
      </c>
      <c r="EL252" s="12">
        <f t="shared" si="2271"/>
        <v>0.05</v>
      </c>
      <c r="EM252" s="13"/>
      <c r="EN252" s="13"/>
      <c r="EO252" s="25">
        <v>4248</v>
      </c>
      <c r="EP252" s="38">
        <v>4490</v>
      </c>
      <c r="EQ252" s="10"/>
      <c r="ER252" s="11"/>
      <c r="ES252" s="69">
        <f t="shared" si="2322"/>
        <v>167</v>
      </c>
      <c r="ET252" s="69">
        <f t="shared" si="2323"/>
        <v>14</v>
      </c>
      <c r="EU252" s="11">
        <v>78</v>
      </c>
      <c r="EV252" s="12">
        <f t="shared" si="2272"/>
        <v>0.48502994011976047</v>
      </c>
      <c r="EW252" s="11">
        <v>3</v>
      </c>
      <c r="EX252" s="12">
        <f t="shared" si="2273"/>
        <v>3.7037037037037035E-2</v>
      </c>
      <c r="EY252" s="13"/>
      <c r="EZ252" s="13"/>
      <c r="FA252" s="25">
        <v>4248</v>
      </c>
      <c r="FB252" s="38">
        <v>4490</v>
      </c>
      <c r="FC252" s="10">
        <v>1</v>
      </c>
      <c r="FD252" s="11"/>
      <c r="FE252" s="69">
        <f t="shared" si="2324"/>
        <v>847</v>
      </c>
      <c r="FF252" s="69">
        <f t="shared" si="2325"/>
        <v>67</v>
      </c>
      <c r="FG252" s="11">
        <v>459</v>
      </c>
      <c r="FH252" s="12">
        <f t="shared" si="2274"/>
        <v>0.56434474616292796</v>
      </c>
      <c r="FI252" s="11">
        <v>19</v>
      </c>
      <c r="FJ252" s="12">
        <f t="shared" si="2275"/>
        <v>3.9748953974895397E-2</v>
      </c>
      <c r="FK252" s="13"/>
      <c r="FL252" s="13"/>
      <c r="FM252" s="25">
        <v>4248</v>
      </c>
      <c r="FN252" s="38">
        <v>4490</v>
      </c>
      <c r="FO252" s="10"/>
      <c r="FP252" s="11"/>
      <c r="FQ252" s="69">
        <f t="shared" si="2326"/>
        <v>867</v>
      </c>
      <c r="FR252" s="69">
        <f t="shared" si="2327"/>
        <v>70</v>
      </c>
      <c r="FS252" s="11">
        <v>452</v>
      </c>
      <c r="FT252" s="12">
        <f t="shared" si="2276"/>
        <v>0.54440599769319498</v>
      </c>
      <c r="FU252" s="11">
        <v>20</v>
      </c>
      <c r="FV252" s="12">
        <f t="shared" si="2277"/>
        <v>4.2372881355932202E-2</v>
      </c>
      <c r="FW252" s="13"/>
      <c r="FX252" s="13"/>
      <c r="FY252" s="25">
        <v>4248</v>
      </c>
      <c r="FZ252" s="38">
        <v>4490</v>
      </c>
      <c r="GA252" s="10"/>
      <c r="GB252" s="11"/>
      <c r="GC252" s="69">
        <f t="shared" si="2328"/>
        <v>872</v>
      </c>
      <c r="GD252" s="69">
        <f t="shared" si="2329"/>
        <v>71</v>
      </c>
      <c r="GE252" s="11">
        <v>460</v>
      </c>
      <c r="GF252" s="12">
        <f t="shared" si="2278"/>
        <v>0.54128440366972475</v>
      </c>
      <c r="GG252" s="11">
        <v>12</v>
      </c>
      <c r="GH252" s="12">
        <f t="shared" si="2279"/>
        <v>2.5423728813559324E-2</v>
      </c>
      <c r="GI252" s="13"/>
      <c r="GJ252" s="13"/>
      <c r="GK252" s="25">
        <v>4248</v>
      </c>
      <c r="GL252" s="38">
        <v>4490</v>
      </c>
      <c r="GM252" s="10"/>
      <c r="GN252" s="11"/>
      <c r="GO252" s="69">
        <f t="shared" si="2330"/>
        <v>145</v>
      </c>
      <c r="GP252" s="69">
        <f t="shared" si="2331"/>
        <v>12</v>
      </c>
      <c r="GQ252" s="11">
        <v>65</v>
      </c>
      <c r="GR252" s="12">
        <f t="shared" si="2280"/>
        <v>0.48275862068965519</v>
      </c>
      <c r="GS252" s="11">
        <v>5</v>
      </c>
      <c r="GT252" s="12">
        <f t="shared" si="2281"/>
        <v>7.1428571428571425E-2</v>
      </c>
      <c r="GU252" s="13"/>
      <c r="GV252" s="13"/>
      <c r="GW252" s="25">
        <v>4248</v>
      </c>
      <c r="GX252" s="38">
        <v>4490</v>
      </c>
      <c r="GY252" s="10"/>
      <c r="GZ252" s="11"/>
      <c r="HA252" s="69">
        <f t="shared" si="2332"/>
        <v>899</v>
      </c>
      <c r="HB252" s="69">
        <f t="shared" si="2333"/>
        <v>73</v>
      </c>
      <c r="HC252" s="11">
        <v>484</v>
      </c>
      <c r="HD252" s="12">
        <f t="shared" si="2282"/>
        <v>0.56173526140155727</v>
      </c>
      <c r="HE252" s="11">
        <v>21</v>
      </c>
      <c r="HF252" s="12">
        <f t="shared" si="2283"/>
        <v>4.1584158415841586E-2</v>
      </c>
      <c r="HG252" s="13"/>
      <c r="HH252" s="13"/>
      <c r="HI252" s="25">
        <v>4248</v>
      </c>
      <c r="HJ252" s="38">
        <v>4490</v>
      </c>
      <c r="HK252" s="10">
        <f t="shared" si="2284"/>
        <v>2</v>
      </c>
      <c r="HL252" s="11">
        <f t="shared" si="2285"/>
        <v>0</v>
      </c>
      <c r="HM252" s="11">
        <f t="shared" si="2286"/>
        <v>11813</v>
      </c>
      <c r="HN252" s="11">
        <f t="shared" si="2287"/>
        <v>952</v>
      </c>
      <c r="HO252" s="11">
        <f t="shared" si="2288"/>
        <v>6570</v>
      </c>
      <c r="HP252" s="95">
        <f t="shared" si="2289"/>
        <v>0.55616693473292134</v>
      </c>
      <c r="HQ252" s="15">
        <f t="shared" si="2290"/>
        <v>205</v>
      </c>
      <c r="HR252" s="12">
        <f t="shared" si="2291"/>
        <v>3.1202435312024351E-2</v>
      </c>
      <c r="HS252" s="16">
        <v>65.7</v>
      </c>
      <c r="HT252" s="17">
        <v>6232</v>
      </c>
      <c r="HU252" s="16">
        <f t="shared" si="2292"/>
        <v>94.855403348554034</v>
      </c>
      <c r="HV252" s="23">
        <v>4248</v>
      </c>
      <c r="HW252" s="22">
        <v>4490</v>
      </c>
      <c r="HX252" s="73">
        <f t="shared" si="2293"/>
        <v>0.5698289269051322</v>
      </c>
      <c r="HY252" s="73">
        <f t="shared" si="2294"/>
        <v>0.54603376871615161</v>
      </c>
      <c r="HZ252" s="73">
        <f t="shared" si="2295"/>
        <v>0.56240657698056806</v>
      </c>
      <c r="IA252" s="73">
        <f t="shared" si="2296"/>
        <v>0.54581386992454184</v>
      </c>
    </row>
    <row r="253" spans="1:244" x14ac:dyDescent="0.25">
      <c r="A253" s="374"/>
      <c r="B253" s="41">
        <f t="shared" si="2297"/>
        <v>45135</v>
      </c>
      <c r="C253" s="10"/>
      <c r="D253" s="11"/>
      <c r="E253" s="69">
        <f t="shared" si="2298"/>
        <v>813</v>
      </c>
      <c r="F253" s="69">
        <f t="shared" si="2299"/>
        <v>66</v>
      </c>
      <c r="G253" s="11">
        <v>420</v>
      </c>
      <c r="H253" s="12">
        <f t="shared" si="2248"/>
        <v>0.53751537515375158</v>
      </c>
      <c r="I253" s="11">
        <v>17</v>
      </c>
      <c r="J253" s="12">
        <f t="shared" si="2249"/>
        <v>3.8901601830663615E-2</v>
      </c>
      <c r="K253" s="13"/>
      <c r="L253" s="11"/>
      <c r="M253" s="25">
        <v>4761.75</v>
      </c>
      <c r="N253" s="38">
        <v>4820.588235294118</v>
      </c>
      <c r="O253" s="10">
        <v>1</v>
      </c>
      <c r="P253" s="11"/>
      <c r="Q253" s="69">
        <f t="shared" si="2300"/>
        <v>745</v>
      </c>
      <c r="R253" s="69">
        <f t="shared" si="2301"/>
        <v>60</v>
      </c>
      <c r="S253" s="11">
        <v>351</v>
      </c>
      <c r="T253" s="12">
        <f t="shared" si="2250"/>
        <v>0.49261744966442955</v>
      </c>
      <c r="U253" s="11">
        <v>16</v>
      </c>
      <c r="V253" s="12">
        <f t="shared" si="2251"/>
        <v>4.3596730245231606E-2</v>
      </c>
      <c r="W253" s="13"/>
      <c r="X253" s="11"/>
      <c r="Y253" s="25">
        <v>4828.7804878048782</v>
      </c>
      <c r="Z253" s="38">
        <v>4785.625</v>
      </c>
      <c r="AA253" s="10"/>
      <c r="AB253" s="11"/>
      <c r="AC253" s="69">
        <f t="shared" si="2302"/>
        <v>157</v>
      </c>
      <c r="AD253" s="69">
        <f t="shared" si="2303"/>
        <v>13</v>
      </c>
      <c r="AE253" s="11">
        <v>73</v>
      </c>
      <c r="AF253" s="12">
        <f t="shared" si="2252"/>
        <v>0.56687898089171973</v>
      </c>
      <c r="AG253" s="11">
        <v>16</v>
      </c>
      <c r="AH253" s="12">
        <f t="shared" si="2253"/>
        <v>0.1797752808988764</v>
      </c>
      <c r="AI253" s="13"/>
      <c r="AJ253" s="11"/>
      <c r="AK253" s="25">
        <v>4173.333333333333</v>
      </c>
      <c r="AL253" s="38">
        <v>4424</v>
      </c>
      <c r="AM253" s="10"/>
      <c r="AN253" s="11"/>
      <c r="AO253" s="69">
        <f t="shared" si="2304"/>
        <v>753</v>
      </c>
      <c r="AP253" s="69">
        <f t="shared" si="2305"/>
        <v>61</v>
      </c>
      <c r="AQ253" s="11">
        <v>405</v>
      </c>
      <c r="AR253" s="12">
        <f t="shared" si="2254"/>
        <v>0.5431606905710491</v>
      </c>
      <c r="AS253" s="11">
        <v>4</v>
      </c>
      <c r="AT253" s="12">
        <f t="shared" si="2255"/>
        <v>9.7799511002444987E-3</v>
      </c>
      <c r="AU253" s="13"/>
      <c r="AV253" s="11"/>
      <c r="AW253" s="25">
        <v>4711.75</v>
      </c>
      <c r="AX253" s="38">
        <v>4927.6923076923076</v>
      </c>
      <c r="AY253" s="10"/>
      <c r="AZ253" s="11"/>
      <c r="BA253" s="69">
        <f t="shared" si="2306"/>
        <v>746</v>
      </c>
      <c r="BB253" s="69">
        <f t="shared" si="2307"/>
        <v>60</v>
      </c>
      <c r="BC253" s="11">
        <v>377</v>
      </c>
      <c r="BD253" s="12">
        <f t="shared" si="2256"/>
        <v>0.52412868632707776</v>
      </c>
      <c r="BE253" s="11">
        <v>14</v>
      </c>
      <c r="BF253" s="12">
        <f t="shared" si="2257"/>
        <v>3.5805626598465472E-2</v>
      </c>
      <c r="BG253" s="13"/>
      <c r="BH253" s="11"/>
      <c r="BI253" s="25">
        <v>4754.75</v>
      </c>
      <c r="BJ253" s="38">
        <v>5040</v>
      </c>
      <c r="BK253" s="10"/>
      <c r="BL253" s="11"/>
      <c r="BM253" s="69">
        <f t="shared" si="2308"/>
        <v>804</v>
      </c>
      <c r="BN253" s="69">
        <f t="shared" si="2309"/>
        <v>63</v>
      </c>
      <c r="BO253" s="11">
        <v>434</v>
      </c>
      <c r="BP253" s="12">
        <f t="shared" si="2258"/>
        <v>0.55223880597014929</v>
      </c>
      <c r="BQ253" s="11">
        <v>10</v>
      </c>
      <c r="BR253" s="12">
        <f t="shared" si="2259"/>
        <v>2.2522522522522521E-2</v>
      </c>
      <c r="BS253" s="13"/>
      <c r="BT253" s="11"/>
      <c r="BU253" s="25">
        <v>4770.7317073170734</v>
      </c>
      <c r="BV253" s="38">
        <v>4496.4285714285716</v>
      </c>
      <c r="BW253" s="10"/>
      <c r="BX253" s="11"/>
      <c r="BY253" s="69">
        <f t="shared" si="2310"/>
        <v>740</v>
      </c>
      <c r="BZ253" s="69">
        <f t="shared" si="2311"/>
        <v>59</v>
      </c>
      <c r="CA253" s="11">
        <v>347</v>
      </c>
      <c r="CB253" s="12">
        <f t="shared" si="2260"/>
        <v>0.47972972972972971</v>
      </c>
      <c r="CC253" s="11">
        <v>8</v>
      </c>
      <c r="CD253" s="12">
        <f t="shared" si="2261"/>
        <v>2.2535211267605635E-2</v>
      </c>
      <c r="CE253" s="13"/>
      <c r="CF253" s="11"/>
      <c r="CG253" s="25">
        <v>4703.1578947368425</v>
      </c>
      <c r="CH253" s="38">
        <v>4678</v>
      </c>
      <c r="CI253" s="10">
        <v>1</v>
      </c>
      <c r="CJ253" s="11"/>
      <c r="CK253" s="69">
        <f t="shared" si="2312"/>
        <v>131</v>
      </c>
      <c r="CL253" s="69">
        <f t="shared" si="2313"/>
        <v>12</v>
      </c>
      <c r="CM253" s="11">
        <v>64</v>
      </c>
      <c r="CN253" s="12">
        <f t="shared" si="2262"/>
        <v>0.50381679389312972</v>
      </c>
      <c r="CO253" s="11">
        <v>2</v>
      </c>
      <c r="CP253" s="12">
        <f t="shared" si="2263"/>
        <v>3.0303030303030304E-2</v>
      </c>
      <c r="CQ253" s="13"/>
      <c r="CR253" s="11"/>
      <c r="CS253" s="25">
        <v>4818.5714285714284</v>
      </c>
      <c r="CT253" s="38">
        <v>4566.666666666667</v>
      </c>
      <c r="CU253" s="10"/>
      <c r="CV253" s="11"/>
      <c r="CW253" s="69">
        <f t="shared" si="2314"/>
        <v>734</v>
      </c>
      <c r="CX253" s="69">
        <f t="shared" si="2315"/>
        <v>59</v>
      </c>
      <c r="CY253" s="11">
        <v>321</v>
      </c>
      <c r="CZ253" s="12">
        <f t="shared" si="2264"/>
        <v>0.44005449591280654</v>
      </c>
      <c r="DA253" s="11">
        <v>2</v>
      </c>
      <c r="DB253" s="12">
        <f t="shared" si="2265"/>
        <v>6.1919504643962852E-3</v>
      </c>
      <c r="DC253" s="13"/>
      <c r="DD253" s="11"/>
      <c r="DE253" s="25">
        <v>4719.8113207547167</v>
      </c>
      <c r="DF253" s="38">
        <v>4966.1538461538457</v>
      </c>
      <c r="DG253" s="10">
        <v>1</v>
      </c>
      <c r="DH253" s="11"/>
      <c r="DI253" s="69">
        <f t="shared" si="2316"/>
        <v>728</v>
      </c>
      <c r="DJ253" s="69">
        <f t="shared" si="2317"/>
        <v>59</v>
      </c>
      <c r="DK253" s="11">
        <v>387</v>
      </c>
      <c r="DL253" s="12">
        <f t="shared" si="2266"/>
        <v>0.5398351648351648</v>
      </c>
      <c r="DM253" s="11">
        <v>6</v>
      </c>
      <c r="DN253" s="12">
        <f t="shared" si="2267"/>
        <v>1.5267175572519083E-2</v>
      </c>
      <c r="DO253" s="13"/>
      <c r="DP253" s="11"/>
      <c r="DQ253" s="25">
        <v>4811.4285714285716</v>
      </c>
      <c r="DR253" s="38">
        <v>5003.636363636364</v>
      </c>
      <c r="DS253" s="10">
        <v>1</v>
      </c>
      <c r="DT253" s="11"/>
      <c r="DU253" s="69">
        <f t="shared" si="2318"/>
        <v>818</v>
      </c>
      <c r="DV253" s="69">
        <f t="shared" si="2319"/>
        <v>66</v>
      </c>
      <c r="DW253" s="11">
        <v>386</v>
      </c>
      <c r="DX253" s="12">
        <f t="shared" si="2268"/>
        <v>0.49144254278728605</v>
      </c>
      <c r="DY253" s="11">
        <v>16</v>
      </c>
      <c r="DZ253" s="12">
        <f t="shared" si="2269"/>
        <v>3.9800995024875621E-2</v>
      </c>
      <c r="EA253" s="13"/>
      <c r="EB253" s="11"/>
      <c r="EC253" s="25">
        <v>4843.5714285714284</v>
      </c>
      <c r="ED253" s="38">
        <v>4900</v>
      </c>
      <c r="EE253" s="10"/>
      <c r="EF253" s="11"/>
      <c r="EG253" s="69">
        <f t="shared" si="2320"/>
        <v>843</v>
      </c>
      <c r="EH253" s="69">
        <f t="shared" si="2321"/>
        <v>67</v>
      </c>
      <c r="EI253" s="11">
        <v>422</v>
      </c>
      <c r="EJ253" s="12">
        <f t="shared" si="2270"/>
        <v>0.52431791221826807</v>
      </c>
      <c r="EK253" s="11">
        <v>20</v>
      </c>
      <c r="EL253" s="12">
        <f t="shared" si="2271"/>
        <v>4.5248868778280542E-2</v>
      </c>
      <c r="EM253" s="13"/>
      <c r="EN253" s="11"/>
      <c r="EO253" s="25">
        <v>5070.7142857142853</v>
      </c>
      <c r="EP253" s="38">
        <v>4965.833333333333</v>
      </c>
      <c r="EQ253" s="10"/>
      <c r="ER253" s="11"/>
      <c r="ES253" s="69">
        <f t="shared" si="2322"/>
        <v>167</v>
      </c>
      <c r="ET253" s="69">
        <f t="shared" si="2323"/>
        <v>14</v>
      </c>
      <c r="EU253" s="11">
        <v>75</v>
      </c>
      <c r="EV253" s="12">
        <f t="shared" si="2272"/>
        <v>0.47305389221556887</v>
      </c>
      <c r="EW253" s="11">
        <v>4</v>
      </c>
      <c r="EX253" s="12">
        <f t="shared" si="2273"/>
        <v>5.0632911392405063E-2</v>
      </c>
      <c r="EY253" s="13"/>
      <c r="EZ253" s="11"/>
      <c r="FA253" s="25">
        <v>4670</v>
      </c>
      <c r="FB253" s="38">
        <v>4267.5</v>
      </c>
      <c r="FC253" s="10"/>
      <c r="FD253" s="11"/>
      <c r="FE253" s="69">
        <f t="shared" si="2324"/>
        <v>847</v>
      </c>
      <c r="FF253" s="69">
        <f t="shared" si="2325"/>
        <v>67</v>
      </c>
      <c r="FG253" s="11">
        <v>438</v>
      </c>
      <c r="FH253" s="12">
        <f t="shared" si="2274"/>
        <v>0.52656434474616298</v>
      </c>
      <c r="FI253" s="11">
        <v>8</v>
      </c>
      <c r="FJ253" s="12">
        <f t="shared" si="2275"/>
        <v>1.7937219730941704E-2</v>
      </c>
      <c r="FK253" s="13"/>
      <c r="FL253" s="11"/>
      <c r="FM253" s="25">
        <v>4935.652173913043</v>
      </c>
      <c r="FN253" s="38">
        <v>4827.6923076923076</v>
      </c>
      <c r="FO253" s="10"/>
      <c r="FP253" s="11"/>
      <c r="FQ253" s="69">
        <f t="shared" si="2326"/>
        <v>867</v>
      </c>
      <c r="FR253" s="69">
        <f t="shared" si="2327"/>
        <v>70</v>
      </c>
      <c r="FS253" s="11">
        <v>405</v>
      </c>
      <c r="FT253" s="12">
        <f t="shared" si="2276"/>
        <v>0.48673587081891578</v>
      </c>
      <c r="FU253" s="11">
        <v>17</v>
      </c>
      <c r="FV253" s="12">
        <f t="shared" si="2277"/>
        <v>4.0284360189573459E-2</v>
      </c>
      <c r="FW253" s="13"/>
      <c r="FX253" s="11"/>
      <c r="FY253" s="25">
        <v>5018.0851063829787</v>
      </c>
      <c r="FZ253" s="38">
        <v>4657.1428571428569</v>
      </c>
      <c r="GA253" s="10"/>
      <c r="GB253" s="11"/>
      <c r="GC253" s="69">
        <f t="shared" si="2328"/>
        <v>872</v>
      </c>
      <c r="GD253" s="69">
        <f t="shared" si="2329"/>
        <v>71</v>
      </c>
      <c r="GE253" s="11">
        <v>466</v>
      </c>
      <c r="GF253" s="12">
        <f t="shared" si="2278"/>
        <v>0.54357798165137616</v>
      </c>
      <c r="GG253" s="11">
        <v>8</v>
      </c>
      <c r="GH253" s="12">
        <f t="shared" si="2279"/>
        <v>1.6877637130801686E-2</v>
      </c>
      <c r="GI253" s="13"/>
      <c r="GJ253" s="11"/>
      <c r="GK253" s="25">
        <v>4899.2682926829266</v>
      </c>
      <c r="GL253" s="38">
        <v>4856.666666666667</v>
      </c>
      <c r="GM253" s="10"/>
      <c r="GN253" s="11"/>
      <c r="GO253" s="69">
        <f t="shared" si="2330"/>
        <v>145</v>
      </c>
      <c r="GP253" s="69">
        <f t="shared" si="2331"/>
        <v>12</v>
      </c>
      <c r="GQ253" s="11">
        <v>57</v>
      </c>
      <c r="GR253" s="12">
        <f t="shared" si="2280"/>
        <v>0.4206896551724138</v>
      </c>
      <c r="GS253" s="11">
        <v>4</v>
      </c>
      <c r="GT253" s="12">
        <f t="shared" si="2281"/>
        <v>6.5573770491803282E-2</v>
      </c>
      <c r="GU253" s="13"/>
      <c r="GV253" s="11"/>
      <c r="GW253" s="25">
        <v>4574.166666666667</v>
      </c>
      <c r="GX253" s="38">
        <v>4176.666666666667</v>
      </c>
      <c r="GY253" s="10"/>
      <c r="GZ253" s="11"/>
      <c r="HA253" s="69">
        <f t="shared" si="2332"/>
        <v>899</v>
      </c>
      <c r="HB253" s="69">
        <f t="shared" si="2333"/>
        <v>73</v>
      </c>
      <c r="HC253" s="11">
        <v>471</v>
      </c>
      <c r="HD253" s="12">
        <f t="shared" si="2282"/>
        <v>0.53392658509454949</v>
      </c>
      <c r="HE253" s="11">
        <v>9</v>
      </c>
      <c r="HF253" s="12">
        <f t="shared" si="2283"/>
        <v>1.8749999999999999E-2</v>
      </c>
      <c r="HG253" s="13"/>
      <c r="HH253" s="11"/>
      <c r="HI253" s="25">
        <v>4894.8888888888887</v>
      </c>
      <c r="HJ253" s="38">
        <v>5018.333333333333</v>
      </c>
      <c r="HK253" s="10">
        <f t="shared" si="2284"/>
        <v>4</v>
      </c>
      <c r="HL253" s="11">
        <f t="shared" si="2285"/>
        <v>0</v>
      </c>
      <c r="HM253" s="11">
        <f t="shared" si="2286"/>
        <v>11809</v>
      </c>
      <c r="HN253" s="11">
        <f t="shared" si="2287"/>
        <v>952</v>
      </c>
      <c r="HO253" s="11">
        <f t="shared" si="2288"/>
        <v>6080</v>
      </c>
      <c r="HP253" s="95">
        <f t="shared" si="2289"/>
        <v>0.51486154627826231</v>
      </c>
      <c r="HQ253" s="15">
        <f t="shared" si="2290"/>
        <v>181</v>
      </c>
      <c r="HR253" s="12">
        <f t="shared" si="2291"/>
        <v>2.9769736842105262E-2</v>
      </c>
      <c r="HS253" s="16">
        <v>66.2</v>
      </c>
      <c r="HT253" s="17">
        <v>5765</v>
      </c>
      <c r="HU253" s="16">
        <f t="shared" si="2292"/>
        <v>94.819078947368425</v>
      </c>
      <c r="HV253" s="23">
        <v>4828.4603174603171</v>
      </c>
      <c r="HW253" s="22">
        <v>4808.75</v>
      </c>
      <c r="HX253" s="73">
        <f t="shared" si="2293"/>
        <v>0.52675793403858118</v>
      </c>
      <c r="HY253" s="73">
        <f t="shared" si="2294"/>
        <v>0.50398469875677399</v>
      </c>
      <c r="HZ253" s="73">
        <f t="shared" si="2295"/>
        <v>0.51177570093457947</v>
      </c>
      <c r="IA253" s="73">
        <f t="shared" si="2296"/>
        <v>0.51634926338483655</v>
      </c>
    </row>
    <row r="254" spans="1:244" x14ac:dyDescent="0.25">
      <c r="A254" s="374"/>
      <c r="B254" s="41">
        <f t="shared" si="2297"/>
        <v>45136</v>
      </c>
      <c r="C254" s="10"/>
      <c r="D254" s="11"/>
      <c r="E254" s="69">
        <f t="shared" si="2298"/>
        <v>813</v>
      </c>
      <c r="F254" s="69">
        <f t="shared" si="2299"/>
        <v>66</v>
      </c>
      <c r="G254" s="11">
        <v>405</v>
      </c>
      <c r="H254" s="12">
        <f t="shared" si="2248"/>
        <v>0.51291512915129156</v>
      </c>
      <c r="I254" s="11">
        <v>12</v>
      </c>
      <c r="J254" s="12">
        <f t="shared" si="2249"/>
        <v>2.8776978417266189E-2</v>
      </c>
      <c r="K254" s="13"/>
      <c r="L254" s="11"/>
      <c r="M254" s="39">
        <v>87.5</v>
      </c>
      <c r="N254" s="43">
        <v>94.117647058823536</v>
      </c>
      <c r="O254" s="10"/>
      <c r="P254" s="11"/>
      <c r="Q254" s="69">
        <f t="shared" si="2300"/>
        <v>745</v>
      </c>
      <c r="R254" s="69">
        <f t="shared" si="2301"/>
        <v>60</v>
      </c>
      <c r="S254" s="11">
        <v>370</v>
      </c>
      <c r="T254" s="12">
        <f t="shared" si="2250"/>
        <v>0.51812080536912752</v>
      </c>
      <c r="U254" s="11">
        <v>16</v>
      </c>
      <c r="V254" s="12">
        <f t="shared" si="2251"/>
        <v>4.145077720207254E-2</v>
      </c>
      <c r="W254" s="13"/>
      <c r="X254" s="11"/>
      <c r="Y254" s="39">
        <v>90.243902439024396</v>
      </c>
      <c r="Z254" s="43">
        <v>100</v>
      </c>
      <c r="AA254" s="10"/>
      <c r="AB254" s="11"/>
      <c r="AC254" s="69">
        <f t="shared" si="2302"/>
        <v>157</v>
      </c>
      <c r="AD254" s="69">
        <f t="shared" si="2303"/>
        <v>13</v>
      </c>
      <c r="AE254" s="11">
        <v>72</v>
      </c>
      <c r="AF254" s="12">
        <f t="shared" si="2252"/>
        <v>0.4713375796178344</v>
      </c>
      <c r="AG254" s="11">
        <v>2</v>
      </c>
      <c r="AH254" s="12">
        <f t="shared" si="2253"/>
        <v>2.7027027027027029E-2</v>
      </c>
      <c r="AI254" s="13"/>
      <c r="AJ254" s="11"/>
      <c r="AK254" s="39">
        <v>100</v>
      </c>
      <c r="AL254" s="43">
        <v>100</v>
      </c>
      <c r="AM254" s="10">
        <v>1</v>
      </c>
      <c r="AN254" s="11"/>
      <c r="AO254" s="69">
        <f t="shared" si="2304"/>
        <v>752</v>
      </c>
      <c r="AP254" s="69">
        <f t="shared" si="2305"/>
        <v>61</v>
      </c>
      <c r="AQ254" s="11">
        <v>367</v>
      </c>
      <c r="AR254" s="12">
        <f t="shared" si="2254"/>
        <v>0.49734042553191488</v>
      </c>
      <c r="AS254" s="11">
        <v>7</v>
      </c>
      <c r="AT254" s="12">
        <f t="shared" si="2255"/>
        <v>1.871657754010695E-2</v>
      </c>
      <c r="AU254" s="13"/>
      <c r="AV254" s="11"/>
      <c r="AW254" s="39">
        <v>90</v>
      </c>
      <c r="AX254" s="43">
        <v>100</v>
      </c>
      <c r="AY254" s="10"/>
      <c r="AZ254" s="11"/>
      <c r="BA254" s="69">
        <f t="shared" si="2306"/>
        <v>746</v>
      </c>
      <c r="BB254" s="69">
        <f t="shared" si="2307"/>
        <v>60</v>
      </c>
      <c r="BC254" s="11">
        <v>417</v>
      </c>
      <c r="BD254" s="12">
        <f t="shared" si="2256"/>
        <v>0.57640750670241292</v>
      </c>
      <c r="BE254" s="11">
        <v>13</v>
      </c>
      <c r="BF254" s="12">
        <f t="shared" si="2257"/>
        <v>3.0232558139534883E-2</v>
      </c>
      <c r="BG254" s="13"/>
      <c r="BH254" s="11"/>
      <c r="BI254" s="39">
        <v>87.5</v>
      </c>
      <c r="BJ254" s="43">
        <v>100</v>
      </c>
      <c r="BK254" s="10"/>
      <c r="BL254" s="11"/>
      <c r="BM254" s="69">
        <f t="shared" si="2308"/>
        <v>804</v>
      </c>
      <c r="BN254" s="69">
        <f t="shared" si="2309"/>
        <v>63</v>
      </c>
      <c r="BO254" s="11">
        <v>401</v>
      </c>
      <c r="BP254" s="12">
        <f t="shared" si="2258"/>
        <v>0.50248756218905477</v>
      </c>
      <c r="BQ254" s="11">
        <v>3</v>
      </c>
      <c r="BR254" s="12">
        <f t="shared" si="2259"/>
        <v>7.4257425742574254E-3</v>
      </c>
      <c r="BS254" s="13"/>
      <c r="BT254" s="11"/>
      <c r="BU254" s="39">
        <v>90.243902439024396</v>
      </c>
      <c r="BV254" s="43">
        <v>100</v>
      </c>
      <c r="BW254" s="10"/>
      <c r="BX254" s="11"/>
      <c r="BY254" s="69">
        <f t="shared" si="2310"/>
        <v>740</v>
      </c>
      <c r="BZ254" s="69">
        <f t="shared" si="2311"/>
        <v>59</v>
      </c>
      <c r="CA254" s="11">
        <v>366</v>
      </c>
      <c r="CB254" s="12">
        <f t="shared" si="2260"/>
        <v>0.50810810810810814</v>
      </c>
      <c r="CC254" s="11">
        <v>10</v>
      </c>
      <c r="CD254" s="12">
        <f t="shared" si="2261"/>
        <v>2.6595744680851064E-2</v>
      </c>
      <c r="CE254" s="13"/>
      <c r="CF254" s="11"/>
      <c r="CG254" s="39">
        <v>78.94736842105263</v>
      </c>
      <c r="CH254" s="43">
        <v>100</v>
      </c>
      <c r="CI254" s="10"/>
      <c r="CJ254" s="11"/>
      <c r="CK254" s="69">
        <f t="shared" si="2312"/>
        <v>131</v>
      </c>
      <c r="CL254" s="69">
        <f t="shared" si="2313"/>
        <v>12</v>
      </c>
      <c r="CM254" s="11">
        <v>51</v>
      </c>
      <c r="CN254" s="12">
        <f t="shared" si="2262"/>
        <v>0.38931297709923662</v>
      </c>
      <c r="CO254" s="11">
        <v>0</v>
      </c>
      <c r="CP254" s="12">
        <f t="shared" si="2263"/>
        <v>0</v>
      </c>
      <c r="CQ254" s="13"/>
      <c r="CR254" s="11"/>
      <c r="CS254" s="39">
        <v>71.428571428571431</v>
      </c>
      <c r="CT254" s="43">
        <v>100</v>
      </c>
      <c r="CU254" s="10"/>
      <c r="CV254" s="11"/>
      <c r="CW254" s="69">
        <f t="shared" si="2314"/>
        <v>734</v>
      </c>
      <c r="CX254" s="69">
        <f t="shared" si="2315"/>
        <v>59</v>
      </c>
      <c r="CY254" s="11">
        <v>333</v>
      </c>
      <c r="CZ254" s="12">
        <f t="shared" si="2264"/>
        <v>0.46185286103542234</v>
      </c>
      <c r="DA254" s="11">
        <v>6</v>
      </c>
      <c r="DB254" s="12">
        <f t="shared" si="2265"/>
        <v>1.7699115044247787E-2</v>
      </c>
      <c r="DC254" s="13"/>
      <c r="DD254" s="11"/>
      <c r="DE254" s="39">
        <v>92.452830188679243</v>
      </c>
      <c r="DF254" s="43">
        <v>100</v>
      </c>
      <c r="DG254" s="10"/>
      <c r="DH254" s="11"/>
      <c r="DI254" s="69">
        <f t="shared" si="2316"/>
        <v>728</v>
      </c>
      <c r="DJ254" s="69">
        <f t="shared" si="2317"/>
        <v>59</v>
      </c>
      <c r="DK254" s="11">
        <v>386</v>
      </c>
      <c r="DL254" s="12">
        <f t="shared" si="2266"/>
        <v>0.54120879120879117</v>
      </c>
      <c r="DM254" s="11">
        <v>8</v>
      </c>
      <c r="DN254" s="12">
        <f t="shared" si="2267"/>
        <v>2.030456852791878E-2</v>
      </c>
      <c r="DO254" s="13"/>
      <c r="DP254" s="11"/>
      <c r="DQ254" s="39">
        <v>59.523809523809526</v>
      </c>
      <c r="DR254" s="43">
        <v>90.909090909090907</v>
      </c>
      <c r="DS254" s="10"/>
      <c r="DT254" s="11"/>
      <c r="DU254" s="69">
        <f t="shared" si="2318"/>
        <v>818</v>
      </c>
      <c r="DV254" s="69">
        <f t="shared" si="2319"/>
        <v>66</v>
      </c>
      <c r="DW254" s="11">
        <v>412</v>
      </c>
      <c r="DX254" s="12">
        <f t="shared" si="2268"/>
        <v>0.51955990220048898</v>
      </c>
      <c r="DY254" s="11">
        <v>13</v>
      </c>
      <c r="DZ254" s="12">
        <f t="shared" si="2269"/>
        <v>3.0588235294117649E-2</v>
      </c>
      <c r="EA254" s="13"/>
      <c r="EB254" s="11"/>
      <c r="EC254" s="39">
        <v>66.666666666666671</v>
      </c>
      <c r="ED254" s="43">
        <v>93.75</v>
      </c>
      <c r="EE254" s="10"/>
      <c r="EF254" s="11"/>
      <c r="EG254" s="69">
        <f t="shared" si="2320"/>
        <v>843</v>
      </c>
      <c r="EH254" s="69">
        <f t="shared" si="2321"/>
        <v>67</v>
      </c>
      <c r="EI254" s="11">
        <v>403</v>
      </c>
      <c r="EJ254" s="12">
        <f t="shared" si="2270"/>
        <v>0.49584816132858839</v>
      </c>
      <c r="EK254" s="11">
        <v>15</v>
      </c>
      <c r="EL254" s="12">
        <f t="shared" si="2271"/>
        <v>3.5885167464114832E-2</v>
      </c>
      <c r="EM254" s="13"/>
      <c r="EN254" s="11"/>
      <c r="EO254" s="39">
        <v>80.952380952380949</v>
      </c>
      <c r="EP254" s="43">
        <v>100</v>
      </c>
      <c r="EQ254" s="10"/>
      <c r="ER254" s="11"/>
      <c r="ES254" s="69">
        <f t="shared" si="2322"/>
        <v>167</v>
      </c>
      <c r="ET254" s="69">
        <f t="shared" si="2323"/>
        <v>14</v>
      </c>
      <c r="EU254" s="11">
        <v>66</v>
      </c>
      <c r="EV254" s="12">
        <f t="shared" si="2272"/>
        <v>0.42514970059880242</v>
      </c>
      <c r="EW254" s="11">
        <v>5</v>
      </c>
      <c r="EX254" s="12">
        <f t="shared" si="2273"/>
        <v>7.0422535211267609E-2</v>
      </c>
      <c r="EY254" s="13"/>
      <c r="EZ254" s="11"/>
      <c r="FA254" s="39">
        <v>100</v>
      </c>
      <c r="FB254" s="43">
        <v>100</v>
      </c>
      <c r="FC254" s="10"/>
      <c r="FD254" s="11"/>
      <c r="FE254" s="69">
        <f t="shared" si="2324"/>
        <v>847</v>
      </c>
      <c r="FF254" s="69">
        <f t="shared" si="2325"/>
        <v>67</v>
      </c>
      <c r="FG254" s="11">
        <v>444</v>
      </c>
      <c r="FH254" s="12">
        <f t="shared" si="2274"/>
        <v>0.53246753246753242</v>
      </c>
      <c r="FI254" s="11">
        <v>7</v>
      </c>
      <c r="FJ254" s="12">
        <f t="shared" si="2275"/>
        <v>1.5521064301552107E-2</v>
      </c>
      <c r="FK254" s="13"/>
      <c r="FL254" s="11"/>
      <c r="FM254" s="39">
        <v>78.260869565217391</v>
      </c>
      <c r="FN254" s="43">
        <v>100</v>
      </c>
      <c r="FO254" s="10"/>
      <c r="FP254" s="11"/>
      <c r="FQ254" s="69">
        <f t="shared" si="2326"/>
        <v>867</v>
      </c>
      <c r="FR254" s="69">
        <f t="shared" si="2327"/>
        <v>70</v>
      </c>
      <c r="FS254" s="11">
        <v>430</v>
      </c>
      <c r="FT254" s="12">
        <f t="shared" si="2276"/>
        <v>0.52249134948096887</v>
      </c>
      <c r="FU254" s="11">
        <v>23</v>
      </c>
      <c r="FV254" s="12">
        <f t="shared" si="2277"/>
        <v>5.0772626931567331E-2</v>
      </c>
      <c r="FW254" s="13"/>
      <c r="FX254" s="11"/>
      <c r="FY254" s="39">
        <v>87.234042553191486</v>
      </c>
      <c r="FZ254" s="43">
        <v>100</v>
      </c>
      <c r="GA254" s="10"/>
      <c r="GB254" s="11"/>
      <c r="GC254" s="69">
        <f t="shared" si="2328"/>
        <v>872</v>
      </c>
      <c r="GD254" s="69">
        <f t="shared" si="2329"/>
        <v>71</v>
      </c>
      <c r="GE254" s="11">
        <v>437</v>
      </c>
      <c r="GF254" s="12">
        <f t="shared" si="2278"/>
        <v>0.51949541284403666</v>
      </c>
      <c r="GG254" s="11">
        <v>16</v>
      </c>
      <c r="GH254" s="12">
        <f t="shared" si="2279"/>
        <v>3.5320088300220751E-2</v>
      </c>
      <c r="GI254" s="13"/>
      <c r="GJ254" s="11"/>
      <c r="GK254" s="39">
        <v>85.365853658536579</v>
      </c>
      <c r="GL254" s="43">
        <v>100</v>
      </c>
      <c r="GM254" s="10">
        <v>1</v>
      </c>
      <c r="GN254" s="11"/>
      <c r="GO254" s="69">
        <f t="shared" si="2330"/>
        <v>144</v>
      </c>
      <c r="GP254" s="69">
        <f t="shared" si="2331"/>
        <v>12</v>
      </c>
      <c r="GQ254" s="11">
        <v>60</v>
      </c>
      <c r="GR254" s="12">
        <f t="shared" si="2280"/>
        <v>0.4375</v>
      </c>
      <c r="GS254" s="11">
        <v>3</v>
      </c>
      <c r="GT254" s="12">
        <f t="shared" si="2281"/>
        <v>4.7619047619047616E-2</v>
      </c>
      <c r="GU254" s="13"/>
      <c r="GV254" s="11"/>
      <c r="GW254" s="39">
        <v>66.666666666666671</v>
      </c>
      <c r="GX254" s="43">
        <v>100</v>
      </c>
      <c r="GY254" s="10"/>
      <c r="GZ254" s="11">
        <v>1</v>
      </c>
      <c r="HA254" s="69">
        <f t="shared" si="2332"/>
        <v>899</v>
      </c>
      <c r="HB254" s="69">
        <f t="shared" si="2333"/>
        <v>72</v>
      </c>
      <c r="HC254" s="11">
        <v>471</v>
      </c>
      <c r="HD254" s="12">
        <f t="shared" si="2282"/>
        <v>0.54171301446051168</v>
      </c>
      <c r="HE254" s="11">
        <v>16</v>
      </c>
      <c r="HF254" s="12">
        <f t="shared" si="2283"/>
        <v>3.2854209445585217E-2</v>
      </c>
      <c r="HG254" s="13"/>
      <c r="HH254" s="11"/>
      <c r="HI254" s="39">
        <v>80</v>
      </c>
      <c r="HJ254" s="43">
        <v>91.666666666666671</v>
      </c>
      <c r="HK254" s="10">
        <f t="shared" si="2284"/>
        <v>2</v>
      </c>
      <c r="HL254" s="11">
        <f t="shared" si="2285"/>
        <v>1</v>
      </c>
      <c r="HM254" s="11">
        <f t="shared" si="2286"/>
        <v>11807</v>
      </c>
      <c r="HN254" s="11">
        <f t="shared" si="2287"/>
        <v>951</v>
      </c>
      <c r="HO254" s="11">
        <f t="shared" si="2288"/>
        <v>6066</v>
      </c>
      <c r="HP254" s="95">
        <f t="shared" si="2289"/>
        <v>0.51376302193613954</v>
      </c>
      <c r="HQ254" s="15">
        <f t="shared" si="2290"/>
        <v>175</v>
      </c>
      <c r="HR254" s="12">
        <f t="shared" si="2291"/>
        <v>2.8849324101549622E-2</v>
      </c>
      <c r="HS254" s="16">
        <v>66.2</v>
      </c>
      <c r="HT254" s="17">
        <v>5756</v>
      </c>
      <c r="HU254" s="16">
        <f t="shared" si="2292"/>
        <v>94.889548302011207</v>
      </c>
      <c r="HV254" s="23">
        <v>79.682539682539684</v>
      </c>
      <c r="HW254" s="22">
        <v>88.461538461538467</v>
      </c>
      <c r="HX254" s="73">
        <f t="shared" si="2293"/>
        <v>0.52318705259881726</v>
      </c>
      <c r="HY254" s="73">
        <f t="shared" si="2294"/>
        <v>0.49856550844756137</v>
      </c>
      <c r="HZ254" s="73">
        <f t="shared" si="2295"/>
        <v>0.51028037383177571</v>
      </c>
      <c r="IA254" s="73">
        <f t="shared" si="2296"/>
        <v>0.52336448598130836</v>
      </c>
      <c r="IF254" s="85">
        <f>IF255/IF256</f>
        <v>1.2433944668946222E-3</v>
      </c>
      <c r="IG254" s="85">
        <f>IG255/IG256</f>
        <v>2.2264631043256997E-3</v>
      </c>
      <c r="IH254" s="85">
        <f>IH255/IH256</f>
        <v>1.1202389843166542E-3</v>
      </c>
      <c r="II254" s="85">
        <f>II255/II256</f>
        <v>1.794043774668102E-3</v>
      </c>
      <c r="IJ254" s="88" t="s">
        <v>90</v>
      </c>
    </row>
    <row r="255" spans="1:244" ht="19.5" thickBot="1" x14ac:dyDescent="0.3">
      <c r="A255" s="374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2952</v>
      </c>
      <c r="H255" s="28">
        <f>((G255+I255)/7)/E254</f>
        <v>0.53487963451063081</v>
      </c>
      <c r="I255" s="27">
        <f>SUM(I248:I254)</f>
        <v>92</v>
      </c>
      <c r="J255" s="28">
        <f>(I255/(I255+G255))</f>
        <v>3.0223390275952694E-2</v>
      </c>
      <c r="K255" s="27"/>
      <c r="L255" s="27"/>
      <c r="M255" s="29">
        <f>M253/M252*100-100</f>
        <v>12.093926553672318</v>
      </c>
      <c r="N255" s="67">
        <f>N253/N252*100-100</f>
        <v>7.3627669330538481</v>
      </c>
      <c r="O255" s="26">
        <f>SUM(O248:O254)</f>
        <v>1</v>
      </c>
      <c r="P255" s="27">
        <f>SUM(P248:P254)</f>
        <v>0</v>
      </c>
      <c r="Q255" s="27"/>
      <c r="R255" s="27"/>
      <c r="S255" s="27">
        <f>SUM(S248:S254)</f>
        <v>2693</v>
      </c>
      <c r="T255" s="28">
        <f>((S255+U255)/7)/Q254</f>
        <v>0.53748801534036439</v>
      </c>
      <c r="U255" s="27">
        <f>SUM(U248:U254)</f>
        <v>110</v>
      </c>
      <c r="V255" s="28">
        <f>(U255/(U255+S255))</f>
        <v>3.9243667499108098E-2</v>
      </c>
      <c r="W255" s="27"/>
      <c r="X255" s="27"/>
      <c r="Y255" s="29">
        <f>Y253/Y252*100-100</f>
        <v>13.671857057553623</v>
      </c>
      <c r="Z255" s="67">
        <f>Z253/Z252*100-100</f>
        <v>6.5840757238307219</v>
      </c>
      <c r="AA255" s="26">
        <f>SUM(AA248:AA254)</f>
        <v>0</v>
      </c>
      <c r="AB255" s="27">
        <f>SUM(AB248:AB254)</f>
        <v>0</v>
      </c>
      <c r="AC255" s="27"/>
      <c r="AD255" s="27"/>
      <c r="AE255" s="27">
        <f>SUM(AE248:AE254)</f>
        <v>532</v>
      </c>
      <c r="AF255" s="28">
        <f>((AE255+AG255)/7)/AC254</f>
        <v>0.51137397634212922</v>
      </c>
      <c r="AG255" s="27">
        <f>SUM(AG248:AG254)</f>
        <v>30</v>
      </c>
      <c r="AH255" s="28">
        <f>(AG255/(AG255+AE255))</f>
        <v>5.3380782918149468E-2</v>
      </c>
      <c r="AI255" s="27"/>
      <c r="AJ255" s="27"/>
      <c r="AK255" s="29">
        <f>AK253/AK252*100-100</f>
        <v>-1.7576898932831142</v>
      </c>
      <c r="AL255" s="67">
        <f>AL253/AL252*100-100</f>
        <v>-1.4699331848552362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2767</v>
      </c>
      <c r="AR255" s="28">
        <f>((AQ255+AS255)/7)/AO254</f>
        <v>0.53647416413373861</v>
      </c>
      <c r="AS255" s="27">
        <f>SUM(AS248:AS254)</f>
        <v>57</v>
      </c>
      <c r="AT255" s="28">
        <f>(AS255/(AS255+AQ255))</f>
        <v>2.0184135977337109E-2</v>
      </c>
      <c r="AU255" s="27"/>
      <c r="AV255" s="27"/>
      <c r="AW255" s="29">
        <f>AW253/AW252*100-100</f>
        <v>10.916902071563086</v>
      </c>
      <c r="AX255" s="67">
        <f>AX253/AX252*100-100</f>
        <v>9.7481583004968257</v>
      </c>
      <c r="AY255" s="26">
        <f>SUM(AY248:AY254)</f>
        <v>0</v>
      </c>
      <c r="AZ255" s="27">
        <f>SUM(AZ248:AZ254)</f>
        <v>0</v>
      </c>
      <c r="BA255" s="27"/>
      <c r="BB255" s="27"/>
      <c r="BC255" s="27">
        <f>SUM(BC248:BC254)</f>
        <v>2829</v>
      </c>
      <c r="BD255" s="28">
        <f>((BC255+BE255)/7)/BA254</f>
        <v>0.55668326311757943</v>
      </c>
      <c r="BE255" s="27">
        <f>SUM(BE248:BE254)</f>
        <v>78</v>
      </c>
      <c r="BF255" s="28">
        <f>(BE255/(BE255+BC255))</f>
        <v>2.6831785345717233E-2</v>
      </c>
      <c r="BG255" s="27"/>
      <c r="BH255" s="27"/>
      <c r="BI255" s="29">
        <f>BI253/BI252*100-100</f>
        <v>11.929143126177038</v>
      </c>
      <c r="BJ255" s="67">
        <f>BJ253/BJ252*100-100</f>
        <v>12.249443207126959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2976</v>
      </c>
      <c r="BP255" s="28">
        <f>((BO255+BQ255)/7)/BM254</f>
        <v>0.54104477611940294</v>
      </c>
      <c r="BQ255" s="27">
        <f>SUM(BQ248:BQ254)</f>
        <v>69</v>
      </c>
      <c r="BR255" s="28">
        <f>(BQ255/(BQ255+BO255))</f>
        <v>2.2660098522167486E-2</v>
      </c>
      <c r="BS255" s="27"/>
      <c r="BT255" s="27"/>
      <c r="BU255" s="29">
        <f>BU253/BU252*100-100</f>
        <v>12.305360341739018</v>
      </c>
      <c r="BV255" s="67">
        <f>BV253/BV252*100-100</f>
        <v>0.14317531021316654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2591</v>
      </c>
      <c r="CB255" s="28">
        <f>((CA255+CC255)/7)/BY254</f>
        <v>0.51389961389961392</v>
      </c>
      <c r="CC255" s="27">
        <f>SUM(CC248:CC254)</f>
        <v>71</v>
      </c>
      <c r="CD255" s="28">
        <f>(CC255/(CC255+CA255))</f>
        <v>2.667167543200601E-2</v>
      </c>
      <c r="CE255" s="27"/>
      <c r="CF255" s="27"/>
      <c r="CG255" s="29">
        <f>CG253/CG252*100-100</f>
        <v>10.714639706611166</v>
      </c>
      <c r="CH255" s="67">
        <f>CH253/CH252*100-100</f>
        <v>4.1870824053452225</v>
      </c>
      <c r="CI255" s="26">
        <f>SUM(CI248:CI254)</f>
        <v>2</v>
      </c>
      <c r="CJ255" s="27">
        <f>SUM(CJ248:CJ254)</f>
        <v>0</v>
      </c>
      <c r="CK255" s="27"/>
      <c r="CL255" s="27"/>
      <c r="CM255" s="27">
        <f>SUM(CM248:CM254)</f>
        <v>385</v>
      </c>
      <c r="CN255" s="28">
        <f>((CM255+CO255)/7)/CK254</f>
        <v>0.43620501635768816</v>
      </c>
      <c r="CO255" s="27">
        <f>SUM(CO248:CO254)</f>
        <v>15</v>
      </c>
      <c r="CP255" s="28">
        <f>(CO255/(CO255+CM255))</f>
        <v>3.7499999999999999E-2</v>
      </c>
      <c r="CQ255" s="27"/>
      <c r="CR255" s="27"/>
      <c r="CS255" s="29">
        <f>CS253/CS252*100-100</f>
        <v>13.431530804412148</v>
      </c>
      <c r="CT255" s="67">
        <f>CT253/CT252*100-100</f>
        <v>1.7074981440237593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2487</v>
      </c>
      <c r="CZ255" s="28">
        <f>((CY255+DA255)/7)/CW254</f>
        <v>0.49377189567925267</v>
      </c>
      <c r="DA255" s="27">
        <f>SUM(DA248:DA254)</f>
        <v>50</v>
      </c>
      <c r="DB255" s="28">
        <f>(DA255/(DA255+CY255))</f>
        <v>1.9708316909735908E-2</v>
      </c>
      <c r="DC255" s="27"/>
      <c r="DD255" s="27"/>
      <c r="DE255" s="29">
        <f>DE253/DE252*100-100</f>
        <v>11.10666950929182</v>
      </c>
      <c r="DF255" s="67">
        <f>DF253/DF252*100-100</f>
        <v>10.604762720575621</v>
      </c>
      <c r="DG255" s="26">
        <f>SUM(DG248:DG254)</f>
        <v>3</v>
      </c>
      <c r="DH255" s="27">
        <f>SUM(DH248:DH254)</f>
        <v>0</v>
      </c>
      <c r="DI255" s="27"/>
      <c r="DJ255" s="27"/>
      <c r="DK255" s="27">
        <f>SUM(DK248:DK254)</f>
        <v>2841</v>
      </c>
      <c r="DL255" s="28">
        <f>((DK255+DM255)/7)/DI254</f>
        <v>0.56828885400313978</v>
      </c>
      <c r="DM255" s="27">
        <f>SUM(DM248:DM254)</f>
        <v>55</v>
      </c>
      <c r="DN255" s="28">
        <f>(DM255/(DM255+DK255))</f>
        <v>1.8991712707182321E-2</v>
      </c>
      <c r="DO255" s="27"/>
      <c r="DP255" s="27"/>
      <c r="DQ255" s="29">
        <f>DQ253/DQ252*100-100</f>
        <v>13.263384449825139</v>
      </c>
      <c r="DR255" s="67">
        <f>DR253/DR252*100-100</f>
        <v>11.43956266450698</v>
      </c>
      <c r="DS255" s="26">
        <f>SUM(DS248:DS254)</f>
        <v>2</v>
      </c>
      <c r="DT255" s="27">
        <f>SUM(DT248:DT254)</f>
        <v>0</v>
      </c>
      <c r="DU255" s="27"/>
      <c r="DV255" s="27"/>
      <c r="DW255" s="27">
        <f>SUM(DW248:DW254)</f>
        <v>2933</v>
      </c>
      <c r="DX255" s="28">
        <f>((DW255+DY255)/7)/DU254</f>
        <v>0.53143555710792878</v>
      </c>
      <c r="DY255" s="27">
        <f>SUM(DY248:DY254)</f>
        <v>110</v>
      </c>
      <c r="DZ255" s="28">
        <f>(DY255/(DY255+DW255))</f>
        <v>3.6148537627341437E-2</v>
      </c>
      <c r="EA255" s="27"/>
      <c r="EB255" s="27"/>
      <c r="EC255" s="29">
        <f>EC253/EC252*100-100</f>
        <v>14.020043045466778</v>
      </c>
      <c r="ED255" s="67">
        <f>ED253/ED252*100-100</f>
        <v>9.1314031180400832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2974</v>
      </c>
      <c r="EJ255" s="28">
        <f>((EI255+EK255)/7)/EG254</f>
        <v>0.52770716827656328</v>
      </c>
      <c r="EK255" s="27">
        <f>SUM(EK248:EK254)</f>
        <v>140</v>
      </c>
      <c r="EL255" s="28">
        <f>(EK255/(EK255+EI255))</f>
        <v>4.4958253050738597E-2</v>
      </c>
      <c r="EM255" s="27"/>
      <c r="EN255" s="27"/>
      <c r="EO255" s="29">
        <f>EO253/EO252*100-100</f>
        <v>19.367097121334396</v>
      </c>
      <c r="EP255" s="67">
        <f>EP253/EP252*100-100</f>
        <v>10.597624350408324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531</v>
      </c>
      <c r="EV255" s="28">
        <f>((EU255+EW255)/7)/ES254</f>
        <v>0.48331907613344738</v>
      </c>
      <c r="EW255" s="27">
        <f>SUM(EW248:EW254)</f>
        <v>34</v>
      </c>
      <c r="EX255" s="28">
        <f>(EW255/(EW255+EU255))</f>
        <v>6.0176991150442477E-2</v>
      </c>
      <c r="EY255" s="27"/>
      <c r="EZ255" s="27"/>
      <c r="FA255" s="29">
        <f>FA253/FA252*100-100</f>
        <v>9.9340866290018823</v>
      </c>
      <c r="FB255" s="67">
        <f>FB253/FB252*100-100</f>
        <v>-4.9554565701559028</v>
      </c>
      <c r="FC255" s="26">
        <f>SUM(FC248:FC254)</f>
        <v>1</v>
      </c>
      <c r="FD255" s="27">
        <f>SUM(FD248:FD254)</f>
        <v>0</v>
      </c>
      <c r="FE255" s="27"/>
      <c r="FF255" s="27"/>
      <c r="FG255" s="27">
        <f>SUM(FG248:FG254)</f>
        <v>3084</v>
      </c>
      <c r="FH255" s="28">
        <f>((FG255+FI255)/7)/FE254</f>
        <v>0.53432282003710574</v>
      </c>
      <c r="FI255" s="27">
        <f>SUM(FI248:FI254)</f>
        <v>84</v>
      </c>
      <c r="FJ255" s="28">
        <f>(FI255/(FI255+FG255))</f>
        <v>2.6515151515151516E-2</v>
      </c>
      <c r="FK255" s="27"/>
      <c r="FL255" s="27"/>
      <c r="FM255" s="29">
        <f>FM253/FM252*100-100</f>
        <v>16.187668877425693</v>
      </c>
      <c r="FN255" s="67">
        <f>FN253/FN252*100-100</f>
        <v>7.5209868082919229</v>
      </c>
      <c r="FO255" s="26">
        <f>SUM(FO248:FO254)</f>
        <v>1</v>
      </c>
      <c r="FP255" s="27">
        <f>SUM(FP248:FP254)</f>
        <v>0</v>
      </c>
      <c r="FQ255" s="27"/>
      <c r="FR255" s="27"/>
      <c r="FS255" s="27">
        <f>SUM(FS248:FS254)</f>
        <v>3020</v>
      </c>
      <c r="FT255" s="28">
        <f>((FS255+FU255)/7)/FQ254</f>
        <v>0.51952545724172028</v>
      </c>
      <c r="FU255" s="27">
        <f>SUM(FU248:FU254)</f>
        <v>133</v>
      </c>
      <c r="FV255" s="28">
        <f>(FU255/(FU255+FS255))</f>
        <v>4.2182048842372345E-2</v>
      </c>
      <c r="FW255" s="27"/>
      <c r="FX255" s="27"/>
      <c r="FY255" s="29">
        <f>FY253/FY252*100-100</f>
        <v>18.128180470409092</v>
      </c>
      <c r="FZ255" s="67">
        <f>FZ253/FZ252*100-100</f>
        <v>3.7225580655424721</v>
      </c>
      <c r="GA255" s="26">
        <f>SUM(GA248:GA254)</f>
        <v>1</v>
      </c>
      <c r="GB255" s="27">
        <f>SUM(GB248:GB254)</f>
        <v>0</v>
      </c>
      <c r="GC255" s="27"/>
      <c r="GD255" s="27"/>
      <c r="GE255" s="27">
        <f>SUM(GE248:GE254)</f>
        <v>3153</v>
      </c>
      <c r="GF255" s="28">
        <f>((GE255+GG255)/7)/GC254</f>
        <v>0.5339121887287025</v>
      </c>
      <c r="GG255" s="27">
        <f>SUM(GG248:GG254)</f>
        <v>106</v>
      </c>
      <c r="GH255" s="28">
        <f>(GG255/(GG255+GE255))</f>
        <v>3.2525314513654494E-2</v>
      </c>
      <c r="GI255" s="27"/>
      <c r="GJ255" s="27"/>
      <c r="GK255" s="29">
        <f>GK253/GK252*100-100</f>
        <v>15.331174498185661</v>
      </c>
      <c r="GL255" s="67">
        <f>GL253/GL252*100-100</f>
        <v>8.1662954714179818</v>
      </c>
      <c r="GM255" s="26">
        <f>SUM(GM248:GM254)</f>
        <v>3</v>
      </c>
      <c r="GN255" s="27">
        <f>SUM(GN248:GN254)</f>
        <v>0</v>
      </c>
      <c r="GO255" s="27"/>
      <c r="GP255" s="27"/>
      <c r="GQ255" s="27">
        <f>SUM(GQ248:GQ254)</f>
        <v>432</v>
      </c>
      <c r="GR255" s="28">
        <f>((GQ255+GS255)/7)/GO254</f>
        <v>0.4513888888888889</v>
      </c>
      <c r="GS255" s="27">
        <f>SUM(GS248:GS254)</f>
        <v>23</v>
      </c>
      <c r="GT255" s="28">
        <f>(GS255/(GS255+GQ255))</f>
        <v>5.054945054945055E-2</v>
      </c>
      <c r="GU255" s="27"/>
      <c r="GV255" s="27"/>
      <c r="GW255" s="29">
        <f>GW253/GW252*100-100</f>
        <v>7.6781230382925401</v>
      </c>
      <c r="GX255" s="67">
        <f>GX253/GX252*100-100</f>
        <v>-6.9784706755753376</v>
      </c>
      <c r="GY255" s="26">
        <f>SUM(GY248:GY254)</f>
        <v>0</v>
      </c>
      <c r="GZ255" s="27">
        <f>SUM(GZ248:GZ254)</f>
        <v>1</v>
      </c>
      <c r="HA255" s="27"/>
      <c r="HB255" s="27"/>
      <c r="HC255" s="27">
        <f>SUM(HC248:HC254)</f>
        <v>3290</v>
      </c>
      <c r="HD255" s="28">
        <f>((HC255+HE255)/7)/HA254</f>
        <v>0.53948832035595107</v>
      </c>
      <c r="HE255" s="27">
        <f>SUM(HE248:HE254)</f>
        <v>105</v>
      </c>
      <c r="HF255" s="28">
        <f>(HE255/(HE255+HC255))</f>
        <v>3.0927835051546393E-2</v>
      </c>
      <c r="HG255" s="27"/>
      <c r="HH255" s="27"/>
      <c r="HI255" s="29">
        <f>HI253/HI252*100-100</f>
        <v>15.228081188533167</v>
      </c>
      <c r="HJ255" s="67">
        <f>HJ253/HJ252*100-100</f>
        <v>11.766889383815865</v>
      </c>
      <c r="HK255" s="26">
        <f t="shared" si="2284"/>
        <v>19</v>
      </c>
      <c r="HL255" s="27">
        <f t="shared" si="2285"/>
        <v>1</v>
      </c>
      <c r="HM255" s="27">
        <f t="shared" si="2286"/>
        <v>0</v>
      </c>
      <c r="HN255" s="27">
        <f t="shared" si="2287"/>
        <v>0</v>
      </c>
      <c r="HO255" s="27">
        <f t="shared" si="2288"/>
        <v>43832</v>
      </c>
      <c r="HP255" s="96">
        <f>+((HO255)/HM254)/7</f>
        <v>0.53033914505922641</v>
      </c>
      <c r="HQ255" s="62">
        <f t="shared" si="2290"/>
        <v>1362</v>
      </c>
      <c r="HR255" s="52">
        <f t="shared" si="2291"/>
        <v>3.1073188538054391E-2</v>
      </c>
      <c r="HS255" s="53">
        <f>SUM(HS248:HS254)/7</f>
        <v>65.928571428571416</v>
      </c>
      <c r="HT255" s="54">
        <f>SUM(HT248:HT254)</f>
        <v>41512</v>
      </c>
      <c r="HU255" s="53">
        <f>AVERAGE(HU248:HU254)</f>
        <v>94.704854654876542</v>
      </c>
      <c r="HV255" s="63">
        <f>HV253/HV252*100-100</f>
        <v>13.664320090873744</v>
      </c>
      <c r="HW255" s="67">
        <f>HW253/HW252*100-100</f>
        <v>7.0991091314031252</v>
      </c>
      <c r="HX255" s="73">
        <f>SUM(G255,I255,S255,U255,AE255,AG255,AQ255,AS255,BC255,BE255)/7/SUM(E254,Q254,AC254,AO254,BA254)</f>
        <v>0.53977146414121202</v>
      </c>
      <c r="HY255" s="73">
        <f>SUM(BO255,BQ255,CA255,CC255,CM255,CO255,CY255,DA255,DK255,DM255)/7/SUM(BM254,BY254,CK254,CW254,DI254)</f>
        <v>0.52552484175053515</v>
      </c>
      <c r="HZ255" s="73">
        <f>SUM(DW255,DY255,EI255,EK255,EU255,EW255,FG255,FI255)/7/SUM(DU254,EG254,ES254,FE254)</f>
        <v>0.52817089452603472</v>
      </c>
      <c r="IA255" s="73">
        <f>SUM(FS255,FU255,GE255,GG255,GQ255,GS255,HC255,HE255)/7/SUM(FQ254,GC254,GO254,HA254)</f>
        <v>0.52695902228612512</v>
      </c>
      <c r="IB255" s="84">
        <f>SUM(I255,U255,AG255,AS255,BE255)/SUM(G255,I255,S255,U255,AE255,AG255,AQ255,AS255,BC255,BE255)</f>
        <v>3.0230642504118617E-2</v>
      </c>
      <c r="IC255" s="84">
        <f>SUM(BQ255,CC255,CO255,DA255,DM255)/SUM(BO255,BQ255,CA255,CC255,CM255,CO255,CY255,DA255,DK255,DM255)</f>
        <v>2.2530329289428077E-2</v>
      </c>
      <c r="ID255" s="84">
        <f>SUM(DY255,EK255,EW255,FI255)/SUM(DW255,DY255,EI255,EK255,EU255,EW255,FG255,FI255)</f>
        <v>3.7209302325581395E-2</v>
      </c>
      <c r="IE255" s="84">
        <f>SUM(FU255,GG255,GS255,HE255)/SUM(FS255,FU255,GE255,GG255,GQ255,GS255,HC255,HE255)</f>
        <v>3.5763009160007797E-2</v>
      </c>
      <c r="IF255" s="86">
        <f>SUM(C255,O255,AA255,AM255,AY255)</f>
        <v>4</v>
      </c>
      <c r="IG255" s="86">
        <f>SUM(BK255,BW255,CI255,CU255,DG255)</f>
        <v>7</v>
      </c>
      <c r="IH255" s="86">
        <f>SUM(DS255,EE255,EQ255,FC255)</f>
        <v>3</v>
      </c>
      <c r="II255" s="86">
        <f>SUM(FO255,GA255,GM255,GY255)</f>
        <v>5</v>
      </c>
      <c r="IJ255" s="88" t="s">
        <v>89</v>
      </c>
    </row>
    <row r="256" spans="1:244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HK255/HM248</f>
        <v>1.6070371310158166E-3</v>
      </c>
      <c r="HL256" s="66">
        <f>HL255/HN248</f>
        <v>1.0504201680672268E-3</v>
      </c>
      <c r="HM256" s="45"/>
      <c r="HN256" s="45"/>
      <c r="HO256" s="45"/>
      <c r="HP256" s="98"/>
      <c r="HQ256" s="45"/>
      <c r="HR256" s="45"/>
      <c r="HS256" s="45"/>
      <c r="HT256" s="55"/>
      <c r="HU256" s="45"/>
      <c r="HV256" s="45"/>
      <c r="HW256" s="46"/>
      <c r="HY256" s="72"/>
      <c r="HZ256" s="72"/>
      <c r="IA256" s="72"/>
      <c r="IF256" s="86">
        <f>SUM(E245,Q245,AC245,AO245,BA245)</f>
        <v>3217</v>
      </c>
      <c r="IG256" s="86">
        <f>SUM(BM245,BY245,CK245,CW245,DI245)</f>
        <v>3144</v>
      </c>
      <c r="IH256" s="86">
        <f>SUM(DU245,EG245,ES245,FE245)</f>
        <v>2678</v>
      </c>
      <c r="II256" s="86">
        <f>SUM(FQ245,GC245,GO245,HA245)</f>
        <v>2787</v>
      </c>
      <c r="IJ256" s="88" t="s">
        <v>84</v>
      </c>
    </row>
    <row r="257" spans="1:244" x14ac:dyDescent="0.25">
      <c r="A257" s="373">
        <v>53</v>
      </c>
      <c r="B257" s="68">
        <f>B254+1</f>
        <v>45137</v>
      </c>
      <c r="C257" s="33"/>
      <c r="D257" s="34"/>
      <c r="E257" s="34">
        <f>E254-C257</f>
        <v>813</v>
      </c>
      <c r="F257" s="34">
        <f>F254-D257</f>
        <v>66</v>
      </c>
      <c r="G257" s="34">
        <v>410</v>
      </c>
      <c r="H257" s="35">
        <f t="shared" ref="H257:H263" si="2334">((G257+I257)/E257)</f>
        <v>0.52521525215252152</v>
      </c>
      <c r="I257" s="34">
        <v>17</v>
      </c>
      <c r="J257" s="35">
        <f t="shared" ref="J257:J263" si="2335">I257/(G257+I257)</f>
        <v>3.9812646370023422E-2</v>
      </c>
      <c r="K257" s="36"/>
      <c r="L257" s="34"/>
      <c r="M257" s="34"/>
      <c r="N257" s="37"/>
      <c r="O257" s="33"/>
      <c r="P257" s="34"/>
      <c r="Q257" s="34">
        <f>Q254-O257</f>
        <v>745</v>
      </c>
      <c r="R257" s="34">
        <f>R254-P257</f>
        <v>60</v>
      </c>
      <c r="S257" s="34">
        <v>358</v>
      </c>
      <c r="T257" s="35">
        <f t="shared" ref="T257:T263" si="2336">((S257+U257)/Q257)</f>
        <v>0.51275167785234899</v>
      </c>
      <c r="U257" s="34">
        <v>24</v>
      </c>
      <c r="V257" s="35">
        <f t="shared" ref="V257:V263" si="2337">U257/(S257+U257)</f>
        <v>6.2827225130890049E-2</v>
      </c>
      <c r="W257" s="36"/>
      <c r="X257" s="34"/>
      <c r="Y257" s="34"/>
      <c r="Z257" s="37"/>
      <c r="AA257" s="33"/>
      <c r="AB257" s="34"/>
      <c r="AC257" s="34">
        <f>AC254-AA257</f>
        <v>157</v>
      </c>
      <c r="AD257" s="34">
        <f>AD254-AB257</f>
        <v>13</v>
      </c>
      <c r="AE257" s="34">
        <v>85</v>
      </c>
      <c r="AF257" s="35">
        <f t="shared" ref="AF257:AF263" si="2338">((AE257+AG257)/AC257)</f>
        <v>0.56687898089171973</v>
      </c>
      <c r="AG257" s="34">
        <v>4</v>
      </c>
      <c r="AH257" s="35">
        <f t="shared" ref="AH257:AH263" si="2339">AG257/(AE257+AG257)</f>
        <v>4.49438202247191E-2</v>
      </c>
      <c r="AI257" s="36"/>
      <c r="AJ257" s="34"/>
      <c r="AK257" s="34"/>
      <c r="AL257" s="37"/>
      <c r="AM257" s="33"/>
      <c r="AN257" s="34"/>
      <c r="AO257" s="34">
        <f>AO254-AM257</f>
        <v>752</v>
      </c>
      <c r="AP257" s="34">
        <f>AP254-AN257</f>
        <v>61</v>
      </c>
      <c r="AQ257" s="34">
        <v>381</v>
      </c>
      <c r="AR257" s="35">
        <f t="shared" ref="AR257:AR263" si="2340">((AQ257+AS257)/AO257)</f>
        <v>0.52526595744680848</v>
      </c>
      <c r="AS257" s="34">
        <v>14</v>
      </c>
      <c r="AT257" s="35">
        <f t="shared" ref="AT257:AT263" si="2341">AS257/(AQ257+AS257)</f>
        <v>3.5443037974683546E-2</v>
      </c>
      <c r="AU257" s="36"/>
      <c r="AV257" s="34"/>
      <c r="AW257" s="34"/>
      <c r="AX257" s="37"/>
      <c r="AY257" s="33"/>
      <c r="AZ257" s="34"/>
      <c r="BA257" s="34">
        <f>BA254-AY257</f>
        <v>746</v>
      </c>
      <c r="BB257" s="34">
        <f>BB254-AZ257</f>
        <v>60</v>
      </c>
      <c r="BC257" s="34">
        <v>385</v>
      </c>
      <c r="BD257" s="35">
        <f t="shared" ref="BD257:BD263" si="2342">((BC257+BE257)/BA257)</f>
        <v>0.53753351206434319</v>
      </c>
      <c r="BE257" s="34">
        <v>16</v>
      </c>
      <c r="BF257" s="35">
        <f t="shared" ref="BF257:BF263" si="2343">BE257/(BC257+BE257)</f>
        <v>3.9900249376558602E-2</v>
      </c>
      <c r="BG257" s="36"/>
      <c r="BH257" s="34"/>
      <c r="BI257" s="34"/>
      <c r="BJ257" s="37"/>
      <c r="BK257" s="33"/>
      <c r="BL257" s="34"/>
      <c r="BM257" s="34">
        <f>BM254-BK257</f>
        <v>804</v>
      </c>
      <c r="BN257" s="34">
        <f>BN254-BL257</f>
        <v>63</v>
      </c>
      <c r="BO257" s="34">
        <v>408</v>
      </c>
      <c r="BP257" s="35">
        <f t="shared" ref="BP257:BP263" si="2344">((BO257+BQ257)/BM257)</f>
        <v>0.52611940298507465</v>
      </c>
      <c r="BQ257" s="34">
        <v>15</v>
      </c>
      <c r="BR257" s="35">
        <f t="shared" ref="BR257:BR263" si="2345">BQ257/(BO257+BQ257)</f>
        <v>3.5460992907801421E-2</v>
      </c>
      <c r="BS257" s="36"/>
      <c r="BT257" s="34"/>
      <c r="BU257" s="34"/>
      <c r="BV257" s="37"/>
      <c r="BW257" s="33"/>
      <c r="BX257" s="34"/>
      <c r="BY257" s="34">
        <f>BY254-BW257</f>
        <v>740</v>
      </c>
      <c r="BZ257" s="34">
        <f>BZ254-BX257</f>
        <v>59</v>
      </c>
      <c r="CA257" s="34">
        <v>351</v>
      </c>
      <c r="CB257" s="35">
        <f t="shared" ref="CB257:CB263" si="2346">((CA257+CC257)/BY257)</f>
        <v>0.49594594594594593</v>
      </c>
      <c r="CC257" s="34">
        <v>16</v>
      </c>
      <c r="CD257" s="35">
        <f t="shared" ref="CD257:CD263" si="2347">CC257/(CA257+CC257)</f>
        <v>4.3596730245231606E-2</v>
      </c>
      <c r="CE257" s="36"/>
      <c r="CF257" s="34"/>
      <c r="CG257" s="34"/>
      <c r="CH257" s="37"/>
      <c r="CI257" s="33"/>
      <c r="CJ257" s="34"/>
      <c r="CK257" s="34">
        <f>CK254-CI257</f>
        <v>131</v>
      </c>
      <c r="CL257" s="34">
        <f>CL254-CJ257</f>
        <v>12</v>
      </c>
      <c r="CM257" s="34">
        <v>55</v>
      </c>
      <c r="CN257" s="35">
        <f t="shared" ref="CN257:CN263" si="2348">((CM257+CO257)/CK257)</f>
        <v>0.45038167938931295</v>
      </c>
      <c r="CO257" s="34">
        <v>4</v>
      </c>
      <c r="CP257" s="35">
        <f t="shared" ref="CP257:CP263" si="2349">CO257/(CM257+CO257)</f>
        <v>6.7796610169491525E-2</v>
      </c>
      <c r="CQ257" s="36"/>
      <c r="CR257" s="34"/>
      <c r="CS257" s="34"/>
      <c r="CT257" s="37"/>
      <c r="CU257" s="33"/>
      <c r="CV257" s="34"/>
      <c r="CW257" s="34">
        <f>CW254-CU257</f>
        <v>734</v>
      </c>
      <c r="CX257" s="34">
        <f>CX254-CV257</f>
        <v>59</v>
      </c>
      <c r="CY257" s="34">
        <v>355</v>
      </c>
      <c r="CZ257" s="35">
        <f t="shared" ref="CZ257:CZ263" si="2350">((CY257+DA257)/CW257)</f>
        <v>0.50136239782016345</v>
      </c>
      <c r="DA257" s="34">
        <v>13</v>
      </c>
      <c r="DB257" s="35">
        <f t="shared" ref="DB257:DB263" si="2351">DA257/(CY257+DA257)</f>
        <v>3.5326086956521736E-2</v>
      </c>
      <c r="DC257" s="36"/>
      <c r="DD257" s="34"/>
      <c r="DE257" s="34"/>
      <c r="DF257" s="37"/>
      <c r="DG257" s="33"/>
      <c r="DH257" s="34"/>
      <c r="DI257" s="34">
        <f>DI254-DG257</f>
        <v>728</v>
      </c>
      <c r="DJ257" s="34">
        <f>DJ254-DH257</f>
        <v>59</v>
      </c>
      <c r="DK257" s="34">
        <v>364</v>
      </c>
      <c r="DL257" s="35">
        <f t="shared" ref="DL257:DL263" si="2352">((DK257+DM257)/DI257)</f>
        <v>0.52747252747252749</v>
      </c>
      <c r="DM257" s="34">
        <v>20</v>
      </c>
      <c r="DN257" s="35">
        <f t="shared" ref="DN257:DN263" si="2353">DM257/(DK257+DM257)</f>
        <v>5.2083333333333336E-2</v>
      </c>
      <c r="DO257" s="36"/>
      <c r="DP257" s="34"/>
      <c r="DQ257" s="34"/>
      <c r="DR257" s="37"/>
      <c r="DS257" s="33"/>
      <c r="DT257" s="34"/>
      <c r="DU257" s="34">
        <f>DU254-DS257</f>
        <v>818</v>
      </c>
      <c r="DV257" s="34">
        <f>DV254-DT257</f>
        <v>66</v>
      </c>
      <c r="DW257" s="34">
        <v>425</v>
      </c>
      <c r="DX257" s="35">
        <f t="shared" ref="DX257:DX263" si="2354">((DW257+DY257)/DU257)</f>
        <v>0.53056234718826401</v>
      </c>
      <c r="DY257" s="34">
        <v>9</v>
      </c>
      <c r="DZ257" s="35">
        <f t="shared" ref="DZ257:DZ263" si="2355">DY257/(DW257+DY257)</f>
        <v>2.0737327188940093E-2</v>
      </c>
      <c r="EA257" s="36"/>
      <c r="EB257" s="34"/>
      <c r="EC257" s="34"/>
      <c r="ED257" s="37"/>
      <c r="EE257" s="33"/>
      <c r="EF257" s="34"/>
      <c r="EG257" s="34">
        <f>EG254-EE257</f>
        <v>843</v>
      </c>
      <c r="EH257" s="34">
        <f>EH254-EF257</f>
        <v>67</v>
      </c>
      <c r="EI257" s="34">
        <v>418</v>
      </c>
      <c r="EJ257" s="35">
        <f t="shared" ref="EJ257:EJ263" si="2356">((EI257+EK257)/EG257)</f>
        <v>0.50533807829181498</v>
      </c>
      <c r="EK257" s="34">
        <v>8</v>
      </c>
      <c r="EL257" s="35">
        <f t="shared" ref="EL257:EL263" si="2357">EK257/(EI257+EK257)</f>
        <v>1.8779342723004695E-2</v>
      </c>
      <c r="EM257" s="36"/>
      <c r="EN257" s="34"/>
      <c r="EO257" s="34"/>
      <c r="EP257" s="37"/>
      <c r="EQ257" s="33"/>
      <c r="ER257" s="34"/>
      <c r="ES257" s="34">
        <f>ES254-EQ257</f>
        <v>167</v>
      </c>
      <c r="ET257" s="34">
        <f>ET254-ER257</f>
        <v>14</v>
      </c>
      <c r="EU257" s="34">
        <v>75</v>
      </c>
      <c r="EV257" s="35">
        <f t="shared" ref="EV257:EV263" si="2358">((EU257+EW257)/ES257)</f>
        <v>0.44910179640718562</v>
      </c>
      <c r="EW257" s="34">
        <v>0</v>
      </c>
      <c r="EX257" s="35">
        <f t="shared" ref="EX257:EX263" si="2359">EW257/(EU257+EW257)</f>
        <v>0</v>
      </c>
      <c r="EY257" s="36"/>
      <c r="EZ257" s="34"/>
      <c r="FA257" s="34"/>
      <c r="FB257" s="37"/>
      <c r="FC257" s="33"/>
      <c r="FD257" s="34"/>
      <c r="FE257" s="34">
        <f>FE254-FC257</f>
        <v>847</v>
      </c>
      <c r="FF257" s="34">
        <f>FF254-FD257</f>
        <v>67</v>
      </c>
      <c r="FG257" s="34">
        <v>411</v>
      </c>
      <c r="FH257" s="35">
        <f t="shared" ref="FH257:FH263" si="2360">((FG257+FI257)/FE257)</f>
        <v>0.4935064935064935</v>
      </c>
      <c r="FI257" s="34">
        <v>7</v>
      </c>
      <c r="FJ257" s="35">
        <f t="shared" ref="FJ257:FJ263" si="2361">FI257/(FG257+FI257)</f>
        <v>1.6746411483253589E-2</v>
      </c>
      <c r="FK257" s="36"/>
      <c r="FL257" s="34"/>
      <c r="FM257" s="34"/>
      <c r="FN257" s="37"/>
      <c r="FO257" s="33"/>
      <c r="FP257" s="34"/>
      <c r="FQ257" s="34">
        <f>FQ254-FO257</f>
        <v>867</v>
      </c>
      <c r="FR257" s="34">
        <f>FR254-FP257</f>
        <v>70</v>
      </c>
      <c r="FS257" s="34">
        <v>401</v>
      </c>
      <c r="FT257" s="35">
        <f t="shared" ref="FT257:FT263" si="2362">((FS257+FU257)/FQ257)</f>
        <v>0.47404844290657439</v>
      </c>
      <c r="FU257" s="34">
        <v>10</v>
      </c>
      <c r="FV257" s="35">
        <f t="shared" ref="FV257:FV263" si="2363">FU257/(FS257+FU257)</f>
        <v>2.4330900243309004E-2</v>
      </c>
      <c r="FW257" s="36"/>
      <c r="FX257" s="34"/>
      <c r="FY257" s="34"/>
      <c r="FZ257" s="37"/>
      <c r="GA257" s="33">
        <v>1</v>
      </c>
      <c r="GB257" s="34"/>
      <c r="GC257" s="34">
        <f>GC254-GA257</f>
        <v>871</v>
      </c>
      <c r="GD257" s="34">
        <f>GD254-GB257</f>
        <v>71</v>
      </c>
      <c r="GE257" s="34">
        <v>430</v>
      </c>
      <c r="GF257" s="35">
        <f t="shared" ref="GF257:GF263" si="2364">((GE257+GG257)/GC257)</f>
        <v>0.50861079219288174</v>
      </c>
      <c r="GG257" s="34">
        <v>13</v>
      </c>
      <c r="GH257" s="35">
        <f t="shared" ref="GH257:GH263" si="2365">GG257/(GE257+GG257)</f>
        <v>2.9345372460496615E-2</v>
      </c>
      <c r="GI257" s="36"/>
      <c r="GJ257" s="34"/>
      <c r="GK257" s="34"/>
      <c r="GL257" s="37"/>
      <c r="GM257" s="33"/>
      <c r="GN257" s="34"/>
      <c r="GO257" s="34">
        <f>GO254-GM257</f>
        <v>144</v>
      </c>
      <c r="GP257" s="34">
        <f>GP254-GN257</f>
        <v>12</v>
      </c>
      <c r="GQ257" s="34">
        <v>55</v>
      </c>
      <c r="GR257" s="35">
        <f t="shared" ref="GR257:GR263" si="2366">((GQ257+GS257)/GO257)</f>
        <v>0.39583333333333331</v>
      </c>
      <c r="GS257" s="34">
        <v>2</v>
      </c>
      <c r="GT257" s="35">
        <f t="shared" ref="GT257:GT263" si="2367">GS257/(GQ257+GS257)</f>
        <v>3.5087719298245612E-2</v>
      </c>
      <c r="GU257" s="36"/>
      <c r="GV257" s="34"/>
      <c r="GW257" s="34"/>
      <c r="GX257" s="37"/>
      <c r="GY257" s="33"/>
      <c r="GZ257" s="34"/>
      <c r="HA257" s="34">
        <f>HA254-GY257</f>
        <v>899</v>
      </c>
      <c r="HB257" s="34">
        <f>HB254-GZ257</f>
        <v>72</v>
      </c>
      <c r="HC257" s="34">
        <v>440</v>
      </c>
      <c r="HD257" s="35">
        <f t="shared" ref="HD257:HD263" si="2368">((HC257+HE257)/HA257)</f>
        <v>0.50500556173526145</v>
      </c>
      <c r="HE257" s="34">
        <v>14</v>
      </c>
      <c r="HF257" s="35">
        <f t="shared" ref="HF257:HF263" si="2369">HE257/(HC257+HE257)</f>
        <v>3.0837004405286344E-2</v>
      </c>
      <c r="HG257" s="36"/>
      <c r="HH257" s="34"/>
      <c r="HI257" s="34"/>
      <c r="HJ257" s="37"/>
      <c r="HK257" s="33">
        <f t="shared" ref="HK257:HK264" si="2370">+C257+O257+AA257+AM257+AY257+BK257+BW257+CI257+CU257+DG257+DS257+EE257+EQ257+FC257+FO257+GA257+GM257+GY257</f>
        <v>1</v>
      </c>
      <c r="HL257" s="34">
        <f t="shared" ref="HL257:HL264" si="2371">+D257+P257+AB257+AN257+AZ257+BL257+BX257+CJ257+CV257+DH257+DT257+EF257+ER257+FD257+FP257+GB257+GN257+GZ257</f>
        <v>0</v>
      </c>
      <c r="HM257" s="34">
        <f t="shared" ref="HM257:HM264" si="2372">+E257+Q257+AC257+AO257+BA257+BM257+BY257+CK257+CW257+DI257+DU257+EG257+ES257+FE257+FQ257+GC257+GO257+HA257</f>
        <v>11806</v>
      </c>
      <c r="HN257" s="34">
        <f t="shared" ref="HN257:HN264" si="2373">+F257+R257+AD257+AP257+BB257+BN257+BZ257+CL257+CX257+DJ257+DV257+EH257+ET257+FF257+FR257+GD257+GP257+HB257</f>
        <v>951</v>
      </c>
      <c r="HO257" s="34">
        <f t="shared" ref="HO257:HO264" si="2374">+G257+S257+AE257+AQ257+BC257+BO257+CA257+CM257+CY257+DK257+DW257+EI257+EU257+FG257+FS257+GE257+GQ257+HC257+I257+U257+AG257+AS257+BE257+BQ257+CC257+CO257+DA257+DM257+DY257+EK257+EW257+FI257+FU257+GG257+GS257+HE257</f>
        <v>6013</v>
      </c>
      <c r="HP257" s="94">
        <f t="shared" ref="HP257:HP263" si="2375">+(HO257)/HM257</f>
        <v>0.50931729629002198</v>
      </c>
      <c r="HQ257" s="48">
        <f t="shared" ref="HQ257:HQ264" si="2376">+I257+U257+AG257+AS257+BE257+BQ257+CC257+CO257+DA257+DM257+DY257+EK257+EW257+FI257+FU257+GG257+GS257+HE257</f>
        <v>206</v>
      </c>
      <c r="HR257" s="35">
        <f t="shared" ref="HR257:HR264" si="2377">+(HQ257/(HO257))</f>
        <v>3.425910527191086E-2</v>
      </c>
      <c r="HS257" s="49">
        <v>66.3</v>
      </c>
      <c r="HT257" s="50">
        <v>5659</v>
      </c>
      <c r="HU257" s="49">
        <f t="shared" ref="HU257:HU263" si="2378">+HT257/HO257*100</f>
        <v>94.112755695992007</v>
      </c>
      <c r="HV257" s="48"/>
      <c r="HW257" s="37"/>
      <c r="HX257" s="73">
        <f t="shared" ref="HX257:HX263" si="2379">SUM(G257,I257,S257,U257,AE257,AG257,AQ257,AS257,BC257,BE257)/SUM(E257,Q257,AC257,AO257,BA257)</f>
        <v>0.52723311546840956</v>
      </c>
      <c r="HY257" s="73">
        <f t="shared" ref="HY257:HY263" si="2380">SUM(BO257,BQ257,CA257,CC257,CM257,CO257,CY257,DA257,DK257,DM257)/SUM(BM257,BY257,CK257,CW257,DI257)</f>
        <v>0.51036021676761234</v>
      </c>
      <c r="HZ257" s="73">
        <f t="shared" ref="HZ257:HZ263" si="2381">SUM(DW257,DY257,EI257,EK257,EU257,EW257,FG257,FI257)/SUM(DU257,EG257,ES257,FE257)</f>
        <v>0.50579439252336444</v>
      </c>
      <c r="IA257" s="73">
        <f t="shared" ref="IA257:IA263" si="2382">SUM(FS257,FU257,GE257,GG257,GQ257,GS257,HC257,HE257)/SUM(FQ257,GC257,GO257,HA257)</f>
        <v>0.49083063646170444</v>
      </c>
    </row>
    <row r="258" spans="1:244" x14ac:dyDescent="0.25">
      <c r="A258" s="374"/>
      <c r="B258" s="41">
        <f t="shared" ref="B258:B263" si="2383">+B257+1</f>
        <v>45138</v>
      </c>
      <c r="C258" s="10"/>
      <c r="D258" s="11"/>
      <c r="E258" s="69">
        <f t="shared" ref="E258:E263" si="2384">E257-C258</f>
        <v>813</v>
      </c>
      <c r="F258" s="69">
        <f t="shared" ref="F258:F263" si="2385">F257-D258</f>
        <v>66</v>
      </c>
      <c r="G258" s="11">
        <v>428</v>
      </c>
      <c r="H258" s="12">
        <f t="shared" si="2334"/>
        <v>0.54366543665436651</v>
      </c>
      <c r="I258" s="11">
        <v>14</v>
      </c>
      <c r="J258" s="12">
        <f t="shared" si="2335"/>
        <v>3.1674208144796379E-2</v>
      </c>
      <c r="K258" s="13"/>
      <c r="L258" s="11"/>
      <c r="M258" s="11"/>
      <c r="N258" s="14"/>
      <c r="O258" s="10"/>
      <c r="P258" s="11"/>
      <c r="Q258" s="69">
        <f t="shared" ref="Q258:Q263" si="2386">Q257-O258</f>
        <v>745</v>
      </c>
      <c r="R258" s="69">
        <f t="shared" ref="R258:R263" si="2387">R257-P258</f>
        <v>60</v>
      </c>
      <c r="S258" s="11">
        <v>374</v>
      </c>
      <c r="T258" s="12">
        <f t="shared" si="2336"/>
        <v>0.53020134228187921</v>
      </c>
      <c r="U258" s="11">
        <v>21</v>
      </c>
      <c r="V258" s="12">
        <f t="shared" si="2337"/>
        <v>5.3164556962025315E-2</v>
      </c>
      <c r="W258" s="13"/>
      <c r="X258" s="11"/>
      <c r="Y258" s="11"/>
      <c r="Z258" s="14"/>
      <c r="AA258" s="10"/>
      <c r="AB258" s="11"/>
      <c r="AC258" s="69">
        <f t="shared" ref="AC258:AC263" si="2388">AC257-AA258</f>
        <v>157</v>
      </c>
      <c r="AD258" s="69">
        <f t="shared" ref="AD258:AD263" si="2389">AD257-AB258</f>
        <v>13</v>
      </c>
      <c r="AE258" s="11">
        <v>86</v>
      </c>
      <c r="AF258" s="12">
        <f t="shared" si="2338"/>
        <v>0.56050955414012738</v>
      </c>
      <c r="AG258" s="11">
        <v>2</v>
      </c>
      <c r="AH258" s="12">
        <f t="shared" si="2339"/>
        <v>2.2727272727272728E-2</v>
      </c>
      <c r="AI258" s="13"/>
      <c r="AJ258" s="11"/>
      <c r="AK258" s="11"/>
      <c r="AL258" s="14"/>
      <c r="AM258" s="10"/>
      <c r="AN258" s="11"/>
      <c r="AO258" s="69">
        <f t="shared" ref="AO258:AO263" si="2390">AO257-AM258</f>
        <v>752</v>
      </c>
      <c r="AP258" s="69">
        <f t="shared" ref="AP258:AP263" si="2391">AP257-AN258</f>
        <v>61</v>
      </c>
      <c r="AQ258" s="11">
        <v>392</v>
      </c>
      <c r="AR258" s="12">
        <f t="shared" si="2340"/>
        <v>0.53590425531914898</v>
      </c>
      <c r="AS258" s="11">
        <v>11</v>
      </c>
      <c r="AT258" s="12">
        <f t="shared" si="2341"/>
        <v>2.729528535980149E-2</v>
      </c>
      <c r="AU258" s="13"/>
      <c r="AV258" s="11"/>
      <c r="AW258" s="11"/>
      <c r="AX258" s="14"/>
      <c r="AY258" s="10"/>
      <c r="AZ258" s="11"/>
      <c r="BA258" s="69">
        <f t="shared" ref="BA258:BA263" si="2392">BA257-AY258</f>
        <v>746</v>
      </c>
      <c r="BB258" s="69">
        <f t="shared" ref="BB258:BB263" si="2393">BB257-AZ258</f>
        <v>60</v>
      </c>
      <c r="BC258" s="11">
        <v>405</v>
      </c>
      <c r="BD258" s="12">
        <f t="shared" si="2342"/>
        <v>0.56032171581769441</v>
      </c>
      <c r="BE258" s="11">
        <v>13</v>
      </c>
      <c r="BF258" s="12">
        <f t="shared" si="2343"/>
        <v>3.1100478468899521E-2</v>
      </c>
      <c r="BG258" s="13"/>
      <c r="BH258" s="11"/>
      <c r="BI258" s="11"/>
      <c r="BJ258" s="14"/>
      <c r="BK258" s="10"/>
      <c r="BL258" s="11">
        <v>1</v>
      </c>
      <c r="BM258" s="69">
        <f t="shared" ref="BM258:BM263" si="2394">BM257-BK258</f>
        <v>804</v>
      </c>
      <c r="BN258" s="69">
        <f t="shared" ref="BN258:BN263" si="2395">BN257-BL258</f>
        <v>62</v>
      </c>
      <c r="BO258" s="11">
        <v>399</v>
      </c>
      <c r="BP258" s="12">
        <f t="shared" si="2344"/>
        <v>0.51616915422885568</v>
      </c>
      <c r="BQ258" s="11">
        <v>16</v>
      </c>
      <c r="BR258" s="12">
        <f t="shared" si="2345"/>
        <v>3.8554216867469883E-2</v>
      </c>
      <c r="BS258" s="13"/>
      <c r="BT258" s="11"/>
      <c r="BU258" s="11"/>
      <c r="BV258" s="14"/>
      <c r="BW258" s="10"/>
      <c r="BX258" s="11"/>
      <c r="BY258" s="69">
        <f t="shared" ref="BY258:BY263" si="2396">BY257-BW258</f>
        <v>740</v>
      </c>
      <c r="BZ258" s="69">
        <f t="shared" ref="BZ258:BZ263" si="2397">BZ257-BX258</f>
        <v>59</v>
      </c>
      <c r="CA258" s="11">
        <v>325</v>
      </c>
      <c r="CB258" s="12">
        <f t="shared" si="2346"/>
        <v>0.46756756756756757</v>
      </c>
      <c r="CC258" s="11">
        <v>21</v>
      </c>
      <c r="CD258" s="12">
        <f t="shared" si="2347"/>
        <v>6.0693641618497107E-2</v>
      </c>
      <c r="CE258" s="13"/>
      <c r="CF258" s="11"/>
      <c r="CG258" s="11"/>
      <c r="CH258" s="14"/>
      <c r="CI258" s="10"/>
      <c r="CJ258" s="11"/>
      <c r="CK258" s="69">
        <f t="shared" ref="CK258:CK263" si="2398">CK257-CI258</f>
        <v>131</v>
      </c>
      <c r="CL258" s="69">
        <f t="shared" ref="CL258:CL263" si="2399">CL257-CJ258</f>
        <v>12</v>
      </c>
      <c r="CM258" s="11">
        <v>53</v>
      </c>
      <c r="CN258" s="12">
        <f t="shared" si="2348"/>
        <v>0.41984732824427479</v>
      </c>
      <c r="CO258" s="11">
        <v>2</v>
      </c>
      <c r="CP258" s="12">
        <f t="shared" si="2349"/>
        <v>3.6363636363636362E-2</v>
      </c>
      <c r="CQ258" s="13"/>
      <c r="CR258" s="11"/>
      <c r="CS258" s="11"/>
      <c r="CT258" s="14"/>
      <c r="CU258" s="10"/>
      <c r="CV258" s="11"/>
      <c r="CW258" s="69">
        <f t="shared" ref="CW258:CW263" si="2400">CW257-CU258</f>
        <v>734</v>
      </c>
      <c r="CX258" s="69">
        <f t="shared" ref="CX258:CX263" si="2401">CX257-CV258</f>
        <v>59</v>
      </c>
      <c r="CY258" s="11">
        <v>377</v>
      </c>
      <c r="CZ258" s="12">
        <f t="shared" si="2350"/>
        <v>0.52452316076294281</v>
      </c>
      <c r="DA258" s="11">
        <v>8</v>
      </c>
      <c r="DB258" s="12">
        <f t="shared" si="2351"/>
        <v>2.0779220779220779E-2</v>
      </c>
      <c r="DC258" s="13"/>
      <c r="DD258" s="11"/>
      <c r="DE258" s="11"/>
      <c r="DF258" s="14"/>
      <c r="DG258" s="10">
        <v>1</v>
      </c>
      <c r="DH258" s="11"/>
      <c r="DI258" s="69">
        <f t="shared" ref="DI258:DI263" si="2402">DI257-DG258</f>
        <v>727</v>
      </c>
      <c r="DJ258" s="69">
        <f t="shared" ref="DJ258:DJ263" si="2403">DJ257-DH258</f>
        <v>59</v>
      </c>
      <c r="DK258" s="11">
        <v>417</v>
      </c>
      <c r="DL258" s="12">
        <f t="shared" si="2352"/>
        <v>0.59147180192572213</v>
      </c>
      <c r="DM258" s="11">
        <v>13</v>
      </c>
      <c r="DN258" s="12">
        <f t="shared" si="2353"/>
        <v>3.0232558139534883E-2</v>
      </c>
      <c r="DO258" s="13"/>
      <c r="DP258" s="11"/>
      <c r="DQ258" s="11"/>
      <c r="DR258" s="14"/>
      <c r="DS258" s="10"/>
      <c r="DT258" s="11"/>
      <c r="DU258" s="69">
        <f t="shared" ref="DU258:DU263" si="2404">DU257-DS258</f>
        <v>818</v>
      </c>
      <c r="DV258" s="69">
        <f t="shared" ref="DV258:DV263" si="2405">DV257-DT258</f>
        <v>66</v>
      </c>
      <c r="DW258" s="11">
        <v>424</v>
      </c>
      <c r="DX258" s="12">
        <f t="shared" si="2354"/>
        <v>0.54156479217603914</v>
      </c>
      <c r="DY258" s="11">
        <v>19</v>
      </c>
      <c r="DZ258" s="12">
        <f t="shared" si="2355"/>
        <v>4.2889390519187359E-2</v>
      </c>
      <c r="EA258" s="13"/>
      <c r="EB258" s="11"/>
      <c r="EC258" s="11"/>
      <c r="ED258" s="14"/>
      <c r="EE258" s="10"/>
      <c r="EF258" s="11"/>
      <c r="EG258" s="69">
        <f t="shared" ref="EG258:EG263" si="2406">EG257-EE258</f>
        <v>843</v>
      </c>
      <c r="EH258" s="69">
        <f t="shared" ref="EH258:EH263" si="2407">EH257-EF258</f>
        <v>67</v>
      </c>
      <c r="EI258" s="11">
        <v>448</v>
      </c>
      <c r="EJ258" s="12">
        <f t="shared" si="2356"/>
        <v>0.55160142348754448</v>
      </c>
      <c r="EK258" s="11">
        <v>17</v>
      </c>
      <c r="EL258" s="12">
        <f t="shared" si="2357"/>
        <v>3.6559139784946237E-2</v>
      </c>
      <c r="EM258" s="13"/>
      <c r="EN258" s="11"/>
      <c r="EO258" s="11"/>
      <c r="EP258" s="14"/>
      <c r="EQ258" s="10"/>
      <c r="ER258" s="11"/>
      <c r="ES258" s="69">
        <f t="shared" ref="ES258:ES263" si="2408">ES257-EQ258</f>
        <v>167</v>
      </c>
      <c r="ET258" s="69">
        <f t="shared" ref="ET258:ET263" si="2409">ET257-ER258</f>
        <v>14</v>
      </c>
      <c r="EU258" s="11">
        <v>80</v>
      </c>
      <c r="EV258" s="12">
        <f t="shared" si="2358"/>
        <v>0.48502994011976047</v>
      </c>
      <c r="EW258" s="11">
        <v>1</v>
      </c>
      <c r="EX258" s="12">
        <f t="shared" si="2359"/>
        <v>1.2345679012345678E-2</v>
      </c>
      <c r="EY258" s="13"/>
      <c r="EZ258" s="11"/>
      <c r="FA258" s="11"/>
      <c r="FB258" s="14"/>
      <c r="FC258" s="10"/>
      <c r="FD258" s="11"/>
      <c r="FE258" s="69">
        <f t="shared" ref="FE258:FE263" si="2410">FE257-FC258</f>
        <v>847</v>
      </c>
      <c r="FF258" s="69">
        <f t="shared" ref="FF258:FF263" si="2411">FF257-FD258</f>
        <v>67</v>
      </c>
      <c r="FG258" s="11">
        <v>446</v>
      </c>
      <c r="FH258" s="12">
        <f t="shared" si="2360"/>
        <v>0.53482880755608031</v>
      </c>
      <c r="FI258" s="11">
        <v>7</v>
      </c>
      <c r="FJ258" s="12">
        <f t="shared" si="2361"/>
        <v>1.5452538631346579E-2</v>
      </c>
      <c r="FK258" s="13"/>
      <c r="FL258" s="11"/>
      <c r="FM258" s="11"/>
      <c r="FN258" s="14"/>
      <c r="FO258" s="10">
        <v>1</v>
      </c>
      <c r="FP258" s="11"/>
      <c r="FQ258" s="69">
        <f t="shared" ref="FQ258:FQ263" si="2412">FQ257-FO258</f>
        <v>866</v>
      </c>
      <c r="FR258" s="69">
        <f t="shared" ref="FR258:FR263" si="2413">FR257-FP258</f>
        <v>70</v>
      </c>
      <c r="FS258" s="11">
        <v>417</v>
      </c>
      <c r="FT258" s="12">
        <f t="shared" si="2362"/>
        <v>0.49769053117782908</v>
      </c>
      <c r="FU258" s="11">
        <v>14</v>
      </c>
      <c r="FV258" s="12">
        <f t="shared" si="2363"/>
        <v>3.248259860788863E-2</v>
      </c>
      <c r="FW258" s="13"/>
      <c r="FX258" s="11"/>
      <c r="FY258" s="11"/>
      <c r="FZ258" s="14"/>
      <c r="GA258" s="10"/>
      <c r="GB258" s="11"/>
      <c r="GC258" s="69">
        <f t="shared" ref="GC258:GC263" si="2414">GC257-GA258</f>
        <v>871</v>
      </c>
      <c r="GD258" s="69">
        <f t="shared" ref="GD258:GD263" si="2415">GD257-GB258</f>
        <v>71</v>
      </c>
      <c r="GE258" s="11">
        <v>462</v>
      </c>
      <c r="GF258" s="12">
        <f t="shared" si="2364"/>
        <v>0.5499425947187141</v>
      </c>
      <c r="GG258" s="11">
        <v>17</v>
      </c>
      <c r="GH258" s="12">
        <f t="shared" si="2365"/>
        <v>3.5490605427974949E-2</v>
      </c>
      <c r="GI258" s="13"/>
      <c r="GJ258" s="11"/>
      <c r="GK258" s="11"/>
      <c r="GL258" s="14"/>
      <c r="GM258" s="10"/>
      <c r="GN258" s="11"/>
      <c r="GO258" s="69">
        <f t="shared" ref="GO258:GO263" si="2416">GO257-GM258</f>
        <v>144</v>
      </c>
      <c r="GP258" s="69">
        <f t="shared" ref="GP258:GP263" si="2417">GP257-GN258</f>
        <v>12</v>
      </c>
      <c r="GQ258" s="11">
        <v>65</v>
      </c>
      <c r="GR258" s="12">
        <f t="shared" si="2366"/>
        <v>0.46527777777777779</v>
      </c>
      <c r="GS258" s="11">
        <v>2</v>
      </c>
      <c r="GT258" s="12">
        <f t="shared" si="2367"/>
        <v>2.9850746268656716E-2</v>
      </c>
      <c r="GU258" s="13"/>
      <c r="GV258" s="11"/>
      <c r="GW258" s="11"/>
      <c r="GX258" s="14"/>
      <c r="GY258" s="10"/>
      <c r="GZ258" s="11"/>
      <c r="HA258" s="69">
        <f t="shared" ref="HA258:HA263" si="2418">HA257-GY258</f>
        <v>899</v>
      </c>
      <c r="HB258" s="69">
        <f t="shared" ref="HB258:HB263" si="2419">HB257-GZ258</f>
        <v>72</v>
      </c>
      <c r="HC258" s="11">
        <v>458</v>
      </c>
      <c r="HD258" s="12">
        <f t="shared" si="2368"/>
        <v>0.52280311457174633</v>
      </c>
      <c r="HE258" s="11">
        <v>12</v>
      </c>
      <c r="HF258" s="12">
        <f t="shared" si="2369"/>
        <v>2.553191489361702E-2</v>
      </c>
      <c r="HG258" s="13"/>
      <c r="HH258" s="11"/>
      <c r="HI258" s="11"/>
      <c r="HJ258" s="14"/>
      <c r="HK258" s="10">
        <f t="shared" si="2370"/>
        <v>2</v>
      </c>
      <c r="HL258" s="11">
        <f t="shared" si="2371"/>
        <v>1</v>
      </c>
      <c r="HM258" s="11">
        <f t="shared" si="2372"/>
        <v>11804</v>
      </c>
      <c r="HN258" s="11">
        <f t="shared" si="2373"/>
        <v>950</v>
      </c>
      <c r="HO258" s="11">
        <f t="shared" si="2374"/>
        <v>6266</v>
      </c>
      <c r="HP258" s="95">
        <f>+(HO258)/HM258</f>
        <v>0.53083700440528636</v>
      </c>
      <c r="HQ258" s="15">
        <f t="shared" si="2376"/>
        <v>210</v>
      </c>
      <c r="HR258" s="12">
        <f t="shared" si="2377"/>
        <v>3.3514203638684965E-2</v>
      </c>
      <c r="HS258" s="16">
        <v>66.400000000000006</v>
      </c>
      <c r="HT258" s="17">
        <v>5956</v>
      </c>
      <c r="HU258" s="16">
        <f t="shared" si="2378"/>
        <v>95.052665177146494</v>
      </c>
      <c r="HV258" s="15"/>
      <c r="HW258" s="14"/>
      <c r="HX258" s="73">
        <f t="shared" si="2379"/>
        <v>0.54341736694677867</v>
      </c>
      <c r="HY258" s="73">
        <f t="shared" si="2380"/>
        <v>0.5200892857142857</v>
      </c>
      <c r="HZ258" s="73">
        <f t="shared" si="2381"/>
        <v>0.53906542056074769</v>
      </c>
      <c r="IA258" s="73">
        <f t="shared" si="2382"/>
        <v>0.52050359712230221</v>
      </c>
    </row>
    <row r="259" spans="1:244" x14ac:dyDescent="0.25">
      <c r="A259" s="374"/>
      <c r="B259" s="41">
        <f t="shared" si="2383"/>
        <v>45139</v>
      </c>
      <c r="C259" s="10"/>
      <c r="D259" s="11"/>
      <c r="E259" s="69">
        <f t="shared" si="2384"/>
        <v>813</v>
      </c>
      <c r="F259" s="69">
        <f t="shared" si="2385"/>
        <v>66</v>
      </c>
      <c r="G259" s="11">
        <v>375</v>
      </c>
      <c r="H259" s="12">
        <f t="shared" si="2334"/>
        <v>0.4735547355473555</v>
      </c>
      <c r="I259" s="11">
        <v>10</v>
      </c>
      <c r="J259" s="12">
        <f t="shared" si="2335"/>
        <v>2.5974025974025976E-2</v>
      </c>
      <c r="K259" s="13"/>
      <c r="L259" s="11"/>
      <c r="M259" s="11"/>
      <c r="N259" s="14"/>
      <c r="O259" s="10"/>
      <c r="P259" s="11"/>
      <c r="Q259" s="69">
        <f t="shared" si="2386"/>
        <v>745</v>
      </c>
      <c r="R259" s="69">
        <f t="shared" si="2387"/>
        <v>60</v>
      </c>
      <c r="S259" s="11">
        <v>381</v>
      </c>
      <c r="T259" s="12">
        <f t="shared" si="2336"/>
        <v>0.53557046979865774</v>
      </c>
      <c r="U259" s="11">
        <v>18</v>
      </c>
      <c r="V259" s="12">
        <f t="shared" si="2337"/>
        <v>4.5112781954887216E-2</v>
      </c>
      <c r="W259" s="13"/>
      <c r="X259" s="11"/>
      <c r="Y259" s="11"/>
      <c r="Z259" s="14"/>
      <c r="AA259" s="10"/>
      <c r="AB259" s="11"/>
      <c r="AC259" s="69">
        <f t="shared" si="2388"/>
        <v>157</v>
      </c>
      <c r="AD259" s="69">
        <f t="shared" si="2389"/>
        <v>13</v>
      </c>
      <c r="AE259" s="11">
        <v>79</v>
      </c>
      <c r="AF259" s="12">
        <f t="shared" si="2338"/>
        <v>0.52229299363057324</v>
      </c>
      <c r="AG259" s="11">
        <v>3</v>
      </c>
      <c r="AH259" s="12">
        <f t="shared" si="2339"/>
        <v>3.6585365853658534E-2</v>
      </c>
      <c r="AI259" s="13"/>
      <c r="AJ259" s="11"/>
      <c r="AK259" s="11"/>
      <c r="AL259" s="14"/>
      <c r="AM259" s="10"/>
      <c r="AN259" s="11"/>
      <c r="AO259" s="69">
        <f t="shared" si="2390"/>
        <v>752</v>
      </c>
      <c r="AP259" s="69">
        <f t="shared" si="2391"/>
        <v>61</v>
      </c>
      <c r="AQ259" s="11">
        <v>362</v>
      </c>
      <c r="AR259" s="12">
        <f t="shared" si="2340"/>
        <v>0.49069148936170215</v>
      </c>
      <c r="AS259" s="11">
        <v>7</v>
      </c>
      <c r="AT259" s="12">
        <f t="shared" si="2341"/>
        <v>1.8970189701897018E-2</v>
      </c>
      <c r="AU259" s="13"/>
      <c r="AV259" s="11"/>
      <c r="AW259" s="11"/>
      <c r="AX259" s="14"/>
      <c r="AY259" s="10"/>
      <c r="AZ259" s="11"/>
      <c r="BA259" s="69">
        <f t="shared" si="2392"/>
        <v>746</v>
      </c>
      <c r="BB259" s="69">
        <f t="shared" si="2393"/>
        <v>60</v>
      </c>
      <c r="BC259" s="11">
        <v>390</v>
      </c>
      <c r="BD259" s="12">
        <f t="shared" si="2342"/>
        <v>0.52949061662198393</v>
      </c>
      <c r="BE259" s="11">
        <v>5</v>
      </c>
      <c r="BF259" s="12">
        <f t="shared" si="2343"/>
        <v>1.2658227848101266E-2</v>
      </c>
      <c r="BG259" s="13"/>
      <c r="BH259" s="11"/>
      <c r="BI259" s="11"/>
      <c r="BJ259" s="14"/>
      <c r="BK259" s="10"/>
      <c r="BL259" s="11"/>
      <c r="BM259" s="69">
        <f t="shared" si="2394"/>
        <v>804</v>
      </c>
      <c r="BN259" s="69">
        <f t="shared" si="2395"/>
        <v>62</v>
      </c>
      <c r="BO259" s="11">
        <v>426</v>
      </c>
      <c r="BP259" s="12">
        <f t="shared" si="2344"/>
        <v>0.53731343283582089</v>
      </c>
      <c r="BQ259" s="11">
        <v>6</v>
      </c>
      <c r="BR259" s="12">
        <f t="shared" si="2345"/>
        <v>1.3888888888888888E-2</v>
      </c>
      <c r="BS259" s="13"/>
      <c r="BT259" s="11"/>
      <c r="BU259" s="11"/>
      <c r="BV259" s="14"/>
      <c r="BW259" s="10"/>
      <c r="BX259" s="11"/>
      <c r="BY259" s="69">
        <f t="shared" si="2396"/>
        <v>740</v>
      </c>
      <c r="BZ259" s="69">
        <f t="shared" si="2397"/>
        <v>59</v>
      </c>
      <c r="CA259" s="11">
        <v>354</v>
      </c>
      <c r="CB259" s="12">
        <f t="shared" si="2346"/>
        <v>0.48648648648648651</v>
      </c>
      <c r="CC259" s="11">
        <v>6</v>
      </c>
      <c r="CD259" s="12">
        <f t="shared" si="2347"/>
        <v>1.6666666666666666E-2</v>
      </c>
      <c r="CE259" s="13"/>
      <c r="CF259" s="11"/>
      <c r="CG259" s="11"/>
      <c r="CH259" s="14"/>
      <c r="CI259" s="10"/>
      <c r="CJ259" s="11"/>
      <c r="CK259" s="69">
        <f t="shared" si="2398"/>
        <v>131</v>
      </c>
      <c r="CL259" s="69">
        <f t="shared" si="2399"/>
        <v>12</v>
      </c>
      <c r="CM259" s="11">
        <v>64</v>
      </c>
      <c r="CN259" s="12">
        <f t="shared" si="2348"/>
        <v>0.50381679389312972</v>
      </c>
      <c r="CO259" s="11">
        <v>2</v>
      </c>
      <c r="CP259" s="12">
        <f t="shared" si="2349"/>
        <v>3.0303030303030304E-2</v>
      </c>
      <c r="CQ259" s="13"/>
      <c r="CR259" s="11"/>
      <c r="CS259" s="11"/>
      <c r="CT259" s="14"/>
      <c r="CU259" s="10"/>
      <c r="CV259" s="11"/>
      <c r="CW259" s="69">
        <f t="shared" si="2400"/>
        <v>734</v>
      </c>
      <c r="CX259" s="69">
        <f t="shared" si="2401"/>
        <v>59</v>
      </c>
      <c r="CY259" s="11">
        <v>331</v>
      </c>
      <c r="CZ259" s="12">
        <f t="shared" si="2350"/>
        <v>0.45912806539509537</v>
      </c>
      <c r="DA259" s="11">
        <v>6</v>
      </c>
      <c r="DB259" s="12">
        <f t="shared" si="2351"/>
        <v>1.7804154302670624E-2</v>
      </c>
      <c r="DC259" s="13"/>
      <c r="DD259" s="11"/>
      <c r="DE259" s="11"/>
      <c r="DF259" s="14"/>
      <c r="DG259" s="10">
        <v>1</v>
      </c>
      <c r="DH259" s="11"/>
      <c r="DI259" s="69">
        <f t="shared" si="2402"/>
        <v>726</v>
      </c>
      <c r="DJ259" s="69">
        <f t="shared" si="2403"/>
        <v>59</v>
      </c>
      <c r="DK259" s="11">
        <v>408</v>
      </c>
      <c r="DL259" s="12">
        <f t="shared" si="2352"/>
        <v>0.56887052341597799</v>
      </c>
      <c r="DM259" s="11">
        <v>5</v>
      </c>
      <c r="DN259" s="12">
        <f t="shared" si="2353"/>
        <v>1.2106537530266344E-2</v>
      </c>
      <c r="DO259" s="13"/>
      <c r="DP259" s="11"/>
      <c r="DQ259" s="11"/>
      <c r="DR259" s="14"/>
      <c r="DS259" s="10"/>
      <c r="DT259" s="11"/>
      <c r="DU259" s="69">
        <f t="shared" si="2404"/>
        <v>818</v>
      </c>
      <c r="DV259" s="69">
        <f t="shared" si="2405"/>
        <v>66</v>
      </c>
      <c r="DW259" s="11">
        <v>407</v>
      </c>
      <c r="DX259" s="12">
        <f t="shared" si="2354"/>
        <v>0.5171149144254279</v>
      </c>
      <c r="DY259" s="11">
        <v>16</v>
      </c>
      <c r="DZ259" s="12">
        <f t="shared" si="2355"/>
        <v>3.7825059101654845E-2</v>
      </c>
      <c r="EA259" s="13"/>
      <c r="EB259" s="11"/>
      <c r="EC259" s="11"/>
      <c r="ED259" s="14"/>
      <c r="EE259" s="10"/>
      <c r="EF259" s="11"/>
      <c r="EG259" s="69">
        <f t="shared" si="2406"/>
        <v>843</v>
      </c>
      <c r="EH259" s="69">
        <f t="shared" si="2407"/>
        <v>67</v>
      </c>
      <c r="EI259" s="11">
        <v>406</v>
      </c>
      <c r="EJ259" s="12">
        <f t="shared" si="2356"/>
        <v>0.50533807829181498</v>
      </c>
      <c r="EK259" s="11">
        <v>20</v>
      </c>
      <c r="EL259" s="12">
        <f t="shared" si="2357"/>
        <v>4.6948356807511735E-2</v>
      </c>
      <c r="EM259" s="13"/>
      <c r="EN259" s="11"/>
      <c r="EO259" s="11"/>
      <c r="EP259" s="14"/>
      <c r="EQ259" s="10">
        <v>1</v>
      </c>
      <c r="ER259" s="11"/>
      <c r="ES259" s="69">
        <f t="shared" si="2408"/>
        <v>166</v>
      </c>
      <c r="ET259" s="69">
        <f t="shared" si="2409"/>
        <v>14</v>
      </c>
      <c r="EU259" s="11">
        <v>62</v>
      </c>
      <c r="EV259" s="12">
        <f t="shared" si="2358"/>
        <v>0.41566265060240964</v>
      </c>
      <c r="EW259" s="11">
        <v>7</v>
      </c>
      <c r="EX259" s="12">
        <f t="shared" si="2359"/>
        <v>0.10144927536231885</v>
      </c>
      <c r="EY259" s="13"/>
      <c r="EZ259" s="11"/>
      <c r="FA259" s="11"/>
      <c r="FB259" s="14"/>
      <c r="FC259" s="10"/>
      <c r="FD259" s="11"/>
      <c r="FE259" s="69">
        <f t="shared" si="2410"/>
        <v>847</v>
      </c>
      <c r="FF259" s="69">
        <f t="shared" si="2411"/>
        <v>67</v>
      </c>
      <c r="FG259" s="11">
        <v>413</v>
      </c>
      <c r="FH259" s="12">
        <f t="shared" si="2360"/>
        <v>0.50531286894923255</v>
      </c>
      <c r="FI259" s="11">
        <v>15</v>
      </c>
      <c r="FJ259" s="12">
        <f t="shared" si="2361"/>
        <v>3.5046728971962614E-2</v>
      </c>
      <c r="FK259" s="13"/>
      <c r="FL259" s="11"/>
      <c r="FM259" s="11"/>
      <c r="FN259" s="14"/>
      <c r="FO259" s="10"/>
      <c r="FP259" s="11"/>
      <c r="FQ259" s="69">
        <f t="shared" si="2412"/>
        <v>866</v>
      </c>
      <c r="FR259" s="69">
        <f t="shared" si="2413"/>
        <v>70</v>
      </c>
      <c r="FS259" s="11">
        <v>437</v>
      </c>
      <c r="FT259" s="12">
        <f t="shared" si="2362"/>
        <v>0.52078521939953815</v>
      </c>
      <c r="FU259" s="11">
        <v>14</v>
      </c>
      <c r="FV259" s="12">
        <f t="shared" si="2363"/>
        <v>3.1042128603104215E-2</v>
      </c>
      <c r="FW259" s="13"/>
      <c r="FX259" s="11"/>
      <c r="FY259" s="11"/>
      <c r="FZ259" s="14"/>
      <c r="GA259" s="10"/>
      <c r="GB259" s="11"/>
      <c r="GC259" s="69">
        <f t="shared" si="2414"/>
        <v>871</v>
      </c>
      <c r="GD259" s="69">
        <f t="shared" si="2415"/>
        <v>71</v>
      </c>
      <c r="GE259" s="11">
        <v>446</v>
      </c>
      <c r="GF259" s="12">
        <f t="shared" si="2364"/>
        <v>0.53272101033295061</v>
      </c>
      <c r="GG259" s="11">
        <v>18</v>
      </c>
      <c r="GH259" s="12">
        <f t="shared" si="2365"/>
        <v>3.8793103448275863E-2</v>
      </c>
      <c r="GI259" s="13"/>
      <c r="GJ259" s="11"/>
      <c r="GK259" s="11"/>
      <c r="GL259" s="14"/>
      <c r="GM259" s="10"/>
      <c r="GN259" s="11"/>
      <c r="GO259" s="69">
        <f t="shared" si="2416"/>
        <v>144</v>
      </c>
      <c r="GP259" s="69">
        <f t="shared" si="2417"/>
        <v>12</v>
      </c>
      <c r="GQ259" s="11">
        <v>52</v>
      </c>
      <c r="GR259" s="12">
        <f t="shared" si="2366"/>
        <v>0.38194444444444442</v>
      </c>
      <c r="GS259" s="11">
        <v>3</v>
      </c>
      <c r="GT259" s="12">
        <f t="shared" si="2367"/>
        <v>5.4545454545454543E-2</v>
      </c>
      <c r="GU259" s="13"/>
      <c r="GV259" s="11"/>
      <c r="GW259" s="11"/>
      <c r="GX259" s="14"/>
      <c r="GY259" s="10"/>
      <c r="GZ259" s="11"/>
      <c r="HA259" s="69">
        <f t="shared" si="2418"/>
        <v>899</v>
      </c>
      <c r="HB259" s="69">
        <f t="shared" si="2419"/>
        <v>72</v>
      </c>
      <c r="HC259" s="11">
        <v>459</v>
      </c>
      <c r="HD259" s="12">
        <f t="shared" si="2368"/>
        <v>0.52280311457174633</v>
      </c>
      <c r="HE259" s="11">
        <v>11</v>
      </c>
      <c r="HF259" s="12">
        <f t="shared" si="2369"/>
        <v>2.3404255319148935E-2</v>
      </c>
      <c r="HG259" s="13"/>
      <c r="HH259" s="11"/>
      <c r="HI259" s="11"/>
      <c r="HJ259" s="14"/>
      <c r="HK259" s="10">
        <f t="shared" si="2370"/>
        <v>2</v>
      </c>
      <c r="HL259" s="11">
        <f t="shared" si="2371"/>
        <v>0</v>
      </c>
      <c r="HM259" s="11">
        <f t="shared" si="2372"/>
        <v>11802</v>
      </c>
      <c r="HN259" s="11">
        <f t="shared" si="2373"/>
        <v>950</v>
      </c>
      <c r="HO259" s="11">
        <f t="shared" si="2374"/>
        <v>6024</v>
      </c>
      <c r="HP259" s="95">
        <f t="shared" si="2375"/>
        <v>0.51042196237925774</v>
      </c>
      <c r="HQ259" s="15">
        <f t="shared" si="2376"/>
        <v>172</v>
      </c>
      <c r="HR259" s="12">
        <f t="shared" si="2377"/>
        <v>2.8552456839309428E-2</v>
      </c>
      <c r="HS259" s="16">
        <v>66.5</v>
      </c>
      <c r="HT259" s="17">
        <v>5746</v>
      </c>
      <c r="HU259" s="16">
        <f t="shared" si="2378"/>
        <v>95.385126162018594</v>
      </c>
      <c r="HV259" s="15"/>
      <c r="HW259" s="14"/>
      <c r="HX259" s="73">
        <f t="shared" si="2379"/>
        <v>0.50731403672580144</v>
      </c>
      <c r="HY259" s="73">
        <f t="shared" si="2380"/>
        <v>0.51291866028708133</v>
      </c>
      <c r="HZ259" s="73">
        <f t="shared" si="2381"/>
        <v>0.50336574420344049</v>
      </c>
      <c r="IA259" s="73">
        <f t="shared" si="2382"/>
        <v>0.51798561151079137</v>
      </c>
    </row>
    <row r="260" spans="1:244" x14ac:dyDescent="0.25">
      <c r="A260" s="374"/>
      <c r="B260" s="41">
        <f t="shared" si="2383"/>
        <v>45140</v>
      </c>
      <c r="C260" s="10">
        <v>1</v>
      </c>
      <c r="D260" s="11"/>
      <c r="E260" s="69">
        <f t="shared" si="2384"/>
        <v>812</v>
      </c>
      <c r="F260" s="69">
        <f t="shared" si="2385"/>
        <v>66</v>
      </c>
      <c r="G260" s="11">
        <v>390</v>
      </c>
      <c r="H260" s="12">
        <f t="shared" si="2334"/>
        <v>0.4963054187192118</v>
      </c>
      <c r="I260" s="11">
        <v>13</v>
      </c>
      <c r="J260" s="12">
        <f t="shared" si="2335"/>
        <v>3.2258064516129031E-2</v>
      </c>
      <c r="K260" s="11"/>
      <c r="L260" s="11"/>
      <c r="M260" s="18"/>
      <c r="N260" s="20"/>
      <c r="O260" s="10"/>
      <c r="P260" s="11"/>
      <c r="Q260" s="69">
        <f t="shared" si="2386"/>
        <v>745</v>
      </c>
      <c r="R260" s="69">
        <f t="shared" si="2387"/>
        <v>60</v>
      </c>
      <c r="S260" s="11">
        <v>358</v>
      </c>
      <c r="T260" s="12">
        <f t="shared" si="2336"/>
        <v>0.49530201342281877</v>
      </c>
      <c r="U260" s="11">
        <v>11</v>
      </c>
      <c r="V260" s="12">
        <f t="shared" si="2337"/>
        <v>2.9810298102981029E-2</v>
      </c>
      <c r="W260" s="11"/>
      <c r="X260" s="11"/>
      <c r="Y260" s="18"/>
      <c r="Z260" s="20"/>
      <c r="AA260" s="10"/>
      <c r="AB260" s="11"/>
      <c r="AC260" s="69">
        <f t="shared" si="2388"/>
        <v>157</v>
      </c>
      <c r="AD260" s="69">
        <f t="shared" si="2389"/>
        <v>13</v>
      </c>
      <c r="AE260" s="11">
        <v>65</v>
      </c>
      <c r="AF260" s="12">
        <f t="shared" si="2338"/>
        <v>0.43949044585987262</v>
      </c>
      <c r="AG260" s="11">
        <v>4</v>
      </c>
      <c r="AH260" s="12">
        <f t="shared" si="2339"/>
        <v>5.7971014492753624E-2</v>
      </c>
      <c r="AI260" s="11"/>
      <c r="AJ260" s="11"/>
      <c r="AK260" s="18"/>
      <c r="AL260" s="20"/>
      <c r="AM260" s="10"/>
      <c r="AN260" s="11"/>
      <c r="AO260" s="69">
        <f t="shared" si="2390"/>
        <v>752</v>
      </c>
      <c r="AP260" s="69">
        <f t="shared" si="2391"/>
        <v>61</v>
      </c>
      <c r="AQ260" s="11">
        <v>348</v>
      </c>
      <c r="AR260" s="12">
        <f t="shared" si="2340"/>
        <v>0.46941489361702127</v>
      </c>
      <c r="AS260" s="11">
        <v>5</v>
      </c>
      <c r="AT260" s="12">
        <f t="shared" si="2341"/>
        <v>1.4164305949008499E-2</v>
      </c>
      <c r="AU260" s="11"/>
      <c r="AV260" s="11"/>
      <c r="AW260" s="18"/>
      <c r="AX260" s="20"/>
      <c r="AY260" s="10"/>
      <c r="AZ260" s="11"/>
      <c r="BA260" s="69">
        <f t="shared" si="2392"/>
        <v>746</v>
      </c>
      <c r="BB260" s="69">
        <f t="shared" si="2393"/>
        <v>60</v>
      </c>
      <c r="BC260" s="11">
        <v>379</v>
      </c>
      <c r="BD260" s="12">
        <f t="shared" si="2342"/>
        <v>0.52010723860589814</v>
      </c>
      <c r="BE260" s="11">
        <v>9</v>
      </c>
      <c r="BF260" s="12">
        <f t="shared" si="2343"/>
        <v>2.3195876288659795E-2</v>
      </c>
      <c r="BG260" s="11"/>
      <c r="BH260" s="11"/>
      <c r="BI260" s="18"/>
      <c r="BJ260" s="20"/>
      <c r="BK260" s="10">
        <v>1</v>
      </c>
      <c r="BL260" s="11"/>
      <c r="BM260" s="69">
        <f t="shared" si="2394"/>
        <v>803</v>
      </c>
      <c r="BN260" s="69">
        <f t="shared" si="2395"/>
        <v>62</v>
      </c>
      <c r="BO260" s="11">
        <v>401</v>
      </c>
      <c r="BP260" s="12">
        <f t="shared" si="2344"/>
        <v>0.51681195516811951</v>
      </c>
      <c r="BQ260" s="11">
        <v>14</v>
      </c>
      <c r="BR260" s="12">
        <f t="shared" si="2345"/>
        <v>3.3734939759036145E-2</v>
      </c>
      <c r="BS260" s="11"/>
      <c r="BT260" s="11"/>
      <c r="BU260" s="18"/>
      <c r="BV260" s="20"/>
      <c r="BW260" s="10"/>
      <c r="BX260" s="11"/>
      <c r="BY260" s="69">
        <f t="shared" si="2396"/>
        <v>740</v>
      </c>
      <c r="BZ260" s="69">
        <f t="shared" si="2397"/>
        <v>59</v>
      </c>
      <c r="CA260" s="11">
        <v>375</v>
      </c>
      <c r="CB260" s="12">
        <f t="shared" si="2346"/>
        <v>0.51756756756756761</v>
      </c>
      <c r="CC260" s="11">
        <v>8</v>
      </c>
      <c r="CD260" s="12">
        <f t="shared" si="2347"/>
        <v>2.0887728459530026E-2</v>
      </c>
      <c r="CE260" s="11"/>
      <c r="CF260" s="11"/>
      <c r="CG260" s="18"/>
      <c r="CH260" s="20"/>
      <c r="CI260" s="10"/>
      <c r="CJ260" s="11"/>
      <c r="CK260" s="69">
        <f t="shared" si="2398"/>
        <v>131</v>
      </c>
      <c r="CL260" s="69">
        <f t="shared" si="2399"/>
        <v>12</v>
      </c>
      <c r="CM260" s="11">
        <v>58</v>
      </c>
      <c r="CN260" s="12">
        <f t="shared" si="2348"/>
        <v>0.4580152671755725</v>
      </c>
      <c r="CO260" s="11">
        <v>2</v>
      </c>
      <c r="CP260" s="12">
        <f t="shared" si="2349"/>
        <v>3.3333333333333333E-2</v>
      </c>
      <c r="CQ260" s="11"/>
      <c r="CR260" s="11"/>
      <c r="CS260" s="18"/>
      <c r="CT260" s="20"/>
      <c r="CU260" s="10">
        <v>1</v>
      </c>
      <c r="CV260" s="11"/>
      <c r="CW260" s="69">
        <f t="shared" si="2400"/>
        <v>733</v>
      </c>
      <c r="CX260" s="69">
        <f t="shared" si="2401"/>
        <v>59</v>
      </c>
      <c r="CY260" s="11">
        <v>347</v>
      </c>
      <c r="CZ260" s="12">
        <f t="shared" si="2350"/>
        <v>0.48294679399727147</v>
      </c>
      <c r="DA260" s="11">
        <v>7</v>
      </c>
      <c r="DB260" s="12">
        <f t="shared" si="2351"/>
        <v>1.977401129943503E-2</v>
      </c>
      <c r="DC260" s="11"/>
      <c r="DD260" s="11"/>
      <c r="DE260" s="18"/>
      <c r="DF260" s="20"/>
      <c r="DG260" s="10"/>
      <c r="DH260" s="11"/>
      <c r="DI260" s="69">
        <f t="shared" si="2402"/>
        <v>726</v>
      </c>
      <c r="DJ260" s="69">
        <f t="shared" si="2403"/>
        <v>59</v>
      </c>
      <c r="DK260" s="11">
        <v>388</v>
      </c>
      <c r="DL260" s="12">
        <f t="shared" si="2352"/>
        <v>0.54820936639118456</v>
      </c>
      <c r="DM260" s="11">
        <v>10</v>
      </c>
      <c r="DN260" s="12">
        <f t="shared" si="2353"/>
        <v>2.5125628140703519E-2</v>
      </c>
      <c r="DO260" s="11"/>
      <c r="DP260" s="11"/>
      <c r="DQ260" s="18"/>
      <c r="DR260" s="20"/>
      <c r="DS260" s="10">
        <v>1</v>
      </c>
      <c r="DT260" s="11"/>
      <c r="DU260" s="69">
        <f t="shared" si="2404"/>
        <v>817</v>
      </c>
      <c r="DV260" s="69">
        <f t="shared" si="2405"/>
        <v>66</v>
      </c>
      <c r="DW260" s="11">
        <v>410</v>
      </c>
      <c r="DX260" s="12">
        <f t="shared" si="2354"/>
        <v>0.52264381884944922</v>
      </c>
      <c r="DY260" s="11">
        <v>17</v>
      </c>
      <c r="DZ260" s="12">
        <f t="shared" si="2355"/>
        <v>3.9812646370023422E-2</v>
      </c>
      <c r="EA260" s="11"/>
      <c r="EB260" s="11"/>
      <c r="EC260" s="18"/>
      <c r="ED260" s="20"/>
      <c r="EE260" s="10"/>
      <c r="EF260" s="11"/>
      <c r="EG260" s="69">
        <f t="shared" si="2406"/>
        <v>843</v>
      </c>
      <c r="EH260" s="69">
        <f t="shared" si="2407"/>
        <v>67</v>
      </c>
      <c r="EI260" s="11">
        <v>437</v>
      </c>
      <c r="EJ260" s="12">
        <f t="shared" si="2356"/>
        <v>0.53736654804270467</v>
      </c>
      <c r="EK260" s="11">
        <v>16</v>
      </c>
      <c r="EL260" s="12">
        <f t="shared" si="2357"/>
        <v>3.5320088300220751E-2</v>
      </c>
      <c r="EM260" s="11"/>
      <c r="EN260" s="11"/>
      <c r="EO260" s="18"/>
      <c r="EP260" s="20"/>
      <c r="EQ260" s="10"/>
      <c r="ER260" s="11"/>
      <c r="ES260" s="69">
        <f t="shared" si="2408"/>
        <v>166</v>
      </c>
      <c r="ET260" s="69">
        <f t="shared" si="2409"/>
        <v>14</v>
      </c>
      <c r="EU260" s="11">
        <v>73</v>
      </c>
      <c r="EV260" s="12">
        <f t="shared" si="2358"/>
        <v>0.44578313253012047</v>
      </c>
      <c r="EW260" s="11">
        <v>1</v>
      </c>
      <c r="EX260" s="12">
        <f t="shared" si="2359"/>
        <v>1.3513513513513514E-2</v>
      </c>
      <c r="EY260" s="11"/>
      <c r="EZ260" s="11"/>
      <c r="FA260" s="18"/>
      <c r="FB260" s="20"/>
      <c r="FC260" s="10"/>
      <c r="FD260" s="11"/>
      <c r="FE260" s="69">
        <f t="shared" si="2410"/>
        <v>847</v>
      </c>
      <c r="FF260" s="69">
        <f t="shared" si="2411"/>
        <v>67</v>
      </c>
      <c r="FG260" s="11">
        <v>407</v>
      </c>
      <c r="FH260" s="12">
        <f t="shared" si="2360"/>
        <v>0.49468713105076739</v>
      </c>
      <c r="FI260" s="11">
        <v>12</v>
      </c>
      <c r="FJ260" s="12">
        <f t="shared" si="2361"/>
        <v>2.8639618138424822E-2</v>
      </c>
      <c r="FK260" s="11"/>
      <c r="FL260" s="11"/>
      <c r="FM260" s="18"/>
      <c r="FN260" s="20"/>
      <c r="FO260" s="10">
        <v>1</v>
      </c>
      <c r="FP260" s="11"/>
      <c r="FQ260" s="69">
        <f t="shared" si="2412"/>
        <v>865</v>
      </c>
      <c r="FR260" s="69">
        <f t="shared" si="2413"/>
        <v>70</v>
      </c>
      <c r="FS260" s="11">
        <v>421</v>
      </c>
      <c r="FT260" s="12">
        <f t="shared" si="2362"/>
        <v>0.50982658959537575</v>
      </c>
      <c r="FU260" s="11">
        <v>20</v>
      </c>
      <c r="FV260" s="12">
        <f t="shared" si="2363"/>
        <v>4.5351473922902494E-2</v>
      </c>
      <c r="FW260" s="11"/>
      <c r="FX260" s="11"/>
      <c r="FY260" s="18"/>
      <c r="FZ260" s="20"/>
      <c r="GA260" s="10">
        <v>1</v>
      </c>
      <c r="GB260" s="11"/>
      <c r="GC260" s="69">
        <f t="shared" si="2414"/>
        <v>870</v>
      </c>
      <c r="GD260" s="69">
        <f t="shared" si="2415"/>
        <v>71</v>
      </c>
      <c r="GE260" s="11">
        <v>452</v>
      </c>
      <c r="GF260" s="12">
        <f t="shared" si="2364"/>
        <v>0.54022988505747127</v>
      </c>
      <c r="GG260" s="11">
        <v>18</v>
      </c>
      <c r="GH260" s="12">
        <f t="shared" si="2365"/>
        <v>3.8297872340425532E-2</v>
      </c>
      <c r="GI260" s="11"/>
      <c r="GJ260" s="11"/>
      <c r="GK260" s="18"/>
      <c r="GL260" s="20"/>
      <c r="GM260" s="10"/>
      <c r="GN260" s="11"/>
      <c r="GO260" s="69">
        <f t="shared" si="2416"/>
        <v>144</v>
      </c>
      <c r="GP260" s="69">
        <f t="shared" si="2417"/>
        <v>12</v>
      </c>
      <c r="GQ260" s="11">
        <v>51</v>
      </c>
      <c r="GR260" s="12">
        <f t="shared" si="2366"/>
        <v>0.3888888888888889</v>
      </c>
      <c r="GS260" s="11">
        <v>5</v>
      </c>
      <c r="GT260" s="12">
        <f t="shared" si="2367"/>
        <v>8.9285714285714288E-2</v>
      </c>
      <c r="GU260" s="11"/>
      <c r="GV260" s="11"/>
      <c r="GW260" s="18"/>
      <c r="GX260" s="20"/>
      <c r="GY260" s="10">
        <v>1</v>
      </c>
      <c r="GZ260" s="11"/>
      <c r="HA260" s="69">
        <f t="shared" si="2418"/>
        <v>898</v>
      </c>
      <c r="HB260" s="69">
        <f t="shared" si="2419"/>
        <v>72</v>
      </c>
      <c r="HC260" s="11">
        <v>437</v>
      </c>
      <c r="HD260" s="12">
        <f t="shared" si="2368"/>
        <v>0.49220489977728288</v>
      </c>
      <c r="HE260" s="11">
        <v>5</v>
      </c>
      <c r="HF260" s="12">
        <f t="shared" si="2369"/>
        <v>1.1312217194570135E-2</v>
      </c>
      <c r="HG260" s="11"/>
      <c r="HH260" s="11"/>
      <c r="HI260" s="18"/>
      <c r="HJ260" s="20"/>
      <c r="HK260" s="10">
        <f t="shared" si="2370"/>
        <v>7</v>
      </c>
      <c r="HL260" s="11">
        <f t="shared" si="2371"/>
        <v>0</v>
      </c>
      <c r="HM260" s="11">
        <f t="shared" si="2372"/>
        <v>11795</v>
      </c>
      <c r="HN260" s="11">
        <f t="shared" si="2373"/>
        <v>950</v>
      </c>
      <c r="HO260" s="11">
        <f t="shared" si="2374"/>
        <v>5974</v>
      </c>
      <c r="HP260" s="95">
        <f t="shared" si="2375"/>
        <v>0.50648579906740143</v>
      </c>
      <c r="HQ260" s="15">
        <f t="shared" si="2376"/>
        <v>177</v>
      </c>
      <c r="HR260" s="12">
        <f t="shared" si="2377"/>
        <v>2.9628389688650822E-2</v>
      </c>
      <c r="HS260" s="16">
        <v>66.5</v>
      </c>
      <c r="HT260" s="17">
        <v>5672</v>
      </c>
      <c r="HU260" s="16">
        <f t="shared" si="2378"/>
        <v>94.94476062939404</v>
      </c>
      <c r="HV260" s="18"/>
      <c r="HW260" s="20"/>
      <c r="HX260" s="73">
        <f t="shared" si="2379"/>
        <v>0.49252801992528022</v>
      </c>
      <c r="HY260" s="73">
        <f t="shared" si="2380"/>
        <v>0.51388445579316944</v>
      </c>
      <c r="HZ260" s="73">
        <f t="shared" si="2381"/>
        <v>0.51365506921062476</v>
      </c>
      <c r="IA260" s="73">
        <f t="shared" si="2382"/>
        <v>0.5073820669787541</v>
      </c>
    </row>
    <row r="261" spans="1:244" x14ac:dyDescent="0.25">
      <c r="A261" s="374"/>
      <c r="B261" s="41">
        <f>+B260+1</f>
        <v>45141</v>
      </c>
      <c r="C261" s="10"/>
      <c r="D261" s="11"/>
      <c r="E261" s="69">
        <f t="shared" si="2384"/>
        <v>812</v>
      </c>
      <c r="F261" s="69">
        <f t="shared" si="2385"/>
        <v>66</v>
      </c>
      <c r="G261" s="11">
        <v>404</v>
      </c>
      <c r="H261" s="12">
        <f t="shared" si="2334"/>
        <v>0.51970443349753692</v>
      </c>
      <c r="I261" s="11">
        <v>18</v>
      </c>
      <c r="J261" s="12">
        <f t="shared" si="2335"/>
        <v>4.2654028436018961E-2</v>
      </c>
      <c r="K261" s="13"/>
      <c r="L261" s="13"/>
      <c r="M261" s="25"/>
      <c r="N261" s="38">
        <v>4505</v>
      </c>
      <c r="O261" s="10"/>
      <c r="P261" s="11"/>
      <c r="Q261" s="69">
        <f t="shared" si="2386"/>
        <v>745</v>
      </c>
      <c r="R261" s="69">
        <f t="shared" si="2387"/>
        <v>60</v>
      </c>
      <c r="S261" s="11">
        <v>390</v>
      </c>
      <c r="T261" s="12">
        <f t="shared" si="2336"/>
        <v>0.53959731543624156</v>
      </c>
      <c r="U261" s="11">
        <v>12</v>
      </c>
      <c r="V261" s="12">
        <f t="shared" si="2337"/>
        <v>2.9850746268656716E-2</v>
      </c>
      <c r="W261" s="13"/>
      <c r="X261" s="13"/>
      <c r="Y261" s="25"/>
      <c r="Z261" s="38">
        <v>4505</v>
      </c>
      <c r="AA261" s="10"/>
      <c r="AB261" s="11"/>
      <c r="AC261" s="69">
        <f t="shared" si="2388"/>
        <v>157</v>
      </c>
      <c r="AD261" s="69">
        <f t="shared" si="2389"/>
        <v>13</v>
      </c>
      <c r="AE261" s="11">
        <v>75</v>
      </c>
      <c r="AF261" s="12">
        <f t="shared" si="2338"/>
        <v>0.49681528662420382</v>
      </c>
      <c r="AG261" s="11">
        <v>3</v>
      </c>
      <c r="AH261" s="12">
        <f t="shared" si="2339"/>
        <v>3.8461538461538464E-2</v>
      </c>
      <c r="AI261" s="13"/>
      <c r="AJ261" s="13"/>
      <c r="AK261" s="25"/>
      <c r="AL261" s="38">
        <v>4505</v>
      </c>
      <c r="AM261" s="10">
        <v>1</v>
      </c>
      <c r="AN261" s="11"/>
      <c r="AO261" s="69">
        <f t="shared" si="2390"/>
        <v>751</v>
      </c>
      <c r="AP261" s="69">
        <f t="shared" si="2391"/>
        <v>61</v>
      </c>
      <c r="AQ261" s="11">
        <v>419</v>
      </c>
      <c r="AR261" s="12">
        <f t="shared" si="2340"/>
        <v>0.57523302263648468</v>
      </c>
      <c r="AS261" s="11">
        <v>13</v>
      </c>
      <c r="AT261" s="12">
        <f t="shared" si="2341"/>
        <v>3.0092592592592591E-2</v>
      </c>
      <c r="AU261" s="13"/>
      <c r="AV261" s="13"/>
      <c r="AW261" s="25"/>
      <c r="AX261" s="38">
        <v>4505</v>
      </c>
      <c r="AY261" s="10"/>
      <c r="AZ261" s="11"/>
      <c r="BA261" s="69">
        <f t="shared" si="2392"/>
        <v>746</v>
      </c>
      <c r="BB261" s="69">
        <f t="shared" si="2393"/>
        <v>60</v>
      </c>
      <c r="BC261" s="11">
        <v>392</v>
      </c>
      <c r="BD261" s="12">
        <f t="shared" si="2342"/>
        <v>0.54557640750670244</v>
      </c>
      <c r="BE261" s="11">
        <v>15</v>
      </c>
      <c r="BF261" s="12">
        <f t="shared" si="2343"/>
        <v>3.6855036855036855E-2</v>
      </c>
      <c r="BG261" s="13"/>
      <c r="BH261" s="13"/>
      <c r="BI261" s="25"/>
      <c r="BJ261" s="38">
        <v>4505</v>
      </c>
      <c r="BK261" s="10"/>
      <c r="BL261" s="11"/>
      <c r="BM261" s="69">
        <f t="shared" si="2394"/>
        <v>803</v>
      </c>
      <c r="BN261" s="69">
        <f t="shared" si="2395"/>
        <v>62</v>
      </c>
      <c r="BO261" s="11">
        <v>404</v>
      </c>
      <c r="BP261" s="12">
        <f t="shared" si="2344"/>
        <v>0.5143212951432129</v>
      </c>
      <c r="BQ261" s="11">
        <v>9</v>
      </c>
      <c r="BR261" s="12">
        <f t="shared" si="2345"/>
        <v>2.1791767554479417E-2</v>
      </c>
      <c r="BS261" s="13"/>
      <c r="BT261" s="13"/>
      <c r="BU261" s="25"/>
      <c r="BV261" s="38">
        <v>4505</v>
      </c>
      <c r="BW261" s="10"/>
      <c r="BX261" s="11"/>
      <c r="BY261" s="69">
        <f t="shared" si="2396"/>
        <v>740</v>
      </c>
      <c r="BZ261" s="69">
        <f t="shared" si="2397"/>
        <v>59</v>
      </c>
      <c r="CA261" s="11">
        <v>343</v>
      </c>
      <c r="CB261" s="12">
        <f t="shared" si="2346"/>
        <v>0.4756756756756757</v>
      </c>
      <c r="CC261" s="11">
        <v>9</v>
      </c>
      <c r="CD261" s="12">
        <f t="shared" si="2347"/>
        <v>2.556818181818182E-2</v>
      </c>
      <c r="CE261" s="13"/>
      <c r="CF261" s="13"/>
      <c r="CG261" s="25"/>
      <c r="CH261" s="38">
        <v>4505</v>
      </c>
      <c r="CI261" s="10"/>
      <c r="CJ261" s="11"/>
      <c r="CK261" s="69">
        <f t="shared" si="2398"/>
        <v>131</v>
      </c>
      <c r="CL261" s="69">
        <f t="shared" si="2399"/>
        <v>12</v>
      </c>
      <c r="CM261" s="11">
        <v>61</v>
      </c>
      <c r="CN261" s="12">
        <f t="shared" si="2348"/>
        <v>0.46564885496183206</v>
      </c>
      <c r="CO261" s="11">
        <v>0</v>
      </c>
      <c r="CP261" s="12">
        <f t="shared" si="2349"/>
        <v>0</v>
      </c>
      <c r="CQ261" s="13"/>
      <c r="CR261" s="13"/>
      <c r="CS261" s="25"/>
      <c r="CT261" s="38">
        <v>4505</v>
      </c>
      <c r="CU261" s="10"/>
      <c r="CV261" s="11"/>
      <c r="CW261" s="69">
        <f t="shared" si="2400"/>
        <v>733</v>
      </c>
      <c r="CX261" s="69">
        <f t="shared" si="2401"/>
        <v>59</v>
      </c>
      <c r="CY261" s="11">
        <v>331</v>
      </c>
      <c r="CZ261" s="12">
        <f t="shared" si="2350"/>
        <v>0.46248294679399726</v>
      </c>
      <c r="DA261" s="11">
        <v>8</v>
      </c>
      <c r="DB261" s="12">
        <f t="shared" si="2351"/>
        <v>2.359882005899705E-2</v>
      </c>
      <c r="DC261" s="13"/>
      <c r="DD261" s="13"/>
      <c r="DE261" s="25"/>
      <c r="DF261" s="38">
        <v>4505</v>
      </c>
      <c r="DG261" s="10"/>
      <c r="DH261" s="11"/>
      <c r="DI261" s="69">
        <f t="shared" si="2402"/>
        <v>726</v>
      </c>
      <c r="DJ261" s="69">
        <f t="shared" si="2403"/>
        <v>59</v>
      </c>
      <c r="DK261" s="11">
        <v>395</v>
      </c>
      <c r="DL261" s="12">
        <f t="shared" si="2352"/>
        <v>0.55647382920110189</v>
      </c>
      <c r="DM261" s="11">
        <v>9</v>
      </c>
      <c r="DN261" s="12">
        <f t="shared" si="2353"/>
        <v>2.2277227722772276E-2</v>
      </c>
      <c r="DO261" s="13"/>
      <c r="DP261" s="13"/>
      <c r="DQ261" s="25"/>
      <c r="DR261" s="38">
        <v>4505</v>
      </c>
      <c r="DS261" s="10"/>
      <c r="DT261" s="11"/>
      <c r="DU261" s="69">
        <f t="shared" si="2404"/>
        <v>817</v>
      </c>
      <c r="DV261" s="69">
        <f t="shared" si="2405"/>
        <v>66</v>
      </c>
      <c r="DW261" s="11">
        <v>414</v>
      </c>
      <c r="DX261" s="12">
        <f t="shared" si="2354"/>
        <v>0.52019583843329253</v>
      </c>
      <c r="DY261" s="11">
        <v>11</v>
      </c>
      <c r="DZ261" s="12">
        <f t="shared" si="2355"/>
        <v>2.5882352941176471E-2</v>
      </c>
      <c r="EA261" s="13"/>
      <c r="EB261" s="13"/>
      <c r="EC261" s="25"/>
      <c r="ED261" s="38">
        <v>4505</v>
      </c>
      <c r="EE261" s="10">
        <v>1</v>
      </c>
      <c r="EF261" s="11"/>
      <c r="EG261" s="69">
        <f t="shared" si="2406"/>
        <v>842</v>
      </c>
      <c r="EH261" s="69">
        <f t="shared" si="2407"/>
        <v>67</v>
      </c>
      <c r="EI261" s="11">
        <v>434</v>
      </c>
      <c r="EJ261" s="12">
        <f t="shared" si="2356"/>
        <v>0.53206650831353919</v>
      </c>
      <c r="EK261" s="11">
        <v>14</v>
      </c>
      <c r="EL261" s="12">
        <f t="shared" si="2357"/>
        <v>3.125E-2</v>
      </c>
      <c r="EM261" s="13"/>
      <c r="EN261" s="13"/>
      <c r="EO261" s="25"/>
      <c r="EP261" s="38">
        <v>4505</v>
      </c>
      <c r="EQ261" s="10">
        <v>1</v>
      </c>
      <c r="ER261" s="11"/>
      <c r="ES261" s="69">
        <f t="shared" si="2408"/>
        <v>165</v>
      </c>
      <c r="ET261" s="69">
        <f t="shared" si="2409"/>
        <v>14</v>
      </c>
      <c r="EU261" s="11">
        <v>70</v>
      </c>
      <c r="EV261" s="12">
        <f t="shared" si="2358"/>
        <v>0.44848484848484849</v>
      </c>
      <c r="EW261" s="11">
        <v>4</v>
      </c>
      <c r="EX261" s="12">
        <f t="shared" si="2359"/>
        <v>5.4054054054054057E-2</v>
      </c>
      <c r="EY261" s="13"/>
      <c r="EZ261" s="13"/>
      <c r="FA261" s="25"/>
      <c r="FB261" s="38">
        <v>4505</v>
      </c>
      <c r="FC261" s="10"/>
      <c r="FD261" s="11"/>
      <c r="FE261" s="69">
        <f t="shared" si="2410"/>
        <v>847</v>
      </c>
      <c r="FF261" s="69">
        <f t="shared" si="2411"/>
        <v>67</v>
      </c>
      <c r="FG261" s="11">
        <v>432</v>
      </c>
      <c r="FH261" s="12">
        <f t="shared" si="2360"/>
        <v>0.51948051948051943</v>
      </c>
      <c r="FI261" s="11">
        <v>8</v>
      </c>
      <c r="FJ261" s="12">
        <f t="shared" si="2361"/>
        <v>1.8181818181818181E-2</v>
      </c>
      <c r="FK261" s="13"/>
      <c r="FL261" s="13"/>
      <c r="FM261" s="25"/>
      <c r="FN261" s="38">
        <v>4505</v>
      </c>
      <c r="FO261" s="10">
        <v>1</v>
      </c>
      <c r="FP261" s="11"/>
      <c r="FQ261" s="69">
        <f t="shared" si="2412"/>
        <v>864</v>
      </c>
      <c r="FR261" s="69">
        <f t="shared" si="2413"/>
        <v>70</v>
      </c>
      <c r="FS261" s="11">
        <v>448</v>
      </c>
      <c r="FT261" s="12">
        <f t="shared" si="2362"/>
        <v>0.53240740740740744</v>
      </c>
      <c r="FU261" s="11">
        <v>12</v>
      </c>
      <c r="FV261" s="12">
        <f t="shared" si="2363"/>
        <v>2.6086956521739129E-2</v>
      </c>
      <c r="FW261" s="13"/>
      <c r="FX261" s="13"/>
      <c r="FY261" s="25"/>
      <c r="FZ261" s="38">
        <v>4505</v>
      </c>
      <c r="GA261" s="10"/>
      <c r="GB261" s="11"/>
      <c r="GC261" s="69">
        <f t="shared" si="2414"/>
        <v>870</v>
      </c>
      <c r="GD261" s="69">
        <f t="shared" si="2415"/>
        <v>71</v>
      </c>
      <c r="GE261" s="11">
        <v>429</v>
      </c>
      <c r="GF261" s="12">
        <f t="shared" si="2364"/>
        <v>0.5114942528735632</v>
      </c>
      <c r="GG261" s="11">
        <v>16</v>
      </c>
      <c r="GH261" s="12">
        <f t="shared" si="2365"/>
        <v>3.5955056179775284E-2</v>
      </c>
      <c r="GI261" s="13"/>
      <c r="GJ261" s="13"/>
      <c r="GK261" s="25"/>
      <c r="GL261" s="38">
        <v>4505</v>
      </c>
      <c r="GM261" s="10">
        <v>1</v>
      </c>
      <c r="GN261" s="11"/>
      <c r="GO261" s="69">
        <f t="shared" si="2416"/>
        <v>143</v>
      </c>
      <c r="GP261" s="69">
        <f t="shared" si="2417"/>
        <v>12</v>
      </c>
      <c r="GQ261" s="11">
        <v>62</v>
      </c>
      <c r="GR261" s="12">
        <f t="shared" si="2366"/>
        <v>0.45454545454545453</v>
      </c>
      <c r="GS261" s="11">
        <v>3</v>
      </c>
      <c r="GT261" s="12">
        <f t="shared" si="2367"/>
        <v>4.6153846153846156E-2</v>
      </c>
      <c r="GU261" s="13"/>
      <c r="GV261" s="13"/>
      <c r="GW261" s="25"/>
      <c r="GX261" s="38">
        <v>4505</v>
      </c>
      <c r="GY261" s="10"/>
      <c r="GZ261" s="11"/>
      <c r="HA261" s="69">
        <f t="shared" si="2418"/>
        <v>898</v>
      </c>
      <c r="HB261" s="69">
        <f t="shared" si="2419"/>
        <v>72</v>
      </c>
      <c r="HC261" s="11">
        <v>450</v>
      </c>
      <c r="HD261" s="12">
        <f t="shared" si="2368"/>
        <v>0.50890868596881955</v>
      </c>
      <c r="HE261" s="11">
        <v>7</v>
      </c>
      <c r="HF261" s="12">
        <f t="shared" si="2369"/>
        <v>1.5317286652078774E-2</v>
      </c>
      <c r="HG261" s="13"/>
      <c r="HH261" s="13"/>
      <c r="HI261" s="25"/>
      <c r="HJ261" s="38">
        <v>4505</v>
      </c>
      <c r="HK261" s="10">
        <f t="shared" si="2370"/>
        <v>5</v>
      </c>
      <c r="HL261" s="11">
        <f t="shared" si="2371"/>
        <v>0</v>
      </c>
      <c r="HM261" s="11">
        <f t="shared" si="2372"/>
        <v>11790</v>
      </c>
      <c r="HN261" s="11">
        <f t="shared" si="2373"/>
        <v>950</v>
      </c>
      <c r="HO261" s="11">
        <f t="shared" si="2374"/>
        <v>6124</v>
      </c>
      <c r="HP261" s="95">
        <f t="shared" si="2375"/>
        <v>0.51942324003392704</v>
      </c>
      <c r="HQ261" s="15">
        <f t="shared" si="2376"/>
        <v>171</v>
      </c>
      <c r="HR261" s="12">
        <f t="shared" si="2377"/>
        <v>2.7922926192031353E-2</v>
      </c>
      <c r="HS261" s="16">
        <v>66.8</v>
      </c>
      <c r="HT261" s="17">
        <v>5812</v>
      </c>
      <c r="HU261" s="16">
        <f t="shared" si="2378"/>
        <v>94.905290659699546</v>
      </c>
      <c r="HV261" s="23"/>
      <c r="HW261" s="22">
        <v>4505</v>
      </c>
      <c r="HX261" s="73">
        <f t="shared" si="2379"/>
        <v>0.5421986919962628</v>
      </c>
      <c r="HY261" s="73">
        <f t="shared" si="2380"/>
        <v>0.5007979572294925</v>
      </c>
      <c r="HZ261" s="73">
        <f t="shared" si="2381"/>
        <v>0.51928116810183456</v>
      </c>
      <c r="IA261" s="73">
        <f t="shared" si="2382"/>
        <v>0.5142342342342342</v>
      </c>
    </row>
    <row r="262" spans="1:244" x14ac:dyDescent="0.25">
      <c r="A262" s="374"/>
      <c r="B262" s="41">
        <f t="shared" si="2383"/>
        <v>45142</v>
      </c>
      <c r="C262" s="10"/>
      <c r="D262" s="11"/>
      <c r="E262" s="69">
        <f t="shared" si="2384"/>
        <v>812</v>
      </c>
      <c r="F262" s="69">
        <f t="shared" si="2385"/>
        <v>66</v>
      </c>
      <c r="G262" s="11">
        <v>413</v>
      </c>
      <c r="H262" s="12">
        <f t="shared" si="2334"/>
        <v>0.51600985221674878</v>
      </c>
      <c r="I262" s="11">
        <v>6</v>
      </c>
      <c r="J262" s="12">
        <f t="shared" si="2335"/>
        <v>1.4319809069212411E-2</v>
      </c>
      <c r="K262" s="13"/>
      <c r="L262" s="11"/>
      <c r="M262" s="25"/>
      <c r="N262" s="38">
        <v>4716.9230769230771</v>
      </c>
      <c r="O262" s="10"/>
      <c r="P262" s="11"/>
      <c r="Q262" s="69">
        <f t="shared" si="2386"/>
        <v>745</v>
      </c>
      <c r="R262" s="69">
        <f t="shared" si="2387"/>
        <v>60</v>
      </c>
      <c r="S262" s="11">
        <v>394</v>
      </c>
      <c r="T262" s="12">
        <f t="shared" si="2336"/>
        <v>0.54899328859060403</v>
      </c>
      <c r="U262" s="11">
        <v>15</v>
      </c>
      <c r="V262" s="12">
        <f t="shared" si="2337"/>
        <v>3.6674816625916873E-2</v>
      </c>
      <c r="W262" s="13"/>
      <c r="X262" s="11"/>
      <c r="Y262" s="25"/>
      <c r="Z262" s="38">
        <v>4937.6923076923076</v>
      </c>
      <c r="AA262" s="10"/>
      <c r="AB262" s="11"/>
      <c r="AC262" s="69">
        <f t="shared" si="2388"/>
        <v>157</v>
      </c>
      <c r="AD262" s="69">
        <f t="shared" si="2389"/>
        <v>13</v>
      </c>
      <c r="AE262" s="11">
        <v>80</v>
      </c>
      <c r="AF262" s="12">
        <f t="shared" si="2338"/>
        <v>0.52229299363057324</v>
      </c>
      <c r="AG262" s="11">
        <v>2</v>
      </c>
      <c r="AH262" s="12">
        <f t="shared" si="2339"/>
        <v>2.4390243902439025E-2</v>
      </c>
      <c r="AI262" s="13"/>
      <c r="AJ262" s="11"/>
      <c r="AK262" s="25"/>
      <c r="AL262" s="38">
        <v>4513.333333333333</v>
      </c>
      <c r="AM262" s="10"/>
      <c r="AN262" s="11"/>
      <c r="AO262" s="69">
        <f t="shared" si="2390"/>
        <v>751</v>
      </c>
      <c r="AP262" s="69">
        <f t="shared" si="2391"/>
        <v>61</v>
      </c>
      <c r="AQ262" s="11">
        <v>390</v>
      </c>
      <c r="AR262" s="12">
        <f t="shared" si="2340"/>
        <v>0.52862849533954726</v>
      </c>
      <c r="AS262" s="11">
        <v>7</v>
      </c>
      <c r="AT262" s="12">
        <f t="shared" si="2341"/>
        <v>1.7632241813602016E-2</v>
      </c>
      <c r="AU262" s="13"/>
      <c r="AV262" s="11"/>
      <c r="AW262" s="25"/>
      <c r="AX262" s="38">
        <v>4933.636363636364</v>
      </c>
      <c r="AY262" s="10"/>
      <c r="AZ262" s="11"/>
      <c r="BA262" s="69">
        <f t="shared" si="2392"/>
        <v>746</v>
      </c>
      <c r="BB262" s="69">
        <f t="shared" si="2393"/>
        <v>60</v>
      </c>
      <c r="BC262" s="11">
        <v>396</v>
      </c>
      <c r="BD262" s="12">
        <f t="shared" si="2342"/>
        <v>0.54155495978552282</v>
      </c>
      <c r="BE262" s="11">
        <v>8</v>
      </c>
      <c r="BF262" s="12">
        <f t="shared" si="2343"/>
        <v>1.9801980198019802E-2</v>
      </c>
      <c r="BG262" s="13"/>
      <c r="BH262" s="11"/>
      <c r="BI262" s="25"/>
      <c r="BJ262" s="38">
        <v>5235.454545454545</v>
      </c>
      <c r="BK262" s="10"/>
      <c r="BL262" s="11"/>
      <c r="BM262" s="69">
        <f t="shared" si="2394"/>
        <v>803</v>
      </c>
      <c r="BN262" s="69">
        <f t="shared" si="2395"/>
        <v>62</v>
      </c>
      <c r="BO262" s="11">
        <v>385</v>
      </c>
      <c r="BP262" s="12">
        <f t="shared" si="2344"/>
        <v>0.49439601494396013</v>
      </c>
      <c r="BQ262" s="11">
        <v>12</v>
      </c>
      <c r="BR262" s="12">
        <f t="shared" si="2345"/>
        <v>3.0226700251889168E-2</v>
      </c>
      <c r="BS262" s="13"/>
      <c r="BT262" s="11"/>
      <c r="BU262" s="25"/>
      <c r="BV262" s="38">
        <v>5235.454545454545</v>
      </c>
      <c r="BW262" s="10"/>
      <c r="BX262" s="11"/>
      <c r="BY262" s="69">
        <f t="shared" si="2396"/>
        <v>740</v>
      </c>
      <c r="BZ262" s="69">
        <f t="shared" si="2397"/>
        <v>59</v>
      </c>
      <c r="CA262" s="11">
        <v>363</v>
      </c>
      <c r="CB262" s="12">
        <f t="shared" si="2346"/>
        <v>0.50405405405405401</v>
      </c>
      <c r="CC262" s="11">
        <v>10</v>
      </c>
      <c r="CD262" s="12">
        <f t="shared" si="2347"/>
        <v>2.6809651474530832E-2</v>
      </c>
      <c r="CE262" s="13"/>
      <c r="CF262" s="11"/>
      <c r="CG262" s="25"/>
      <c r="CH262" s="38">
        <v>4715.833333333333</v>
      </c>
      <c r="CI262" s="10"/>
      <c r="CJ262" s="11"/>
      <c r="CK262" s="69">
        <f t="shared" si="2398"/>
        <v>131</v>
      </c>
      <c r="CL262" s="69">
        <f t="shared" si="2399"/>
        <v>12</v>
      </c>
      <c r="CM262" s="11">
        <v>51</v>
      </c>
      <c r="CN262" s="12">
        <f t="shared" si="2348"/>
        <v>0.41984732824427479</v>
      </c>
      <c r="CO262" s="11">
        <v>4</v>
      </c>
      <c r="CP262" s="12">
        <f t="shared" si="2349"/>
        <v>7.2727272727272724E-2</v>
      </c>
      <c r="CQ262" s="13"/>
      <c r="CR262" s="11"/>
      <c r="CS262" s="25"/>
      <c r="CT262" s="38">
        <v>4683.333333333333</v>
      </c>
      <c r="CU262" s="10"/>
      <c r="CV262" s="11"/>
      <c r="CW262" s="69">
        <f t="shared" si="2400"/>
        <v>733</v>
      </c>
      <c r="CX262" s="69">
        <f t="shared" si="2401"/>
        <v>59</v>
      </c>
      <c r="CY262" s="11">
        <v>338</v>
      </c>
      <c r="CZ262" s="12">
        <f t="shared" si="2350"/>
        <v>0.47203274215552526</v>
      </c>
      <c r="DA262" s="11">
        <v>8</v>
      </c>
      <c r="DB262" s="12">
        <f t="shared" si="2351"/>
        <v>2.3121387283236993E-2</v>
      </c>
      <c r="DC262" s="13"/>
      <c r="DD262" s="11"/>
      <c r="DE262" s="25"/>
      <c r="DF262" s="38">
        <v>4860</v>
      </c>
      <c r="DG262" s="10"/>
      <c r="DH262" s="11"/>
      <c r="DI262" s="69">
        <f t="shared" si="2402"/>
        <v>726</v>
      </c>
      <c r="DJ262" s="69">
        <f t="shared" si="2403"/>
        <v>59</v>
      </c>
      <c r="DK262" s="11">
        <v>371</v>
      </c>
      <c r="DL262" s="12">
        <f t="shared" si="2352"/>
        <v>0.52203856749311295</v>
      </c>
      <c r="DM262" s="11">
        <v>8</v>
      </c>
      <c r="DN262" s="12">
        <f t="shared" si="2353"/>
        <v>2.1108179419525065E-2</v>
      </c>
      <c r="DO262" s="13"/>
      <c r="DP262" s="11"/>
      <c r="DQ262" s="25"/>
      <c r="DR262" s="38">
        <v>5090</v>
      </c>
      <c r="DS262" s="10"/>
      <c r="DT262" s="11"/>
      <c r="DU262" s="69">
        <f t="shared" si="2404"/>
        <v>817</v>
      </c>
      <c r="DV262" s="69">
        <f t="shared" si="2405"/>
        <v>66</v>
      </c>
      <c r="DW262" s="11">
        <v>410</v>
      </c>
      <c r="DX262" s="12">
        <f t="shared" si="2354"/>
        <v>0.51774785801713585</v>
      </c>
      <c r="DY262" s="11">
        <v>13</v>
      </c>
      <c r="DZ262" s="12">
        <f t="shared" si="2355"/>
        <v>3.0732860520094562E-2</v>
      </c>
      <c r="EA262" s="13"/>
      <c r="EB262" s="11"/>
      <c r="EC262" s="25"/>
      <c r="ED262" s="38">
        <v>4963.5714285714284</v>
      </c>
      <c r="EE262" s="10"/>
      <c r="EF262" s="11"/>
      <c r="EG262" s="69">
        <f t="shared" si="2406"/>
        <v>842</v>
      </c>
      <c r="EH262" s="69">
        <f t="shared" si="2407"/>
        <v>67</v>
      </c>
      <c r="EI262" s="11">
        <v>437</v>
      </c>
      <c r="EJ262" s="12">
        <f t="shared" si="2356"/>
        <v>0.53681710213776723</v>
      </c>
      <c r="EK262" s="11">
        <v>15</v>
      </c>
      <c r="EL262" s="12">
        <f t="shared" si="2357"/>
        <v>3.3185840707964605E-2</v>
      </c>
      <c r="EM262" s="13"/>
      <c r="EN262" s="11"/>
      <c r="EO262" s="25"/>
      <c r="EP262" s="38">
        <v>4911.5384615384619</v>
      </c>
      <c r="EQ262" s="10"/>
      <c r="ER262" s="11"/>
      <c r="ES262" s="69">
        <f t="shared" si="2408"/>
        <v>165</v>
      </c>
      <c r="ET262" s="69">
        <f t="shared" si="2409"/>
        <v>14</v>
      </c>
      <c r="EU262" s="11">
        <v>70</v>
      </c>
      <c r="EV262" s="12">
        <f t="shared" si="2358"/>
        <v>0.44242424242424244</v>
      </c>
      <c r="EW262" s="11">
        <v>3</v>
      </c>
      <c r="EX262" s="12">
        <f t="shared" si="2359"/>
        <v>4.1095890410958902E-2</v>
      </c>
      <c r="EY262" s="13"/>
      <c r="EZ262" s="11"/>
      <c r="FA262" s="25"/>
      <c r="FB262" s="38">
        <v>4575</v>
      </c>
      <c r="FC262" s="10"/>
      <c r="FD262" s="11"/>
      <c r="FE262" s="69">
        <f t="shared" si="2410"/>
        <v>847</v>
      </c>
      <c r="FF262" s="69">
        <f t="shared" si="2411"/>
        <v>67</v>
      </c>
      <c r="FG262" s="11">
        <v>432</v>
      </c>
      <c r="FH262" s="12">
        <f t="shared" si="2360"/>
        <v>0.52538370720188898</v>
      </c>
      <c r="FI262" s="11">
        <v>13</v>
      </c>
      <c r="FJ262" s="12">
        <f t="shared" si="2361"/>
        <v>2.9213483146067417E-2</v>
      </c>
      <c r="FK262" s="13"/>
      <c r="FL262" s="11"/>
      <c r="FM262" s="25"/>
      <c r="FN262" s="38">
        <v>4915.833333333333</v>
      </c>
      <c r="FO262" s="10"/>
      <c r="FP262" s="11"/>
      <c r="FQ262" s="69">
        <f t="shared" si="2412"/>
        <v>864</v>
      </c>
      <c r="FR262" s="69">
        <f t="shared" si="2413"/>
        <v>70</v>
      </c>
      <c r="FS262" s="11">
        <v>420</v>
      </c>
      <c r="FT262" s="12">
        <f t="shared" si="2362"/>
        <v>0.50810185185185186</v>
      </c>
      <c r="FU262" s="11">
        <v>19</v>
      </c>
      <c r="FV262" s="12">
        <f t="shared" si="2363"/>
        <v>4.328018223234624E-2</v>
      </c>
      <c r="FW262" s="13"/>
      <c r="FX262" s="11"/>
      <c r="FY262" s="25"/>
      <c r="FZ262" s="38">
        <v>4755.333333333333</v>
      </c>
      <c r="GA262" s="10"/>
      <c r="GB262" s="11"/>
      <c r="GC262" s="69">
        <f t="shared" si="2414"/>
        <v>870</v>
      </c>
      <c r="GD262" s="69">
        <f t="shared" si="2415"/>
        <v>71</v>
      </c>
      <c r="GE262" s="11">
        <v>483</v>
      </c>
      <c r="GF262" s="12">
        <f t="shared" si="2364"/>
        <v>0.57011494252873562</v>
      </c>
      <c r="GG262" s="11">
        <v>13</v>
      </c>
      <c r="GH262" s="12">
        <f t="shared" si="2365"/>
        <v>2.620967741935484E-2</v>
      </c>
      <c r="GI262" s="13"/>
      <c r="GJ262" s="11"/>
      <c r="GK262" s="25"/>
      <c r="GL262" s="38">
        <v>4882</v>
      </c>
      <c r="GM262" s="10">
        <v>1</v>
      </c>
      <c r="GN262" s="11"/>
      <c r="GO262" s="69">
        <f t="shared" si="2416"/>
        <v>142</v>
      </c>
      <c r="GP262" s="69">
        <f t="shared" si="2417"/>
        <v>12</v>
      </c>
      <c r="GQ262" s="11">
        <v>53</v>
      </c>
      <c r="GR262" s="12">
        <f t="shared" si="2366"/>
        <v>0.39436619718309857</v>
      </c>
      <c r="GS262" s="11">
        <v>3</v>
      </c>
      <c r="GT262" s="12">
        <f t="shared" si="2367"/>
        <v>5.3571428571428568E-2</v>
      </c>
      <c r="GU262" s="13"/>
      <c r="GV262" s="11"/>
      <c r="GW262" s="25"/>
      <c r="GX262" s="38">
        <v>4230</v>
      </c>
      <c r="GY262" s="10"/>
      <c r="GZ262" s="11"/>
      <c r="HA262" s="69">
        <f t="shared" si="2418"/>
        <v>898</v>
      </c>
      <c r="HB262" s="69">
        <f t="shared" si="2419"/>
        <v>72</v>
      </c>
      <c r="HC262" s="11">
        <v>442</v>
      </c>
      <c r="HD262" s="12">
        <f t="shared" si="2368"/>
        <v>0.50445434298440983</v>
      </c>
      <c r="HE262" s="11">
        <v>11</v>
      </c>
      <c r="HF262" s="12">
        <f t="shared" si="2369"/>
        <v>2.4282560706401765E-2</v>
      </c>
      <c r="HG262" s="13"/>
      <c r="HH262" s="11"/>
      <c r="HI262" s="25"/>
      <c r="HJ262" s="38">
        <v>5326.4285714285716</v>
      </c>
      <c r="HK262" s="10">
        <f t="shared" si="2370"/>
        <v>1</v>
      </c>
      <c r="HL262" s="11">
        <f t="shared" si="2371"/>
        <v>0</v>
      </c>
      <c r="HM262" s="11">
        <f t="shared" si="2372"/>
        <v>11789</v>
      </c>
      <c r="HN262" s="11">
        <f t="shared" si="2373"/>
        <v>950</v>
      </c>
      <c r="HO262" s="11">
        <f t="shared" si="2374"/>
        <v>6098</v>
      </c>
      <c r="HP262" s="95">
        <f t="shared" si="2375"/>
        <v>0.51726185427093052</v>
      </c>
      <c r="HQ262" s="15">
        <f t="shared" si="2376"/>
        <v>170</v>
      </c>
      <c r="HR262" s="12">
        <f t="shared" si="2377"/>
        <v>2.7877992784519516E-2</v>
      </c>
      <c r="HS262" s="16">
        <v>67.2</v>
      </c>
      <c r="HT262" s="17">
        <v>5807</v>
      </c>
      <c r="HU262" s="16">
        <f t="shared" si="2378"/>
        <v>95.227943588061663</v>
      </c>
      <c r="HV262" s="23"/>
      <c r="HW262" s="22">
        <v>4894.6031746031749</v>
      </c>
      <c r="HX262" s="73">
        <f t="shared" si="2379"/>
        <v>0.53285580815945188</v>
      </c>
      <c r="HY262" s="73">
        <f t="shared" si="2380"/>
        <v>0.49473348228534952</v>
      </c>
      <c r="HZ262" s="73">
        <f t="shared" si="2381"/>
        <v>0.52152751778360162</v>
      </c>
      <c r="IA262" s="73">
        <f t="shared" si="2382"/>
        <v>0.52054794520547942</v>
      </c>
    </row>
    <row r="263" spans="1:244" x14ac:dyDescent="0.25">
      <c r="A263" s="374"/>
      <c r="B263" s="41">
        <f t="shared" si="2383"/>
        <v>45143</v>
      </c>
      <c r="C263" s="10">
        <v>1</v>
      </c>
      <c r="D263" s="11">
        <v>1</v>
      </c>
      <c r="E263" s="69">
        <f t="shared" si="2384"/>
        <v>811</v>
      </c>
      <c r="F263" s="69">
        <f t="shared" si="2385"/>
        <v>65</v>
      </c>
      <c r="G263" s="11">
        <v>381</v>
      </c>
      <c r="H263" s="12">
        <f t="shared" si="2334"/>
        <v>0.49445129469790383</v>
      </c>
      <c r="I263" s="11">
        <v>20</v>
      </c>
      <c r="J263" s="12">
        <f t="shared" si="2335"/>
        <v>4.9875311720698257E-2</v>
      </c>
      <c r="K263" s="13"/>
      <c r="L263" s="11"/>
      <c r="M263" s="39"/>
      <c r="N263" s="43">
        <v>100</v>
      </c>
      <c r="O263" s="10"/>
      <c r="P263" s="11"/>
      <c r="Q263" s="69">
        <f t="shared" si="2386"/>
        <v>745</v>
      </c>
      <c r="R263" s="69">
        <f t="shared" si="2387"/>
        <v>60</v>
      </c>
      <c r="S263" s="11">
        <v>355</v>
      </c>
      <c r="T263" s="12">
        <f t="shared" si="2336"/>
        <v>0.49261744966442955</v>
      </c>
      <c r="U263" s="11">
        <v>12</v>
      </c>
      <c r="V263" s="12">
        <f t="shared" si="2337"/>
        <v>3.2697547683923703E-2</v>
      </c>
      <c r="W263" s="13"/>
      <c r="X263" s="11"/>
      <c r="Y263" s="39"/>
      <c r="Z263" s="43">
        <v>84.615384615384613</v>
      </c>
      <c r="AA263" s="10"/>
      <c r="AB263" s="11"/>
      <c r="AC263" s="69">
        <f t="shared" si="2388"/>
        <v>157</v>
      </c>
      <c r="AD263" s="69">
        <f t="shared" si="2389"/>
        <v>13</v>
      </c>
      <c r="AE263" s="11">
        <v>81</v>
      </c>
      <c r="AF263" s="12">
        <f t="shared" si="2338"/>
        <v>0.55414012738853502</v>
      </c>
      <c r="AG263" s="11">
        <v>6</v>
      </c>
      <c r="AH263" s="12">
        <f t="shared" si="2339"/>
        <v>6.8965517241379309E-2</v>
      </c>
      <c r="AI263" s="13"/>
      <c r="AJ263" s="11"/>
      <c r="AK263" s="39"/>
      <c r="AL263" s="43">
        <v>100</v>
      </c>
      <c r="AM263" s="10"/>
      <c r="AN263" s="11"/>
      <c r="AO263" s="69">
        <f t="shared" si="2390"/>
        <v>751</v>
      </c>
      <c r="AP263" s="69">
        <f t="shared" si="2391"/>
        <v>61</v>
      </c>
      <c r="AQ263" s="11">
        <v>384</v>
      </c>
      <c r="AR263" s="12">
        <f t="shared" si="2340"/>
        <v>0.52463382157123839</v>
      </c>
      <c r="AS263" s="11">
        <v>10</v>
      </c>
      <c r="AT263" s="12">
        <f t="shared" si="2341"/>
        <v>2.5380710659898477E-2</v>
      </c>
      <c r="AU263" s="13"/>
      <c r="AV263" s="11"/>
      <c r="AW263" s="39"/>
      <c r="AX263" s="43">
        <v>100</v>
      </c>
      <c r="AY263" s="10"/>
      <c r="AZ263" s="11"/>
      <c r="BA263" s="69">
        <f t="shared" si="2392"/>
        <v>746</v>
      </c>
      <c r="BB263" s="69">
        <f t="shared" si="2393"/>
        <v>60</v>
      </c>
      <c r="BC263" s="11">
        <v>389</v>
      </c>
      <c r="BD263" s="12">
        <f t="shared" si="2342"/>
        <v>0.53887399463806973</v>
      </c>
      <c r="BE263" s="11">
        <v>13</v>
      </c>
      <c r="BF263" s="12">
        <f t="shared" si="2343"/>
        <v>3.2338308457711441E-2</v>
      </c>
      <c r="BG263" s="13"/>
      <c r="BH263" s="11"/>
      <c r="BI263" s="39"/>
      <c r="BJ263" s="43">
        <v>100</v>
      </c>
      <c r="BK263" s="10"/>
      <c r="BL263" s="11"/>
      <c r="BM263" s="69">
        <f t="shared" si="2394"/>
        <v>803</v>
      </c>
      <c r="BN263" s="69">
        <f t="shared" si="2395"/>
        <v>62</v>
      </c>
      <c r="BO263" s="11">
        <v>432</v>
      </c>
      <c r="BP263" s="12">
        <f t="shared" si="2344"/>
        <v>0.55417185554171855</v>
      </c>
      <c r="BQ263" s="11">
        <v>13</v>
      </c>
      <c r="BR263" s="12">
        <f t="shared" si="2345"/>
        <v>2.9213483146067417E-2</v>
      </c>
      <c r="BS263" s="13"/>
      <c r="BT263" s="11"/>
      <c r="BU263" s="39"/>
      <c r="BV263" s="43">
        <v>100</v>
      </c>
      <c r="BW263" s="10"/>
      <c r="BX263" s="11"/>
      <c r="BY263" s="69">
        <f t="shared" si="2396"/>
        <v>740</v>
      </c>
      <c r="BZ263" s="69">
        <f t="shared" si="2397"/>
        <v>59</v>
      </c>
      <c r="CA263" s="11">
        <v>349</v>
      </c>
      <c r="CB263" s="12">
        <f t="shared" si="2346"/>
        <v>0.49054054054054053</v>
      </c>
      <c r="CC263" s="11">
        <v>14</v>
      </c>
      <c r="CD263" s="12">
        <f t="shared" si="2347"/>
        <v>3.8567493112947659E-2</v>
      </c>
      <c r="CE263" s="13"/>
      <c r="CF263" s="11"/>
      <c r="CG263" s="39"/>
      <c r="CH263" s="43">
        <v>100</v>
      </c>
      <c r="CI263" s="10"/>
      <c r="CJ263" s="11"/>
      <c r="CK263" s="69">
        <f t="shared" si="2398"/>
        <v>131</v>
      </c>
      <c r="CL263" s="69">
        <f t="shared" si="2399"/>
        <v>12</v>
      </c>
      <c r="CM263" s="11">
        <v>65</v>
      </c>
      <c r="CN263" s="12">
        <f t="shared" si="2348"/>
        <v>0.51908396946564883</v>
      </c>
      <c r="CO263" s="11">
        <v>3</v>
      </c>
      <c r="CP263" s="12">
        <f t="shared" si="2349"/>
        <v>4.4117647058823532E-2</v>
      </c>
      <c r="CQ263" s="13"/>
      <c r="CR263" s="11"/>
      <c r="CS263" s="39"/>
      <c r="CT263" s="43">
        <v>66.666666666666671</v>
      </c>
      <c r="CU263" s="10"/>
      <c r="CV263" s="11"/>
      <c r="CW263" s="69">
        <f t="shared" si="2400"/>
        <v>733</v>
      </c>
      <c r="CX263" s="69">
        <f t="shared" si="2401"/>
        <v>59</v>
      </c>
      <c r="CY263" s="11">
        <v>356</v>
      </c>
      <c r="CZ263" s="12">
        <f t="shared" si="2350"/>
        <v>0.49931787175989084</v>
      </c>
      <c r="DA263" s="11">
        <v>10</v>
      </c>
      <c r="DB263" s="12">
        <f t="shared" si="2351"/>
        <v>2.7322404371584699E-2</v>
      </c>
      <c r="DC263" s="13"/>
      <c r="DD263" s="11"/>
      <c r="DE263" s="39"/>
      <c r="DF263" s="43">
        <v>91.666666666666671</v>
      </c>
      <c r="DG263" s="10"/>
      <c r="DH263" s="11"/>
      <c r="DI263" s="69">
        <f t="shared" si="2402"/>
        <v>726</v>
      </c>
      <c r="DJ263" s="69">
        <f t="shared" si="2403"/>
        <v>59</v>
      </c>
      <c r="DK263" s="11">
        <v>380</v>
      </c>
      <c r="DL263" s="12">
        <f t="shared" si="2352"/>
        <v>0.53443526170798894</v>
      </c>
      <c r="DM263" s="11">
        <v>8</v>
      </c>
      <c r="DN263" s="12">
        <f t="shared" si="2353"/>
        <v>2.0618556701030927E-2</v>
      </c>
      <c r="DO263" s="13"/>
      <c r="DP263" s="11"/>
      <c r="DQ263" s="39"/>
      <c r="DR263" s="43">
        <v>100</v>
      </c>
      <c r="DS263" s="10"/>
      <c r="DT263" s="11">
        <v>1</v>
      </c>
      <c r="DU263" s="69">
        <f t="shared" si="2404"/>
        <v>817</v>
      </c>
      <c r="DV263" s="69">
        <f t="shared" si="2405"/>
        <v>65</v>
      </c>
      <c r="DW263" s="11">
        <v>408</v>
      </c>
      <c r="DX263" s="12">
        <f t="shared" si="2354"/>
        <v>0.50795593635250913</v>
      </c>
      <c r="DY263" s="11">
        <v>7</v>
      </c>
      <c r="DZ263" s="12">
        <f t="shared" si="2355"/>
        <v>1.6867469879518072E-2</v>
      </c>
      <c r="EA263" s="13"/>
      <c r="EB263" s="11"/>
      <c r="EC263" s="39"/>
      <c r="ED263" s="43">
        <v>100</v>
      </c>
      <c r="EE263" s="10"/>
      <c r="EF263" s="11"/>
      <c r="EG263" s="69">
        <f t="shared" si="2406"/>
        <v>842</v>
      </c>
      <c r="EH263" s="69">
        <f t="shared" si="2407"/>
        <v>67</v>
      </c>
      <c r="EI263" s="11">
        <v>402</v>
      </c>
      <c r="EJ263" s="12">
        <f t="shared" si="2356"/>
        <v>0.49524940617577196</v>
      </c>
      <c r="EK263" s="11">
        <v>15</v>
      </c>
      <c r="EL263" s="12">
        <f t="shared" si="2357"/>
        <v>3.5971223021582732E-2</v>
      </c>
      <c r="EM263" s="13"/>
      <c r="EN263" s="11"/>
      <c r="EO263" s="39"/>
      <c r="EP263" s="43">
        <v>100</v>
      </c>
      <c r="EQ263" s="10"/>
      <c r="ER263" s="11"/>
      <c r="ES263" s="69">
        <f t="shared" si="2408"/>
        <v>165</v>
      </c>
      <c r="ET263" s="69">
        <f t="shared" si="2409"/>
        <v>14</v>
      </c>
      <c r="EU263" s="11">
        <v>67</v>
      </c>
      <c r="EV263" s="12">
        <f t="shared" si="2358"/>
        <v>0.42424242424242425</v>
      </c>
      <c r="EW263" s="11">
        <v>3</v>
      </c>
      <c r="EX263" s="12">
        <f t="shared" si="2359"/>
        <v>4.2857142857142858E-2</v>
      </c>
      <c r="EY263" s="13"/>
      <c r="EZ263" s="11"/>
      <c r="FA263" s="39"/>
      <c r="FB263" s="43">
        <v>100</v>
      </c>
      <c r="FC263" s="10"/>
      <c r="FD263" s="11"/>
      <c r="FE263" s="69">
        <f t="shared" si="2410"/>
        <v>847</v>
      </c>
      <c r="FF263" s="69">
        <f t="shared" si="2411"/>
        <v>67</v>
      </c>
      <c r="FG263" s="11">
        <v>419</v>
      </c>
      <c r="FH263" s="12">
        <f t="shared" si="2360"/>
        <v>0.51357733175914999</v>
      </c>
      <c r="FI263" s="11">
        <v>16</v>
      </c>
      <c r="FJ263" s="12">
        <f t="shared" si="2361"/>
        <v>3.6781609195402298E-2</v>
      </c>
      <c r="FK263" s="13"/>
      <c r="FL263" s="11"/>
      <c r="FM263" s="39"/>
      <c r="FN263" s="43">
        <v>100</v>
      </c>
      <c r="FO263" s="10"/>
      <c r="FP263" s="11"/>
      <c r="FQ263" s="69">
        <f t="shared" si="2412"/>
        <v>864</v>
      </c>
      <c r="FR263" s="69">
        <f t="shared" si="2413"/>
        <v>70</v>
      </c>
      <c r="FS263" s="11">
        <v>449</v>
      </c>
      <c r="FT263" s="12">
        <f t="shared" si="2362"/>
        <v>0.53356481481481477</v>
      </c>
      <c r="FU263" s="11">
        <v>12</v>
      </c>
      <c r="FV263" s="12">
        <f t="shared" si="2363"/>
        <v>2.6030368763557483E-2</v>
      </c>
      <c r="FW263" s="13"/>
      <c r="FX263" s="11"/>
      <c r="FY263" s="39"/>
      <c r="FZ263" s="43">
        <v>93.333333333333329</v>
      </c>
      <c r="GA263" s="10"/>
      <c r="GB263" s="11"/>
      <c r="GC263" s="69">
        <f t="shared" si="2414"/>
        <v>870</v>
      </c>
      <c r="GD263" s="69">
        <f t="shared" si="2415"/>
        <v>71</v>
      </c>
      <c r="GE263" s="11">
        <v>446</v>
      </c>
      <c r="GF263" s="12">
        <f t="shared" si="2364"/>
        <v>0.52758620689655178</v>
      </c>
      <c r="GG263" s="11">
        <v>13</v>
      </c>
      <c r="GH263" s="12">
        <f t="shared" si="2365"/>
        <v>2.8322440087145968E-2</v>
      </c>
      <c r="GI263" s="13"/>
      <c r="GJ263" s="11"/>
      <c r="GK263" s="39"/>
      <c r="GL263" s="43">
        <v>100</v>
      </c>
      <c r="GM263" s="10">
        <v>1</v>
      </c>
      <c r="GN263" s="11"/>
      <c r="GO263" s="69">
        <f t="shared" si="2416"/>
        <v>141</v>
      </c>
      <c r="GP263" s="69">
        <f t="shared" si="2417"/>
        <v>12</v>
      </c>
      <c r="GQ263" s="11">
        <v>52</v>
      </c>
      <c r="GR263" s="12">
        <f t="shared" si="2366"/>
        <v>0.38297872340425532</v>
      </c>
      <c r="GS263" s="11">
        <v>2</v>
      </c>
      <c r="GT263" s="12">
        <f t="shared" si="2367"/>
        <v>3.7037037037037035E-2</v>
      </c>
      <c r="GU263" s="13"/>
      <c r="GV263" s="11"/>
      <c r="GW263" s="39"/>
      <c r="GX263" s="43">
        <v>100</v>
      </c>
      <c r="GY263" s="10"/>
      <c r="GZ263" s="11"/>
      <c r="HA263" s="69">
        <f t="shared" si="2418"/>
        <v>898</v>
      </c>
      <c r="HB263" s="69">
        <f t="shared" si="2419"/>
        <v>72</v>
      </c>
      <c r="HC263" s="11">
        <v>470</v>
      </c>
      <c r="HD263" s="12">
        <f t="shared" si="2368"/>
        <v>0.53229398663697103</v>
      </c>
      <c r="HE263" s="11">
        <v>8</v>
      </c>
      <c r="HF263" s="12">
        <f t="shared" si="2369"/>
        <v>1.6736401673640166E-2</v>
      </c>
      <c r="HG263" s="13"/>
      <c r="HH263" s="11"/>
      <c r="HI263" s="39"/>
      <c r="HJ263" s="43">
        <v>100</v>
      </c>
      <c r="HK263" s="10">
        <f t="shared" si="2370"/>
        <v>2</v>
      </c>
      <c r="HL263" s="11">
        <f t="shared" si="2371"/>
        <v>2</v>
      </c>
      <c r="HM263" s="11">
        <f t="shared" si="2372"/>
        <v>11787</v>
      </c>
      <c r="HN263" s="11">
        <f t="shared" si="2373"/>
        <v>948</v>
      </c>
      <c r="HO263" s="11">
        <f t="shared" si="2374"/>
        <v>6070</v>
      </c>
      <c r="HP263" s="95">
        <f t="shared" si="2375"/>
        <v>0.5149741240349538</v>
      </c>
      <c r="HQ263" s="15">
        <f t="shared" si="2376"/>
        <v>185</v>
      </c>
      <c r="HR263" s="12">
        <f t="shared" si="2377"/>
        <v>3.0477759472817133E-2</v>
      </c>
      <c r="HS263" s="16">
        <v>67.099999999999994</v>
      </c>
      <c r="HT263" s="17">
        <v>5758</v>
      </c>
      <c r="HU263" s="16">
        <f t="shared" si="2378"/>
        <v>94.859967051070839</v>
      </c>
      <c r="HV263" s="23"/>
      <c r="HW263" s="22">
        <v>86.772486772486772</v>
      </c>
      <c r="HX263" s="73">
        <f t="shared" si="2379"/>
        <v>0.51433021806853585</v>
      </c>
      <c r="HY263" s="73">
        <f t="shared" si="2380"/>
        <v>0.52026811362910952</v>
      </c>
      <c r="HZ263" s="73">
        <f t="shared" si="2381"/>
        <v>0.50056158742044177</v>
      </c>
      <c r="IA263" s="73">
        <f t="shared" si="2382"/>
        <v>0.5236206274792643</v>
      </c>
      <c r="IF263" s="85">
        <f>IF264/IF265</f>
        <v>9.3370681605975728E-4</v>
      </c>
      <c r="IG263" s="85">
        <f>IG264/IG265</f>
        <v>1.2751036021676761E-3</v>
      </c>
      <c r="IH263" s="85">
        <f>IH264/IH265</f>
        <v>1.4953271028037382E-3</v>
      </c>
      <c r="II263" s="85">
        <f>II264/II265</f>
        <v>3.2350826743350108E-3</v>
      </c>
      <c r="IJ263" s="88" t="s">
        <v>90</v>
      </c>
    </row>
    <row r="264" spans="1:244" ht="19.5" thickBot="1" x14ac:dyDescent="0.3">
      <c r="A264" s="374"/>
      <c r="B264" s="42"/>
      <c r="C264" s="26">
        <f>SUM(C257:C263)</f>
        <v>2</v>
      </c>
      <c r="D264" s="27">
        <f>SUM(D257:D263)</f>
        <v>1</v>
      </c>
      <c r="E264" s="27"/>
      <c r="F264" s="27"/>
      <c r="G264" s="27">
        <f>SUM(G257:G263)</f>
        <v>2801</v>
      </c>
      <c r="H264" s="28">
        <f>((G264+I264)/7)/E263</f>
        <v>0.51065703716751809</v>
      </c>
      <c r="I264" s="27">
        <f>SUM(I257:I263)</f>
        <v>98</v>
      </c>
      <c r="J264" s="28">
        <f>(I264/(I264+G264))</f>
        <v>3.3804760262159367E-2</v>
      </c>
      <c r="K264" s="27"/>
      <c r="L264" s="27"/>
      <c r="M264" s="29" t="e">
        <f>M262/M261*100-100</f>
        <v>#DIV/0!</v>
      </c>
      <c r="N264" s="67">
        <f>N262/N261*100-100</f>
        <v>4.704174848458976</v>
      </c>
      <c r="O264" s="26">
        <f>SUM(O257:O263)</f>
        <v>0</v>
      </c>
      <c r="P264" s="27">
        <f>SUM(P257:P263)</f>
        <v>0</v>
      </c>
      <c r="Q264" s="27"/>
      <c r="R264" s="27"/>
      <c r="S264" s="27">
        <f>SUM(S257:S263)</f>
        <v>2610</v>
      </c>
      <c r="T264" s="28">
        <f>((S264+U264)/7)/Q263</f>
        <v>0.52214765100671146</v>
      </c>
      <c r="U264" s="27">
        <f>SUM(U257:U263)</f>
        <v>113</v>
      </c>
      <c r="V264" s="28">
        <f>(U264/(U264+S264))</f>
        <v>4.1498347410943812E-2</v>
      </c>
      <c r="W264" s="27"/>
      <c r="X264" s="27"/>
      <c r="Y264" s="29" t="e">
        <f>Y262/Y261*100-100</f>
        <v>#DIV/0!</v>
      </c>
      <c r="Z264" s="67">
        <f>Z262/Z261*100-100</f>
        <v>9.6047127123708691</v>
      </c>
      <c r="AA264" s="26">
        <f>SUM(AA257:AA263)</f>
        <v>0</v>
      </c>
      <c r="AB264" s="27">
        <f>SUM(AB257:AB263)</f>
        <v>0</v>
      </c>
      <c r="AC264" s="27"/>
      <c r="AD264" s="27"/>
      <c r="AE264" s="27">
        <f>SUM(AE257:AE263)</f>
        <v>551</v>
      </c>
      <c r="AF264" s="28">
        <f>((AE264+AG264)/7)/AC263</f>
        <v>0.52320291173794353</v>
      </c>
      <c r="AG264" s="27">
        <f>SUM(AG257:AG263)</f>
        <v>24</v>
      </c>
      <c r="AH264" s="28">
        <f>(AG264/(AG264+AE264))</f>
        <v>4.1739130434782612E-2</v>
      </c>
      <c r="AI264" s="27"/>
      <c r="AJ264" s="27"/>
      <c r="AK264" s="29" t="e">
        <f>AK262/AK261*100-100</f>
        <v>#DIV/0!</v>
      </c>
      <c r="AL264" s="67">
        <f>AL262/AL261*100-100</f>
        <v>0.18497965223825474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2676</v>
      </c>
      <c r="AR264" s="28">
        <f>((AQ264+AS264)/7)/AO263</f>
        <v>0.52178048316530334</v>
      </c>
      <c r="AS264" s="27">
        <f>SUM(AS257:AS263)</f>
        <v>67</v>
      </c>
      <c r="AT264" s="28">
        <f>(AS264/(AS264+AQ264))</f>
        <v>2.4425811155668976E-2</v>
      </c>
      <c r="AU264" s="27"/>
      <c r="AV264" s="27"/>
      <c r="AW264" s="29" t="e">
        <f>AW262/AW261*100-100</f>
        <v>#DIV/0!</v>
      </c>
      <c r="AX264" s="67">
        <f>AX262/AX261*100-100</f>
        <v>9.5146806578549246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2736</v>
      </c>
      <c r="BD264" s="28">
        <f>((BC264+BE264)/7)/BA263</f>
        <v>0.53906549214860211</v>
      </c>
      <c r="BE264" s="27">
        <f>SUM(BE257:BE263)</f>
        <v>79</v>
      </c>
      <c r="BF264" s="28">
        <f>(BE264/(BE264+BC264))</f>
        <v>2.8063943161634103E-2</v>
      </c>
      <c r="BG264" s="27"/>
      <c r="BH264" s="27"/>
      <c r="BI264" s="29" t="e">
        <f>BI262/BI261*100-100</f>
        <v>#DIV/0!</v>
      </c>
      <c r="BJ264" s="67">
        <f>BJ262/BJ261*100-100</f>
        <v>16.214307335284019</v>
      </c>
      <c r="BK264" s="26">
        <f>SUM(BK257:BK263)</f>
        <v>1</v>
      </c>
      <c r="BL264" s="27">
        <f>SUM(BL257:BL263)</f>
        <v>1</v>
      </c>
      <c r="BM264" s="27"/>
      <c r="BN264" s="27"/>
      <c r="BO264" s="27">
        <f>SUM(BO257:BO263)</f>
        <v>2855</v>
      </c>
      <c r="BP264" s="28">
        <f>((BO264+BQ264)/7)/BM263</f>
        <v>0.52303860523038603</v>
      </c>
      <c r="BQ264" s="27">
        <f>SUM(BQ257:BQ263)</f>
        <v>85</v>
      </c>
      <c r="BR264" s="28">
        <f>(BQ264/(BQ264+BO264))</f>
        <v>2.8911564625850341E-2</v>
      </c>
      <c r="BS264" s="27"/>
      <c r="BT264" s="27"/>
      <c r="BU264" s="29" t="e">
        <f>BU262/BU261*100-100</f>
        <v>#DIV/0!</v>
      </c>
      <c r="BV264" s="67">
        <f>BV262/BV261*100-100</f>
        <v>16.214307335284019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2460</v>
      </c>
      <c r="CB264" s="28">
        <f>((CA264+CC264)/7)/BY263</f>
        <v>0.49111969111969112</v>
      </c>
      <c r="CC264" s="27">
        <f>SUM(CC257:CC263)</f>
        <v>84</v>
      </c>
      <c r="CD264" s="28">
        <f>(CC264/(CC264+CA264))</f>
        <v>3.3018867924528301E-2</v>
      </c>
      <c r="CE264" s="27"/>
      <c r="CF264" s="27"/>
      <c r="CG264" s="29" t="e">
        <f>CG262/CG261*100-100</f>
        <v>#DIV/0!</v>
      </c>
      <c r="CH264" s="67">
        <f>CH262/CH261*100-100</f>
        <v>4.6799852016278294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407</v>
      </c>
      <c r="CN264" s="28">
        <f>((CM264+CO264)/7)/CK263</f>
        <v>0.46237731733914939</v>
      </c>
      <c r="CO264" s="27">
        <f>SUM(CO257:CO263)</f>
        <v>17</v>
      </c>
      <c r="CP264" s="28">
        <f>(CO264/(CO264+CM264))</f>
        <v>4.0094339622641507E-2</v>
      </c>
      <c r="CQ264" s="27"/>
      <c r="CR264" s="27"/>
      <c r="CS264" s="29" t="e">
        <f>CS262/CS261*100-100</f>
        <v>#DIV/0!</v>
      </c>
      <c r="CT264" s="67">
        <f>CT262/CT261*100-100</f>
        <v>3.9585645578986259</v>
      </c>
      <c r="CU264" s="26">
        <f>SUM(CU257:CU263)</f>
        <v>1</v>
      </c>
      <c r="CV264" s="27">
        <f>SUM(CV257:CV263)</f>
        <v>0</v>
      </c>
      <c r="CW264" s="27"/>
      <c r="CX264" s="27"/>
      <c r="CY264" s="27">
        <f>SUM(CY257:CY263)</f>
        <v>2435</v>
      </c>
      <c r="CZ264" s="28">
        <f>((CY264+DA264)/7)/CW263</f>
        <v>0.48625998830637307</v>
      </c>
      <c r="DA264" s="27">
        <f>SUM(DA257:DA263)</f>
        <v>60</v>
      </c>
      <c r="DB264" s="28">
        <f>(DA264/(DA264+CY264))</f>
        <v>2.4048096192384769E-2</v>
      </c>
      <c r="DC264" s="27"/>
      <c r="DD264" s="27"/>
      <c r="DE264" s="29" t="e">
        <f>DE262/DE261*100-100</f>
        <v>#DIV/0!</v>
      </c>
      <c r="DF264" s="67">
        <f>DF262/DF261*100-100</f>
        <v>7.8801331853496208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2723</v>
      </c>
      <c r="DL264" s="28">
        <f>((DK264+DM264)/7)/DI263</f>
        <v>0.55017709563164108</v>
      </c>
      <c r="DM264" s="27">
        <f>SUM(DM257:DM263)</f>
        <v>73</v>
      </c>
      <c r="DN264" s="28">
        <f>(DM264/(DM264+DK264))</f>
        <v>2.6108726752503576E-2</v>
      </c>
      <c r="DO264" s="27"/>
      <c r="DP264" s="27"/>
      <c r="DQ264" s="29" t="e">
        <f>DQ262/DQ261*100-100</f>
        <v>#DIV/0!</v>
      </c>
      <c r="DR264" s="67">
        <f>DR262/DR261*100-100</f>
        <v>12.985571587125406</v>
      </c>
      <c r="DS264" s="26">
        <f>SUM(DS257:DS263)</f>
        <v>1</v>
      </c>
      <c r="DT264" s="27">
        <f>SUM(DT257:DT263)</f>
        <v>1</v>
      </c>
      <c r="DU264" s="27"/>
      <c r="DV264" s="27"/>
      <c r="DW264" s="27">
        <f>SUM(DW257:DW263)</f>
        <v>2898</v>
      </c>
      <c r="DX264" s="28">
        <f>((DW264+DY264)/7)/DU263</f>
        <v>0.52281867459346043</v>
      </c>
      <c r="DY264" s="27">
        <f>SUM(DY257:DY263)</f>
        <v>92</v>
      </c>
      <c r="DZ264" s="28">
        <f>(DY264/(DY264+DW264))</f>
        <v>3.0769230769230771E-2</v>
      </c>
      <c r="EA264" s="27"/>
      <c r="EB264" s="27"/>
      <c r="EC264" s="29" t="e">
        <f>EC262/EC261*100-100</f>
        <v>#DIV/0!</v>
      </c>
      <c r="ED264" s="67">
        <f>ED262/ED261*100-100</f>
        <v>10.179166006025042</v>
      </c>
      <c r="EE264" s="26">
        <f>SUM(EE257:EE263)</f>
        <v>1</v>
      </c>
      <c r="EF264" s="27">
        <f>SUM(EF257:EF263)</f>
        <v>0</v>
      </c>
      <c r="EG264" s="27"/>
      <c r="EH264" s="27"/>
      <c r="EI264" s="27">
        <f>SUM(EI257:EI263)</f>
        <v>2982</v>
      </c>
      <c r="EJ264" s="28">
        <f>((EI264+EK264)/7)/EG263</f>
        <v>0.52375296912114011</v>
      </c>
      <c r="EK264" s="27">
        <f>SUM(EK257:EK263)</f>
        <v>105</v>
      </c>
      <c r="EL264" s="28">
        <f>(EK264/(EK264+EI264))</f>
        <v>3.4013605442176874E-2</v>
      </c>
      <c r="EM264" s="27"/>
      <c r="EN264" s="27"/>
      <c r="EO264" s="29" t="e">
        <f>EO262/EO261*100-100</f>
        <v>#DIV/0!</v>
      </c>
      <c r="EP264" s="67">
        <f>EP262/EP261*100-100</f>
        <v>9.0241611884231361</v>
      </c>
      <c r="EQ264" s="26">
        <f>SUM(EQ257:EQ263)</f>
        <v>2</v>
      </c>
      <c r="ER264" s="27">
        <f>SUM(ER257:ER263)</f>
        <v>0</v>
      </c>
      <c r="ES264" s="27"/>
      <c r="ET264" s="27"/>
      <c r="EU264" s="27">
        <f>SUM(EU257:EU263)</f>
        <v>497</v>
      </c>
      <c r="EV264" s="28">
        <f>((EU264+EW264)/7)/ES263</f>
        <v>0.44675324675324674</v>
      </c>
      <c r="EW264" s="27">
        <f>SUM(EW257:EW263)</f>
        <v>19</v>
      </c>
      <c r="EX264" s="28">
        <f>(EW264/(EW264+EU264))</f>
        <v>3.6821705426356592E-2</v>
      </c>
      <c r="EY264" s="27"/>
      <c r="EZ264" s="27"/>
      <c r="FA264" s="29" t="e">
        <f>FA262/FA261*100-100</f>
        <v>#DIV/0!</v>
      </c>
      <c r="FB264" s="67">
        <f>FB262/FB261*100-100</f>
        <v>1.5538290788013285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2960</v>
      </c>
      <c r="FH264" s="28">
        <f>((FG264+FI264)/7)/FE263</f>
        <v>0.51239669421487599</v>
      </c>
      <c r="FI264" s="27">
        <f>SUM(FI257:FI263)</f>
        <v>78</v>
      </c>
      <c r="FJ264" s="28">
        <f>(FI264/(FI264+FG264))</f>
        <v>2.5674786043449638E-2</v>
      </c>
      <c r="FK264" s="27"/>
      <c r="FL264" s="27"/>
      <c r="FM264" s="29" t="e">
        <f>FM262/FM261*100-100</f>
        <v>#DIV/0!</v>
      </c>
      <c r="FN264" s="67">
        <f>FN262/FN261*100-100</f>
        <v>9.1194968553459006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2993</v>
      </c>
      <c r="FT264" s="28">
        <f>((FS264+FU264)/7)/FQ263</f>
        <v>0.51157407407407407</v>
      </c>
      <c r="FU264" s="27">
        <f>SUM(FU257:FU263)</f>
        <v>101</v>
      </c>
      <c r="FV264" s="28">
        <f>(FU264/(FU264+FS264))</f>
        <v>3.2643826761473822E-2</v>
      </c>
      <c r="FW264" s="27"/>
      <c r="FX264" s="27"/>
      <c r="FY264" s="29" t="e">
        <f>FY262/FY261*100-100</f>
        <v>#DIV/0!</v>
      </c>
      <c r="FZ264" s="67">
        <f>FZ262/FZ261*100-100</f>
        <v>5.5567887532371287</v>
      </c>
      <c r="GA264" s="26">
        <f>SUM(GA257:GA263)</f>
        <v>2</v>
      </c>
      <c r="GB264" s="27">
        <f>SUM(GB257:GB263)</f>
        <v>0</v>
      </c>
      <c r="GC264" s="27"/>
      <c r="GD264" s="27"/>
      <c r="GE264" s="27">
        <f>SUM(GE257:GE263)</f>
        <v>3148</v>
      </c>
      <c r="GF264" s="28">
        <f>((GE264+GG264)/7)/GC263</f>
        <v>0.53464696223316921</v>
      </c>
      <c r="GG264" s="27">
        <f>SUM(GG257:GG263)</f>
        <v>108</v>
      </c>
      <c r="GH264" s="28">
        <f>(GG264/(GG264+GE264))</f>
        <v>3.3169533169533166E-2</v>
      </c>
      <c r="GI264" s="27"/>
      <c r="GJ264" s="27"/>
      <c r="GK264" s="29" t="e">
        <f>GK262/GK261*100-100</f>
        <v>#DIV/0!</v>
      </c>
      <c r="GL264" s="67">
        <f>GL262/GL261*100-100</f>
        <v>8.3684794672586094</v>
      </c>
      <c r="GM264" s="26">
        <f>SUM(GM257:GM263)</f>
        <v>3</v>
      </c>
      <c r="GN264" s="27">
        <f>SUM(GN257:GN263)</f>
        <v>0</v>
      </c>
      <c r="GO264" s="27"/>
      <c r="GP264" s="27"/>
      <c r="GQ264" s="27">
        <f>SUM(GQ257:GQ263)</f>
        <v>390</v>
      </c>
      <c r="GR264" s="28">
        <f>((GQ264+GS264)/7)/GO263</f>
        <v>0.41540020263424515</v>
      </c>
      <c r="GS264" s="27">
        <f>SUM(GS257:GS263)</f>
        <v>20</v>
      </c>
      <c r="GT264" s="28">
        <f>(GS264/(GS264+GQ264))</f>
        <v>4.878048780487805E-2</v>
      </c>
      <c r="GU264" s="27"/>
      <c r="GV264" s="27"/>
      <c r="GW264" s="29" t="e">
        <f>GW262/GW261*100-100</f>
        <v>#DIV/0!</v>
      </c>
      <c r="GX264" s="67">
        <f>GX262/GX261*100-100</f>
        <v>-6.1043285238623781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3156</v>
      </c>
      <c r="HD264" s="28">
        <f>((HC264+HE264)/7)/HA263</f>
        <v>0.51288577791918544</v>
      </c>
      <c r="HE264" s="27">
        <f>SUM(HE257:HE263)</f>
        <v>68</v>
      </c>
      <c r="HF264" s="28">
        <f>(HE264/(HE264+HC264))</f>
        <v>2.1091811414392061E-2</v>
      </c>
      <c r="HG264" s="27"/>
      <c r="HH264" s="27"/>
      <c r="HI264" s="29" t="e">
        <f>HI262/HI261*100-100</f>
        <v>#DIV/0!</v>
      </c>
      <c r="HJ264" s="67">
        <f>HJ262/HJ261*100-100</f>
        <v>18.233708577770741</v>
      </c>
      <c r="HK264" s="26">
        <f t="shared" si="2370"/>
        <v>20</v>
      </c>
      <c r="HL264" s="27">
        <f t="shared" si="2371"/>
        <v>3</v>
      </c>
      <c r="HM264" s="27">
        <f t="shared" si="2372"/>
        <v>0</v>
      </c>
      <c r="HN264" s="27">
        <f t="shared" si="2373"/>
        <v>0</v>
      </c>
      <c r="HO264" s="27">
        <f t="shared" si="2374"/>
        <v>42569</v>
      </c>
      <c r="HP264" s="96">
        <f>+((HO264)/HM263)/7</f>
        <v>0.51593159534111432</v>
      </c>
      <c r="HQ264" s="62">
        <f t="shared" si="2376"/>
        <v>1291</v>
      </c>
      <c r="HR264" s="52">
        <f t="shared" si="2377"/>
        <v>3.0327233432779724E-2</v>
      </c>
      <c r="HS264" s="53">
        <f>SUM(HS257:HS263)/7</f>
        <v>66.685714285714283</v>
      </c>
      <c r="HT264" s="54">
        <f>SUM(HT257:HT263)</f>
        <v>40410</v>
      </c>
      <c r="HU264" s="53">
        <f>AVERAGE(HU257:HU263)</f>
        <v>94.926929851911865</v>
      </c>
      <c r="HV264" s="63" t="e">
        <f>HV262/HV261*100-100</f>
        <v>#DIV/0!</v>
      </c>
      <c r="HW264" s="67">
        <f>HW262/HW261*100-100</f>
        <v>8.6482391698818049</v>
      </c>
      <c r="HX264" s="73">
        <f>SUM(G264,I264,S264,U264,AE264,AG264,AQ264,AS264,BC264,BE264)/7/SUM(E263,Q263,AC263,AO263,BA263)</f>
        <v>0.52314196706720073</v>
      </c>
      <c r="HY264" s="73">
        <f>SUM(BO264,BQ264,CA264,CC264,CM264,CO264,CY264,DA264,DK264,DM264)/7/SUM(BM263,BY263,CK263,CW263,DI263)</f>
        <v>0.51064702931922845</v>
      </c>
      <c r="HZ264" s="73">
        <f>SUM(DW264,DY264,EI264,EK264,EU264,EW264,FG264,FI264)/7/SUM(DU263,EG263,ES263,FE263)</f>
        <v>0.5151093758356956</v>
      </c>
      <c r="IA264" s="73">
        <f>SUM(FS264,FU264,GE264,GG264,GQ264,GS264,HC264,HE264)/7/SUM(FQ263,GC263,GO263,HA263)</f>
        <v>0.51434753490289009</v>
      </c>
      <c r="IB264" s="84">
        <f>SUM(I264,U264,AG264,AS264,BE264)/SUM(G264,I264,S264,U264,AE264,AG264,AQ264,AS264,BC264,BE264)</f>
        <v>3.2411739685240325E-2</v>
      </c>
      <c r="IC264" s="84">
        <f>SUM(BQ264,CC264,CO264,DA264,DM264)/SUM(BO264,BQ264,CA264,CC264,CM264,CO264,CY264,DA264,DK264,DM264)</f>
        <v>2.848468613269042E-2</v>
      </c>
      <c r="ID264" s="84">
        <f>SUM(DY264,EK264,EW264,FI264)/SUM(DW264,DY264,EI264,EK264,EU264,EW264,FG264,FI264)</f>
        <v>3.0526425085660887E-2</v>
      </c>
      <c r="IE264" s="84">
        <f>SUM(FU264,GG264,GS264,HE264)/SUM(FS264,FU264,GE264,GG264,GQ264,GS264,HC264,HE264)</f>
        <v>2.9747596153846152E-2</v>
      </c>
      <c r="IF264" s="86">
        <f>SUM(C264,O264,AA264,AM264,AY264)</f>
        <v>3</v>
      </c>
      <c r="IG264" s="86">
        <f>SUM(BK264,BW264,CI264,CU264,DG264)</f>
        <v>4</v>
      </c>
      <c r="IH264" s="86">
        <f>SUM(DS264,EE264,EQ264,FC264)</f>
        <v>4</v>
      </c>
      <c r="II264" s="86">
        <f>SUM(FO264,GA264,GM264,GY264)</f>
        <v>9</v>
      </c>
      <c r="IJ264" s="88" t="s">
        <v>89</v>
      </c>
    </row>
    <row r="265" spans="1:244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HK264/HM257</f>
        <v>1.6940538709130949E-3</v>
      </c>
      <c r="HL265" s="66">
        <f>HL264/HN257</f>
        <v>3.1545741324921135E-3</v>
      </c>
      <c r="HM265" s="45"/>
      <c r="HN265" s="45"/>
      <c r="HO265" s="45"/>
      <c r="HP265" s="98"/>
      <c r="HQ265" s="45"/>
      <c r="HR265" s="45"/>
      <c r="HS265" s="45"/>
      <c r="HT265" s="55"/>
      <c r="HU265" s="45"/>
      <c r="HV265" s="45"/>
      <c r="HW265" s="46"/>
      <c r="HY265" s="72"/>
      <c r="HZ265" s="72"/>
      <c r="IA265" s="72"/>
      <c r="IF265" s="86">
        <f>SUM(E254,Q254,AC254,AO254,BA254)</f>
        <v>3213</v>
      </c>
      <c r="IG265" s="86">
        <f>SUM(BM254,BY254,CK254,CW254,DI254)</f>
        <v>3137</v>
      </c>
      <c r="IH265" s="86">
        <f>SUM(DU254,EG254,ES254,FE254)</f>
        <v>2675</v>
      </c>
      <c r="II265" s="86">
        <f>SUM(FQ254,GC254,GO254,HA254)</f>
        <v>2782</v>
      </c>
      <c r="IJ265" s="88" t="s">
        <v>84</v>
      </c>
    </row>
    <row r="266" spans="1:244" x14ac:dyDescent="0.25">
      <c r="A266" s="373">
        <v>54</v>
      </c>
      <c r="B266" s="100">
        <f>B263+1</f>
        <v>45144</v>
      </c>
      <c r="C266" s="33"/>
      <c r="D266" s="34"/>
      <c r="E266" s="34">
        <f>E263-C266</f>
        <v>811</v>
      </c>
      <c r="F266" s="34">
        <f>F263-D266</f>
        <v>65</v>
      </c>
      <c r="G266" s="34">
        <v>392</v>
      </c>
      <c r="H266" s="35">
        <f t="shared" ref="H266:H272" si="2420">((G266+I266)/E266)</f>
        <v>0.50061652281134406</v>
      </c>
      <c r="I266" s="34">
        <v>14</v>
      </c>
      <c r="J266" s="35">
        <f t="shared" ref="J266:J272" si="2421">I266/(G266+I266)</f>
        <v>3.4482758620689655E-2</v>
      </c>
      <c r="K266" s="36"/>
      <c r="L266" s="34"/>
      <c r="M266" s="34"/>
      <c r="N266" s="37"/>
      <c r="O266" s="33"/>
      <c r="P266" s="34"/>
      <c r="Q266" s="34">
        <f>Q263-O266</f>
        <v>745</v>
      </c>
      <c r="R266" s="34">
        <f>R263-P266</f>
        <v>60</v>
      </c>
      <c r="S266" s="34">
        <v>357</v>
      </c>
      <c r="T266" s="35">
        <f t="shared" ref="T266:T272" si="2422">((S266+U266)/Q266)</f>
        <v>0.4993288590604027</v>
      </c>
      <c r="U266" s="34">
        <v>15</v>
      </c>
      <c r="V266" s="35">
        <f t="shared" ref="V266:V272" si="2423">U266/(S266+U266)</f>
        <v>4.0322580645161289E-2</v>
      </c>
      <c r="W266" s="36"/>
      <c r="X266" s="34"/>
      <c r="Y266" s="34"/>
      <c r="Z266" s="37"/>
      <c r="AA266" s="33"/>
      <c r="AB266" s="34"/>
      <c r="AC266" s="34">
        <f>AC263-AA266</f>
        <v>157</v>
      </c>
      <c r="AD266" s="34">
        <f>AD263-AB266</f>
        <v>13</v>
      </c>
      <c r="AE266" s="34">
        <v>63</v>
      </c>
      <c r="AF266" s="35">
        <f t="shared" ref="AF266:AF272" si="2424">((AE266+AG266)/AC266)</f>
        <v>0.40127388535031849</v>
      </c>
      <c r="AG266" s="34">
        <v>0</v>
      </c>
      <c r="AH266" s="35">
        <f t="shared" ref="AH266:AH272" si="2425">AG266/(AE266+AG266)</f>
        <v>0</v>
      </c>
      <c r="AI266" s="36"/>
      <c r="AJ266" s="34"/>
      <c r="AK266" s="34"/>
      <c r="AL266" s="37"/>
      <c r="AM266" s="33"/>
      <c r="AN266" s="34"/>
      <c r="AO266" s="34">
        <f>AO263-AM266</f>
        <v>751</v>
      </c>
      <c r="AP266" s="34">
        <f>AP263-AN266</f>
        <v>61</v>
      </c>
      <c r="AQ266" s="34">
        <v>372</v>
      </c>
      <c r="AR266" s="35">
        <f t="shared" ref="AR266:AR272" si="2426">((AQ266+AS266)/AO266)</f>
        <v>0.50998668442077233</v>
      </c>
      <c r="AS266" s="34">
        <v>11</v>
      </c>
      <c r="AT266" s="35">
        <f t="shared" ref="AT266:AT272" si="2427">AS266/(AQ266+AS266)</f>
        <v>2.8720626631853787E-2</v>
      </c>
      <c r="AU266" s="36"/>
      <c r="AV266" s="34"/>
      <c r="AW266" s="34"/>
      <c r="AX266" s="37"/>
      <c r="AY266" s="33"/>
      <c r="AZ266" s="34"/>
      <c r="BA266" s="34">
        <f>BA263-AY266</f>
        <v>746</v>
      </c>
      <c r="BB266" s="34">
        <f>BB263-AZ266</f>
        <v>60</v>
      </c>
      <c r="BC266" s="34">
        <v>393</v>
      </c>
      <c r="BD266" s="35">
        <f t="shared" ref="BD266:BD272" si="2428">((BC266+BE266)/BA266)</f>
        <v>0.54021447721179627</v>
      </c>
      <c r="BE266" s="34">
        <v>10</v>
      </c>
      <c r="BF266" s="35">
        <f t="shared" ref="BF266:BF272" si="2429">BE266/(BC266+BE266)</f>
        <v>2.4813895781637719E-2</v>
      </c>
      <c r="BG266" s="36"/>
      <c r="BH266" s="34"/>
      <c r="BI266" s="34"/>
      <c r="BJ266" s="37"/>
      <c r="BK266" s="33">
        <v>1</v>
      </c>
      <c r="BL266" s="34"/>
      <c r="BM266" s="34">
        <f>BM263-BK266</f>
        <v>802</v>
      </c>
      <c r="BN266" s="34">
        <f>BN263-BL266</f>
        <v>62</v>
      </c>
      <c r="BO266" s="34">
        <v>392</v>
      </c>
      <c r="BP266" s="35">
        <f t="shared" ref="BP266:BP272" si="2430">((BO266+BQ266)/BM266)</f>
        <v>0.49875311720698257</v>
      </c>
      <c r="BQ266" s="34">
        <v>8</v>
      </c>
      <c r="BR266" s="35">
        <f t="shared" ref="BR266:BR272" si="2431">BQ266/(BO266+BQ266)</f>
        <v>0.02</v>
      </c>
      <c r="BS266" s="36"/>
      <c r="BT266" s="34"/>
      <c r="BU266" s="34"/>
      <c r="BV266" s="37"/>
      <c r="BW266" s="33">
        <v>1</v>
      </c>
      <c r="BX266" s="34"/>
      <c r="BY266" s="34">
        <f>BY263-BW266</f>
        <v>739</v>
      </c>
      <c r="BZ266" s="34">
        <f>BZ263-BX266</f>
        <v>59</v>
      </c>
      <c r="CA266" s="34">
        <v>347</v>
      </c>
      <c r="CB266" s="35">
        <f t="shared" ref="CB266:CB272" si="2432">((CA266+CC266)/BY266)</f>
        <v>0.48308525033829497</v>
      </c>
      <c r="CC266" s="34">
        <v>10</v>
      </c>
      <c r="CD266" s="35">
        <f t="shared" ref="CD266:CD272" si="2433">CC266/(CA266+CC266)</f>
        <v>2.8011204481792718E-2</v>
      </c>
      <c r="CE266" s="36"/>
      <c r="CF266" s="34"/>
      <c r="CG266" s="34"/>
      <c r="CH266" s="37"/>
      <c r="CI266" s="33">
        <v>1</v>
      </c>
      <c r="CJ266" s="34"/>
      <c r="CK266" s="34">
        <f>CK263-CI266</f>
        <v>130</v>
      </c>
      <c r="CL266" s="34">
        <f>CL263-CJ266</f>
        <v>12</v>
      </c>
      <c r="CM266" s="34">
        <v>57</v>
      </c>
      <c r="CN266" s="35">
        <f t="shared" ref="CN266:CN272" si="2434">((CM266+CO266)/CK266)</f>
        <v>0.43846153846153846</v>
      </c>
      <c r="CO266" s="34">
        <v>0</v>
      </c>
      <c r="CP266" s="35">
        <f t="shared" ref="CP266:CP272" si="2435">CO266/(CM266+CO266)</f>
        <v>0</v>
      </c>
      <c r="CQ266" s="36"/>
      <c r="CR266" s="34"/>
      <c r="CS266" s="34"/>
      <c r="CT266" s="37"/>
      <c r="CU266" s="33"/>
      <c r="CV266" s="34"/>
      <c r="CW266" s="34">
        <f>CW263-CU266</f>
        <v>733</v>
      </c>
      <c r="CX266" s="34">
        <f>CX263-CV266</f>
        <v>59</v>
      </c>
      <c r="CY266" s="34">
        <v>330</v>
      </c>
      <c r="CZ266" s="35">
        <f t="shared" ref="CZ266:CZ272" si="2436">((CY266+DA266)/CW266)</f>
        <v>0.45429740791268758</v>
      </c>
      <c r="DA266" s="34">
        <v>3</v>
      </c>
      <c r="DB266" s="35">
        <f t="shared" ref="DB266:DB272" si="2437">DA266/(CY266+DA266)</f>
        <v>9.0090090090090089E-3</v>
      </c>
      <c r="DC266" s="36"/>
      <c r="DD266" s="34"/>
      <c r="DE266" s="34"/>
      <c r="DF266" s="37"/>
      <c r="DG266" s="33"/>
      <c r="DH266" s="34"/>
      <c r="DI266" s="34">
        <f>DI263-DG266</f>
        <v>726</v>
      </c>
      <c r="DJ266" s="34">
        <f>DJ263-DH266</f>
        <v>59</v>
      </c>
      <c r="DK266" s="34">
        <v>381</v>
      </c>
      <c r="DL266" s="35">
        <f t="shared" ref="DL266:DL272" si="2438">((DK266+DM266)/DI266)</f>
        <v>0.53994490358126723</v>
      </c>
      <c r="DM266" s="34">
        <v>11</v>
      </c>
      <c r="DN266" s="35">
        <f t="shared" ref="DN266:DN272" si="2439">DM266/(DK266+DM266)</f>
        <v>2.8061224489795918E-2</v>
      </c>
      <c r="DO266" s="36"/>
      <c r="DP266" s="34"/>
      <c r="DQ266" s="34"/>
      <c r="DR266" s="37"/>
      <c r="DS266" s="33"/>
      <c r="DT266" s="34"/>
      <c r="DU266" s="34">
        <f>DU263-DS266</f>
        <v>817</v>
      </c>
      <c r="DV266" s="34">
        <f>DV263-DT266</f>
        <v>65</v>
      </c>
      <c r="DW266" s="34">
        <v>416</v>
      </c>
      <c r="DX266" s="35">
        <f t="shared" ref="DX266:DX272" si="2440">((DW266+DY266)/DU266)</f>
        <v>0.52264381884944922</v>
      </c>
      <c r="DY266" s="34">
        <v>11</v>
      </c>
      <c r="DZ266" s="35">
        <f t="shared" ref="DZ266:DZ272" si="2441">DY266/(DW266+DY266)</f>
        <v>2.576112412177986E-2</v>
      </c>
      <c r="EA266" s="36"/>
      <c r="EB266" s="34"/>
      <c r="EC266" s="34"/>
      <c r="ED266" s="37"/>
      <c r="EE266" s="33"/>
      <c r="EF266" s="34"/>
      <c r="EG266" s="34">
        <f>EG263-EE266</f>
        <v>842</v>
      </c>
      <c r="EH266" s="34">
        <f>EH263-EF266</f>
        <v>67</v>
      </c>
      <c r="EI266" s="34">
        <v>400</v>
      </c>
      <c r="EJ266" s="35">
        <f t="shared" ref="EJ266:EJ272" si="2442">((EI266+EK266)/EG266)</f>
        <v>0.49168646080760092</v>
      </c>
      <c r="EK266" s="34">
        <v>14</v>
      </c>
      <c r="EL266" s="35">
        <f t="shared" ref="EL266:EL272" si="2443">EK266/(EI266+EK266)</f>
        <v>3.3816425120772944E-2</v>
      </c>
      <c r="EM266" s="36"/>
      <c r="EN266" s="34"/>
      <c r="EO266" s="34"/>
      <c r="EP266" s="37"/>
      <c r="EQ266" s="33"/>
      <c r="ER266" s="34"/>
      <c r="ES266" s="34">
        <f>ES263-EQ266</f>
        <v>165</v>
      </c>
      <c r="ET266" s="34">
        <f>ET263-ER266</f>
        <v>14</v>
      </c>
      <c r="EU266" s="34">
        <v>55</v>
      </c>
      <c r="EV266" s="35">
        <f t="shared" ref="EV266:EV272" si="2444">((EU266+EW266)/ES266)</f>
        <v>0.3515151515151515</v>
      </c>
      <c r="EW266" s="34">
        <v>3</v>
      </c>
      <c r="EX266" s="35">
        <f t="shared" ref="EX266:EX272" si="2445">EW266/(EU266+EW266)</f>
        <v>5.1724137931034482E-2</v>
      </c>
      <c r="EY266" s="36"/>
      <c r="EZ266" s="34"/>
      <c r="FA266" s="34"/>
      <c r="FB266" s="37"/>
      <c r="FC266" s="33"/>
      <c r="FD266" s="34"/>
      <c r="FE266" s="34">
        <f>FE263-FC266</f>
        <v>847</v>
      </c>
      <c r="FF266" s="34">
        <f>FF263-FD266</f>
        <v>67</v>
      </c>
      <c r="FG266" s="34">
        <v>432</v>
      </c>
      <c r="FH266" s="35">
        <f t="shared" ref="FH266:FH272" si="2446">((FG266+FI266)/FE266)</f>
        <v>0.51829988193624554</v>
      </c>
      <c r="FI266" s="34">
        <v>7</v>
      </c>
      <c r="FJ266" s="35">
        <f t="shared" ref="FJ266:FJ272" si="2447">FI266/(FG266+FI266)</f>
        <v>1.5945330296127564E-2</v>
      </c>
      <c r="FK266" s="36"/>
      <c r="FL266" s="34"/>
      <c r="FM266" s="34"/>
      <c r="FN266" s="37"/>
      <c r="FO266" s="33">
        <v>3</v>
      </c>
      <c r="FP266" s="34"/>
      <c r="FQ266" s="34">
        <f>FQ263-FO266</f>
        <v>861</v>
      </c>
      <c r="FR266" s="34">
        <f>FR263-FP266</f>
        <v>70</v>
      </c>
      <c r="FS266" s="34">
        <v>407</v>
      </c>
      <c r="FT266" s="35">
        <f t="shared" ref="FT266:FT272" si="2448">((FS266+FU266)/FQ266)</f>
        <v>0.48548199767711964</v>
      </c>
      <c r="FU266" s="34">
        <v>11</v>
      </c>
      <c r="FV266" s="35">
        <f t="shared" ref="FV266:FV272" si="2449">FU266/(FS266+FU266)</f>
        <v>2.6315789473684209E-2</v>
      </c>
      <c r="FW266" s="36"/>
      <c r="FX266" s="34"/>
      <c r="FY266" s="34"/>
      <c r="FZ266" s="37"/>
      <c r="GA266" s="33"/>
      <c r="GB266" s="34"/>
      <c r="GC266" s="34">
        <f>GC263-GA266</f>
        <v>870</v>
      </c>
      <c r="GD266" s="34">
        <f>GD263-GB266</f>
        <v>71</v>
      </c>
      <c r="GE266" s="34">
        <v>432</v>
      </c>
      <c r="GF266" s="35">
        <f t="shared" ref="GF266:GF272" si="2450">((GE266+GG266)/GC266)</f>
        <v>0.50919540229885063</v>
      </c>
      <c r="GG266" s="34">
        <v>11</v>
      </c>
      <c r="GH266" s="35">
        <f t="shared" ref="GH266:GH272" si="2451">GG266/(GE266+GG266)</f>
        <v>2.4830699774266364E-2</v>
      </c>
      <c r="GI266" s="36"/>
      <c r="GJ266" s="34"/>
      <c r="GK266" s="34"/>
      <c r="GL266" s="37"/>
      <c r="GM266" s="33"/>
      <c r="GN266" s="34"/>
      <c r="GO266" s="34">
        <f>GO263-GM266</f>
        <v>141</v>
      </c>
      <c r="GP266" s="34">
        <f>GP263-GN266</f>
        <v>12</v>
      </c>
      <c r="GQ266" s="34">
        <v>55</v>
      </c>
      <c r="GR266" s="35">
        <f t="shared" ref="GR266:GR272" si="2452">((GQ266+GS266)/GO266)</f>
        <v>0.40425531914893614</v>
      </c>
      <c r="GS266" s="34">
        <v>2</v>
      </c>
      <c r="GT266" s="35">
        <f t="shared" ref="GT266:GT272" si="2453">GS266/(GQ266+GS266)</f>
        <v>3.5087719298245612E-2</v>
      </c>
      <c r="GU266" s="36"/>
      <c r="GV266" s="34"/>
      <c r="GW266" s="34"/>
      <c r="GX266" s="37"/>
      <c r="GY266" s="33"/>
      <c r="GZ266" s="34"/>
      <c r="HA266" s="34">
        <f>HA263-GY266</f>
        <v>898</v>
      </c>
      <c r="HB266" s="34">
        <f>HB263-GZ266</f>
        <v>72</v>
      </c>
      <c r="HC266" s="34">
        <v>445</v>
      </c>
      <c r="HD266" s="35">
        <f t="shared" ref="HD266:HD272" si="2454">((HC266+HE266)/HA266)</f>
        <v>0.51113585746102452</v>
      </c>
      <c r="HE266" s="34">
        <v>14</v>
      </c>
      <c r="HF266" s="35">
        <f t="shared" ref="HF266:HF272" si="2455">HE266/(HC266+HE266)</f>
        <v>3.0501089324618737E-2</v>
      </c>
      <c r="HG266" s="36"/>
      <c r="HH266" s="34"/>
      <c r="HI266" s="34"/>
      <c r="HJ266" s="37"/>
      <c r="HK266" s="33">
        <f t="shared" ref="HK266:HK273" si="2456">+C266+O266+AA266+AM266+AY266+BK266+BW266+CI266+CU266+DG266+DS266+EE266+EQ266+FC266+FO266+GA266+GM266+GY266</f>
        <v>6</v>
      </c>
      <c r="HL266" s="34">
        <f t="shared" ref="HL266:HL273" si="2457">+D266+P266+AB266+AN266+AZ266+BL266+BX266+CJ266+CV266+DH266+DT266+EF266+ER266+FD266+FP266+GB266+GN266+GZ266</f>
        <v>0</v>
      </c>
      <c r="HM266" s="34">
        <f t="shared" ref="HM266:HM273" si="2458">+E266+Q266+AC266+AO266+BA266+BM266+BY266+CK266+CW266+DI266+DU266+EG266+ES266+FE266+FQ266+GC266+GO266+HA266</f>
        <v>11781</v>
      </c>
      <c r="HN266" s="34">
        <f t="shared" ref="HN266:HN273" si="2459">+F266+R266+AD266+AP266+BB266+BN266+BZ266+CL266+CX266+DJ266+DV266+EH266+ET266+FF266+FR266+GD266+GP266+HB266</f>
        <v>948</v>
      </c>
      <c r="HO266" s="34">
        <f t="shared" ref="HO266:HO273" si="2460">+G266+S266+AE266+AQ266+BC266+BO266+CA266+CM266+CY266+DK266+DW266+EI266+EU266+FG266+FS266+GE266+GQ266+HC266+I266+U266+AG266+AS266+BE266+BQ266+CC266+CO266+DA266+DM266+DY266+EK266+EW266+FI266+FU266+GG266+GS266+HE266</f>
        <v>5881</v>
      </c>
      <c r="HP266" s="94">
        <f t="shared" ref="HP266:HP272" si="2461">+(HO266)/HM266</f>
        <v>0.49919361684067565</v>
      </c>
      <c r="HQ266" s="48">
        <f t="shared" ref="HQ266:HQ273" si="2462">+I266+U266+AG266+AS266+BE266+BQ266+CC266+CO266+DA266+DM266+DY266+EK266+EW266+FI266+FU266+GG266+GS266+HE266</f>
        <v>155</v>
      </c>
      <c r="HR266" s="35">
        <f t="shared" ref="HR266:HR273" si="2463">+(HQ266/(HO266))</f>
        <v>2.6356061894235675E-2</v>
      </c>
      <c r="HS266" s="49">
        <v>66.7</v>
      </c>
      <c r="HT266" s="50">
        <v>5594</v>
      </c>
      <c r="HU266" s="49">
        <f t="shared" ref="HU266:HU272" si="2464">+HT266/HO266*100</f>
        <v>95.119877571841528</v>
      </c>
      <c r="HV266" s="48"/>
      <c r="HW266" s="37"/>
      <c r="HX266" s="73">
        <f t="shared" ref="HX266:HX272" si="2465">SUM(G266,I266,S266,U266,AE266,AG266,AQ266,AS266,BC266,BE266)/SUM(E266,Q266,AC266,AO266,BA266)</f>
        <v>0.50685358255451718</v>
      </c>
      <c r="HY266" s="73">
        <f t="shared" ref="HY266:HY272" si="2466">SUM(BO266,BQ266,CA266,CC266,CM266,CO266,CY266,DA266,DK266,DM266)/SUM(BM266,BY266,CK266,CW266,DI266)</f>
        <v>0.49169329073482426</v>
      </c>
      <c r="HZ266" s="73">
        <f t="shared" ref="HZ266:HZ272" si="2467">SUM(DW266,DY266,EI266,EK266,EU266,EW266,FG266,FI266)/SUM(DU266,EG266,ES266,FE266)</f>
        <v>0.50093597903406961</v>
      </c>
      <c r="IA266" s="73">
        <f t="shared" ref="IA266:IA272" si="2468">SUM(FS266,FU266,GE266,GG266,GQ266,GS266,HC266,HE266)/SUM(FQ266,GC266,GO266,HA266)</f>
        <v>0.49711191335740074</v>
      </c>
    </row>
    <row r="267" spans="1:244" x14ac:dyDescent="0.25">
      <c r="A267" s="374"/>
      <c r="B267" s="101">
        <f t="shared" ref="B267:B272" si="2469">+B266+1</f>
        <v>45145</v>
      </c>
      <c r="C267" s="10"/>
      <c r="D267" s="11"/>
      <c r="E267" s="69">
        <f t="shared" ref="E267:E272" si="2470">E266-C267</f>
        <v>811</v>
      </c>
      <c r="F267" s="69">
        <f t="shared" ref="F267:F272" si="2471">F266-D267</f>
        <v>65</v>
      </c>
      <c r="G267" s="11">
        <v>356</v>
      </c>
      <c r="H267" s="12">
        <f t="shared" si="2420"/>
        <v>0.44759556103575832</v>
      </c>
      <c r="I267" s="11">
        <v>7</v>
      </c>
      <c r="J267" s="12">
        <f t="shared" si="2421"/>
        <v>1.928374655647383E-2</v>
      </c>
      <c r="K267" s="13"/>
      <c r="L267" s="11"/>
      <c r="M267" s="11"/>
      <c r="N267" s="14"/>
      <c r="O267" s="10"/>
      <c r="P267" s="11"/>
      <c r="Q267" s="69">
        <f t="shared" ref="Q267:Q272" si="2472">Q266-O267</f>
        <v>745</v>
      </c>
      <c r="R267" s="69">
        <f t="shared" ref="R267:R272" si="2473">R266-P267</f>
        <v>60</v>
      </c>
      <c r="S267" s="11">
        <v>340</v>
      </c>
      <c r="T267" s="12">
        <f t="shared" si="2422"/>
        <v>0.47114093959731546</v>
      </c>
      <c r="U267" s="11">
        <v>11</v>
      </c>
      <c r="V267" s="12">
        <f t="shared" si="2423"/>
        <v>3.1339031339031341E-2</v>
      </c>
      <c r="W267" s="13"/>
      <c r="X267" s="11"/>
      <c r="Y267" s="11"/>
      <c r="Z267" s="14"/>
      <c r="AA267" s="10"/>
      <c r="AB267" s="11"/>
      <c r="AC267" s="69">
        <f t="shared" ref="AC267:AC272" si="2474">AC266-AA267</f>
        <v>157</v>
      </c>
      <c r="AD267" s="69">
        <f t="shared" ref="AD267:AD272" si="2475">AD266-AB267</f>
        <v>13</v>
      </c>
      <c r="AE267" s="11">
        <v>80</v>
      </c>
      <c r="AF267" s="12">
        <f t="shared" si="2424"/>
        <v>0.52229299363057324</v>
      </c>
      <c r="AG267" s="11">
        <v>2</v>
      </c>
      <c r="AH267" s="12">
        <f t="shared" si="2425"/>
        <v>2.4390243902439025E-2</v>
      </c>
      <c r="AI267" s="13"/>
      <c r="AJ267" s="11"/>
      <c r="AK267" s="11"/>
      <c r="AL267" s="14"/>
      <c r="AM267" s="10"/>
      <c r="AN267" s="11"/>
      <c r="AO267" s="69">
        <f t="shared" ref="AO267:AO272" si="2476">AO266-AM267</f>
        <v>751</v>
      </c>
      <c r="AP267" s="69">
        <f t="shared" ref="AP267:AP272" si="2477">AP266-AN267</f>
        <v>61</v>
      </c>
      <c r="AQ267" s="11">
        <v>391</v>
      </c>
      <c r="AR267" s="12">
        <f t="shared" si="2426"/>
        <v>0.52729693741677763</v>
      </c>
      <c r="AS267" s="11">
        <v>5</v>
      </c>
      <c r="AT267" s="12">
        <f t="shared" si="2427"/>
        <v>1.2626262626262626E-2</v>
      </c>
      <c r="AU267" s="13"/>
      <c r="AV267" s="11"/>
      <c r="AW267" s="11"/>
      <c r="AX267" s="14"/>
      <c r="AY267" s="10"/>
      <c r="AZ267" s="11"/>
      <c r="BA267" s="69">
        <f t="shared" ref="BA267:BA272" si="2478">BA266-AY267</f>
        <v>746</v>
      </c>
      <c r="BB267" s="69">
        <f t="shared" ref="BB267:BB272" si="2479">BB266-AZ267</f>
        <v>60</v>
      </c>
      <c r="BC267" s="11">
        <v>385</v>
      </c>
      <c r="BD267" s="12">
        <f t="shared" si="2428"/>
        <v>0.53083109919571048</v>
      </c>
      <c r="BE267" s="11">
        <v>11</v>
      </c>
      <c r="BF267" s="12">
        <f t="shared" si="2429"/>
        <v>2.7777777777777776E-2</v>
      </c>
      <c r="BG267" s="13"/>
      <c r="BH267" s="11"/>
      <c r="BI267" s="11"/>
      <c r="BJ267" s="14"/>
      <c r="BK267" s="10"/>
      <c r="BL267" s="11"/>
      <c r="BM267" s="69">
        <f t="shared" ref="BM267:BM272" si="2480">BM266-BK267</f>
        <v>802</v>
      </c>
      <c r="BN267" s="69">
        <f t="shared" ref="BN267:BN272" si="2481">BN266-BL267</f>
        <v>62</v>
      </c>
      <c r="BO267" s="11">
        <v>389</v>
      </c>
      <c r="BP267" s="12">
        <f t="shared" si="2430"/>
        <v>0.49501246882793015</v>
      </c>
      <c r="BQ267" s="11">
        <v>8</v>
      </c>
      <c r="BR267" s="12">
        <f t="shared" si="2431"/>
        <v>2.0151133501259445E-2</v>
      </c>
      <c r="BS267" s="13"/>
      <c r="BT267" s="11"/>
      <c r="BU267" s="11"/>
      <c r="BV267" s="14"/>
      <c r="BW267" s="10">
        <v>1</v>
      </c>
      <c r="BX267" s="11"/>
      <c r="BY267" s="69">
        <f t="shared" ref="BY267:BY272" si="2482">BY266-BW267</f>
        <v>738</v>
      </c>
      <c r="BZ267" s="69">
        <f t="shared" ref="BZ267:BZ272" si="2483">BZ266-BX267</f>
        <v>59</v>
      </c>
      <c r="CA267" s="11">
        <v>314</v>
      </c>
      <c r="CB267" s="12">
        <f t="shared" si="2432"/>
        <v>0.43631436314363142</v>
      </c>
      <c r="CC267" s="11">
        <v>8</v>
      </c>
      <c r="CD267" s="12">
        <f t="shared" si="2433"/>
        <v>2.4844720496894408E-2</v>
      </c>
      <c r="CE267" s="13"/>
      <c r="CF267" s="11"/>
      <c r="CG267" s="11"/>
      <c r="CH267" s="14"/>
      <c r="CI267" s="10">
        <v>1</v>
      </c>
      <c r="CJ267" s="11"/>
      <c r="CK267" s="69">
        <f t="shared" ref="CK267:CK272" si="2484">CK266-CI267</f>
        <v>129</v>
      </c>
      <c r="CL267" s="69">
        <f t="shared" ref="CL267:CL272" si="2485">CL266-CJ267</f>
        <v>12</v>
      </c>
      <c r="CM267" s="11">
        <v>56</v>
      </c>
      <c r="CN267" s="12">
        <f t="shared" si="2434"/>
        <v>0.44961240310077522</v>
      </c>
      <c r="CO267" s="11">
        <v>2</v>
      </c>
      <c r="CP267" s="12">
        <f t="shared" si="2435"/>
        <v>3.4482758620689655E-2</v>
      </c>
      <c r="CQ267" s="13"/>
      <c r="CR267" s="11"/>
      <c r="CS267" s="11"/>
      <c r="CT267" s="14"/>
      <c r="CU267" s="10">
        <v>1</v>
      </c>
      <c r="CV267" s="11"/>
      <c r="CW267" s="69">
        <f t="shared" ref="CW267:CW272" si="2486">CW266-CU267</f>
        <v>732</v>
      </c>
      <c r="CX267" s="69">
        <f t="shared" ref="CX267:CX272" si="2487">CX266-CV267</f>
        <v>59</v>
      </c>
      <c r="CY267" s="11">
        <v>368</v>
      </c>
      <c r="CZ267" s="12">
        <f t="shared" si="2436"/>
        <v>0.51366120218579236</v>
      </c>
      <c r="DA267" s="11">
        <v>8</v>
      </c>
      <c r="DB267" s="12">
        <f t="shared" si="2437"/>
        <v>2.1276595744680851E-2</v>
      </c>
      <c r="DC267" s="13"/>
      <c r="DD267" s="11"/>
      <c r="DE267" s="11"/>
      <c r="DF267" s="14"/>
      <c r="DG267" s="10"/>
      <c r="DH267" s="11"/>
      <c r="DI267" s="69">
        <f t="shared" ref="DI267:DI272" si="2488">DI266-DG267</f>
        <v>726</v>
      </c>
      <c r="DJ267" s="69">
        <f t="shared" ref="DJ267:DJ272" si="2489">DJ266-DH267</f>
        <v>59</v>
      </c>
      <c r="DK267" s="11">
        <v>351</v>
      </c>
      <c r="DL267" s="12">
        <f t="shared" si="2438"/>
        <v>0.49173553719008267</v>
      </c>
      <c r="DM267" s="11">
        <v>6</v>
      </c>
      <c r="DN267" s="12">
        <f t="shared" si="2439"/>
        <v>1.680672268907563E-2</v>
      </c>
      <c r="DO267" s="13"/>
      <c r="DP267" s="11"/>
      <c r="DQ267" s="11"/>
      <c r="DR267" s="14"/>
      <c r="DS267" s="10"/>
      <c r="DT267" s="11"/>
      <c r="DU267" s="69">
        <f t="shared" ref="DU267:DU272" si="2490">DU266-DS267</f>
        <v>817</v>
      </c>
      <c r="DV267" s="69">
        <f t="shared" ref="DV267:DV272" si="2491">DV266-DT267</f>
        <v>65</v>
      </c>
      <c r="DW267" s="11">
        <v>408</v>
      </c>
      <c r="DX267" s="12">
        <f t="shared" si="2440"/>
        <v>0.52264381884944922</v>
      </c>
      <c r="DY267" s="11">
        <v>19</v>
      </c>
      <c r="DZ267" s="12">
        <f t="shared" si="2441"/>
        <v>4.449648711943794E-2</v>
      </c>
      <c r="EA267" s="13"/>
      <c r="EB267" s="11"/>
      <c r="EC267" s="11"/>
      <c r="ED267" s="14"/>
      <c r="EE267" s="10"/>
      <c r="EF267" s="11"/>
      <c r="EG267" s="69">
        <f t="shared" ref="EG267:EG272" si="2492">EG266-EE267</f>
        <v>842</v>
      </c>
      <c r="EH267" s="69">
        <f t="shared" ref="EH267:EH272" si="2493">EH266-EF267</f>
        <v>67</v>
      </c>
      <c r="EI267" s="11">
        <v>417</v>
      </c>
      <c r="EJ267" s="12">
        <f t="shared" si="2442"/>
        <v>0.51425178147268413</v>
      </c>
      <c r="EK267" s="11">
        <v>16</v>
      </c>
      <c r="EL267" s="12">
        <f t="shared" si="2443"/>
        <v>3.695150115473441E-2</v>
      </c>
      <c r="EM267" s="13"/>
      <c r="EN267" s="11"/>
      <c r="EO267" s="11"/>
      <c r="EP267" s="14"/>
      <c r="EQ267" s="10">
        <v>1</v>
      </c>
      <c r="ER267" s="11"/>
      <c r="ES267" s="69">
        <f t="shared" ref="ES267:ES272" si="2494">ES266-EQ267</f>
        <v>164</v>
      </c>
      <c r="ET267" s="69">
        <f t="shared" ref="ET267:ET272" si="2495">ET266-ER267</f>
        <v>14</v>
      </c>
      <c r="EU267" s="11">
        <v>76</v>
      </c>
      <c r="EV267" s="12">
        <f t="shared" si="2444"/>
        <v>0.47560975609756095</v>
      </c>
      <c r="EW267" s="11">
        <v>2</v>
      </c>
      <c r="EX267" s="12">
        <f t="shared" si="2445"/>
        <v>2.564102564102564E-2</v>
      </c>
      <c r="EY267" s="13"/>
      <c r="EZ267" s="11"/>
      <c r="FA267" s="11"/>
      <c r="FB267" s="14"/>
      <c r="FC267" s="10"/>
      <c r="FD267" s="11"/>
      <c r="FE267" s="69">
        <f t="shared" ref="FE267:FE272" si="2496">FE266-FC267</f>
        <v>847</v>
      </c>
      <c r="FF267" s="69">
        <f t="shared" ref="FF267:FF272" si="2497">FF266-FD267</f>
        <v>67</v>
      </c>
      <c r="FG267" s="11">
        <v>470</v>
      </c>
      <c r="FH267" s="12">
        <f t="shared" si="2446"/>
        <v>0.56906729634002362</v>
      </c>
      <c r="FI267" s="11">
        <v>12</v>
      </c>
      <c r="FJ267" s="12">
        <f t="shared" si="2447"/>
        <v>2.4896265560165973E-2</v>
      </c>
      <c r="FK267" s="13"/>
      <c r="FL267" s="11"/>
      <c r="FM267" s="11"/>
      <c r="FN267" s="14"/>
      <c r="FO267" s="10">
        <v>1</v>
      </c>
      <c r="FP267" s="11"/>
      <c r="FQ267" s="69">
        <f t="shared" ref="FQ267:FQ272" si="2498">FQ266-FO267</f>
        <v>860</v>
      </c>
      <c r="FR267" s="69">
        <f t="shared" ref="FR267:FR272" si="2499">FR266-FP267</f>
        <v>70</v>
      </c>
      <c r="FS267" s="11">
        <v>430</v>
      </c>
      <c r="FT267" s="12">
        <f t="shared" si="2448"/>
        <v>0.52558139534883719</v>
      </c>
      <c r="FU267" s="11">
        <v>22</v>
      </c>
      <c r="FV267" s="12">
        <f t="shared" si="2449"/>
        <v>4.8672566371681415E-2</v>
      </c>
      <c r="FW267" s="13"/>
      <c r="FX267" s="11"/>
      <c r="FY267" s="11"/>
      <c r="FZ267" s="14"/>
      <c r="GA267" s="10">
        <v>1</v>
      </c>
      <c r="GB267" s="11"/>
      <c r="GC267" s="69">
        <f t="shared" ref="GC267:GC272" si="2500">GC266-GA267</f>
        <v>869</v>
      </c>
      <c r="GD267" s="69">
        <f t="shared" ref="GD267:GD272" si="2501">GD266-GB267</f>
        <v>71</v>
      </c>
      <c r="GE267" s="11">
        <v>454</v>
      </c>
      <c r="GF267" s="12">
        <f t="shared" si="2450"/>
        <v>0.54545454545454541</v>
      </c>
      <c r="GG267" s="11">
        <v>20</v>
      </c>
      <c r="GH267" s="12">
        <f t="shared" si="2451"/>
        <v>4.2194092827004218E-2</v>
      </c>
      <c r="GI267" s="13"/>
      <c r="GJ267" s="11"/>
      <c r="GK267" s="11"/>
      <c r="GL267" s="14"/>
      <c r="GM267" s="10">
        <v>2</v>
      </c>
      <c r="GN267" s="11"/>
      <c r="GO267" s="69">
        <f t="shared" ref="GO267:GO272" si="2502">GO266-GM267</f>
        <v>139</v>
      </c>
      <c r="GP267" s="69">
        <f t="shared" ref="GP267:GP272" si="2503">GP266-GN267</f>
        <v>12</v>
      </c>
      <c r="GQ267" s="11">
        <v>54</v>
      </c>
      <c r="GR267" s="12">
        <f t="shared" si="2452"/>
        <v>0.41726618705035973</v>
      </c>
      <c r="GS267" s="11">
        <v>4</v>
      </c>
      <c r="GT267" s="12">
        <f t="shared" si="2453"/>
        <v>6.8965517241379309E-2</v>
      </c>
      <c r="GU267" s="13"/>
      <c r="GV267" s="11"/>
      <c r="GW267" s="11"/>
      <c r="GX267" s="14"/>
      <c r="GY267" s="10"/>
      <c r="GZ267" s="11"/>
      <c r="HA267" s="69">
        <f t="shared" ref="HA267:HA272" si="2504">HA266-GY267</f>
        <v>898</v>
      </c>
      <c r="HB267" s="69">
        <f t="shared" ref="HB267:HB272" si="2505">HB266-GZ267</f>
        <v>72</v>
      </c>
      <c r="HC267" s="11">
        <v>464</v>
      </c>
      <c r="HD267" s="12">
        <f t="shared" si="2454"/>
        <v>0.53786191536748329</v>
      </c>
      <c r="HE267" s="11">
        <v>19</v>
      </c>
      <c r="HF267" s="12">
        <f t="shared" si="2455"/>
        <v>3.9337474120082816E-2</v>
      </c>
      <c r="HG267" s="13"/>
      <c r="HH267" s="11"/>
      <c r="HI267" s="11"/>
      <c r="HJ267" s="14"/>
      <c r="HK267" s="10">
        <f t="shared" si="2456"/>
        <v>8</v>
      </c>
      <c r="HL267" s="11">
        <f t="shared" si="2457"/>
        <v>0</v>
      </c>
      <c r="HM267" s="11">
        <f t="shared" si="2458"/>
        <v>11773</v>
      </c>
      <c r="HN267" s="11">
        <f t="shared" si="2459"/>
        <v>948</v>
      </c>
      <c r="HO267" s="11">
        <f t="shared" si="2460"/>
        <v>5985</v>
      </c>
      <c r="HP267" s="95">
        <f t="shared" si="2461"/>
        <v>0.50836660154591018</v>
      </c>
      <c r="HQ267" s="15">
        <f t="shared" si="2462"/>
        <v>182</v>
      </c>
      <c r="HR267" s="12">
        <f t="shared" si="2463"/>
        <v>3.0409356725146199E-2</v>
      </c>
      <c r="HS267" s="16">
        <v>67.099999999999994</v>
      </c>
      <c r="HT267" s="17">
        <v>5703</v>
      </c>
      <c r="HU267" s="16">
        <f t="shared" si="2464"/>
        <v>95.288220551378444</v>
      </c>
      <c r="HV267" s="15"/>
      <c r="HW267" s="14"/>
      <c r="HX267" s="73">
        <f t="shared" si="2465"/>
        <v>0.49470404984423677</v>
      </c>
      <c r="HY267" s="73">
        <f t="shared" si="2466"/>
        <v>0.48289094979213304</v>
      </c>
      <c r="HZ267" s="73">
        <f t="shared" si="2467"/>
        <v>0.53183520599250933</v>
      </c>
      <c r="IA267" s="73">
        <f t="shared" si="2468"/>
        <v>0.53036876355748375</v>
      </c>
    </row>
    <row r="268" spans="1:244" x14ac:dyDescent="0.25">
      <c r="A268" s="374"/>
      <c r="B268" s="101">
        <f t="shared" si="2469"/>
        <v>45146</v>
      </c>
      <c r="C268" s="10"/>
      <c r="D268" s="11"/>
      <c r="E268" s="69">
        <f t="shared" si="2470"/>
        <v>811</v>
      </c>
      <c r="F268" s="69">
        <f t="shared" si="2471"/>
        <v>65</v>
      </c>
      <c r="G268" s="11">
        <v>414</v>
      </c>
      <c r="H268" s="12">
        <f t="shared" si="2420"/>
        <v>0.52034525277435262</v>
      </c>
      <c r="I268" s="11">
        <v>8</v>
      </c>
      <c r="J268" s="12">
        <f t="shared" si="2421"/>
        <v>1.8957345971563982E-2</v>
      </c>
      <c r="K268" s="13"/>
      <c r="L268" s="11"/>
      <c r="M268" s="11"/>
      <c r="N268" s="14"/>
      <c r="O268" s="10"/>
      <c r="P268" s="11"/>
      <c r="Q268" s="69">
        <f t="shared" si="2472"/>
        <v>745</v>
      </c>
      <c r="R268" s="69">
        <f t="shared" si="2473"/>
        <v>60</v>
      </c>
      <c r="S268" s="11">
        <v>397</v>
      </c>
      <c r="T268" s="12">
        <f t="shared" si="2422"/>
        <v>0.5449664429530201</v>
      </c>
      <c r="U268" s="11">
        <v>9</v>
      </c>
      <c r="V268" s="12">
        <f t="shared" si="2423"/>
        <v>2.2167487684729065E-2</v>
      </c>
      <c r="W268" s="13"/>
      <c r="X268" s="11"/>
      <c r="Y268" s="11"/>
      <c r="Z268" s="14"/>
      <c r="AA268" s="10"/>
      <c r="AB268" s="11"/>
      <c r="AC268" s="69">
        <f t="shared" si="2474"/>
        <v>157</v>
      </c>
      <c r="AD268" s="69">
        <f t="shared" si="2475"/>
        <v>13</v>
      </c>
      <c r="AE268" s="11">
        <v>73</v>
      </c>
      <c r="AF268" s="12">
        <f t="shared" si="2424"/>
        <v>0.4713375796178344</v>
      </c>
      <c r="AG268" s="11">
        <v>1</v>
      </c>
      <c r="AH268" s="12">
        <f t="shared" si="2425"/>
        <v>1.3513513513513514E-2</v>
      </c>
      <c r="AI268" s="13"/>
      <c r="AJ268" s="11"/>
      <c r="AK268" s="11"/>
      <c r="AL268" s="14"/>
      <c r="AM268" s="10"/>
      <c r="AN268" s="11"/>
      <c r="AO268" s="69">
        <f t="shared" si="2476"/>
        <v>751</v>
      </c>
      <c r="AP268" s="69">
        <f t="shared" si="2477"/>
        <v>61</v>
      </c>
      <c r="AQ268" s="11">
        <v>390</v>
      </c>
      <c r="AR268" s="12">
        <f t="shared" si="2426"/>
        <v>0.52596537949400801</v>
      </c>
      <c r="AS268" s="11">
        <v>5</v>
      </c>
      <c r="AT268" s="12">
        <f t="shared" si="2427"/>
        <v>1.2658227848101266E-2</v>
      </c>
      <c r="AU268" s="13"/>
      <c r="AV268" s="11"/>
      <c r="AW268" s="11"/>
      <c r="AX268" s="14"/>
      <c r="AY268" s="10"/>
      <c r="AZ268" s="11"/>
      <c r="BA268" s="69">
        <f t="shared" si="2478"/>
        <v>746</v>
      </c>
      <c r="BB268" s="69">
        <f t="shared" si="2479"/>
        <v>60</v>
      </c>
      <c r="BC268" s="11">
        <v>391</v>
      </c>
      <c r="BD268" s="12">
        <f t="shared" si="2428"/>
        <v>0.53217158176943702</v>
      </c>
      <c r="BE268" s="11">
        <v>6</v>
      </c>
      <c r="BF268" s="12">
        <f t="shared" si="2429"/>
        <v>1.5113350125944584E-2</v>
      </c>
      <c r="BG268" s="13"/>
      <c r="BH268" s="11"/>
      <c r="BI268" s="11"/>
      <c r="BJ268" s="14"/>
      <c r="BK268" s="10">
        <v>1</v>
      </c>
      <c r="BL268" s="11"/>
      <c r="BM268" s="69">
        <f t="shared" si="2480"/>
        <v>801</v>
      </c>
      <c r="BN268" s="69">
        <f t="shared" si="2481"/>
        <v>62</v>
      </c>
      <c r="BO268" s="11">
        <v>383</v>
      </c>
      <c r="BP268" s="12">
        <f t="shared" si="2430"/>
        <v>0.48564294631710364</v>
      </c>
      <c r="BQ268" s="11">
        <v>6</v>
      </c>
      <c r="BR268" s="12">
        <f t="shared" si="2431"/>
        <v>1.5424164524421594E-2</v>
      </c>
      <c r="BS268" s="13"/>
      <c r="BT268" s="11"/>
      <c r="BU268" s="11"/>
      <c r="BV268" s="14"/>
      <c r="BW268" s="10">
        <v>1</v>
      </c>
      <c r="BX268" s="11"/>
      <c r="BY268" s="69">
        <f t="shared" si="2482"/>
        <v>737</v>
      </c>
      <c r="BZ268" s="69">
        <f t="shared" si="2483"/>
        <v>59</v>
      </c>
      <c r="CA268" s="11">
        <v>348</v>
      </c>
      <c r="CB268" s="12">
        <f t="shared" si="2432"/>
        <v>0.48303934871099052</v>
      </c>
      <c r="CC268" s="11">
        <v>8</v>
      </c>
      <c r="CD268" s="12">
        <f t="shared" si="2433"/>
        <v>2.247191011235955E-2</v>
      </c>
      <c r="CE268" s="13"/>
      <c r="CF268" s="11"/>
      <c r="CG268" s="11"/>
      <c r="CH268" s="14"/>
      <c r="CI268" s="10"/>
      <c r="CJ268" s="11"/>
      <c r="CK268" s="69">
        <f t="shared" si="2484"/>
        <v>129</v>
      </c>
      <c r="CL268" s="69">
        <f t="shared" si="2485"/>
        <v>12</v>
      </c>
      <c r="CM268" s="11">
        <v>54</v>
      </c>
      <c r="CN268" s="12">
        <f t="shared" si="2434"/>
        <v>0.43410852713178294</v>
      </c>
      <c r="CO268" s="11">
        <v>2</v>
      </c>
      <c r="CP268" s="12">
        <f t="shared" si="2435"/>
        <v>3.5714285714285712E-2</v>
      </c>
      <c r="CQ268" s="13"/>
      <c r="CR268" s="11"/>
      <c r="CS268" s="11"/>
      <c r="CT268" s="14"/>
      <c r="CU268" s="10"/>
      <c r="CV268" s="11"/>
      <c r="CW268" s="69">
        <f t="shared" si="2486"/>
        <v>732</v>
      </c>
      <c r="CX268" s="69">
        <f t="shared" si="2487"/>
        <v>59</v>
      </c>
      <c r="CY268" s="11">
        <v>346</v>
      </c>
      <c r="CZ268" s="12">
        <f t="shared" si="2436"/>
        <v>0.4849726775956284</v>
      </c>
      <c r="DA268" s="11">
        <v>9</v>
      </c>
      <c r="DB268" s="12">
        <f t="shared" si="2437"/>
        <v>2.5352112676056339E-2</v>
      </c>
      <c r="DC268" s="13"/>
      <c r="DD268" s="11"/>
      <c r="DE268" s="11"/>
      <c r="DF268" s="14"/>
      <c r="DG268" s="10"/>
      <c r="DH268" s="11"/>
      <c r="DI268" s="69">
        <f t="shared" si="2488"/>
        <v>726</v>
      </c>
      <c r="DJ268" s="69">
        <f t="shared" si="2489"/>
        <v>59</v>
      </c>
      <c r="DK268" s="11">
        <v>360</v>
      </c>
      <c r="DL268" s="12">
        <f t="shared" si="2438"/>
        <v>0.51101928374655647</v>
      </c>
      <c r="DM268" s="11">
        <v>11</v>
      </c>
      <c r="DN268" s="12">
        <f t="shared" si="2439"/>
        <v>2.9649595687331536E-2</v>
      </c>
      <c r="DO268" s="13"/>
      <c r="DP268" s="11"/>
      <c r="DQ268" s="11"/>
      <c r="DR268" s="14"/>
      <c r="DS268" s="10"/>
      <c r="DT268" s="11"/>
      <c r="DU268" s="69">
        <f t="shared" si="2490"/>
        <v>817</v>
      </c>
      <c r="DV268" s="69">
        <f t="shared" si="2491"/>
        <v>65</v>
      </c>
      <c r="DW268" s="11">
        <v>378</v>
      </c>
      <c r="DX268" s="12">
        <f t="shared" si="2440"/>
        <v>0.47858017135862913</v>
      </c>
      <c r="DY268" s="11">
        <v>13</v>
      </c>
      <c r="DZ268" s="12">
        <f t="shared" si="2441"/>
        <v>3.3248081841432228E-2</v>
      </c>
      <c r="EA268" s="13"/>
      <c r="EB268" s="11"/>
      <c r="EC268" s="11"/>
      <c r="ED268" s="14"/>
      <c r="EE268" s="10"/>
      <c r="EF268" s="11"/>
      <c r="EG268" s="69">
        <f t="shared" si="2492"/>
        <v>842</v>
      </c>
      <c r="EH268" s="69">
        <f t="shared" si="2493"/>
        <v>67</v>
      </c>
      <c r="EI268" s="11">
        <v>381</v>
      </c>
      <c r="EJ268" s="12">
        <f t="shared" si="2442"/>
        <v>0.47743467933491684</v>
      </c>
      <c r="EK268" s="11">
        <v>21</v>
      </c>
      <c r="EL268" s="12">
        <f t="shared" si="2443"/>
        <v>5.2238805970149252E-2</v>
      </c>
      <c r="EM268" s="13"/>
      <c r="EN268" s="11"/>
      <c r="EO268" s="11"/>
      <c r="EP268" s="14"/>
      <c r="EQ268" s="10"/>
      <c r="ER268" s="11"/>
      <c r="ES268" s="69">
        <f t="shared" si="2494"/>
        <v>164</v>
      </c>
      <c r="ET268" s="69">
        <f t="shared" si="2495"/>
        <v>14</v>
      </c>
      <c r="EU268" s="11">
        <v>70</v>
      </c>
      <c r="EV268" s="12">
        <f t="shared" si="2444"/>
        <v>0.45121951219512196</v>
      </c>
      <c r="EW268" s="11">
        <v>4</v>
      </c>
      <c r="EX268" s="12">
        <f t="shared" si="2445"/>
        <v>5.4054054054054057E-2</v>
      </c>
      <c r="EY268" s="13"/>
      <c r="EZ268" s="11"/>
      <c r="FA268" s="11"/>
      <c r="FB268" s="14"/>
      <c r="FC268" s="10"/>
      <c r="FD268" s="11"/>
      <c r="FE268" s="69">
        <f t="shared" si="2496"/>
        <v>847</v>
      </c>
      <c r="FF268" s="69">
        <f t="shared" si="2497"/>
        <v>67</v>
      </c>
      <c r="FG268" s="11">
        <v>383</v>
      </c>
      <c r="FH268" s="12">
        <f t="shared" si="2446"/>
        <v>0.46044864226682408</v>
      </c>
      <c r="FI268" s="11">
        <v>7</v>
      </c>
      <c r="FJ268" s="12">
        <f t="shared" si="2447"/>
        <v>1.7948717948717947E-2</v>
      </c>
      <c r="FK268" s="13"/>
      <c r="FL268" s="11"/>
      <c r="FM268" s="11"/>
      <c r="FN268" s="14"/>
      <c r="FO268" s="10"/>
      <c r="FP268" s="11"/>
      <c r="FQ268" s="69">
        <f t="shared" si="2498"/>
        <v>860</v>
      </c>
      <c r="FR268" s="69">
        <f t="shared" si="2499"/>
        <v>70</v>
      </c>
      <c r="FS268" s="11">
        <v>368</v>
      </c>
      <c r="FT268" s="12">
        <f t="shared" si="2448"/>
        <v>0.45348837209302323</v>
      </c>
      <c r="FU268" s="11">
        <v>22</v>
      </c>
      <c r="FV268" s="12">
        <f t="shared" si="2449"/>
        <v>5.6410256410256411E-2</v>
      </c>
      <c r="FW268" s="13"/>
      <c r="FX268" s="11"/>
      <c r="FY268" s="11"/>
      <c r="FZ268" s="14"/>
      <c r="GA268" s="10"/>
      <c r="GB268" s="11"/>
      <c r="GC268" s="69">
        <f t="shared" si="2500"/>
        <v>869</v>
      </c>
      <c r="GD268" s="69">
        <f t="shared" si="2501"/>
        <v>71</v>
      </c>
      <c r="GE268" s="11">
        <v>447</v>
      </c>
      <c r="GF268" s="12">
        <f t="shared" si="2450"/>
        <v>0.52474108170310707</v>
      </c>
      <c r="GG268" s="11">
        <v>9</v>
      </c>
      <c r="GH268" s="12">
        <f t="shared" si="2451"/>
        <v>1.9736842105263157E-2</v>
      </c>
      <c r="GI268" s="13"/>
      <c r="GJ268" s="11"/>
      <c r="GK268" s="11"/>
      <c r="GL268" s="14"/>
      <c r="GM268" s="10"/>
      <c r="GN268" s="11"/>
      <c r="GO268" s="69">
        <f t="shared" si="2502"/>
        <v>139</v>
      </c>
      <c r="GP268" s="69">
        <f t="shared" si="2503"/>
        <v>12</v>
      </c>
      <c r="GQ268" s="11">
        <v>60</v>
      </c>
      <c r="GR268" s="12">
        <f t="shared" si="2452"/>
        <v>0.45323741007194246</v>
      </c>
      <c r="GS268" s="11">
        <v>3</v>
      </c>
      <c r="GT268" s="12">
        <f t="shared" si="2453"/>
        <v>4.7619047619047616E-2</v>
      </c>
      <c r="GU268" s="13"/>
      <c r="GV268" s="11"/>
      <c r="GW268" s="11"/>
      <c r="GX268" s="14"/>
      <c r="GY268" s="10"/>
      <c r="GZ268" s="11"/>
      <c r="HA268" s="69">
        <f t="shared" si="2504"/>
        <v>898</v>
      </c>
      <c r="HB268" s="69">
        <f t="shared" si="2505"/>
        <v>72</v>
      </c>
      <c r="HC268" s="11">
        <v>449</v>
      </c>
      <c r="HD268" s="12">
        <f t="shared" si="2454"/>
        <v>0.51559020044543424</v>
      </c>
      <c r="HE268" s="11">
        <v>14</v>
      </c>
      <c r="HF268" s="12">
        <f t="shared" si="2455"/>
        <v>3.0237580993520519E-2</v>
      </c>
      <c r="HG268" s="13"/>
      <c r="HH268" s="11"/>
      <c r="HI268" s="11"/>
      <c r="HJ268" s="14"/>
      <c r="HK268" s="10">
        <f t="shared" si="2456"/>
        <v>2</v>
      </c>
      <c r="HL268" s="11">
        <f t="shared" si="2457"/>
        <v>0</v>
      </c>
      <c r="HM268" s="11">
        <f t="shared" si="2458"/>
        <v>11771</v>
      </c>
      <c r="HN268" s="11">
        <f t="shared" si="2459"/>
        <v>948</v>
      </c>
      <c r="HO268" s="11">
        <f t="shared" si="2460"/>
        <v>5850</v>
      </c>
      <c r="HP268" s="95">
        <f t="shared" si="2461"/>
        <v>0.4969841134992779</v>
      </c>
      <c r="HQ268" s="15">
        <f t="shared" si="2462"/>
        <v>158</v>
      </c>
      <c r="HR268" s="12">
        <f t="shared" si="2463"/>
        <v>2.7008547008547008E-2</v>
      </c>
      <c r="HS268" s="16">
        <v>66.7</v>
      </c>
      <c r="HT268" s="17">
        <v>5594</v>
      </c>
      <c r="HU268" s="16">
        <f t="shared" si="2464"/>
        <v>95.623931623931625</v>
      </c>
      <c r="HV268" s="15"/>
      <c r="HW268" s="14"/>
      <c r="HX268" s="73">
        <f t="shared" si="2465"/>
        <v>0.52772585669781935</v>
      </c>
      <c r="HY268" s="73">
        <f t="shared" si="2466"/>
        <v>0.48864000000000002</v>
      </c>
      <c r="HZ268" s="73">
        <f t="shared" si="2467"/>
        <v>0.47078651685393258</v>
      </c>
      <c r="IA268" s="73">
        <f t="shared" si="2468"/>
        <v>0.49602313810556758</v>
      </c>
    </row>
    <row r="269" spans="1:244" x14ac:dyDescent="0.25">
      <c r="A269" s="374"/>
      <c r="B269" s="101">
        <f t="shared" si="2469"/>
        <v>45147</v>
      </c>
      <c r="C269" s="10"/>
      <c r="D269" s="11"/>
      <c r="E269" s="69">
        <f t="shared" si="2470"/>
        <v>811</v>
      </c>
      <c r="F269" s="69">
        <f t="shared" si="2471"/>
        <v>65</v>
      </c>
      <c r="G269" s="11">
        <v>377</v>
      </c>
      <c r="H269" s="12">
        <f t="shared" si="2420"/>
        <v>0.47595561035758321</v>
      </c>
      <c r="I269" s="11">
        <v>9</v>
      </c>
      <c r="J269" s="12">
        <f t="shared" si="2421"/>
        <v>2.3316062176165803E-2</v>
      </c>
      <c r="K269" s="11"/>
      <c r="L269" s="11"/>
      <c r="M269" s="18"/>
      <c r="N269" s="20"/>
      <c r="O269" s="10"/>
      <c r="P269" s="11"/>
      <c r="Q269" s="69">
        <f t="shared" si="2472"/>
        <v>745</v>
      </c>
      <c r="R269" s="69">
        <f t="shared" si="2473"/>
        <v>60</v>
      </c>
      <c r="S269" s="11">
        <v>339</v>
      </c>
      <c r="T269" s="12">
        <f t="shared" si="2422"/>
        <v>0.47382550335570472</v>
      </c>
      <c r="U269" s="11">
        <v>14</v>
      </c>
      <c r="V269" s="12">
        <f t="shared" si="2423"/>
        <v>3.9660056657223795E-2</v>
      </c>
      <c r="W269" s="11"/>
      <c r="X269" s="11"/>
      <c r="Y269" s="18"/>
      <c r="Z269" s="20"/>
      <c r="AA269" s="10"/>
      <c r="AB269" s="11"/>
      <c r="AC269" s="69">
        <f t="shared" si="2474"/>
        <v>157</v>
      </c>
      <c r="AD269" s="69">
        <f t="shared" si="2475"/>
        <v>13</v>
      </c>
      <c r="AE269" s="11">
        <v>56</v>
      </c>
      <c r="AF269" s="12">
        <f t="shared" si="2424"/>
        <v>0.36942675159235666</v>
      </c>
      <c r="AG269" s="11">
        <v>2</v>
      </c>
      <c r="AH269" s="12">
        <f t="shared" si="2425"/>
        <v>3.4482758620689655E-2</v>
      </c>
      <c r="AI269" s="11"/>
      <c r="AJ269" s="11"/>
      <c r="AK269" s="18"/>
      <c r="AL269" s="20"/>
      <c r="AM269" s="10"/>
      <c r="AN269" s="11"/>
      <c r="AO269" s="69">
        <f t="shared" si="2476"/>
        <v>751</v>
      </c>
      <c r="AP269" s="69">
        <f t="shared" si="2477"/>
        <v>61</v>
      </c>
      <c r="AQ269" s="11">
        <v>352</v>
      </c>
      <c r="AR269" s="12">
        <f t="shared" si="2426"/>
        <v>0.47802929427430091</v>
      </c>
      <c r="AS269" s="11">
        <v>7</v>
      </c>
      <c r="AT269" s="12">
        <f t="shared" si="2427"/>
        <v>1.9498607242339833E-2</v>
      </c>
      <c r="AU269" s="11"/>
      <c r="AV269" s="11"/>
      <c r="AW269" s="18"/>
      <c r="AX269" s="20"/>
      <c r="AY269" s="10"/>
      <c r="AZ269" s="11"/>
      <c r="BA269" s="69">
        <f t="shared" si="2478"/>
        <v>746</v>
      </c>
      <c r="BB269" s="69">
        <f t="shared" si="2479"/>
        <v>60</v>
      </c>
      <c r="BC269" s="11">
        <v>369</v>
      </c>
      <c r="BD269" s="12">
        <f t="shared" si="2428"/>
        <v>0.50134048257372654</v>
      </c>
      <c r="BE269" s="11">
        <v>5</v>
      </c>
      <c r="BF269" s="12">
        <f t="shared" si="2429"/>
        <v>1.3368983957219251E-2</v>
      </c>
      <c r="BG269" s="11"/>
      <c r="BH269" s="11"/>
      <c r="BI269" s="18"/>
      <c r="BJ269" s="20"/>
      <c r="BK269" s="10"/>
      <c r="BL269" s="11"/>
      <c r="BM269" s="69">
        <f t="shared" si="2480"/>
        <v>801</v>
      </c>
      <c r="BN269" s="69">
        <f t="shared" si="2481"/>
        <v>62</v>
      </c>
      <c r="BO269" s="11">
        <v>361</v>
      </c>
      <c r="BP269" s="12">
        <f t="shared" si="2430"/>
        <v>0.4606741573033708</v>
      </c>
      <c r="BQ269" s="11">
        <v>8</v>
      </c>
      <c r="BR269" s="12">
        <f t="shared" si="2431"/>
        <v>2.1680216802168022E-2</v>
      </c>
      <c r="BS269" s="11"/>
      <c r="BT269" s="11"/>
      <c r="BU269" s="18"/>
      <c r="BV269" s="20"/>
      <c r="BW269" s="10"/>
      <c r="BX269" s="11"/>
      <c r="BY269" s="69">
        <f t="shared" si="2482"/>
        <v>737</v>
      </c>
      <c r="BZ269" s="69">
        <f t="shared" si="2483"/>
        <v>59</v>
      </c>
      <c r="CA269" s="11">
        <v>329</v>
      </c>
      <c r="CB269" s="12">
        <f t="shared" si="2432"/>
        <v>0.4599728629579376</v>
      </c>
      <c r="CC269" s="11">
        <v>10</v>
      </c>
      <c r="CD269" s="12">
        <f t="shared" si="2433"/>
        <v>2.9498525073746312E-2</v>
      </c>
      <c r="CE269" s="11"/>
      <c r="CF269" s="11"/>
      <c r="CG269" s="18"/>
      <c r="CH269" s="20"/>
      <c r="CI269" s="10">
        <v>2</v>
      </c>
      <c r="CJ269" s="11"/>
      <c r="CK269" s="69">
        <f t="shared" si="2484"/>
        <v>127</v>
      </c>
      <c r="CL269" s="69">
        <f t="shared" si="2485"/>
        <v>12</v>
      </c>
      <c r="CM269" s="11">
        <v>51</v>
      </c>
      <c r="CN269" s="12">
        <f t="shared" si="2434"/>
        <v>0.45669291338582679</v>
      </c>
      <c r="CO269" s="11">
        <v>7</v>
      </c>
      <c r="CP269" s="12">
        <f t="shared" si="2435"/>
        <v>0.1206896551724138</v>
      </c>
      <c r="CQ269" s="11"/>
      <c r="CR269" s="11"/>
      <c r="CS269" s="18"/>
      <c r="CT269" s="20"/>
      <c r="CU269" s="10"/>
      <c r="CV269" s="11"/>
      <c r="CW269" s="69">
        <f t="shared" si="2486"/>
        <v>732</v>
      </c>
      <c r="CX269" s="69">
        <f t="shared" si="2487"/>
        <v>59</v>
      </c>
      <c r="CY269" s="11">
        <v>325</v>
      </c>
      <c r="CZ269" s="12">
        <f t="shared" si="2436"/>
        <v>0.46584699453551914</v>
      </c>
      <c r="DA269" s="11">
        <v>16</v>
      </c>
      <c r="DB269" s="12">
        <f t="shared" si="2437"/>
        <v>4.6920821114369501E-2</v>
      </c>
      <c r="DC269" s="11"/>
      <c r="DD269" s="11"/>
      <c r="DE269" s="18"/>
      <c r="DF269" s="20"/>
      <c r="DG269" s="10"/>
      <c r="DH269" s="11"/>
      <c r="DI269" s="69">
        <f t="shared" si="2488"/>
        <v>726</v>
      </c>
      <c r="DJ269" s="69">
        <f t="shared" si="2489"/>
        <v>59</v>
      </c>
      <c r="DK269" s="11">
        <v>361</v>
      </c>
      <c r="DL269" s="12">
        <f t="shared" si="2438"/>
        <v>0.51652892561983466</v>
      </c>
      <c r="DM269" s="11">
        <v>14</v>
      </c>
      <c r="DN269" s="12">
        <f t="shared" si="2439"/>
        <v>3.7333333333333336E-2</v>
      </c>
      <c r="DO269" s="11"/>
      <c r="DP269" s="11"/>
      <c r="DQ269" s="18"/>
      <c r="DR269" s="20"/>
      <c r="DS269" s="10"/>
      <c r="DT269" s="11"/>
      <c r="DU269" s="69">
        <f t="shared" si="2490"/>
        <v>817</v>
      </c>
      <c r="DV269" s="69">
        <f t="shared" si="2491"/>
        <v>65</v>
      </c>
      <c r="DW269" s="11">
        <v>407</v>
      </c>
      <c r="DX269" s="12">
        <f t="shared" si="2440"/>
        <v>0.52998776009791926</v>
      </c>
      <c r="DY269" s="11">
        <v>26</v>
      </c>
      <c r="DZ269" s="12">
        <f t="shared" si="2441"/>
        <v>6.0046189376443418E-2</v>
      </c>
      <c r="EA269" s="11"/>
      <c r="EB269" s="11"/>
      <c r="EC269" s="18"/>
      <c r="ED269" s="20"/>
      <c r="EE269" s="10"/>
      <c r="EF269" s="11"/>
      <c r="EG269" s="69">
        <f t="shared" si="2492"/>
        <v>842</v>
      </c>
      <c r="EH269" s="69">
        <f t="shared" si="2493"/>
        <v>67</v>
      </c>
      <c r="EI269" s="11">
        <v>409</v>
      </c>
      <c r="EJ269" s="12">
        <f t="shared" si="2442"/>
        <v>0.50475059382422804</v>
      </c>
      <c r="EK269" s="11">
        <v>16</v>
      </c>
      <c r="EL269" s="12">
        <f t="shared" si="2443"/>
        <v>3.7647058823529408E-2</v>
      </c>
      <c r="EM269" s="11"/>
      <c r="EN269" s="11"/>
      <c r="EO269" s="18"/>
      <c r="EP269" s="20"/>
      <c r="EQ269" s="10">
        <v>2</v>
      </c>
      <c r="ER269" s="11"/>
      <c r="ES269" s="69">
        <f t="shared" si="2494"/>
        <v>162</v>
      </c>
      <c r="ET269" s="69">
        <f t="shared" si="2495"/>
        <v>14</v>
      </c>
      <c r="EU269" s="11">
        <v>69</v>
      </c>
      <c r="EV269" s="12">
        <f t="shared" si="2444"/>
        <v>0.43209876543209874</v>
      </c>
      <c r="EW269" s="11">
        <v>1</v>
      </c>
      <c r="EX269" s="12">
        <f t="shared" si="2445"/>
        <v>1.4285714285714285E-2</v>
      </c>
      <c r="EY269" s="11"/>
      <c r="EZ269" s="11"/>
      <c r="FA269" s="18"/>
      <c r="FB269" s="20"/>
      <c r="FC269" s="10">
        <v>1</v>
      </c>
      <c r="FD269" s="11"/>
      <c r="FE269" s="69">
        <f t="shared" si="2496"/>
        <v>846</v>
      </c>
      <c r="FF269" s="69">
        <f t="shared" si="2497"/>
        <v>67</v>
      </c>
      <c r="FG269" s="11">
        <v>400</v>
      </c>
      <c r="FH269" s="12">
        <f t="shared" si="2446"/>
        <v>0.49408983451536642</v>
      </c>
      <c r="FI269" s="11">
        <v>18</v>
      </c>
      <c r="FJ269" s="12">
        <f t="shared" si="2447"/>
        <v>4.3062200956937802E-2</v>
      </c>
      <c r="FK269" s="11"/>
      <c r="FL269" s="11"/>
      <c r="FM269" s="18"/>
      <c r="FN269" s="20"/>
      <c r="FO269" s="10"/>
      <c r="FP269" s="11"/>
      <c r="FQ269" s="69">
        <f t="shared" si="2498"/>
        <v>860</v>
      </c>
      <c r="FR269" s="69">
        <f t="shared" si="2499"/>
        <v>70</v>
      </c>
      <c r="FS269" s="11">
        <v>411</v>
      </c>
      <c r="FT269" s="12">
        <f t="shared" si="2448"/>
        <v>0.50813953488372088</v>
      </c>
      <c r="FU269" s="11">
        <v>26</v>
      </c>
      <c r="FV269" s="12">
        <f t="shared" si="2449"/>
        <v>5.9496567505720827E-2</v>
      </c>
      <c r="FW269" s="11"/>
      <c r="FX269" s="11"/>
      <c r="FY269" s="18"/>
      <c r="FZ269" s="20"/>
      <c r="GA269" s="10"/>
      <c r="GB269" s="11"/>
      <c r="GC269" s="69">
        <f t="shared" si="2500"/>
        <v>869</v>
      </c>
      <c r="GD269" s="69">
        <f t="shared" si="2501"/>
        <v>71</v>
      </c>
      <c r="GE269" s="11">
        <v>435</v>
      </c>
      <c r="GF269" s="12">
        <f t="shared" si="2450"/>
        <v>0.51438434982738779</v>
      </c>
      <c r="GG269" s="11">
        <v>12</v>
      </c>
      <c r="GH269" s="12">
        <f t="shared" si="2451"/>
        <v>2.6845637583892617E-2</v>
      </c>
      <c r="GI269" s="11"/>
      <c r="GJ269" s="11"/>
      <c r="GK269" s="18"/>
      <c r="GL269" s="20"/>
      <c r="GM269" s="10"/>
      <c r="GN269" s="11"/>
      <c r="GO269" s="69">
        <f t="shared" si="2502"/>
        <v>139</v>
      </c>
      <c r="GP269" s="69">
        <f t="shared" si="2503"/>
        <v>12</v>
      </c>
      <c r="GQ269" s="11">
        <v>50</v>
      </c>
      <c r="GR269" s="12">
        <f t="shared" si="2452"/>
        <v>0.40287769784172661</v>
      </c>
      <c r="GS269" s="11">
        <v>6</v>
      </c>
      <c r="GT269" s="12">
        <f t="shared" si="2453"/>
        <v>0.10714285714285714</v>
      </c>
      <c r="GU269" s="11"/>
      <c r="GV269" s="11"/>
      <c r="GW269" s="18"/>
      <c r="GX269" s="20"/>
      <c r="GY269" s="10"/>
      <c r="GZ269" s="11"/>
      <c r="HA269" s="69">
        <f t="shared" si="2504"/>
        <v>898</v>
      </c>
      <c r="HB269" s="69">
        <f t="shared" si="2505"/>
        <v>72</v>
      </c>
      <c r="HC269" s="11">
        <v>412</v>
      </c>
      <c r="HD269" s="12">
        <f t="shared" si="2454"/>
        <v>0.4844097995545657</v>
      </c>
      <c r="HE269" s="11">
        <v>23</v>
      </c>
      <c r="HF269" s="12">
        <f t="shared" si="2455"/>
        <v>5.2873563218390804E-2</v>
      </c>
      <c r="HG269" s="11"/>
      <c r="HH269" s="11"/>
      <c r="HI269" s="18"/>
      <c r="HJ269" s="20"/>
      <c r="HK269" s="10">
        <f t="shared" si="2456"/>
        <v>5</v>
      </c>
      <c r="HL269" s="11">
        <f t="shared" si="2457"/>
        <v>0</v>
      </c>
      <c r="HM269" s="11">
        <f t="shared" si="2458"/>
        <v>11766</v>
      </c>
      <c r="HN269" s="11">
        <f t="shared" si="2459"/>
        <v>948</v>
      </c>
      <c r="HO269" s="11">
        <f t="shared" si="2460"/>
        <v>5733</v>
      </c>
      <c r="HP269" s="95">
        <f t="shared" si="2461"/>
        <v>0.48725140234574199</v>
      </c>
      <c r="HQ269" s="15">
        <f t="shared" si="2462"/>
        <v>220</v>
      </c>
      <c r="HR269" s="12">
        <f t="shared" si="2463"/>
        <v>3.8374324088609801E-2</v>
      </c>
      <c r="HS269" s="16">
        <v>66.900000000000006</v>
      </c>
      <c r="HT269" s="17">
        <v>5375</v>
      </c>
      <c r="HU269" s="16">
        <f t="shared" si="2464"/>
        <v>93.755450898308041</v>
      </c>
      <c r="HV269" s="18"/>
      <c r="HW269" s="20"/>
      <c r="HX269" s="73">
        <f t="shared" si="2465"/>
        <v>0.47663551401869159</v>
      </c>
      <c r="HY269" s="73">
        <f t="shared" si="2466"/>
        <v>0.4745437079731028</v>
      </c>
      <c r="HZ269" s="73">
        <f t="shared" si="2467"/>
        <v>0.50468691413573308</v>
      </c>
      <c r="IA269" s="73">
        <f t="shared" si="2468"/>
        <v>0.49710773680404918</v>
      </c>
    </row>
    <row r="270" spans="1:244" x14ac:dyDescent="0.25">
      <c r="A270" s="374"/>
      <c r="B270" s="101">
        <f>+B269+1</f>
        <v>45148</v>
      </c>
      <c r="C270" s="10"/>
      <c r="D270" s="11"/>
      <c r="E270" s="69">
        <f t="shared" si="2470"/>
        <v>811</v>
      </c>
      <c r="F270" s="69">
        <f t="shared" si="2471"/>
        <v>65</v>
      </c>
      <c r="G270" s="11">
        <v>370</v>
      </c>
      <c r="H270" s="12">
        <f t="shared" si="2420"/>
        <v>0.47595561035758321</v>
      </c>
      <c r="I270" s="11">
        <v>16</v>
      </c>
      <c r="J270" s="12">
        <f t="shared" si="2421"/>
        <v>4.145077720207254E-2</v>
      </c>
      <c r="K270" s="13"/>
      <c r="L270" s="13"/>
      <c r="M270" s="25">
        <v>4284</v>
      </c>
      <c r="N270" s="38">
        <v>4284</v>
      </c>
      <c r="O270" s="10"/>
      <c r="P270" s="11"/>
      <c r="Q270" s="69">
        <f t="shared" si="2472"/>
        <v>745</v>
      </c>
      <c r="R270" s="69">
        <f t="shared" si="2473"/>
        <v>60</v>
      </c>
      <c r="S270" s="11">
        <v>370</v>
      </c>
      <c r="T270" s="12">
        <f t="shared" si="2422"/>
        <v>0.51275167785234899</v>
      </c>
      <c r="U270" s="11">
        <v>12</v>
      </c>
      <c r="V270" s="12">
        <f t="shared" si="2423"/>
        <v>3.1413612565445025E-2</v>
      </c>
      <c r="W270" s="13"/>
      <c r="X270" s="13"/>
      <c r="Y270" s="25">
        <v>4284</v>
      </c>
      <c r="Z270" s="38">
        <v>4520</v>
      </c>
      <c r="AA270" s="10"/>
      <c r="AB270" s="11"/>
      <c r="AC270" s="69">
        <f t="shared" si="2474"/>
        <v>157</v>
      </c>
      <c r="AD270" s="69">
        <f t="shared" si="2475"/>
        <v>13</v>
      </c>
      <c r="AE270" s="11">
        <v>57</v>
      </c>
      <c r="AF270" s="12">
        <f t="shared" si="2424"/>
        <v>0.36942675159235666</v>
      </c>
      <c r="AG270" s="11">
        <v>1</v>
      </c>
      <c r="AH270" s="12">
        <f t="shared" si="2425"/>
        <v>1.7241379310344827E-2</v>
      </c>
      <c r="AI270" s="13"/>
      <c r="AJ270" s="13"/>
      <c r="AK270" s="25">
        <v>4284</v>
      </c>
      <c r="AL270" s="38">
        <v>4520</v>
      </c>
      <c r="AM270" s="10"/>
      <c r="AN270" s="11"/>
      <c r="AO270" s="69">
        <f t="shared" si="2476"/>
        <v>751</v>
      </c>
      <c r="AP270" s="69">
        <f t="shared" si="2477"/>
        <v>61</v>
      </c>
      <c r="AQ270" s="11">
        <v>378</v>
      </c>
      <c r="AR270" s="12">
        <f t="shared" si="2426"/>
        <v>0.52197070572569904</v>
      </c>
      <c r="AS270" s="11">
        <v>14</v>
      </c>
      <c r="AT270" s="12">
        <f t="shared" si="2427"/>
        <v>3.5714285714285712E-2</v>
      </c>
      <c r="AU270" s="13"/>
      <c r="AV270" s="13"/>
      <c r="AW270" s="25">
        <v>4284</v>
      </c>
      <c r="AX270" s="38">
        <v>4520</v>
      </c>
      <c r="AY270" s="10">
        <v>1</v>
      </c>
      <c r="AZ270" s="11"/>
      <c r="BA270" s="69">
        <f t="shared" si="2478"/>
        <v>745</v>
      </c>
      <c r="BB270" s="69">
        <f t="shared" si="2479"/>
        <v>60</v>
      </c>
      <c r="BC270" s="11">
        <v>351</v>
      </c>
      <c r="BD270" s="12">
        <f t="shared" si="2428"/>
        <v>0.48322147651006714</v>
      </c>
      <c r="BE270" s="11">
        <v>9</v>
      </c>
      <c r="BF270" s="12">
        <f t="shared" si="2429"/>
        <v>2.5000000000000001E-2</v>
      </c>
      <c r="BG270" s="13"/>
      <c r="BH270" s="13"/>
      <c r="BI270" s="25">
        <v>4284</v>
      </c>
      <c r="BJ270" s="38">
        <v>4520</v>
      </c>
      <c r="BK270" s="10"/>
      <c r="BL270" s="11"/>
      <c r="BM270" s="69">
        <f t="shared" si="2480"/>
        <v>801</v>
      </c>
      <c r="BN270" s="69">
        <f t="shared" si="2481"/>
        <v>62</v>
      </c>
      <c r="BO270" s="11">
        <v>369</v>
      </c>
      <c r="BP270" s="12">
        <f t="shared" si="2430"/>
        <v>0.48064918851435706</v>
      </c>
      <c r="BQ270" s="11">
        <v>16</v>
      </c>
      <c r="BR270" s="12">
        <f t="shared" si="2431"/>
        <v>4.1558441558441558E-2</v>
      </c>
      <c r="BS270" s="13"/>
      <c r="BT270" s="13"/>
      <c r="BU270" s="25">
        <v>4284</v>
      </c>
      <c r="BV270" s="38">
        <v>4520</v>
      </c>
      <c r="BW270" s="10"/>
      <c r="BX270" s="11"/>
      <c r="BY270" s="69">
        <f t="shared" si="2482"/>
        <v>737</v>
      </c>
      <c r="BZ270" s="69">
        <f t="shared" si="2483"/>
        <v>59</v>
      </c>
      <c r="CA270" s="11">
        <v>334</v>
      </c>
      <c r="CB270" s="12">
        <f t="shared" si="2432"/>
        <v>0.47761194029850745</v>
      </c>
      <c r="CC270" s="11">
        <v>18</v>
      </c>
      <c r="CD270" s="12">
        <f t="shared" si="2433"/>
        <v>5.113636363636364E-2</v>
      </c>
      <c r="CE270" s="13"/>
      <c r="CF270" s="13"/>
      <c r="CG270" s="25">
        <v>4284</v>
      </c>
      <c r="CH270" s="38">
        <v>4520</v>
      </c>
      <c r="CI270" s="10"/>
      <c r="CJ270" s="11"/>
      <c r="CK270" s="69">
        <f t="shared" si="2484"/>
        <v>127</v>
      </c>
      <c r="CL270" s="69">
        <f t="shared" si="2485"/>
        <v>12</v>
      </c>
      <c r="CM270" s="11">
        <v>61</v>
      </c>
      <c r="CN270" s="12">
        <f t="shared" si="2434"/>
        <v>0.51181102362204722</v>
      </c>
      <c r="CO270" s="11">
        <v>4</v>
      </c>
      <c r="CP270" s="12">
        <f t="shared" si="2435"/>
        <v>6.1538461538461542E-2</v>
      </c>
      <c r="CQ270" s="13"/>
      <c r="CR270" s="13"/>
      <c r="CS270" s="25">
        <v>4284</v>
      </c>
      <c r="CT270" s="38">
        <v>4520</v>
      </c>
      <c r="CU270" s="10"/>
      <c r="CV270" s="11"/>
      <c r="CW270" s="69">
        <f t="shared" si="2486"/>
        <v>732</v>
      </c>
      <c r="CX270" s="69">
        <f t="shared" si="2487"/>
        <v>59</v>
      </c>
      <c r="CY270" s="11">
        <v>315</v>
      </c>
      <c r="CZ270" s="12">
        <f t="shared" si="2436"/>
        <v>0.4453551912568306</v>
      </c>
      <c r="DA270" s="11">
        <v>11</v>
      </c>
      <c r="DB270" s="12">
        <f t="shared" si="2437"/>
        <v>3.3742331288343558E-2</v>
      </c>
      <c r="DC270" s="13"/>
      <c r="DD270" s="13"/>
      <c r="DE270" s="25">
        <v>4284</v>
      </c>
      <c r="DF270" s="38">
        <v>4520</v>
      </c>
      <c r="DG270" s="10"/>
      <c r="DH270" s="11"/>
      <c r="DI270" s="69">
        <f t="shared" si="2488"/>
        <v>726</v>
      </c>
      <c r="DJ270" s="69">
        <f t="shared" si="2489"/>
        <v>59</v>
      </c>
      <c r="DK270" s="11">
        <v>372</v>
      </c>
      <c r="DL270" s="12">
        <f t="shared" si="2438"/>
        <v>0.54683195592286504</v>
      </c>
      <c r="DM270" s="11">
        <v>25</v>
      </c>
      <c r="DN270" s="12">
        <f t="shared" si="2439"/>
        <v>6.2972292191435769E-2</v>
      </c>
      <c r="DO270" s="13"/>
      <c r="DP270" s="13"/>
      <c r="DQ270" s="25">
        <v>4284</v>
      </c>
      <c r="DR270" s="38">
        <v>4520</v>
      </c>
      <c r="DS270" s="10"/>
      <c r="DT270" s="11"/>
      <c r="DU270" s="69">
        <f t="shared" si="2490"/>
        <v>817</v>
      </c>
      <c r="DV270" s="69">
        <f t="shared" si="2491"/>
        <v>65</v>
      </c>
      <c r="DW270" s="11">
        <v>395</v>
      </c>
      <c r="DX270" s="12">
        <f t="shared" si="2440"/>
        <v>0.51529987760097917</v>
      </c>
      <c r="DY270" s="11">
        <v>26</v>
      </c>
      <c r="DZ270" s="12">
        <f t="shared" si="2441"/>
        <v>6.1757719714964368E-2</v>
      </c>
      <c r="EA270" s="13"/>
      <c r="EB270" s="13"/>
      <c r="EC270" s="25">
        <v>4284</v>
      </c>
      <c r="ED270" s="38">
        <v>4520</v>
      </c>
      <c r="EE270" s="10"/>
      <c r="EF270" s="11"/>
      <c r="EG270" s="69">
        <f t="shared" si="2492"/>
        <v>842</v>
      </c>
      <c r="EH270" s="69">
        <f t="shared" si="2493"/>
        <v>67</v>
      </c>
      <c r="EI270" s="11">
        <v>432</v>
      </c>
      <c r="EJ270" s="12">
        <f t="shared" si="2442"/>
        <v>0.53087885985748218</v>
      </c>
      <c r="EK270" s="11">
        <v>15</v>
      </c>
      <c r="EL270" s="12">
        <f t="shared" si="2443"/>
        <v>3.3557046979865772E-2</v>
      </c>
      <c r="EM270" s="13"/>
      <c r="EN270" s="13"/>
      <c r="EO270" s="25">
        <v>4284</v>
      </c>
      <c r="EP270" s="38">
        <v>4520</v>
      </c>
      <c r="EQ270" s="10"/>
      <c r="ER270" s="11"/>
      <c r="ES270" s="69">
        <f t="shared" si="2494"/>
        <v>162</v>
      </c>
      <c r="ET270" s="69">
        <f t="shared" si="2495"/>
        <v>14</v>
      </c>
      <c r="EU270" s="11">
        <v>71</v>
      </c>
      <c r="EV270" s="12">
        <f t="shared" si="2444"/>
        <v>0.4567901234567901</v>
      </c>
      <c r="EW270" s="11">
        <v>3</v>
      </c>
      <c r="EX270" s="12">
        <f t="shared" si="2445"/>
        <v>4.0540540540540543E-2</v>
      </c>
      <c r="EY270" s="13"/>
      <c r="EZ270" s="13"/>
      <c r="FA270" s="25">
        <v>4284</v>
      </c>
      <c r="FB270" s="38">
        <v>4520</v>
      </c>
      <c r="FC270" s="10"/>
      <c r="FD270" s="11"/>
      <c r="FE270" s="69">
        <f t="shared" si="2496"/>
        <v>846</v>
      </c>
      <c r="FF270" s="69">
        <f t="shared" si="2497"/>
        <v>67</v>
      </c>
      <c r="FG270" s="11">
        <v>418</v>
      </c>
      <c r="FH270" s="12">
        <f t="shared" si="2446"/>
        <v>0.51418439716312059</v>
      </c>
      <c r="FI270" s="11">
        <v>17</v>
      </c>
      <c r="FJ270" s="12">
        <f t="shared" si="2447"/>
        <v>3.9080459770114942E-2</v>
      </c>
      <c r="FK270" s="13"/>
      <c r="FL270" s="13"/>
      <c r="FM270" s="25">
        <v>4284</v>
      </c>
      <c r="FN270" s="38">
        <v>4520</v>
      </c>
      <c r="FO270" s="10"/>
      <c r="FP270" s="11"/>
      <c r="FQ270" s="69">
        <f t="shared" si="2498"/>
        <v>860</v>
      </c>
      <c r="FR270" s="69">
        <f t="shared" si="2499"/>
        <v>70</v>
      </c>
      <c r="FS270" s="11">
        <v>448</v>
      </c>
      <c r="FT270" s="12">
        <f t="shared" si="2448"/>
        <v>0.5430232558139535</v>
      </c>
      <c r="FU270" s="11">
        <v>19</v>
      </c>
      <c r="FV270" s="12">
        <f t="shared" si="2449"/>
        <v>4.068522483940043E-2</v>
      </c>
      <c r="FW270" s="13"/>
      <c r="FX270" s="13"/>
      <c r="FY270" s="25">
        <v>4284</v>
      </c>
      <c r="FZ270" s="38">
        <v>4520</v>
      </c>
      <c r="GA270" s="10"/>
      <c r="GB270" s="11"/>
      <c r="GC270" s="69">
        <f t="shared" si="2500"/>
        <v>869</v>
      </c>
      <c r="GD270" s="69">
        <f t="shared" si="2501"/>
        <v>71</v>
      </c>
      <c r="GE270" s="11">
        <v>436</v>
      </c>
      <c r="GF270" s="12">
        <f t="shared" si="2450"/>
        <v>0.52359033371691599</v>
      </c>
      <c r="GG270" s="11">
        <v>19</v>
      </c>
      <c r="GH270" s="12">
        <f t="shared" si="2451"/>
        <v>4.1758241758241756E-2</v>
      </c>
      <c r="GI270" s="13"/>
      <c r="GJ270" s="13"/>
      <c r="GK270" s="25">
        <v>4284</v>
      </c>
      <c r="GL270" s="38">
        <v>4520</v>
      </c>
      <c r="GM270" s="10"/>
      <c r="GN270" s="11"/>
      <c r="GO270" s="69">
        <f t="shared" si="2502"/>
        <v>139</v>
      </c>
      <c r="GP270" s="69">
        <f t="shared" si="2503"/>
        <v>12</v>
      </c>
      <c r="GQ270" s="11">
        <v>55</v>
      </c>
      <c r="GR270" s="12">
        <f t="shared" si="2452"/>
        <v>0.39568345323741005</v>
      </c>
      <c r="GS270" s="11">
        <v>0</v>
      </c>
      <c r="GT270" s="12">
        <f t="shared" si="2453"/>
        <v>0</v>
      </c>
      <c r="GU270" s="13"/>
      <c r="GV270" s="13"/>
      <c r="GW270" s="25">
        <v>4284</v>
      </c>
      <c r="GX270" s="38">
        <v>4520</v>
      </c>
      <c r="GY270" s="10"/>
      <c r="GZ270" s="11"/>
      <c r="HA270" s="69">
        <f t="shared" si="2504"/>
        <v>898</v>
      </c>
      <c r="HB270" s="69">
        <f t="shared" si="2505"/>
        <v>72</v>
      </c>
      <c r="HC270" s="11">
        <v>445</v>
      </c>
      <c r="HD270" s="12">
        <f t="shared" si="2454"/>
        <v>0.51224944320712695</v>
      </c>
      <c r="HE270" s="11">
        <v>15</v>
      </c>
      <c r="HF270" s="12">
        <f t="shared" si="2455"/>
        <v>3.2608695652173912E-2</v>
      </c>
      <c r="HG270" s="13"/>
      <c r="HH270" s="13"/>
      <c r="HI270" s="25">
        <v>4284</v>
      </c>
      <c r="HJ270" s="38">
        <v>4520</v>
      </c>
      <c r="HK270" s="10">
        <f t="shared" si="2456"/>
        <v>1</v>
      </c>
      <c r="HL270" s="11">
        <f t="shared" si="2457"/>
        <v>0</v>
      </c>
      <c r="HM270" s="11">
        <f t="shared" si="2458"/>
        <v>11765</v>
      </c>
      <c r="HN270" s="11">
        <f t="shared" si="2459"/>
        <v>948</v>
      </c>
      <c r="HO270" s="11">
        <f t="shared" si="2460"/>
        <v>5917</v>
      </c>
      <c r="HP270" s="95">
        <f t="shared" si="2461"/>
        <v>0.5029324266893328</v>
      </c>
      <c r="HQ270" s="15">
        <f t="shared" si="2462"/>
        <v>240</v>
      </c>
      <c r="HR270" s="12">
        <f t="shared" si="2463"/>
        <v>4.0561095149569036E-2</v>
      </c>
      <c r="HS270" s="16">
        <v>66.7</v>
      </c>
      <c r="HT270" s="17">
        <v>5512</v>
      </c>
      <c r="HU270" s="16">
        <f t="shared" si="2464"/>
        <v>93.155315193510219</v>
      </c>
      <c r="HV270" s="23">
        <v>4284</v>
      </c>
      <c r="HW270" s="22">
        <v>4520</v>
      </c>
      <c r="HX270" s="73">
        <f t="shared" si="2465"/>
        <v>0.49174197569336242</v>
      </c>
      <c r="HY270" s="73">
        <f t="shared" si="2466"/>
        <v>0.48831252001280817</v>
      </c>
      <c r="HZ270" s="73">
        <f t="shared" si="2467"/>
        <v>0.51631046119235091</v>
      </c>
      <c r="IA270" s="73">
        <f t="shared" si="2468"/>
        <v>0.5195227765726681</v>
      </c>
    </row>
    <row r="271" spans="1:244" x14ac:dyDescent="0.25">
      <c r="A271" s="374"/>
      <c r="B271" s="101">
        <f t="shared" si="2469"/>
        <v>45149</v>
      </c>
      <c r="C271" s="10"/>
      <c r="D271" s="11">
        <v>1</v>
      </c>
      <c r="E271" s="69">
        <f t="shared" si="2470"/>
        <v>811</v>
      </c>
      <c r="F271" s="69">
        <f t="shared" si="2471"/>
        <v>64</v>
      </c>
      <c r="G271" s="11">
        <v>368</v>
      </c>
      <c r="H271" s="12">
        <f t="shared" si="2420"/>
        <v>0.4722564734895191</v>
      </c>
      <c r="I271" s="11">
        <v>15</v>
      </c>
      <c r="J271" s="12">
        <f t="shared" si="2421"/>
        <v>3.91644908616188E-2</v>
      </c>
      <c r="K271" s="13"/>
      <c r="L271" s="11"/>
      <c r="M271" s="25">
        <v>4756.25</v>
      </c>
      <c r="N271" s="38">
        <v>4825.5417956656347</v>
      </c>
      <c r="O271" s="10"/>
      <c r="P271" s="11"/>
      <c r="Q271" s="69">
        <f t="shared" si="2472"/>
        <v>745</v>
      </c>
      <c r="R271" s="69">
        <f t="shared" si="2473"/>
        <v>60</v>
      </c>
      <c r="S271" s="11">
        <v>350</v>
      </c>
      <c r="T271" s="12">
        <f t="shared" si="2422"/>
        <v>0.48322147651006714</v>
      </c>
      <c r="U271" s="11">
        <v>10</v>
      </c>
      <c r="V271" s="12">
        <f t="shared" si="2423"/>
        <v>2.7777777777777776E-2</v>
      </c>
      <c r="W271" s="13"/>
      <c r="X271" s="11"/>
      <c r="Y271" s="25">
        <v>4790.25</v>
      </c>
      <c r="Z271" s="38">
        <v>4830.7692307692305</v>
      </c>
      <c r="AA271" s="10">
        <v>1</v>
      </c>
      <c r="AB271" s="11"/>
      <c r="AC271" s="69">
        <f t="shared" si="2474"/>
        <v>156</v>
      </c>
      <c r="AD271" s="69">
        <f t="shared" si="2475"/>
        <v>13</v>
      </c>
      <c r="AE271" s="11">
        <v>66</v>
      </c>
      <c r="AF271" s="12">
        <f t="shared" si="2424"/>
        <v>0.44871794871794873</v>
      </c>
      <c r="AG271" s="11">
        <v>4</v>
      </c>
      <c r="AH271" s="12">
        <f t="shared" si="2425"/>
        <v>5.7142857142857141E-2</v>
      </c>
      <c r="AI271" s="13"/>
      <c r="AJ271" s="11"/>
      <c r="AK271" s="25">
        <v>4830</v>
      </c>
      <c r="AL271" s="38">
        <v>4606.666666666667</v>
      </c>
      <c r="AM271" s="10">
        <v>1</v>
      </c>
      <c r="AN271" s="11"/>
      <c r="AO271" s="69">
        <f t="shared" si="2476"/>
        <v>750</v>
      </c>
      <c r="AP271" s="69">
        <f t="shared" si="2477"/>
        <v>61</v>
      </c>
      <c r="AQ271" s="11">
        <v>350</v>
      </c>
      <c r="AR271" s="12">
        <f t="shared" si="2426"/>
        <v>0.48533333333333334</v>
      </c>
      <c r="AS271" s="11">
        <v>14</v>
      </c>
      <c r="AT271" s="12">
        <f t="shared" si="2427"/>
        <v>3.8461538461538464E-2</v>
      </c>
      <c r="AU271" s="13"/>
      <c r="AV271" s="11"/>
      <c r="AW271" s="25">
        <v>4930.5405405405409</v>
      </c>
      <c r="AX271" s="38">
        <v>4788.333333333333</v>
      </c>
      <c r="AY271" s="10"/>
      <c r="AZ271" s="11"/>
      <c r="BA271" s="69">
        <f t="shared" si="2478"/>
        <v>745</v>
      </c>
      <c r="BB271" s="69">
        <f t="shared" si="2479"/>
        <v>60</v>
      </c>
      <c r="BC271" s="11">
        <v>368</v>
      </c>
      <c r="BD271" s="12">
        <f t="shared" si="2428"/>
        <v>0.52080536912751674</v>
      </c>
      <c r="BE271" s="11">
        <v>20</v>
      </c>
      <c r="BF271" s="12">
        <f t="shared" si="2429"/>
        <v>5.1546391752577317E-2</v>
      </c>
      <c r="BG271" s="13"/>
      <c r="BH271" s="11"/>
      <c r="BI271" s="25">
        <v>4995.75</v>
      </c>
      <c r="BJ271" s="38">
        <v>4989.090909090909</v>
      </c>
      <c r="BK271" s="10">
        <v>1</v>
      </c>
      <c r="BL271" s="11"/>
      <c r="BM271" s="69">
        <f t="shared" si="2480"/>
        <v>800</v>
      </c>
      <c r="BN271" s="69">
        <f t="shared" si="2481"/>
        <v>62</v>
      </c>
      <c r="BO271" s="11">
        <v>398</v>
      </c>
      <c r="BP271" s="12">
        <f t="shared" si="2430"/>
        <v>0.51624999999999999</v>
      </c>
      <c r="BQ271" s="11">
        <v>15</v>
      </c>
      <c r="BR271" s="12">
        <f t="shared" si="2431"/>
        <v>3.6319612590799029E-2</v>
      </c>
      <c r="BS271" s="13"/>
      <c r="BT271" s="11"/>
      <c r="BU271" s="25">
        <v>4807.8048780487807</v>
      </c>
      <c r="BV271" s="38">
        <v>4726.666666666667</v>
      </c>
      <c r="BW271" s="10"/>
      <c r="BX271" s="11"/>
      <c r="BY271" s="69">
        <f t="shared" si="2482"/>
        <v>737</v>
      </c>
      <c r="BZ271" s="69">
        <f t="shared" si="2483"/>
        <v>59</v>
      </c>
      <c r="CA271" s="11">
        <v>357</v>
      </c>
      <c r="CB271" s="12">
        <f t="shared" si="2432"/>
        <v>0.50203527815468119</v>
      </c>
      <c r="CC271" s="11">
        <v>13</v>
      </c>
      <c r="CD271" s="12">
        <f t="shared" si="2433"/>
        <v>3.5135135135135137E-2</v>
      </c>
      <c r="CE271" s="13"/>
      <c r="CF271" s="11"/>
      <c r="CG271" s="25">
        <v>4869.5</v>
      </c>
      <c r="CH271" s="38">
        <v>4932.666666666667</v>
      </c>
      <c r="CI271" s="10"/>
      <c r="CJ271" s="11"/>
      <c r="CK271" s="69">
        <f t="shared" si="2484"/>
        <v>127</v>
      </c>
      <c r="CL271" s="69">
        <f t="shared" si="2485"/>
        <v>12</v>
      </c>
      <c r="CM271" s="11">
        <v>62</v>
      </c>
      <c r="CN271" s="12">
        <f t="shared" si="2434"/>
        <v>0.51968503937007871</v>
      </c>
      <c r="CO271" s="11">
        <v>4</v>
      </c>
      <c r="CP271" s="12">
        <f t="shared" si="2435"/>
        <v>6.0606060606060608E-2</v>
      </c>
      <c r="CQ271" s="13"/>
      <c r="CR271" s="11"/>
      <c r="CS271" s="25">
        <v>4727.272727272727</v>
      </c>
      <c r="CT271" s="38">
        <v>4786.666666666667</v>
      </c>
      <c r="CU271" s="10">
        <v>1</v>
      </c>
      <c r="CV271" s="11"/>
      <c r="CW271" s="69">
        <f t="shared" si="2486"/>
        <v>731</v>
      </c>
      <c r="CX271" s="69">
        <f t="shared" si="2487"/>
        <v>59</v>
      </c>
      <c r="CY271" s="11">
        <v>328</v>
      </c>
      <c r="CZ271" s="12">
        <f t="shared" si="2436"/>
        <v>0.46511627906976744</v>
      </c>
      <c r="DA271" s="11">
        <v>12</v>
      </c>
      <c r="DB271" s="12">
        <f t="shared" si="2437"/>
        <v>3.5294117647058823E-2</v>
      </c>
      <c r="DC271" s="13"/>
      <c r="DD271" s="11"/>
      <c r="DE271" s="25">
        <v>4856.0526315789475</v>
      </c>
      <c r="DF271" s="38">
        <v>4926.4285714285716</v>
      </c>
      <c r="DG271" s="10">
        <v>1</v>
      </c>
      <c r="DH271" s="11"/>
      <c r="DI271" s="69">
        <f t="shared" si="2488"/>
        <v>725</v>
      </c>
      <c r="DJ271" s="69">
        <f t="shared" si="2489"/>
        <v>59</v>
      </c>
      <c r="DK271" s="11">
        <v>391</v>
      </c>
      <c r="DL271" s="12">
        <f t="shared" si="2438"/>
        <v>0.56275862068965521</v>
      </c>
      <c r="DM271" s="11">
        <v>17</v>
      </c>
      <c r="DN271" s="12">
        <f t="shared" si="2439"/>
        <v>4.1666666666666664E-2</v>
      </c>
      <c r="DO271" s="13"/>
      <c r="DP271" s="11"/>
      <c r="DQ271" s="25">
        <v>5015.5</v>
      </c>
      <c r="DR271" s="38">
        <v>5251.5384615384619</v>
      </c>
      <c r="DS271" s="10"/>
      <c r="DT271" s="11"/>
      <c r="DU271" s="69">
        <f t="shared" si="2490"/>
        <v>817</v>
      </c>
      <c r="DV271" s="69">
        <f t="shared" si="2491"/>
        <v>65</v>
      </c>
      <c r="DW271" s="11">
        <v>355</v>
      </c>
      <c r="DX271" s="12">
        <f t="shared" si="2440"/>
        <v>0.45410036719706243</v>
      </c>
      <c r="DY271" s="11">
        <v>16</v>
      </c>
      <c r="DZ271" s="12">
        <f t="shared" si="2441"/>
        <v>4.3126684636118601E-2</v>
      </c>
      <c r="EA271" s="13"/>
      <c r="EB271" s="11"/>
      <c r="EC271" s="25">
        <v>4708.2978723404258</v>
      </c>
      <c r="ED271" s="38">
        <v>4596.9230769230771</v>
      </c>
      <c r="EE271" s="10"/>
      <c r="EF271" s="11"/>
      <c r="EG271" s="69">
        <f t="shared" si="2492"/>
        <v>842</v>
      </c>
      <c r="EH271" s="69">
        <f t="shared" si="2493"/>
        <v>67</v>
      </c>
      <c r="EI271" s="11">
        <v>399</v>
      </c>
      <c r="EJ271" s="12">
        <f t="shared" si="2442"/>
        <v>0.49049881235154397</v>
      </c>
      <c r="EK271" s="11">
        <v>14</v>
      </c>
      <c r="EL271" s="12">
        <f t="shared" si="2443"/>
        <v>3.3898305084745763E-2</v>
      </c>
      <c r="EM271" s="13"/>
      <c r="EN271" s="11"/>
      <c r="EO271" s="25">
        <v>4582.3404255319147</v>
      </c>
      <c r="EP271" s="38">
        <v>4977.6923076923076</v>
      </c>
      <c r="EQ271" s="10"/>
      <c r="ER271" s="11"/>
      <c r="ES271" s="69">
        <f t="shared" si="2494"/>
        <v>162</v>
      </c>
      <c r="ET271" s="69">
        <f t="shared" si="2495"/>
        <v>14</v>
      </c>
      <c r="EU271" s="11">
        <v>58</v>
      </c>
      <c r="EV271" s="12">
        <f t="shared" si="2444"/>
        <v>0.37037037037037035</v>
      </c>
      <c r="EW271" s="11">
        <v>2</v>
      </c>
      <c r="EX271" s="12">
        <f t="shared" si="2445"/>
        <v>3.3333333333333333E-2</v>
      </c>
      <c r="EY271" s="13"/>
      <c r="EZ271" s="11"/>
      <c r="FA271" s="25">
        <v>4452</v>
      </c>
      <c r="FB271" s="38">
        <v>4530</v>
      </c>
      <c r="FC271" s="10"/>
      <c r="FD271" s="11"/>
      <c r="FE271" s="69">
        <f t="shared" si="2496"/>
        <v>846</v>
      </c>
      <c r="FF271" s="69">
        <f t="shared" si="2497"/>
        <v>67</v>
      </c>
      <c r="FG271" s="11">
        <v>420</v>
      </c>
      <c r="FH271" s="12">
        <f t="shared" si="2446"/>
        <v>0.50709219858156029</v>
      </c>
      <c r="FI271" s="11">
        <v>9</v>
      </c>
      <c r="FJ271" s="12">
        <f t="shared" si="2447"/>
        <v>2.097902097902098E-2</v>
      </c>
      <c r="FK271" s="13"/>
      <c r="FL271" s="11"/>
      <c r="FM271" s="25">
        <v>4706.0784313725489</v>
      </c>
      <c r="FN271" s="38">
        <v>4920</v>
      </c>
      <c r="FO271" s="10"/>
      <c r="FP271" s="11"/>
      <c r="FQ271" s="69">
        <f t="shared" si="2498"/>
        <v>860</v>
      </c>
      <c r="FR271" s="69">
        <f t="shared" si="2499"/>
        <v>70</v>
      </c>
      <c r="FS271" s="11">
        <v>418</v>
      </c>
      <c r="FT271" s="12">
        <f t="shared" si="2448"/>
        <v>0.49883720930232556</v>
      </c>
      <c r="FU271" s="11">
        <v>11</v>
      </c>
      <c r="FV271" s="12">
        <f t="shared" si="2449"/>
        <v>2.564102564102564E-2</v>
      </c>
      <c r="FW271" s="13"/>
      <c r="FX271" s="11"/>
      <c r="FY271" s="25">
        <v>5007.391304347826</v>
      </c>
      <c r="FZ271" s="38">
        <v>4726.4705882352937</v>
      </c>
      <c r="GA271" s="10"/>
      <c r="GB271" s="11"/>
      <c r="GC271" s="69">
        <f t="shared" si="2500"/>
        <v>869</v>
      </c>
      <c r="GD271" s="69">
        <f t="shared" si="2501"/>
        <v>71</v>
      </c>
      <c r="GE271" s="11">
        <v>410</v>
      </c>
      <c r="GF271" s="12">
        <f t="shared" si="2450"/>
        <v>0.48216340621403914</v>
      </c>
      <c r="GG271" s="11">
        <v>9</v>
      </c>
      <c r="GH271" s="12">
        <f t="shared" si="2451"/>
        <v>2.1479713603818614E-2</v>
      </c>
      <c r="GI271" s="13"/>
      <c r="GJ271" s="11"/>
      <c r="GK271" s="25">
        <v>4822.9787234042551</v>
      </c>
      <c r="GL271" s="38">
        <v>4975</v>
      </c>
      <c r="GM271" s="10">
        <v>1</v>
      </c>
      <c r="GN271" s="11"/>
      <c r="GO271" s="69">
        <f t="shared" si="2502"/>
        <v>138</v>
      </c>
      <c r="GP271" s="69">
        <f t="shared" si="2503"/>
        <v>12</v>
      </c>
      <c r="GQ271" s="11">
        <v>51</v>
      </c>
      <c r="GR271" s="12">
        <f t="shared" si="2452"/>
        <v>0.39130434782608697</v>
      </c>
      <c r="GS271" s="11">
        <v>3</v>
      </c>
      <c r="GT271" s="12">
        <f t="shared" si="2453"/>
        <v>5.5555555555555552E-2</v>
      </c>
      <c r="GU271" s="13"/>
      <c r="GV271" s="11"/>
      <c r="GW271" s="25">
        <v>4512.1428571428569</v>
      </c>
      <c r="GX271" s="38">
        <v>4855</v>
      </c>
      <c r="GY271" s="10"/>
      <c r="GZ271" s="11"/>
      <c r="HA271" s="69">
        <f t="shared" si="2504"/>
        <v>898</v>
      </c>
      <c r="HB271" s="69">
        <f t="shared" si="2505"/>
        <v>72</v>
      </c>
      <c r="HC271" s="11">
        <v>447</v>
      </c>
      <c r="HD271" s="12">
        <f t="shared" si="2454"/>
        <v>0.51224944320712695</v>
      </c>
      <c r="HE271" s="11">
        <v>13</v>
      </c>
      <c r="HF271" s="12">
        <f t="shared" si="2455"/>
        <v>2.8260869565217391E-2</v>
      </c>
      <c r="HG271" s="13"/>
      <c r="HH271" s="11"/>
      <c r="HI271" s="25">
        <v>5037.333333333333</v>
      </c>
      <c r="HJ271" s="38">
        <v>4953.75</v>
      </c>
      <c r="HK271" s="10">
        <f t="shared" si="2456"/>
        <v>6</v>
      </c>
      <c r="HL271" s="11">
        <f t="shared" si="2457"/>
        <v>1</v>
      </c>
      <c r="HM271" s="11">
        <f t="shared" si="2458"/>
        <v>11759</v>
      </c>
      <c r="HN271" s="11">
        <f t="shared" si="2459"/>
        <v>947</v>
      </c>
      <c r="HO271" s="11">
        <f t="shared" si="2460"/>
        <v>5797</v>
      </c>
      <c r="HP271" s="95">
        <f t="shared" si="2461"/>
        <v>0.49298409728718429</v>
      </c>
      <c r="HQ271" s="15">
        <f t="shared" si="2462"/>
        <v>201</v>
      </c>
      <c r="HR271" s="12">
        <f t="shared" si="2463"/>
        <v>3.4673106779368641E-2</v>
      </c>
      <c r="HS271" s="16">
        <v>66.7</v>
      </c>
      <c r="HT271" s="17">
        <v>5466</v>
      </c>
      <c r="HU271" s="16">
        <f t="shared" si="2464"/>
        <v>94.29015007762635</v>
      </c>
      <c r="HV271" s="23">
        <v>4825.5417956656347</v>
      </c>
      <c r="HW271" s="22">
        <v>4874.7619047619046</v>
      </c>
      <c r="HX271" s="73">
        <f t="shared" si="2465"/>
        <v>0.48799501091362646</v>
      </c>
      <c r="HY271" s="73">
        <f t="shared" si="2466"/>
        <v>0.51185897435897432</v>
      </c>
      <c r="HZ271" s="73">
        <f t="shared" si="2467"/>
        <v>0.47731533558305211</v>
      </c>
      <c r="IA271" s="73">
        <f t="shared" si="2468"/>
        <v>0.4925858951175407</v>
      </c>
    </row>
    <row r="272" spans="1:244" x14ac:dyDescent="0.25">
      <c r="A272" s="374"/>
      <c r="B272" s="101">
        <f t="shared" si="2469"/>
        <v>45150</v>
      </c>
      <c r="C272" s="10"/>
      <c r="D272" s="11"/>
      <c r="E272" s="69">
        <f t="shared" si="2470"/>
        <v>811</v>
      </c>
      <c r="F272" s="69">
        <f t="shared" si="2471"/>
        <v>64</v>
      </c>
      <c r="G272" s="11">
        <v>403</v>
      </c>
      <c r="H272" s="12">
        <f t="shared" si="2420"/>
        <v>0.51171393341553639</v>
      </c>
      <c r="I272" s="11">
        <v>12</v>
      </c>
      <c r="J272" s="12">
        <f t="shared" si="2421"/>
        <v>2.891566265060241E-2</v>
      </c>
      <c r="K272" s="13"/>
      <c r="L272" s="11"/>
      <c r="M272" s="39">
        <v>90</v>
      </c>
      <c r="N272" s="43">
        <v>83.43653250773994</v>
      </c>
      <c r="O272" s="10"/>
      <c r="P272" s="11"/>
      <c r="Q272" s="69">
        <f t="shared" si="2472"/>
        <v>745</v>
      </c>
      <c r="R272" s="69">
        <f t="shared" si="2473"/>
        <v>60</v>
      </c>
      <c r="S272" s="11">
        <v>341</v>
      </c>
      <c r="T272" s="12">
        <f t="shared" si="2422"/>
        <v>0.4778523489932886</v>
      </c>
      <c r="U272" s="11">
        <v>15</v>
      </c>
      <c r="V272" s="12">
        <f t="shared" si="2423"/>
        <v>4.2134831460674156E-2</v>
      </c>
      <c r="W272" s="13"/>
      <c r="X272" s="11"/>
      <c r="Y272" s="39">
        <v>85</v>
      </c>
      <c r="Z272" s="43">
        <v>100</v>
      </c>
      <c r="AA272" s="10">
        <v>1</v>
      </c>
      <c r="AB272" s="11"/>
      <c r="AC272" s="69">
        <f t="shared" si="2474"/>
        <v>155</v>
      </c>
      <c r="AD272" s="69">
        <f t="shared" si="2475"/>
        <v>13</v>
      </c>
      <c r="AE272" s="11">
        <v>74</v>
      </c>
      <c r="AF272" s="12">
        <f t="shared" si="2424"/>
        <v>0.49032258064516127</v>
      </c>
      <c r="AG272" s="11">
        <v>2</v>
      </c>
      <c r="AH272" s="12">
        <f t="shared" si="2425"/>
        <v>2.6315789473684209E-2</v>
      </c>
      <c r="AI272" s="13"/>
      <c r="AJ272" s="11"/>
      <c r="AK272" s="39">
        <v>100</v>
      </c>
      <c r="AL272" s="43">
        <v>100</v>
      </c>
      <c r="AM272" s="10"/>
      <c r="AN272" s="11"/>
      <c r="AO272" s="69">
        <f t="shared" si="2476"/>
        <v>750</v>
      </c>
      <c r="AP272" s="69">
        <f t="shared" si="2477"/>
        <v>61</v>
      </c>
      <c r="AQ272" s="11">
        <v>372</v>
      </c>
      <c r="AR272" s="12">
        <f t="shared" si="2426"/>
        <v>0.51066666666666671</v>
      </c>
      <c r="AS272" s="11">
        <v>11</v>
      </c>
      <c r="AT272" s="12">
        <f t="shared" si="2427"/>
        <v>2.8720626631853787E-2</v>
      </c>
      <c r="AU272" s="13"/>
      <c r="AV272" s="11"/>
      <c r="AW272" s="39">
        <v>78.378378378378372</v>
      </c>
      <c r="AX272" s="43">
        <v>91.666666666666671</v>
      </c>
      <c r="AY272" s="10"/>
      <c r="AZ272" s="11"/>
      <c r="BA272" s="69">
        <f t="shared" si="2478"/>
        <v>745</v>
      </c>
      <c r="BB272" s="69">
        <f t="shared" si="2479"/>
        <v>60</v>
      </c>
      <c r="BC272" s="11">
        <v>393</v>
      </c>
      <c r="BD272" s="12">
        <f t="shared" si="2428"/>
        <v>0.54093959731543628</v>
      </c>
      <c r="BE272" s="11">
        <v>10</v>
      </c>
      <c r="BF272" s="12">
        <f t="shared" si="2429"/>
        <v>2.4813895781637719E-2</v>
      </c>
      <c r="BG272" s="13"/>
      <c r="BH272" s="11"/>
      <c r="BI272" s="39">
        <v>82.5</v>
      </c>
      <c r="BJ272" s="43">
        <v>100</v>
      </c>
      <c r="BK272" s="10">
        <v>1</v>
      </c>
      <c r="BL272" s="11"/>
      <c r="BM272" s="69">
        <f t="shared" si="2480"/>
        <v>799</v>
      </c>
      <c r="BN272" s="69">
        <f t="shared" si="2481"/>
        <v>62</v>
      </c>
      <c r="BO272" s="11">
        <v>369</v>
      </c>
      <c r="BP272" s="12">
        <f t="shared" si="2430"/>
        <v>0.47309136420525655</v>
      </c>
      <c r="BQ272" s="11">
        <v>9</v>
      </c>
      <c r="BR272" s="12">
        <f t="shared" si="2431"/>
        <v>2.3809523809523808E-2</v>
      </c>
      <c r="BS272" s="13"/>
      <c r="BT272" s="11"/>
      <c r="BU272" s="39">
        <v>90.243902439024396</v>
      </c>
      <c r="BV272" s="43">
        <v>100</v>
      </c>
      <c r="BW272" s="10"/>
      <c r="BX272" s="11"/>
      <c r="BY272" s="69">
        <f t="shared" si="2482"/>
        <v>737</v>
      </c>
      <c r="BZ272" s="69">
        <f t="shared" si="2483"/>
        <v>59</v>
      </c>
      <c r="CA272" s="11">
        <v>341</v>
      </c>
      <c r="CB272" s="12">
        <f t="shared" si="2432"/>
        <v>0.47082767978290369</v>
      </c>
      <c r="CC272" s="11">
        <v>6</v>
      </c>
      <c r="CD272" s="12">
        <f t="shared" si="2433"/>
        <v>1.7291066282420751E-2</v>
      </c>
      <c r="CE272" s="13"/>
      <c r="CF272" s="11"/>
      <c r="CG272" s="39">
        <v>92.5</v>
      </c>
      <c r="CH272" s="43">
        <v>100</v>
      </c>
      <c r="CI272" s="10"/>
      <c r="CJ272" s="11"/>
      <c r="CK272" s="69">
        <f t="shared" si="2484"/>
        <v>127</v>
      </c>
      <c r="CL272" s="69">
        <f t="shared" si="2485"/>
        <v>12</v>
      </c>
      <c r="CM272" s="11">
        <v>61</v>
      </c>
      <c r="CN272" s="12">
        <f t="shared" si="2434"/>
        <v>0.48031496062992124</v>
      </c>
      <c r="CO272" s="11">
        <v>0</v>
      </c>
      <c r="CP272" s="12">
        <f t="shared" si="2435"/>
        <v>0</v>
      </c>
      <c r="CQ272" s="13"/>
      <c r="CR272" s="11"/>
      <c r="CS272" s="39">
        <v>90.909090909090907</v>
      </c>
      <c r="CT272" s="43">
        <v>100</v>
      </c>
      <c r="CU272" s="10"/>
      <c r="CV272" s="11"/>
      <c r="CW272" s="69">
        <f t="shared" si="2486"/>
        <v>731</v>
      </c>
      <c r="CX272" s="69">
        <f t="shared" si="2487"/>
        <v>59</v>
      </c>
      <c r="CY272" s="11">
        <v>338</v>
      </c>
      <c r="CZ272" s="12">
        <f t="shared" si="2436"/>
        <v>0.47058823529411764</v>
      </c>
      <c r="DA272" s="11">
        <v>6</v>
      </c>
      <c r="DB272" s="12">
        <f t="shared" si="2437"/>
        <v>1.7441860465116279E-2</v>
      </c>
      <c r="DC272" s="13"/>
      <c r="DD272" s="11"/>
      <c r="DE272" s="39">
        <v>86.84210526315789</v>
      </c>
      <c r="DF272" s="43">
        <v>100</v>
      </c>
      <c r="DG272" s="10"/>
      <c r="DH272" s="11"/>
      <c r="DI272" s="69">
        <f t="shared" si="2488"/>
        <v>725</v>
      </c>
      <c r="DJ272" s="69">
        <f t="shared" si="2489"/>
        <v>59</v>
      </c>
      <c r="DK272" s="11">
        <v>387</v>
      </c>
      <c r="DL272" s="12">
        <f t="shared" si="2438"/>
        <v>0.53931034482758622</v>
      </c>
      <c r="DM272" s="11">
        <v>4</v>
      </c>
      <c r="DN272" s="12">
        <f t="shared" si="2439"/>
        <v>1.0230179028132993E-2</v>
      </c>
      <c r="DO272" s="13"/>
      <c r="DP272" s="11"/>
      <c r="DQ272" s="39">
        <v>75</v>
      </c>
      <c r="DR272" s="43">
        <v>92.307692307692307</v>
      </c>
      <c r="DS272" s="10"/>
      <c r="DT272" s="11"/>
      <c r="DU272" s="69">
        <f t="shared" si="2490"/>
        <v>817</v>
      </c>
      <c r="DV272" s="69">
        <f t="shared" si="2491"/>
        <v>65</v>
      </c>
      <c r="DW272" s="11">
        <v>393</v>
      </c>
      <c r="DX272" s="12">
        <f t="shared" si="2440"/>
        <v>0.50428396572827416</v>
      </c>
      <c r="DY272" s="11">
        <v>19</v>
      </c>
      <c r="DZ272" s="12">
        <f t="shared" si="2441"/>
        <v>4.6116504854368932E-2</v>
      </c>
      <c r="EA272" s="13"/>
      <c r="EB272" s="11"/>
      <c r="EC272" s="39">
        <v>91.489361702127653</v>
      </c>
      <c r="ED272" s="43">
        <v>76.92307692307692</v>
      </c>
      <c r="EE272" s="10"/>
      <c r="EF272" s="11"/>
      <c r="EG272" s="69">
        <f t="shared" si="2492"/>
        <v>842</v>
      </c>
      <c r="EH272" s="69">
        <f t="shared" si="2493"/>
        <v>67</v>
      </c>
      <c r="EI272" s="11">
        <v>404</v>
      </c>
      <c r="EJ272" s="12">
        <f t="shared" si="2442"/>
        <v>0.50831353919239908</v>
      </c>
      <c r="EK272" s="11">
        <v>24</v>
      </c>
      <c r="EL272" s="12">
        <f t="shared" si="2443"/>
        <v>5.6074766355140186E-2</v>
      </c>
      <c r="EM272" s="13"/>
      <c r="EN272" s="11"/>
      <c r="EO272" s="39">
        <v>87.234042553191486</v>
      </c>
      <c r="EP272" s="43">
        <v>100</v>
      </c>
      <c r="EQ272" s="10"/>
      <c r="ER272" s="11"/>
      <c r="ES272" s="69">
        <f t="shared" si="2494"/>
        <v>162</v>
      </c>
      <c r="ET272" s="69">
        <f t="shared" si="2495"/>
        <v>14</v>
      </c>
      <c r="EU272" s="11">
        <v>74</v>
      </c>
      <c r="EV272" s="12">
        <f t="shared" si="2444"/>
        <v>0.47530864197530864</v>
      </c>
      <c r="EW272" s="11">
        <v>3</v>
      </c>
      <c r="EX272" s="12">
        <f t="shared" si="2445"/>
        <v>3.896103896103896E-2</v>
      </c>
      <c r="EY272" s="13"/>
      <c r="EZ272" s="11"/>
      <c r="FA272" s="39">
        <v>93.333333333333329</v>
      </c>
      <c r="FB272" s="43">
        <v>100</v>
      </c>
      <c r="FC272" s="10"/>
      <c r="FD272" s="11"/>
      <c r="FE272" s="69">
        <f t="shared" si="2496"/>
        <v>846</v>
      </c>
      <c r="FF272" s="69">
        <f t="shared" si="2497"/>
        <v>67</v>
      </c>
      <c r="FG272" s="11">
        <v>400</v>
      </c>
      <c r="FH272" s="12">
        <f t="shared" si="2446"/>
        <v>0.48581560283687941</v>
      </c>
      <c r="FI272" s="11">
        <v>11</v>
      </c>
      <c r="FJ272" s="12">
        <f t="shared" si="2447"/>
        <v>2.6763990267639901E-2</v>
      </c>
      <c r="FK272" s="13"/>
      <c r="FL272" s="11"/>
      <c r="FM272" s="39">
        <v>86.274509803921575</v>
      </c>
      <c r="FN272" s="43">
        <v>100</v>
      </c>
      <c r="FO272" s="10"/>
      <c r="FP272" s="11"/>
      <c r="FQ272" s="69">
        <f t="shared" si="2498"/>
        <v>860</v>
      </c>
      <c r="FR272" s="69">
        <f t="shared" si="2499"/>
        <v>70</v>
      </c>
      <c r="FS272" s="11">
        <v>417</v>
      </c>
      <c r="FT272" s="12">
        <f t="shared" si="2448"/>
        <v>0.50813953488372088</v>
      </c>
      <c r="FU272" s="11">
        <v>20</v>
      </c>
      <c r="FV272" s="12">
        <f t="shared" si="2449"/>
        <v>4.5766590389016017E-2</v>
      </c>
      <c r="FW272" s="13"/>
      <c r="FX272" s="11"/>
      <c r="FY272" s="39">
        <v>95.652173913043484</v>
      </c>
      <c r="FZ272" s="43">
        <v>100</v>
      </c>
      <c r="GA272" s="10"/>
      <c r="GB272" s="11"/>
      <c r="GC272" s="69">
        <f t="shared" si="2500"/>
        <v>869</v>
      </c>
      <c r="GD272" s="69">
        <f t="shared" si="2501"/>
        <v>71</v>
      </c>
      <c r="GE272" s="11">
        <v>432</v>
      </c>
      <c r="GF272" s="12">
        <f t="shared" si="2450"/>
        <v>0.51553509781357887</v>
      </c>
      <c r="GG272" s="11">
        <v>16</v>
      </c>
      <c r="GH272" s="12">
        <f t="shared" si="2451"/>
        <v>3.5714285714285712E-2</v>
      </c>
      <c r="GI272" s="13"/>
      <c r="GJ272" s="11"/>
      <c r="GK272" s="39">
        <v>87.234042553191486</v>
      </c>
      <c r="GL272" s="43">
        <v>100</v>
      </c>
      <c r="GM272" s="10"/>
      <c r="GN272" s="11"/>
      <c r="GO272" s="69">
        <f t="shared" si="2502"/>
        <v>138</v>
      </c>
      <c r="GP272" s="69">
        <f t="shared" si="2503"/>
        <v>12</v>
      </c>
      <c r="GQ272" s="11">
        <v>59</v>
      </c>
      <c r="GR272" s="12">
        <f t="shared" si="2452"/>
        <v>0.43478260869565216</v>
      </c>
      <c r="GS272" s="11">
        <v>1</v>
      </c>
      <c r="GT272" s="12">
        <f t="shared" si="2453"/>
        <v>1.6666666666666666E-2</v>
      </c>
      <c r="GU272" s="13"/>
      <c r="GV272" s="11"/>
      <c r="GW272" s="39">
        <v>78.571428571428569</v>
      </c>
      <c r="GX272" s="43">
        <v>100</v>
      </c>
      <c r="GY272" s="10">
        <v>2</v>
      </c>
      <c r="GZ272" s="11"/>
      <c r="HA272" s="69">
        <f t="shared" si="2504"/>
        <v>896</v>
      </c>
      <c r="HB272" s="69">
        <f t="shared" si="2505"/>
        <v>72</v>
      </c>
      <c r="HC272" s="11">
        <v>464</v>
      </c>
      <c r="HD272" s="12">
        <f t="shared" si="2454"/>
        <v>0.5290178571428571</v>
      </c>
      <c r="HE272" s="11">
        <v>10</v>
      </c>
      <c r="HF272" s="12">
        <f t="shared" si="2455"/>
        <v>2.1097046413502109E-2</v>
      </c>
      <c r="HG272" s="13"/>
      <c r="HH272" s="11"/>
      <c r="HI272" s="39">
        <v>93.333333333333329</v>
      </c>
      <c r="HJ272" s="43">
        <v>81.25</v>
      </c>
      <c r="HK272" s="10">
        <f t="shared" si="2456"/>
        <v>4</v>
      </c>
      <c r="HL272" s="11">
        <f t="shared" si="2457"/>
        <v>0</v>
      </c>
      <c r="HM272" s="11">
        <f t="shared" si="2458"/>
        <v>11755</v>
      </c>
      <c r="HN272" s="11">
        <f t="shared" si="2459"/>
        <v>947</v>
      </c>
      <c r="HO272" s="11">
        <f t="shared" si="2460"/>
        <v>5901</v>
      </c>
      <c r="HP272" s="95">
        <f t="shared" si="2461"/>
        <v>0.50199914929817102</v>
      </c>
      <c r="HQ272" s="15">
        <f t="shared" si="2462"/>
        <v>179</v>
      </c>
      <c r="HR272" s="12">
        <f t="shared" si="2463"/>
        <v>3.0333841721742076E-2</v>
      </c>
      <c r="HS272" s="16">
        <v>67.099999999999994</v>
      </c>
      <c r="HT272" s="17">
        <v>5581</v>
      </c>
      <c r="HU272" s="16">
        <f t="shared" si="2464"/>
        <v>94.577190306727672</v>
      </c>
      <c r="HV272" s="23">
        <v>83.43653250773994</v>
      </c>
      <c r="HW272" s="22">
        <v>90.952380952380949</v>
      </c>
      <c r="HX272" s="73">
        <f t="shared" si="2465"/>
        <v>0.50935745477230199</v>
      </c>
      <c r="HY272" s="73">
        <f t="shared" si="2466"/>
        <v>0.48765630009618466</v>
      </c>
      <c r="HZ272" s="73">
        <f t="shared" si="2467"/>
        <v>0.49793775778027749</v>
      </c>
      <c r="IA272" s="73">
        <f t="shared" si="2468"/>
        <v>0.51357220412595006</v>
      </c>
      <c r="IF272" s="85">
        <f>IF273/IF274</f>
        <v>1.2461059190031153E-3</v>
      </c>
      <c r="IG272" s="85">
        <f>IG273/IG274</f>
        <v>4.4685604851579953E-3</v>
      </c>
      <c r="IH272" s="85">
        <f>IH273/IH274</f>
        <v>1.497566454511419E-3</v>
      </c>
      <c r="II272" s="85">
        <f>II273/II274</f>
        <v>3.6062026685899748E-3</v>
      </c>
      <c r="IJ272" s="88" t="s">
        <v>90</v>
      </c>
    </row>
    <row r="273" spans="1:244" ht="19.5" thickBot="1" x14ac:dyDescent="0.3">
      <c r="A273" s="374"/>
      <c r="B273" s="42"/>
      <c r="C273" s="26">
        <f>SUM(C266:C272)</f>
        <v>0</v>
      </c>
      <c r="D273" s="27">
        <f>SUM(D266:D272)</f>
        <v>1</v>
      </c>
      <c r="E273" s="27"/>
      <c r="F273" s="27"/>
      <c r="G273" s="27">
        <f>SUM(G266:G272)</f>
        <v>2680</v>
      </c>
      <c r="H273" s="28">
        <f>((G273+I273)/7)/E272</f>
        <v>0.4863484234630967</v>
      </c>
      <c r="I273" s="27">
        <f>SUM(I266:I272)</f>
        <v>81</v>
      </c>
      <c r="J273" s="28">
        <f>(I273/(I273+G273))</f>
        <v>2.933719666787396E-2</v>
      </c>
      <c r="K273" s="27"/>
      <c r="L273" s="27"/>
      <c r="M273" s="29">
        <f>M271/M270*100-100</f>
        <v>11.023576097105519</v>
      </c>
      <c r="N273" s="67">
        <f>N271/N270*100-100</f>
        <v>12.641031644856085</v>
      </c>
      <c r="O273" s="26">
        <f>SUM(O266:O272)</f>
        <v>0</v>
      </c>
      <c r="P273" s="27">
        <f>SUM(P266:P272)</f>
        <v>0</v>
      </c>
      <c r="Q273" s="27"/>
      <c r="R273" s="27"/>
      <c r="S273" s="27">
        <f>SUM(S266:S272)</f>
        <v>2494</v>
      </c>
      <c r="T273" s="28">
        <f>((S273+U273)/7)/Q272</f>
        <v>0.49472674976030678</v>
      </c>
      <c r="U273" s="27">
        <f>SUM(U266:U272)</f>
        <v>86</v>
      </c>
      <c r="V273" s="28">
        <f>(U273/(U273+S273))</f>
        <v>3.3333333333333333E-2</v>
      </c>
      <c r="W273" s="27"/>
      <c r="X273" s="27"/>
      <c r="Y273" s="29">
        <f>Y271/Y270*100-100</f>
        <v>11.817226890756302</v>
      </c>
      <c r="Z273" s="67">
        <f>Z271/Z270*100-100</f>
        <v>6.8754254594962418</v>
      </c>
      <c r="AA273" s="26">
        <f>SUM(AA266:AA272)</f>
        <v>2</v>
      </c>
      <c r="AB273" s="27">
        <f>SUM(AB266:AB272)</f>
        <v>0</v>
      </c>
      <c r="AC273" s="27"/>
      <c r="AD273" s="27"/>
      <c r="AE273" s="27">
        <f>SUM(AE266:AE272)</f>
        <v>469</v>
      </c>
      <c r="AF273" s="28">
        <f>((AE273+AG273)/7)/AC272</f>
        <v>0.44331797235023035</v>
      </c>
      <c r="AG273" s="27">
        <f>SUM(AG266:AG272)</f>
        <v>12</v>
      </c>
      <c r="AH273" s="28">
        <f>(AG273/(AG273+AE273))</f>
        <v>2.4948024948024949E-2</v>
      </c>
      <c r="AI273" s="27"/>
      <c r="AJ273" s="27"/>
      <c r="AK273" s="29">
        <f>AK271/AK270*100-100</f>
        <v>12.745098039215691</v>
      </c>
      <c r="AL273" s="67">
        <f>AL271/AL270*100-100</f>
        <v>1.9174041297935105</v>
      </c>
      <c r="AM273" s="26">
        <f>SUM(AM266:AM272)</f>
        <v>1</v>
      </c>
      <c r="AN273" s="27">
        <f>SUM(AN266:AN272)</f>
        <v>0</v>
      </c>
      <c r="AO273" s="27"/>
      <c r="AP273" s="27"/>
      <c r="AQ273" s="27">
        <f>SUM(AQ266:AQ272)</f>
        <v>2605</v>
      </c>
      <c r="AR273" s="28">
        <f>((AQ273+AS273)/7)/AO272</f>
        <v>0.50895238095238093</v>
      </c>
      <c r="AS273" s="27">
        <f>SUM(AS266:AS272)</f>
        <v>67</v>
      </c>
      <c r="AT273" s="28">
        <f>(AS273/(AS273+AQ273))</f>
        <v>2.5074850299401198E-2</v>
      </c>
      <c r="AU273" s="27"/>
      <c r="AV273" s="27"/>
      <c r="AW273" s="29">
        <f>AW271/AW270*100-100</f>
        <v>15.091982739041583</v>
      </c>
      <c r="AX273" s="67">
        <f>AX271/AX270*100-100</f>
        <v>5.9365781710914405</v>
      </c>
      <c r="AY273" s="26">
        <f>SUM(AY266:AY272)</f>
        <v>1</v>
      </c>
      <c r="AZ273" s="27">
        <f>SUM(AZ266:AZ272)</f>
        <v>0</v>
      </c>
      <c r="BA273" s="27"/>
      <c r="BB273" s="27"/>
      <c r="BC273" s="27">
        <f>SUM(BC266:BC272)</f>
        <v>2650</v>
      </c>
      <c r="BD273" s="28">
        <f>((BC273+BE273)/7)/BA272</f>
        <v>0.52176414189837006</v>
      </c>
      <c r="BE273" s="27">
        <f>SUM(BE266:BE272)</f>
        <v>71</v>
      </c>
      <c r="BF273" s="28">
        <f>(BE273/(BE273+BC273))</f>
        <v>2.6093348033811099E-2</v>
      </c>
      <c r="BG273" s="27"/>
      <c r="BH273" s="27"/>
      <c r="BI273" s="29">
        <f>BI271/BI270*100-100</f>
        <v>16.614145658263311</v>
      </c>
      <c r="BJ273" s="67">
        <f>BJ271/BJ270*100-100</f>
        <v>10.378117457763466</v>
      </c>
      <c r="BK273" s="26">
        <f>SUM(BK266:BK272)</f>
        <v>4</v>
      </c>
      <c r="BL273" s="27">
        <f>SUM(BL266:BL272)</f>
        <v>0</v>
      </c>
      <c r="BM273" s="27"/>
      <c r="BN273" s="27"/>
      <c r="BO273" s="27">
        <f>SUM(BO266:BO272)</f>
        <v>2661</v>
      </c>
      <c r="BP273" s="28">
        <f>((BO273+BQ273)/7)/BM272</f>
        <v>0.48828893259431433</v>
      </c>
      <c r="BQ273" s="27">
        <f>SUM(BQ266:BQ272)</f>
        <v>70</v>
      </c>
      <c r="BR273" s="28">
        <f>(BQ273/(BQ273+BO273))</f>
        <v>2.5631636763090444E-2</v>
      </c>
      <c r="BS273" s="27"/>
      <c r="BT273" s="27"/>
      <c r="BU273" s="29">
        <f>BU271/BU270*100-100</f>
        <v>12.227004622987408</v>
      </c>
      <c r="BV273" s="67">
        <f>BV271/BV270*100-100</f>
        <v>4.5722713864306854</v>
      </c>
      <c r="BW273" s="26">
        <f>SUM(BW266:BW272)</f>
        <v>3</v>
      </c>
      <c r="BX273" s="27">
        <f>SUM(BX266:BX272)</f>
        <v>0</v>
      </c>
      <c r="BY273" s="27"/>
      <c r="BZ273" s="27"/>
      <c r="CA273" s="27">
        <f>SUM(CA266:CA272)</f>
        <v>2370</v>
      </c>
      <c r="CB273" s="28">
        <f>((CA273+CC273)/7)/BY272</f>
        <v>0.47354138398914519</v>
      </c>
      <c r="CC273" s="27">
        <f>SUM(CC266:CC272)</f>
        <v>73</v>
      </c>
      <c r="CD273" s="28">
        <f>(CC273/(CC273+CA273))</f>
        <v>2.9881293491608677E-2</v>
      </c>
      <c r="CE273" s="27"/>
      <c r="CF273" s="27"/>
      <c r="CG273" s="29">
        <f>CG271/CG270*100-100</f>
        <v>13.667133520074685</v>
      </c>
      <c r="CH273" s="67">
        <f>CH271/CH270*100-100</f>
        <v>9.1297935103244754</v>
      </c>
      <c r="CI273" s="26">
        <f>SUM(CI266:CI272)</f>
        <v>4</v>
      </c>
      <c r="CJ273" s="27">
        <f>SUM(CJ266:CJ272)</f>
        <v>0</v>
      </c>
      <c r="CK273" s="27"/>
      <c r="CL273" s="27"/>
      <c r="CM273" s="27">
        <f>SUM(CM266:CM272)</f>
        <v>402</v>
      </c>
      <c r="CN273" s="28">
        <f>((CM273+CO273)/7)/CK272</f>
        <v>0.47356580427446571</v>
      </c>
      <c r="CO273" s="27">
        <f>SUM(CO266:CO272)</f>
        <v>19</v>
      </c>
      <c r="CP273" s="28">
        <f>(CO273/(CO273+CM273))</f>
        <v>4.5130641330166268E-2</v>
      </c>
      <c r="CQ273" s="27"/>
      <c r="CR273" s="27"/>
      <c r="CS273" s="29">
        <f>CS271/CS270*100-100</f>
        <v>10.347169170698578</v>
      </c>
      <c r="CT273" s="67">
        <f>CT271/CT270*100-100</f>
        <v>5.8997050147492729</v>
      </c>
      <c r="CU273" s="26">
        <f>SUM(CU266:CU272)</f>
        <v>2</v>
      </c>
      <c r="CV273" s="27">
        <f>SUM(CV266:CV272)</f>
        <v>0</v>
      </c>
      <c r="CW273" s="27"/>
      <c r="CX273" s="27"/>
      <c r="CY273" s="27">
        <f>SUM(CY266:CY272)</f>
        <v>2350</v>
      </c>
      <c r="CZ273" s="28">
        <f>((CY273+DA273)/7)/CW272</f>
        <v>0.47195622435020518</v>
      </c>
      <c r="DA273" s="27">
        <f>SUM(DA266:DA272)</f>
        <v>65</v>
      </c>
      <c r="DB273" s="28">
        <f>(DA273/(DA273+CY273))</f>
        <v>2.6915113871635612E-2</v>
      </c>
      <c r="DC273" s="27"/>
      <c r="DD273" s="27"/>
      <c r="DE273" s="29">
        <f>DE271/DE270*100-100</f>
        <v>13.353236031254596</v>
      </c>
      <c r="DF273" s="67">
        <f>DF271/DF270*100-100</f>
        <v>8.9917825537294505</v>
      </c>
      <c r="DG273" s="26">
        <f>SUM(DG266:DG272)</f>
        <v>1</v>
      </c>
      <c r="DH273" s="27">
        <f>SUM(DH266:DH272)</f>
        <v>0</v>
      </c>
      <c r="DI273" s="27"/>
      <c r="DJ273" s="27"/>
      <c r="DK273" s="27">
        <f>SUM(DK266:DK272)</f>
        <v>2603</v>
      </c>
      <c r="DL273" s="28">
        <f>((DK273+DM273)/7)/DI272</f>
        <v>0.5302463054187192</v>
      </c>
      <c r="DM273" s="27">
        <f>SUM(DM266:DM272)</f>
        <v>88</v>
      </c>
      <c r="DN273" s="28">
        <f>(DM273/(DM273+DK273))</f>
        <v>3.2701597918989224E-2</v>
      </c>
      <c r="DO273" s="27"/>
      <c r="DP273" s="27"/>
      <c r="DQ273" s="29">
        <f>DQ271/DQ270*100-100</f>
        <v>17.075163398692823</v>
      </c>
      <c r="DR273" s="67">
        <f>DR271/DR270*100-100</f>
        <v>16.184479237576596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2752</v>
      </c>
      <c r="DX273" s="28">
        <f>((DW273+DY273)/7)/DU272</f>
        <v>0.50393425424025184</v>
      </c>
      <c r="DY273" s="27">
        <f>SUM(DY266:DY272)</f>
        <v>130</v>
      </c>
      <c r="DZ273" s="28">
        <f>(DY273/(DY273+DW273))</f>
        <v>4.510756419153366E-2</v>
      </c>
      <c r="EA273" s="27"/>
      <c r="EB273" s="27"/>
      <c r="EC273" s="29">
        <f>EC271/EC270*100-100</f>
        <v>9.9042453860977133</v>
      </c>
      <c r="ED273" s="67">
        <f>ED271/ED270*100-100</f>
        <v>1.701837985023829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2842</v>
      </c>
      <c r="EJ273" s="28">
        <f>((EI273+EK273)/7)/EG272</f>
        <v>0.50254496097726509</v>
      </c>
      <c r="EK273" s="27">
        <f>SUM(EK266:EK272)</f>
        <v>120</v>
      </c>
      <c r="EL273" s="28">
        <f>(EK273/(EK273+EI273))</f>
        <v>4.051316677920324E-2</v>
      </c>
      <c r="EM273" s="27"/>
      <c r="EN273" s="27"/>
      <c r="EO273" s="29">
        <f>EO271/EO270*100-100</f>
        <v>6.9640622206329255</v>
      </c>
      <c r="EP273" s="67">
        <f>EP271/EP270*100-100</f>
        <v>10.125936010891763</v>
      </c>
      <c r="EQ273" s="26">
        <f>SUM(EQ266:EQ272)</f>
        <v>3</v>
      </c>
      <c r="ER273" s="27">
        <f>SUM(ER266:ER272)</f>
        <v>0</v>
      </c>
      <c r="ES273" s="27"/>
      <c r="ET273" s="27"/>
      <c r="EU273" s="27">
        <f>SUM(EU266:EU272)</f>
        <v>473</v>
      </c>
      <c r="EV273" s="28">
        <f>((EU273+EW273)/7)/ES272</f>
        <v>0.43298059964726626</v>
      </c>
      <c r="EW273" s="27">
        <f>SUM(EW266:EW272)</f>
        <v>18</v>
      </c>
      <c r="EX273" s="28">
        <f>(EW273/(EW273+EU273))</f>
        <v>3.6659877800407331E-2</v>
      </c>
      <c r="EY273" s="27"/>
      <c r="EZ273" s="27"/>
      <c r="FA273" s="29">
        <f>FA271/FA270*100-100</f>
        <v>3.9215686274509949</v>
      </c>
      <c r="FB273" s="67">
        <f>FB271/FB270*100-100</f>
        <v>0.22123893805310502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2923</v>
      </c>
      <c r="FH273" s="28">
        <f>((FG273+FI273)/7)/FE272</f>
        <v>0.50726106045254982</v>
      </c>
      <c r="FI273" s="27">
        <f>SUM(FI266:FI272)</f>
        <v>81</v>
      </c>
      <c r="FJ273" s="28">
        <f>(FI273/(FI273+FG273))</f>
        <v>2.6964047936085221E-2</v>
      </c>
      <c r="FK273" s="27"/>
      <c r="FL273" s="27"/>
      <c r="FM273" s="29">
        <f>FM271/FM270*100-100</f>
        <v>9.8524377071089901</v>
      </c>
      <c r="FN273" s="67">
        <f>FN271/FN270*100-100</f>
        <v>8.849557522123888</v>
      </c>
      <c r="FO273" s="26">
        <f>SUM(FO266:FO272)</f>
        <v>4</v>
      </c>
      <c r="FP273" s="27">
        <f>SUM(FP266:FP272)</f>
        <v>0</v>
      </c>
      <c r="FQ273" s="27"/>
      <c r="FR273" s="27"/>
      <c r="FS273" s="27">
        <f>SUM(FS266:FS272)</f>
        <v>2899</v>
      </c>
      <c r="FT273" s="28">
        <f>((FS273+FU273)/7)/FQ272</f>
        <v>0.50332225913621265</v>
      </c>
      <c r="FU273" s="27">
        <f>SUM(FU266:FU272)</f>
        <v>131</v>
      </c>
      <c r="FV273" s="28">
        <f>(FU273/(FU273+FS273))</f>
        <v>4.3234323432343236E-2</v>
      </c>
      <c r="FW273" s="27"/>
      <c r="FX273" s="27"/>
      <c r="FY273" s="29">
        <f>FY271/FY270*100-100</f>
        <v>16.885884788698078</v>
      </c>
      <c r="FZ273" s="67">
        <f>FZ271/FZ270*100-100</f>
        <v>4.5679333680374725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3046</v>
      </c>
      <c r="GF273" s="28">
        <f>((GE273+GG273)/7)/GC272</f>
        <v>0.51652145323031395</v>
      </c>
      <c r="GG273" s="27">
        <f>SUM(GG266:GG272)</f>
        <v>96</v>
      </c>
      <c r="GH273" s="28">
        <f>(GG273/(GG273+GE273))</f>
        <v>3.0553787396562698E-2</v>
      </c>
      <c r="GI273" s="27"/>
      <c r="GJ273" s="27"/>
      <c r="GK273" s="29">
        <f>GK271/GK270*100-100</f>
        <v>12.58120269384348</v>
      </c>
      <c r="GL273" s="67">
        <f>GL271/GL270*100-100</f>
        <v>10.06637168141593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384</v>
      </c>
      <c r="GR273" s="28">
        <f>((GQ273+GS273)/7)/GO272</f>
        <v>0.41718426501035194</v>
      </c>
      <c r="GS273" s="27">
        <f>SUM(GS266:GS272)</f>
        <v>19</v>
      </c>
      <c r="GT273" s="28">
        <f>(GS273/(GS273+GQ273))</f>
        <v>4.7146401985111663E-2</v>
      </c>
      <c r="GU273" s="27"/>
      <c r="GV273" s="27"/>
      <c r="GW273" s="29">
        <f>GW271/GW270*100-100</f>
        <v>5.3254635187408184</v>
      </c>
      <c r="GX273" s="67">
        <f>GX271/GX270*100-100</f>
        <v>7.4115044247787552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3126</v>
      </c>
      <c r="HD273" s="28">
        <f>((HC273+HE273)/7)/HA272</f>
        <v>0.515625</v>
      </c>
      <c r="HE273" s="27">
        <f>SUM(HE266:HE272)</f>
        <v>108</v>
      </c>
      <c r="HF273" s="28">
        <f>(HE273/(HE273+HC273))</f>
        <v>3.3395176252319109E-2</v>
      </c>
      <c r="HG273" s="27"/>
      <c r="HH273" s="27"/>
      <c r="HI273" s="29">
        <f>HI271/HI270*100-100</f>
        <v>17.584811702458751</v>
      </c>
      <c r="HJ273" s="67">
        <f>HJ271/HJ270*100-100</f>
        <v>9.596238938053105</v>
      </c>
      <c r="HK273" s="26">
        <f t="shared" si="2456"/>
        <v>32</v>
      </c>
      <c r="HL273" s="27">
        <f t="shared" si="2457"/>
        <v>1</v>
      </c>
      <c r="HM273" s="27">
        <f t="shared" si="2458"/>
        <v>0</v>
      </c>
      <c r="HN273" s="27">
        <f t="shared" si="2459"/>
        <v>0</v>
      </c>
      <c r="HO273" s="27">
        <f t="shared" si="2460"/>
        <v>41064</v>
      </c>
      <c r="HP273" s="96">
        <f>+((HO273)/HM272)/7</f>
        <v>0.49904599866318283</v>
      </c>
      <c r="HQ273" s="62">
        <f t="shared" si="2462"/>
        <v>1335</v>
      </c>
      <c r="HR273" s="52">
        <f t="shared" si="2463"/>
        <v>3.2510227936879021E-2</v>
      </c>
      <c r="HS273" s="53">
        <f>SUM(HS266:HS272)/7</f>
        <v>66.842857142857142</v>
      </c>
      <c r="HT273" s="54">
        <f>SUM(HT266:HT272)</f>
        <v>38825</v>
      </c>
      <c r="HU273" s="53">
        <f>AVERAGE(HU266:HU272)</f>
        <v>94.544305174760552</v>
      </c>
      <c r="HV273" s="63">
        <f>HV271/HV270*100-100</f>
        <v>12.641031644856085</v>
      </c>
      <c r="HW273" s="67">
        <f>HW271/HW270*100-100</f>
        <v>7.8487147071217862</v>
      </c>
      <c r="HX273" s="73">
        <f>SUM(G273,I273,S273,U273,AE273,AG273,AQ273,AS273,BC273,BE273)/7/SUM(E272,Q272,AC272,AO272,BA272)</f>
        <v>0.4997326441493628</v>
      </c>
      <c r="HY273" s="73">
        <f>SUM(BO273,BQ273,CA273,CC273,CM273,CO273,CY273,DA273,DK273,DM273)/7/SUM(BM272,BY272,CK272,CW272,DI272)</f>
        <v>0.4901296202995466</v>
      </c>
      <c r="HZ273" s="73">
        <f>SUM(DW273,DY273,EI273,EK273,EU273,EW273,FG273,FI273)/7/SUM(DU272,EG272,ES272,FE272)</f>
        <v>0.50024104129840907</v>
      </c>
      <c r="IA273" s="73">
        <f>SUM(FS273,FU273,GE273,GG273,GQ273,GS273,HC273,HE273)/7/SUM(FQ272,GC272,GO272,HA272)</f>
        <v>0.5071609534150251</v>
      </c>
      <c r="IB273" s="84">
        <f>SUM(I273,U273,AG273,AS273,BE273)/SUM(G273,I273,S273,U273,AE273,AG273,AQ273,AS273,BC273,BE273)</f>
        <v>2.8265715559518501E-2</v>
      </c>
      <c r="IC273" s="84">
        <f>SUM(BQ273,CC273,CO273,DA273,DM273)/SUM(BO273,BQ273,CA273,CC273,CM273,CO273,CY273,DA273,DK273,DM273)</f>
        <v>2.943650126156434E-2</v>
      </c>
      <c r="ID273" s="84">
        <f>SUM(DY273,EK273,EW273,FI273)/SUM(DW273,DY273,EI273,EK273,EU273,EW273,FG273,FI273)</f>
        <v>3.7370168112217585E-2</v>
      </c>
      <c r="IE273" s="84">
        <f>SUM(FU273,GG273,GS273,HE273)/SUM(FS273,FU273,GE273,GG273,GQ273,GS273,HC273,HE273)</f>
        <v>3.6089305739626876E-2</v>
      </c>
      <c r="IF273" s="86">
        <f>SUM(C273,O273,AA273,AM273,AY273)</f>
        <v>4</v>
      </c>
      <c r="IG273" s="86">
        <f>SUM(BK273,BW273,CI273,CU273,DG273)</f>
        <v>14</v>
      </c>
      <c r="IH273" s="86">
        <f>SUM(DS273,EE273,EQ273,FC273)</f>
        <v>4</v>
      </c>
      <c r="II273" s="86">
        <f>SUM(FO273,GA273,GM273,GY273)</f>
        <v>10</v>
      </c>
      <c r="IJ273" s="88" t="s">
        <v>89</v>
      </c>
    </row>
    <row r="274" spans="1:244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HK273/HM266</f>
        <v>2.7162380103556575E-3</v>
      </c>
      <c r="HL274" s="66">
        <f>HL273/HN266</f>
        <v>1.0548523206751054E-3</v>
      </c>
      <c r="HM274" s="45"/>
      <c r="HN274" s="45"/>
      <c r="HO274" s="45"/>
      <c r="HP274" s="98"/>
      <c r="HQ274" s="45"/>
      <c r="HR274" s="45"/>
      <c r="HS274" s="45"/>
      <c r="HT274" s="55"/>
      <c r="HU274" s="45"/>
      <c r="HV274" s="45"/>
      <c r="HW274" s="46"/>
      <c r="HY274" s="72"/>
      <c r="HZ274" s="72"/>
      <c r="IA274" s="72"/>
      <c r="IF274" s="86">
        <f>SUM(E263,Q263,AC263,AO263,BA263)</f>
        <v>3210</v>
      </c>
      <c r="IG274" s="86">
        <f>SUM(BM263,BY263,CK263,CW263,DI263)</f>
        <v>3133</v>
      </c>
      <c r="IH274" s="86">
        <f>SUM(DU263,EG263,ES263,FE263)</f>
        <v>2671</v>
      </c>
      <c r="II274" s="86">
        <f>SUM(FQ263,GC263,GO263,HA263)</f>
        <v>2773</v>
      </c>
      <c r="IJ274" s="88" t="s">
        <v>84</v>
      </c>
    </row>
    <row r="275" spans="1:244" x14ac:dyDescent="0.25">
      <c r="A275" s="373">
        <v>55</v>
      </c>
      <c r="B275" s="68">
        <f>B272+1</f>
        <v>45151</v>
      </c>
      <c r="C275" s="33"/>
      <c r="D275" s="34"/>
      <c r="E275" s="34">
        <f>E272-C275</f>
        <v>811</v>
      </c>
      <c r="F275" s="34">
        <f>F272-D275</f>
        <v>64</v>
      </c>
      <c r="G275" s="34">
        <v>395</v>
      </c>
      <c r="H275" s="35">
        <f t="shared" ref="H275:H281" si="2506">((G275+I275)/E275)</f>
        <v>0.49568434032059189</v>
      </c>
      <c r="I275" s="34">
        <v>7</v>
      </c>
      <c r="J275" s="35">
        <f t="shared" ref="J275:J281" si="2507">I275/(G275+I275)</f>
        <v>1.7412935323383085E-2</v>
      </c>
      <c r="K275" s="36"/>
      <c r="L275" s="34"/>
      <c r="M275" s="34"/>
      <c r="N275" s="37"/>
      <c r="O275" s="33"/>
      <c r="P275" s="34">
        <v>1</v>
      </c>
      <c r="Q275" s="34">
        <f>Q272-O275</f>
        <v>745</v>
      </c>
      <c r="R275" s="34">
        <f>R272-P275</f>
        <v>59</v>
      </c>
      <c r="S275" s="34">
        <v>334</v>
      </c>
      <c r="T275" s="35">
        <f t="shared" ref="T275:T281" si="2508">((S275+U275)/Q275)</f>
        <v>0.46174496644295304</v>
      </c>
      <c r="U275" s="34">
        <v>10</v>
      </c>
      <c r="V275" s="35">
        <f t="shared" ref="V275:V281" si="2509">U275/(S275+U275)</f>
        <v>2.9069767441860465E-2</v>
      </c>
      <c r="W275" s="36"/>
      <c r="X275" s="34"/>
      <c r="Y275" s="34"/>
      <c r="Z275" s="37"/>
      <c r="AA275" s="33"/>
      <c r="AB275" s="34"/>
      <c r="AC275" s="34">
        <f>AC272-AA275</f>
        <v>155</v>
      </c>
      <c r="AD275" s="34">
        <f>AD272-AB275</f>
        <v>13</v>
      </c>
      <c r="AE275" s="34">
        <v>64</v>
      </c>
      <c r="AF275" s="35">
        <f t="shared" ref="AF275:AF281" si="2510">((AE275+AG275)/AC275)</f>
        <v>0.44516129032258067</v>
      </c>
      <c r="AG275" s="34">
        <v>5</v>
      </c>
      <c r="AH275" s="35">
        <f t="shared" ref="AH275:AH281" si="2511">AG275/(AE275+AG275)</f>
        <v>7.2463768115942032E-2</v>
      </c>
      <c r="AI275" s="36"/>
      <c r="AJ275" s="34"/>
      <c r="AK275" s="34"/>
      <c r="AL275" s="37"/>
      <c r="AM275" s="33">
        <v>1</v>
      </c>
      <c r="AN275" s="34"/>
      <c r="AO275" s="34">
        <f>AO272-AM275</f>
        <v>749</v>
      </c>
      <c r="AP275" s="34">
        <f>AP272-AN275</f>
        <v>61</v>
      </c>
      <c r="AQ275" s="34">
        <v>351</v>
      </c>
      <c r="AR275" s="35">
        <f t="shared" ref="AR275:AR281" si="2512">((AQ275+AS275)/AO275)</f>
        <v>0.48331108144192259</v>
      </c>
      <c r="AS275" s="34">
        <v>11</v>
      </c>
      <c r="AT275" s="35">
        <f t="shared" ref="AT275:AT281" si="2513">AS275/(AQ275+AS275)</f>
        <v>3.0386740331491711E-2</v>
      </c>
      <c r="AU275" s="36"/>
      <c r="AV275" s="34"/>
      <c r="AW275" s="34"/>
      <c r="AX275" s="37"/>
      <c r="AY275" s="33"/>
      <c r="AZ275" s="34"/>
      <c r="BA275" s="34">
        <f>BA272-AY275</f>
        <v>745</v>
      </c>
      <c r="BB275" s="34">
        <f>BB272-AZ275</f>
        <v>60</v>
      </c>
      <c r="BC275" s="34">
        <v>379</v>
      </c>
      <c r="BD275" s="35">
        <f t="shared" ref="BD275:BD281" si="2514">((BC275+BE275)/BA275)</f>
        <v>0.52348993288590606</v>
      </c>
      <c r="BE275" s="34">
        <v>11</v>
      </c>
      <c r="BF275" s="35">
        <f t="shared" ref="BF275:BF281" si="2515">BE275/(BC275+BE275)</f>
        <v>2.8205128205128206E-2</v>
      </c>
      <c r="BG275" s="36"/>
      <c r="BH275" s="34"/>
      <c r="BI275" s="34"/>
      <c r="BJ275" s="37"/>
      <c r="BK275" s="33"/>
      <c r="BL275" s="34"/>
      <c r="BM275" s="34">
        <f>BM272-BK275</f>
        <v>799</v>
      </c>
      <c r="BN275" s="34">
        <f>BN272-BL275</f>
        <v>62</v>
      </c>
      <c r="BO275" s="34">
        <v>370</v>
      </c>
      <c r="BP275" s="35">
        <f t="shared" ref="BP275:BP281" si="2516">((BO275+BQ275)/BM275)</f>
        <v>0.47434292866082606</v>
      </c>
      <c r="BQ275" s="34">
        <v>9</v>
      </c>
      <c r="BR275" s="35">
        <f t="shared" ref="BR275:BR281" si="2517">BQ275/(BO275+BQ275)</f>
        <v>2.3746701846965697E-2</v>
      </c>
      <c r="BS275" s="36"/>
      <c r="BT275" s="34"/>
      <c r="BU275" s="34"/>
      <c r="BV275" s="37"/>
      <c r="BW275" s="33"/>
      <c r="BX275" s="34"/>
      <c r="BY275" s="34">
        <f>BY272-BW275</f>
        <v>737</v>
      </c>
      <c r="BZ275" s="34">
        <f>BZ272-BX275</f>
        <v>59</v>
      </c>
      <c r="CA275" s="34">
        <v>330</v>
      </c>
      <c r="CB275" s="35">
        <f t="shared" ref="CB275:CB281" si="2518">((CA275+CC275)/BY275)</f>
        <v>0.4599728629579376</v>
      </c>
      <c r="CC275" s="34">
        <v>9</v>
      </c>
      <c r="CD275" s="35">
        <f t="shared" ref="CD275:CD281" si="2519">CC275/(CA275+CC275)</f>
        <v>2.6548672566371681E-2</v>
      </c>
      <c r="CE275" s="36"/>
      <c r="CF275" s="34"/>
      <c r="CG275" s="34"/>
      <c r="CH275" s="37"/>
      <c r="CI275" s="33"/>
      <c r="CJ275" s="34"/>
      <c r="CK275" s="34">
        <f>CK272-CI275</f>
        <v>127</v>
      </c>
      <c r="CL275" s="34">
        <f>CL272-CJ275</f>
        <v>12</v>
      </c>
      <c r="CM275" s="34">
        <v>48</v>
      </c>
      <c r="CN275" s="35">
        <f t="shared" ref="CN275:CN281" si="2520">((CM275+CO275)/CK275)</f>
        <v>0.38582677165354329</v>
      </c>
      <c r="CO275" s="34">
        <v>1</v>
      </c>
      <c r="CP275" s="35">
        <f t="shared" ref="CP275:CP281" si="2521">CO275/(CM275+CO275)</f>
        <v>2.0408163265306121E-2</v>
      </c>
      <c r="CQ275" s="36"/>
      <c r="CR275" s="34"/>
      <c r="CS275" s="34"/>
      <c r="CT275" s="37"/>
      <c r="CU275" s="33"/>
      <c r="CV275" s="34"/>
      <c r="CW275" s="34">
        <f>CW272-CU275</f>
        <v>731</v>
      </c>
      <c r="CX275" s="34">
        <f>CX272-CV275</f>
        <v>59</v>
      </c>
      <c r="CY275" s="34">
        <v>330</v>
      </c>
      <c r="CZ275" s="35">
        <f t="shared" ref="CZ275:CZ281" si="2522">((CY275+DA275)/CW275)</f>
        <v>0.45690834473324216</v>
      </c>
      <c r="DA275" s="34">
        <v>4</v>
      </c>
      <c r="DB275" s="35">
        <f t="shared" ref="DB275:DB281" si="2523">DA275/(CY275+DA275)</f>
        <v>1.1976047904191617E-2</v>
      </c>
      <c r="DC275" s="36"/>
      <c r="DD275" s="34"/>
      <c r="DE275" s="34"/>
      <c r="DF275" s="37"/>
      <c r="DG275" s="33"/>
      <c r="DH275" s="34"/>
      <c r="DI275" s="34">
        <f>DI272-DG275</f>
        <v>725</v>
      </c>
      <c r="DJ275" s="34">
        <f>DJ272-DH275</f>
        <v>59</v>
      </c>
      <c r="DK275" s="34">
        <v>380</v>
      </c>
      <c r="DL275" s="35">
        <f t="shared" ref="DL275:DL281" si="2524">((DK275+DM275)/DI275)</f>
        <v>0.52689655172413796</v>
      </c>
      <c r="DM275" s="34">
        <v>2</v>
      </c>
      <c r="DN275" s="35">
        <f t="shared" ref="DN275:DN281" si="2525">DM275/(DK275+DM275)</f>
        <v>5.235602094240838E-3</v>
      </c>
      <c r="DO275" s="36"/>
      <c r="DP275" s="34"/>
      <c r="DQ275" s="34"/>
      <c r="DR275" s="37"/>
      <c r="DS275" s="33"/>
      <c r="DT275" s="34"/>
      <c r="DU275" s="34">
        <f>DU272-DS275</f>
        <v>817</v>
      </c>
      <c r="DV275" s="34">
        <f>DV272-DT275</f>
        <v>65</v>
      </c>
      <c r="DW275" s="34">
        <v>415</v>
      </c>
      <c r="DX275" s="35">
        <f t="shared" ref="DX275:DX281" si="2526">((DW275+DY275)/DU275)</f>
        <v>0.53121175030599754</v>
      </c>
      <c r="DY275" s="34">
        <v>19</v>
      </c>
      <c r="DZ275" s="35">
        <f t="shared" ref="DZ275:DZ281" si="2527">DY275/(DW275+DY275)</f>
        <v>4.377880184331797E-2</v>
      </c>
      <c r="EA275" s="36"/>
      <c r="EB275" s="34"/>
      <c r="EC275" s="34"/>
      <c r="ED275" s="37"/>
      <c r="EE275" s="33"/>
      <c r="EF275" s="34"/>
      <c r="EG275" s="34">
        <f>EG272-EE275</f>
        <v>842</v>
      </c>
      <c r="EH275" s="34">
        <f>EH272-EF275</f>
        <v>67</v>
      </c>
      <c r="EI275" s="34">
        <v>391</v>
      </c>
      <c r="EJ275" s="35">
        <f t="shared" ref="EJ275:EJ281" si="2528">((EI275+EK275)/EG275)</f>
        <v>0.48099762470308788</v>
      </c>
      <c r="EK275" s="34">
        <v>14</v>
      </c>
      <c r="EL275" s="35">
        <f t="shared" ref="EL275:EL281" si="2529">EK275/(EI275+EK275)</f>
        <v>3.4567901234567898E-2</v>
      </c>
      <c r="EM275" s="36"/>
      <c r="EN275" s="34"/>
      <c r="EO275" s="34"/>
      <c r="EP275" s="37"/>
      <c r="EQ275" s="33"/>
      <c r="ER275" s="34"/>
      <c r="ES275" s="34">
        <f>ES272-EQ275</f>
        <v>162</v>
      </c>
      <c r="ET275" s="34">
        <f>ET272-ER275</f>
        <v>14</v>
      </c>
      <c r="EU275" s="34">
        <v>58</v>
      </c>
      <c r="EV275" s="35">
        <f t="shared" ref="EV275:EV281" si="2530">((EU275+EW275)/ES275)</f>
        <v>0.36419753086419754</v>
      </c>
      <c r="EW275" s="34">
        <v>1</v>
      </c>
      <c r="EX275" s="35">
        <f t="shared" ref="EX275:EX281" si="2531">EW275/(EU275+EW275)</f>
        <v>1.6949152542372881E-2</v>
      </c>
      <c r="EY275" s="36"/>
      <c r="EZ275" s="34"/>
      <c r="FA275" s="34"/>
      <c r="FB275" s="37"/>
      <c r="FC275" s="33"/>
      <c r="FD275" s="34"/>
      <c r="FE275" s="34">
        <f>FE272-FC275</f>
        <v>846</v>
      </c>
      <c r="FF275" s="34">
        <f>FF272-FD275</f>
        <v>67</v>
      </c>
      <c r="FG275" s="34">
        <v>427</v>
      </c>
      <c r="FH275" s="35">
        <f t="shared" ref="FH275:FH281" si="2532">((FG275+FI275)/FE275)</f>
        <v>0.52127659574468088</v>
      </c>
      <c r="FI275" s="34">
        <v>14</v>
      </c>
      <c r="FJ275" s="35">
        <f t="shared" ref="FJ275:FJ281" si="2533">FI275/(FG275+FI275)</f>
        <v>3.1746031746031744E-2</v>
      </c>
      <c r="FK275" s="36"/>
      <c r="FL275" s="34"/>
      <c r="FM275" s="34"/>
      <c r="FN275" s="37"/>
      <c r="FO275" s="33"/>
      <c r="FP275" s="34"/>
      <c r="FQ275" s="34">
        <f>FQ272-FO275</f>
        <v>860</v>
      </c>
      <c r="FR275" s="34">
        <f>FR272-FP275</f>
        <v>70</v>
      </c>
      <c r="FS275" s="34">
        <v>430</v>
      </c>
      <c r="FT275" s="35">
        <f t="shared" ref="FT275:FT281" si="2534">((FS275+FU275)/FQ275)</f>
        <v>0.52441860465116275</v>
      </c>
      <c r="FU275" s="34">
        <v>21</v>
      </c>
      <c r="FV275" s="35">
        <f t="shared" ref="FV275:FV281" si="2535">FU275/(FS275+FU275)</f>
        <v>4.6563192904656318E-2</v>
      </c>
      <c r="FW275" s="36"/>
      <c r="FX275" s="34"/>
      <c r="FY275" s="34"/>
      <c r="FZ275" s="37"/>
      <c r="GA275" s="33"/>
      <c r="GB275" s="34"/>
      <c r="GC275" s="34">
        <f>GC272-GA275</f>
        <v>869</v>
      </c>
      <c r="GD275" s="34">
        <f>GD272-GB275</f>
        <v>71</v>
      </c>
      <c r="GE275" s="34">
        <v>415</v>
      </c>
      <c r="GF275" s="35">
        <f t="shared" ref="GF275:GF281" si="2536">((GE275+GG275)/GC275)</f>
        <v>0.49367088607594939</v>
      </c>
      <c r="GG275" s="34">
        <v>14</v>
      </c>
      <c r="GH275" s="35">
        <f t="shared" ref="GH275:GH281" si="2537">GG275/(GE275+GG275)</f>
        <v>3.2634032634032632E-2</v>
      </c>
      <c r="GI275" s="36"/>
      <c r="GJ275" s="34"/>
      <c r="GK275" s="34"/>
      <c r="GL275" s="37"/>
      <c r="GM275" s="33"/>
      <c r="GN275" s="34"/>
      <c r="GO275" s="34">
        <f>GO272-GM275</f>
        <v>138</v>
      </c>
      <c r="GP275" s="34">
        <f>GP272-GN275</f>
        <v>12</v>
      </c>
      <c r="GQ275" s="34">
        <v>60</v>
      </c>
      <c r="GR275" s="35">
        <f t="shared" ref="GR275:GR281" si="2538">((GQ275+GS275)/GO275)</f>
        <v>0.5</v>
      </c>
      <c r="GS275" s="34">
        <v>9</v>
      </c>
      <c r="GT275" s="35">
        <f t="shared" ref="GT275:GT281" si="2539">GS275/(GQ275+GS275)</f>
        <v>0.13043478260869565</v>
      </c>
      <c r="GU275" s="36"/>
      <c r="GV275" s="34"/>
      <c r="GW275" s="34"/>
      <c r="GX275" s="37"/>
      <c r="GY275" s="33"/>
      <c r="GZ275" s="34"/>
      <c r="HA275" s="34">
        <f>HA272-GY275</f>
        <v>896</v>
      </c>
      <c r="HB275" s="34">
        <f>HB272-GZ275</f>
        <v>72</v>
      </c>
      <c r="HC275" s="34">
        <v>442</v>
      </c>
      <c r="HD275" s="35">
        <f t="shared" ref="HD275:HD281" si="2540">((HC275+HE275)/HA275)</f>
        <v>0.5100446428571429</v>
      </c>
      <c r="HE275" s="34">
        <v>15</v>
      </c>
      <c r="HF275" s="35">
        <f t="shared" ref="HF275:HF281" si="2541">HE275/(HC275+HE275)</f>
        <v>3.2822757111597371E-2</v>
      </c>
      <c r="HG275" s="36"/>
      <c r="HH275" s="34"/>
      <c r="HI275" s="34"/>
      <c r="HJ275" s="37"/>
      <c r="HK275" s="33">
        <f t="shared" ref="HK275:HK282" si="2542">+C275+O275+AA275+AM275+AY275+BK275+BW275+CI275+CU275+DG275+DS275+EE275+EQ275+FC275+FO275+GA275+GM275+GY275</f>
        <v>1</v>
      </c>
      <c r="HL275" s="34">
        <f t="shared" ref="HL275:HL282" si="2543">+D275+P275+AB275+AN275+AZ275+BL275+BX275+CJ275+CV275+DH275+DT275+EF275+ER275+FD275+FP275+GB275+GN275+GZ275</f>
        <v>1</v>
      </c>
      <c r="HM275" s="34">
        <f t="shared" ref="HM275:HM282" si="2544">+E275+Q275+AC275+AO275+BA275+BM275+BY275+CK275+CW275+DI275+DU275+EG275+ES275+FE275+FQ275+GC275+GO275+HA275</f>
        <v>11754</v>
      </c>
      <c r="HN275" s="34">
        <f t="shared" ref="HN275:HN282" si="2545">+F275+R275+AD275+AP275+BB275+BN275+BZ275+CL275+CX275+DJ275+DV275+EH275+ET275+FF275+FR275+GD275+GP275+HB275</f>
        <v>946</v>
      </c>
      <c r="HO275" s="34">
        <f t="shared" ref="HO275:HO282" si="2546">+G275+S275+AE275+AQ275+BC275+BO275+CA275+CM275+CY275+DK275+DW275+EI275+EU275+FG275+FS275+GE275+GQ275+HC275+I275+U275+AG275+AS275+BE275+BQ275+CC275+CO275+DA275+DM275+DY275+EK275+EW275+FI275+FU275+GG275+GS275+HE275</f>
        <v>5795</v>
      </c>
      <c r="HP275" s="94">
        <f t="shared" ref="HP275:HP281" si="2547">+(HO275)/HM275</f>
        <v>0.49302365152288585</v>
      </c>
      <c r="HQ275" s="48">
        <f t="shared" ref="HQ275:HQ282" si="2548">+I275+U275+AG275+AS275+BE275+BQ275+CC275+CO275+DA275+DM275+DY275+EK275+EW275+FI275+FU275+GG275+GS275+HE275</f>
        <v>176</v>
      </c>
      <c r="HR275" s="35">
        <f t="shared" ref="HR275:HR282" si="2549">+(HQ275/(HO275))</f>
        <v>3.0371009490940466E-2</v>
      </c>
      <c r="HS275" s="49">
        <v>67.2</v>
      </c>
      <c r="HT275" s="50">
        <v>5475</v>
      </c>
      <c r="HU275" s="49">
        <f t="shared" ref="HU275:HU281" si="2550">+HT275/HO275*100</f>
        <v>94.477998274374471</v>
      </c>
      <c r="HV275" s="48"/>
      <c r="HW275" s="37"/>
      <c r="HX275" s="73">
        <f t="shared" ref="HX275:HX281" si="2551">SUM(G275,I275,S275,U275,AE275,AG275,AQ275,AS275,BC275,BE275)/SUM(E275,Q275,AC275,AO275,BA275)</f>
        <v>0.48892355694227768</v>
      </c>
      <c r="HY275" s="73">
        <f t="shared" ref="HY275:HY281" si="2552">SUM(BO275,BQ275,CA275,CC275,CM275,CO275,CY275,DA275,DK275,DM275)/SUM(BM275,BY275,CK275,CW275,DI275)</f>
        <v>0.47547290798332797</v>
      </c>
      <c r="HZ275" s="73">
        <f t="shared" ref="HZ275:HZ281" si="2553">SUM(DW275,DY275,EI275,EK275,EU275,EW275,FG275,FI275)/SUM(DU275,EG275,ES275,FE275)</f>
        <v>0.50206224221972251</v>
      </c>
      <c r="IA275" s="73">
        <f t="shared" ref="IA275:IA281" si="2554">SUM(FS275,FU275,GE275,GG275,GQ275,GS275,HC275,HE275)/SUM(FQ275,GC275,GO275,HA275)</f>
        <v>0.50886717336228737</v>
      </c>
    </row>
    <row r="276" spans="1:244" x14ac:dyDescent="0.25">
      <c r="A276" s="374"/>
      <c r="B276" s="41">
        <f t="shared" ref="B276:B281" si="2555">+B275+1</f>
        <v>45152</v>
      </c>
      <c r="C276" s="10">
        <v>1</v>
      </c>
      <c r="D276" s="11"/>
      <c r="E276" s="69">
        <f t="shared" ref="E276:E281" si="2556">E275-C276</f>
        <v>810</v>
      </c>
      <c r="F276" s="69">
        <f t="shared" ref="F276:F281" si="2557">F275-D276</f>
        <v>64</v>
      </c>
      <c r="G276" s="11">
        <v>340</v>
      </c>
      <c r="H276" s="12">
        <f t="shared" si="2506"/>
        <v>0.43086419753086419</v>
      </c>
      <c r="I276" s="11">
        <v>9</v>
      </c>
      <c r="J276" s="12">
        <f t="shared" si="2507"/>
        <v>2.5787965616045846E-2</v>
      </c>
      <c r="K276" s="13"/>
      <c r="L276" s="11"/>
      <c r="M276" s="11"/>
      <c r="N276" s="14"/>
      <c r="O276" s="10"/>
      <c r="P276" s="11"/>
      <c r="Q276" s="69">
        <f t="shared" ref="Q276:Q281" si="2558">Q275-O276</f>
        <v>745</v>
      </c>
      <c r="R276" s="69">
        <f t="shared" ref="R276:R281" si="2559">R275-P276</f>
        <v>59</v>
      </c>
      <c r="S276" s="11">
        <v>304</v>
      </c>
      <c r="T276" s="12">
        <f t="shared" si="2508"/>
        <v>0.42818791946308726</v>
      </c>
      <c r="U276" s="11">
        <v>15</v>
      </c>
      <c r="V276" s="12">
        <f t="shared" si="2509"/>
        <v>4.7021943573667714E-2</v>
      </c>
      <c r="W276" s="13"/>
      <c r="X276" s="11"/>
      <c r="Y276" s="11"/>
      <c r="Z276" s="14"/>
      <c r="AA276" s="10"/>
      <c r="AB276" s="11"/>
      <c r="AC276" s="69">
        <f t="shared" ref="AC276:AC281" si="2560">AC275-AA276</f>
        <v>155</v>
      </c>
      <c r="AD276" s="69">
        <f t="shared" ref="AD276:AD281" si="2561">AD275-AB276</f>
        <v>13</v>
      </c>
      <c r="AE276" s="11">
        <v>66</v>
      </c>
      <c r="AF276" s="12">
        <f t="shared" si="2510"/>
        <v>0.43225806451612903</v>
      </c>
      <c r="AG276" s="11">
        <v>1</v>
      </c>
      <c r="AH276" s="12">
        <f t="shared" si="2511"/>
        <v>1.4925373134328358E-2</v>
      </c>
      <c r="AI276" s="13"/>
      <c r="AJ276" s="11"/>
      <c r="AK276" s="11"/>
      <c r="AL276" s="14"/>
      <c r="AM276" s="10"/>
      <c r="AN276" s="11"/>
      <c r="AO276" s="69">
        <f t="shared" ref="AO276:AO281" si="2562">AO275-AM276</f>
        <v>749</v>
      </c>
      <c r="AP276" s="69">
        <f t="shared" ref="AP276:AP281" si="2563">AP275-AN276</f>
        <v>61</v>
      </c>
      <c r="AQ276" s="11">
        <v>349</v>
      </c>
      <c r="AR276" s="12">
        <f t="shared" si="2512"/>
        <v>0.47263017356475301</v>
      </c>
      <c r="AS276" s="11">
        <v>5</v>
      </c>
      <c r="AT276" s="12">
        <f t="shared" si="2513"/>
        <v>1.4124293785310734E-2</v>
      </c>
      <c r="AU276" s="13"/>
      <c r="AV276" s="11"/>
      <c r="AW276" s="11"/>
      <c r="AX276" s="14"/>
      <c r="AY276" s="10"/>
      <c r="AZ276" s="11"/>
      <c r="BA276" s="69">
        <f t="shared" ref="BA276:BA281" si="2564">BA275-AY276</f>
        <v>745</v>
      </c>
      <c r="BB276" s="69">
        <f t="shared" ref="BB276:BB281" si="2565">BB275-AZ276</f>
        <v>60</v>
      </c>
      <c r="BC276" s="11">
        <v>342</v>
      </c>
      <c r="BD276" s="12">
        <f t="shared" si="2514"/>
        <v>0.46308724832214765</v>
      </c>
      <c r="BE276" s="11">
        <v>3</v>
      </c>
      <c r="BF276" s="12">
        <f t="shared" si="2515"/>
        <v>8.6956521739130436E-3</v>
      </c>
      <c r="BG276" s="13"/>
      <c r="BH276" s="11"/>
      <c r="BI276" s="11"/>
      <c r="BJ276" s="14"/>
      <c r="BK276" s="10"/>
      <c r="BL276" s="11"/>
      <c r="BM276" s="69">
        <f t="shared" ref="BM276:BM281" si="2566">BM275-BK276</f>
        <v>799</v>
      </c>
      <c r="BN276" s="69">
        <f t="shared" ref="BN276:BN281" si="2567">BN275-BL276</f>
        <v>62</v>
      </c>
      <c r="BO276" s="11">
        <v>333</v>
      </c>
      <c r="BP276" s="12">
        <f t="shared" si="2516"/>
        <v>0.43929912390488113</v>
      </c>
      <c r="BQ276" s="11">
        <v>18</v>
      </c>
      <c r="BR276" s="12">
        <f t="shared" si="2517"/>
        <v>5.128205128205128E-2</v>
      </c>
      <c r="BS276" s="13"/>
      <c r="BT276" s="11"/>
      <c r="BU276" s="11"/>
      <c r="BV276" s="14"/>
      <c r="BW276" s="10"/>
      <c r="BX276" s="11"/>
      <c r="BY276" s="69">
        <f t="shared" ref="BY276:BY281" si="2568">BY275-BW276</f>
        <v>737</v>
      </c>
      <c r="BZ276" s="69">
        <f t="shared" ref="BZ276:BZ281" si="2569">BZ275-BX276</f>
        <v>59</v>
      </c>
      <c r="CA276" s="11">
        <v>290</v>
      </c>
      <c r="CB276" s="12">
        <f t="shared" si="2518"/>
        <v>0.41926729986431477</v>
      </c>
      <c r="CC276" s="11">
        <v>19</v>
      </c>
      <c r="CD276" s="12">
        <f t="shared" si="2519"/>
        <v>6.1488673139158574E-2</v>
      </c>
      <c r="CE276" s="13"/>
      <c r="CF276" s="11"/>
      <c r="CG276" s="11"/>
      <c r="CH276" s="14"/>
      <c r="CI276" s="10">
        <v>1</v>
      </c>
      <c r="CJ276" s="11"/>
      <c r="CK276" s="69">
        <f t="shared" ref="CK276:CK281" si="2570">CK275-CI276</f>
        <v>126</v>
      </c>
      <c r="CL276" s="69">
        <f t="shared" ref="CL276:CL281" si="2571">CL275-CJ276</f>
        <v>12</v>
      </c>
      <c r="CM276" s="11">
        <v>55</v>
      </c>
      <c r="CN276" s="12">
        <f t="shared" si="2520"/>
        <v>0.50793650793650791</v>
      </c>
      <c r="CO276" s="11">
        <v>9</v>
      </c>
      <c r="CP276" s="12">
        <f t="shared" si="2521"/>
        <v>0.140625</v>
      </c>
      <c r="CQ276" s="13"/>
      <c r="CR276" s="11"/>
      <c r="CS276" s="11"/>
      <c r="CT276" s="14"/>
      <c r="CU276" s="10">
        <v>1</v>
      </c>
      <c r="CV276" s="11"/>
      <c r="CW276" s="69">
        <f t="shared" ref="CW276:CW281" si="2572">CW275-CU276</f>
        <v>730</v>
      </c>
      <c r="CX276" s="69">
        <f t="shared" ref="CX276:CX281" si="2573">CX275-CV276</f>
        <v>59</v>
      </c>
      <c r="CY276" s="11">
        <v>315</v>
      </c>
      <c r="CZ276" s="12">
        <f t="shared" si="2522"/>
        <v>0.45205479452054792</v>
      </c>
      <c r="DA276" s="11">
        <v>15</v>
      </c>
      <c r="DB276" s="12">
        <f t="shared" si="2523"/>
        <v>4.5454545454545456E-2</v>
      </c>
      <c r="DC276" s="13"/>
      <c r="DD276" s="11"/>
      <c r="DE276" s="11"/>
      <c r="DF276" s="14"/>
      <c r="DG276" s="10"/>
      <c r="DH276" s="11"/>
      <c r="DI276" s="69">
        <f t="shared" ref="DI276:DI281" si="2574">DI275-DG276</f>
        <v>725</v>
      </c>
      <c r="DJ276" s="69">
        <f t="shared" ref="DJ276:DJ281" si="2575">DJ275-DH276</f>
        <v>59</v>
      </c>
      <c r="DK276" s="11">
        <v>351</v>
      </c>
      <c r="DL276" s="12">
        <f t="shared" si="2524"/>
        <v>0.50482758620689661</v>
      </c>
      <c r="DM276" s="11">
        <v>15</v>
      </c>
      <c r="DN276" s="12">
        <f t="shared" si="2525"/>
        <v>4.0983606557377046E-2</v>
      </c>
      <c r="DO276" s="13"/>
      <c r="DP276" s="11"/>
      <c r="DQ276" s="11"/>
      <c r="DR276" s="14"/>
      <c r="DS276" s="10"/>
      <c r="DT276" s="11"/>
      <c r="DU276" s="69">
        <f t="shared" ref="DU276:DU281" si="2576">DU275-DS276</f>
        <v>817</v>
      </c>
      <c r="DV276" s="69">
        <f t="shared" ref="DV276:DV281" si="2577">DV275-DT276</f>
        <v>65</v>
      </c>
      <c r="DW276" s="11">
        <v>345</v>
      </c>
      <c r="DX276" s="12">
        <f t="shared" si="2526"/>
        <v>0.45532435740514077</v>
      </c>
      <c r="DY276" s="11">
        <v>27</v>
      </c>
      <c r="DZ276" s="12">
        <f t="shared" si="2527"/>
        <v>7.2580645161290328E-2</v>
      </c>
      <c r="EA276" s="13"/>
      <c r="EB276" s="11"/>
      <c r="EC276" s="11"/>
      <c r="ED276" s="14"/>
      <c r="EE276" s="10"/>
      <c r="EF276" s="11"/>
      <c r="EG276" s="69">
        <f t="shared" ref="EG276:EG281" si="2578">EG275-EE276</f>
        <v>842</v>
      </c>
      <c r="EH276" s="69">
        <f t="shared" ref="EH276:EH281" si="2579">EH275-EF276</f>
        <v>67</v>
      </c>
      <c r="EI276" s="11">
        <v>399</v>
      </c>
      <c r="EJ276" s="12">
        <f t="shared" si="2528"/>
        <v>0.48931116389548696</v>
      </c>
      <c r="EK276" s="11">
        <v>13</v>
      </c>
      <c r="EL276" s="12">
        <f t="shared" si="2529"/>
        <v>3.1553398058252427E-2</v>
      </c>
      <c r="EM276" s="13"/>
      <c r="EN276" s="11"/>
      <c r="EO276" s="11"/>
      <c r="EP276" s="14"/>
      <c r="EQ276" s="10"/>
      <c r="ER276" s="11"/>
      <c r="ES276" s="69">
        <f t="shared" ref="ES276:ES281" si="2580">ES275-EQ276</f>
        <v>162</v>
      </c>
      <c r="ET276" s="69">
        <f t="shared" ref="ET276:ET281" si="2581">ET275-ER276</f>
        <v>14</v>
      </c>
      <c r="EU276" s="11">
        <v>59</v>
      </c>
      <c r="EV276" s="12">
        <f t="shared" si="2530"/>
        <v>0.46296296296296297</v>
      </c>
      <c r="EW276" s="11">
        <v>16</v>
      </c>
      <c r="EX276" s="12">
        <f t="shared" si="2531"/>
        <v>0.21333333333333335</v>
      </c>
      <c r="EY276" s="13"/>
      <c r="EZ276" s="11"/>
      <c r="FA276" s="11"/>
      <c r="FB276" s="14"/>
      <c r="FC276" s="10"/>
      <c r="FD276" s="11"/>
      <c r="FE276" s="69">
        <f t="shared" ref="FE276:FE281" si="2582">FE275-FC276</f>
        <v>846</v>
      </c>
      <c r="FF276" s="69">
        <f t="shared" ref="FF276:FF281" si="2583">FF275-FD276</f>
        <v>67</v>
      </c>
      <c r="FG276" s="11">
        <v>404</v>
      </c>
      <c r="FH276" s="12">
        <f t="shared" si="2532"/>
        <v>0.49054373522458627</v>
      </c>
      <c r="FI276" s="11">
        <v>11</v>
      </c>
      <c r="FJ276" s="12">
        <f t="shared" si="2533"/>
        <v>2.6506024096385541E-2</v>
      </c>
      <c r="FK276" s="13"/>
      <c r="FL276" s="11"/>
      <c r="FM276" s="11"/>
      <c r="FN276" s="14"/>
      <c r="FO276" s="10"/>
      <c r="FP276" s="11"/>
      <c r="FQ276" s="69">
        <f t="shared" ref="FQ276:FQ281" si="2584">FQ275-FO276</f>
        <v>860</v>
      </c>
      <c r="FR276" s="69">
        <f t="shared" ref="FR276:FR281" si="2585">FR275-FP276</f>
        <v>70</v>
      </c>
      <c r="FS276" s="11">
        <v>367</v>
      </c>
      <c r="FT276" s="12">
        <f t="shared" si="2534"/>
        <v>0.45465116279069767</v>
      </c>
      <c r="FU276" s="11">
        <v>24</v>
      </c>
      <c r="FV276" s="12">
        <f t="shared" si="2535"/>
        <v>6.1381074168797956E-2</v>
      </c>
      <c r="FW276" s="13"/>
      <c r="FX276" s="11"/>
      <c r="FY276" s="11"/>
      <c r="FZ276" s="14"/>
      <c r="GA276" s="10"/>
      <c r="GB276" s="11"/>
      <c r="GC276" s="69">
        <f t="shared" ref="GC276:GC281" si="2586">GC275-GA276</f>
        <v>869</v>
      </c>
      <c r="GD276" s="69">
        <f t="shared" ref="GD276:GD281" si="2587">GD275-GB276</f>
        <v>71</v>
      </c>
      <c r="GE276" s="11">
        <v>400</v>
      </c>
      <c r="GF276" s="12">
        <f t="shared" si="2536"/>
        <v>0.48446490218642119</v>
      </c>
      <c r="GG276" s="11">
        <v>21</v>
      </c>
      <c r="GH276" s="12">
        <f t="shared" si="2537"/>
        <v>4.9881235154394299E-2</v>
      </c>
      <c r="GI276" s="13"/>
      <c r="GJ276" s="11"/>
      <c r="GK276" s="11"/>
      <c r="GL276" s="14"/>
      <c r="GM276" s="10"/>
      <c r="GN276" s="11"/>
      <c r="GO276" s="69">
        <f t="shared" ref="GO276:GO281" si="2588">GO275-GM276</f>
        <v>138</v>
      </c>
      <c r="GP276" s="69">
        <f t="shared" ref="GP276:GP281" si="2589">GP275-GN276</f>
        <v>12</v>
      </c>
      <c r="GQ276" s="11">
        <v>43</v>
      </c>
      <c r="GR276" s="12">
        <f t="shared" si="2538"/>
        <v>0.34782608695652173</v>
      </c>
      <c r="GS276" s="11">
        <v>5</v>
      </c>
      <c r="GT276" s="12">
        <f t="shared" si="2539"/>
        <v>0.10416666666666667</v>
      </c>
      <c r="GU276" s="13"/>
      <c r="GV276" s="11"/>
      <c r="GW276" s="11"/>
      <c r="GX276" s="14"/>
      <c r="GY276" s="10"/>
      <c r="GZ276" s="11"/>
      <c r="HA276" s="69">
        <f t="shared" ref="HA276:HA281" si="2590">HA275-GY276</f>
        <v>896</v>
      </c>
      <c r="HB276" s="69">
        <f t="shared" ref="HB276:HB281" si="2591">HB275-GZ276</f>
        <v>72</v>
      </c>
      <c r="HC276" s="11">
        <v>427</v>
      </c>
      <c r="HD276" s="12">
        <f t="shared" si="2540"/>
        <v>0.5022321428571429</v>
      </c>
      <c r="HE276" s="11">
        <v>23</v>
      </c>
      <c r="HF276" s="12">
        <f t="shared" si="2541"/>
        <v>5.1111111111111114E-2</v>
      </c>
      <c r="HG276" s="13"/>
      <c r="HH276" s="11"/>
      <c r="HI276" s="11"/>
      <c r="HJ276" s="14"/>
      <c r="HK276" s="10">
        <f t="shared" si="2542"/>
        <v>3</v>
      </c>
      <c r="HL276" s="11">
        <f t="shared" si="2543"/>
        <v>0</v>
      </c>
      <c r="HM276" s="11">
        <f t="shared" si="2544"/>
        <v>11751</v>
      </c>
      <c r="HN276" s="11">
        <f t="shared" si="2545"/>
        <v>946</v>
      </c>
      <c r="HO276" s="11">
        <f t="shared" si="2546"/>
        <v>5438</v>
      </c>
      <c r="HP276" s="95">
        <f t="shared" si="2547"/>
        <v>0.46276912603182707</v>
      </c>
      <c r="HQ276" s="15">
        <f t="shared" si="2548"/>
        <v>249</v>
      </c>
      <c r="HR276" s="12">
        <f t="shared" si="2549"/>
        <v>4.578889297535859E-2</v>
      </c>
      <c r="HS276" s="16">
        <v>67.5</v>
      </c>
      <c r="HT276" s="17">
        <v>5091</v>
      </c>
      <c r="HU276" s="16">
        <f t="shared" si="2550"/>
        <v>93.618977565281355</v>
      </c>
      <c r="HV276" s="15"/>
      <c r="HW276" s="14"/>
      <c r="HX276" s="73">
        <f t="shared" si="2551"/>
        <v>0.44756554307116103</v>
      </c>
      <c r="HY276" s="73">
        <f t="shared" si="2552"/>
        <v>0.45556624959897335</v>
      </c>
      <c r="HZ276" s="73">
        <f t="shared" si="2553"/>
        <v>0.47769028871391078</v>
      </c>
      <c r="IA276" s="73">
        <f t="shared" si="2554"/>
        <v>0.47412233079985522</v>
      </c>
    </row>
    <row r="277" spans="1:244" x14ac:dyDescent="0.25">
      <c r="A277" s="374"/>
      <c r="B277" s="41">
        <f t="shared" si="2555"/>
        <v>45153</v>
      </c>
      <c r="C277" s="10"/>
      <c r="D277" s="11"/>
      <c r="E277" s="69">
        <f t="shared" si="2556"/>
        <v>810</v>
      </c>
      <c r="F277" s="69">
        <f t="shared" si="2557"/>
        <v>64</v>
      </c>
      <c r="G277" s="11">
        <v>385</v>
      </c>
      <c r="H277" s="12">
        <f t="shared" si="2506"/>
        <v>0.49135802469135803</v>
      </c>
      <c r="I277" s="11">
        <v>13</v>
      </c>
      <c r="J277" s="12">
        <f t="shared" si="2507"/>
        <v>3.2663316582914576E-2</v>
      </c>
      <c r="K277" s="13"/>
      <c r="L277" s="11"/>
      <c r="M277" s="11"/>
      <c r="N277" s="14"/>
      <c r="O277" s="10"/>
      <c r="P277" s="11"/>
      <c r="Q277" s="69">
        <f t="shared" si="2558"/>
        <v>745</v>
      </c>
      <c r="R277" s="69">
        <f t="shared" si="2559"/>
        <v>59</v>
      </c>
      <c r="S277" s="11">
        <v>349</v>
      </c>
      <c r="T277" s="12">
        <f t="shared" si="2508"/>
        <v>0.48724832214765101</v>
      </c>
      <c r="U277" s="11">
        <v>14</v>
      </c>
      <c r="V277" s="12">
        <f t="shared" si="2509"/>
        <v>3.8567493112947659E-2</v>
      </c>
      <c r="W277" s="13"/>
      <c r="X277" s="11"/>
      <c r="Y277" s="11"/>
      <c r="Z277" s="14"/>
      <c r="AA277" s="10"/>
      <c r="AB277" s="11"/>
      <c r="AC277" s="69">
        <f t="shared" si="2560"/>
        <v>155</v>
      </c>
      <c r="AD277" s="69">
        <f t="shared" si="2561"/>
        <v>13</v>
      </c>
      <c r="AE277" s="11">
        <v>71</v>
      </c>
      <c r="AF277" s="12">
        <f t="shared" si="2510"/>
        <v>0.47096774193548385</v>
      </c>
      <c r="AG277" s="11">
        <v>2</v>
      </c>
      <c r="AH277" s="12">
        <f t="shared" si="2511"/>
        <v>2.7397260273972601E-2</v>
      </c>
      <c r="AI277" s="13"/>
      <c r="AJ277" s="11"/>
      <c r="AK277" s="11"/>
      <c r="AL277" s="14"/>
      <c r="AM277" s="10"/>
      <c r="AN277" s="11"/>
      <c r="AO277" s="69">
        <f t="shared" si="2562"/>
        <v>749</v>
      </c>
      <c r="AP277" s="69">
        <f t="shared" si="2563"/>
        <v>61</v>
      </c>
      <c r="AQ277" s="11">
        <v>343</v>
      </c>
      <c r="AR277" s="12">
        <f t="shared" si="2512"/>
        <v>0.4712950600801068</v>
      </c>
      <c r="AS277" s="11">
        <v>10</v>
      </c>
      <c r="AT277" s="12">
        <f t="shared" si="2513"/>
        <v>2.8328611898016998E-2</v>
      </c>
      <c r="AU277" s="13"/>
      <c r="AV277" s="11"/>
      <c r="AW277" s="11"/>
      <c r="AX277" s="14"/>
      <c r="AY277" s="10"/>
      <c r="AZ277" s="11"/>
      <c r="BA277" s="69">
        <f t="shared" si="2564"/>
        <v>745</v>
      </c>
      <c r="BB277" s="69">
        <f t="shared" si="2565"/>
        <v>60</v>
      </c>
      <c r="BC277" s="11">
        <v>389</v>
      </c>
      <c r="BD277" s="12">
        <f t="shared" si="2514"/>
        <v>0.53422818791946314</v>
      </c>
      <c r="BE277" s="11">
        <v>9</v>
      </c>
      <c r="BF277" s="12">
        <f t="shared" si="2515"/>
        <v>2.2613065326633167E-2</v>
      </c>
      <c r="BG277" s="13"/>
      <c r="BH277" s="11"/>
      <c r="BI277" s="11"/>
      <c r="BJ277" s="14"/>
      <c r="BK277" s="10"/>
      <c r="BL277" s="11"/>
      <c r="BM277" s="69">
        <f t="shared" si="2566"/>
        <v>799</v>
      </c>
      <c r="BN277" s="69">
        <f t="shared" si="2567"/>
        <v>62</v>
      </c>
      <c r="BO277" s="11">
        <v>392</v>
      </c>
      <c r="BP277" s="12">
        <f t="shared" si="2516"/>
        <v>0.51188986232790989</v>
      </c>
      <c r="BQ277" s="11">
        <v>17</v>
      </c>
      <c r="BR277" s="12">
        <f t="shared" si="2517"/>
        <v>4.1564792176039117E-2</v>
      </c>
      <c r="BS277" s="13"/>
      <c r="BT277" s="11"/>
      <c r="BU277" s="11"/>
      <c r="BV277" s="14"/>
      <c r="BW277" s="10">
        <v>1</v>
      </c>
      <c r="BX277" s="11"/>
      <c r="BY277" s="69">
        <f t="shared" si="2568"/>
        <v>736</v>
      </c>
      <c r="BZ277" s="69">
        <f t="shared" si="2569"/>
        <v>59</v>
      </c>
      <c r="CA277" s="11">
        <v>347</v>
      </c>
      <c r="CB277" s="12">
        <f t="shared" si="2518"/>
        <v>0.48233695652173914</v>
      </c>
      <c r="CC277" s="11">
        <v>8</v>
      </c>
      <c r="CD277" s="12">
        <f t="shared" si="2519"/>
        <v>2.2535211267605635E-2</v>
      </c>
      <c r="CE277" s="13"/>
      <c r="CF277" s="11"/>
      <c r="CG277" s="11"/>
      <c r="CH277" s="14"/>
      <c r="CI277" s="10"/>
      <c r="CJ277" s="11"/>
      <c r="CK277" s="69">
        <f t="shared" si="2570"/>
        <v>126</v>
      </c>
      <c r="CL277" s="69">
        <f t="shared" si="2571"/>
        <v>12</v>
      </c>
      <c r="CM277" s="11">
        <v>64</v>
      </c>
      <c r="CN277" s="12">
        <f t="shared" si="2520"/>
        <v>0.53174603174603174</v>
      </c>
      <c r="CO277" s="11">
        <v>3</v>
      </c>
      <c r="CP277" s="12">
        <f t="shared" si="2521"/>
        <v>4.4776119402985072E-2</v>
      </c>
      <c r="CQ277" s="13"/>
      <c r="CR277" s="11"/>
      <c r="CS277" s="11"/>
      <c r="CT277" s="14"/>
      <c r="CU277" s="10">
        <v>1</v>
      </c>
      <c r="CV277" s="11"/>
      <c r="CW277" s="69">
        <f t="shared" si="2572"/>
        <v>729</v>
      </c>
      <c r="CX277" s="69">
        <f t="shared" si="2573"/>
        <v>59</v>
      </c>
      <c r="CY277" s="11">
        <v>331</v>
      </c>
      <c r="CZ277" s="12">
        <f t="shared" si="2522"/>
        <v>0.46227709190672156</v>
      </c>
      <c r="DA277" s="11">
        <v>6</v>
      </c>
      <c r="DB277" s="12">
        <f t="shared" si="2523"/>
        <v>1.7804154302670624E-2</v>
      </c>
      <c r="DC277" s="13"/>
      <c r="DD277" s="11"/>
      <c r="DE277" s="11"/>
      <c r="DF277" s="14"/>
      <c r="DG277" s="10"/>
      <c r="DH277" s="11"/>
      <c r="DI277" s="69">
        <f t="shared" si="2574"/>
        <v>725</v>
      </c>
      <c r="DJ277" s="69">
        <f t="shared" si="2575"/>
        <v>59</v>
      </c>
      <c r="DK277" s="11">
        <v>368</v>
      </c>
      <c r="DL277" s="12">
        <f t="shared" si="2524"/>
        <v>0.52</v>
      </c>
      <c r="DM277" s="11">
        <v>9</v>
      </c>
      <c r="DN277" s="12">
        <f t="shared" si="2525"/>
        <v>2.3872679045092837E-2</v>
      </c>
      <c r="DO277" s="13"/>
      <c r="DP277" s="11"/>
      <c r="DQ277" s="11"/>
      <c r="DR277" s="14"/>
      <c r="DS277" s="10">
        <v>1</v>
      </c>
      <c r="DT277" s="11"/>
      <c r="DU277" s="69">
        <f t="shared" si="2576"/>
        <v>816</v>
      </c>
      <c r="DV277" s="69">
        <f t="shared" si="2577"/>
        <v>65</v>
      </c>
      <c r="DW277" s="11">
        <v>357</v>
      </c>
      <c r="DX277" s="12">
        <f t="shared" si="2526"/>
        <v>0.45710784313725489</v>
      </c>
      <c r="DY277" s="11">
        <v>16</v>
      </c>
      <c r="DZ277" s="12">
        <f t="shared" si="2527"/>
        <v>4.2895442359249331E-2</v>
      </c>
      <c r="EA277" s="13"/>
      <c r="EB277" s="11"/>
      <c r="EC277" s="11"/>
      <c r="ED277" s="14"/>
      <c r="EE277" s="10"/>
      <c r="EF277" s="11"/>
      <c r="EG277" s="69">
        <f t="shared" si="2578"/>
        <v>842</v>
      </c>
      <c r="EH277" s="69">
        <f t="shared" si="2579"/>
        <v>67</v>
      </c>
      <c r="EI277" s="11">
        <v>388</v>
      </c>
      <c r="EJ277" s="12">
        <f t="shared" si="2528"/>
        <v>0.47624703087885983</v>
      </c>
      <c r="EK277" s="11">
        <v>13</v>
      </c>
      <c r="EL277" s="12">
        <f t="shared" si="2529"/>
        <v>3.2418952618453865E-2</v>
      </c>
      <c r="EM277" s="13"/>
      <c r="EN277" s="11"/>
      <c r="EO277" s="11"/>
      <c r="EP277" s="14"/>
      <c r="EQ277" s="10">
        <v>1</v>
      </c>
      <c r="ER277" s="11"/>
      <c r="ES277" s="69">
        <f t="shared" si="2580"/>
        <v>161</v>
      </c>
      <c r="ET277" s="69">
        <f t="shared" si="2581"/>
        <v>14</v>
      </c>
      <c r="EU277" s="11">
        <v>66</v>
      </c>
      <c r="EV277" s="12">
        <f t="shared" si="2530"/>
        <v>0.42857142857142855</v>
      </c>
      <c r="EW277" s="11">
        <v>3</v>
      </c>
      <c r="EX277" s="12">
        <f t="shared" si="2531"/>
        <v>4.3478260869565216E-2</v>
      </c>
      <c r="EY277" s="13"/>
      <c r="EZ277" s="11"/>
      <c r="FA277" s="11"/>
      <c r="FB277" s="14"/>
      <c r="FC277" s="10">
        <v>1</v>
      </c>
      <c r="FD277" s="11"/>
      <c r="FE277" s="69">
        <f t="shared" si="2582"/>
        <v>845</v>
      </c>
      <c r="FF277" s="69">
        <f t="shared" si="2583"/>
        <v>67</v>
      </c>
      <c r="FG277" s="11">
        <v>402</v>
      </c>
      <c r="FH277" s="12">
        <f t="shared" si="2532"/>
        <v>0.4958579881656805</v>
      </c>
      <c r="FI277" s="11">
        <v>17</v>
      </c>
      <c r="FJ277" s="12">
        <f t="shared" si="2533"/>
        <v>4.0572792362768499E-2</v>
      </c>
      <c r="FK277" s="13"/>
      <c r="FL277" s="11"/>
      <c r="FM277" s="11"/>
      <c r="FN277" s="14"/>
      <c r="FO277" s="10">
        <v>1</v>
      </c>
      <c r="FP277" s="11"/>
      <c r="FQ277" s="69">
        <f t="shared" si="2584"/>
        <v>859</v>
      </c>
      <c r="FR277" s="69">
        <f t="shared" si="2585"/>
        <v>70</v>
      </c>
      <c r="FS277" s="11">
        <v>419</v>
      </c>
      <c r="FT277" s="12">
        <f t="shared" si="2534"/>
        <v>0.50989522700814904</v>
      </c>
      <c r="FU277" s="11">
        <v>19</v>
      </c>
      <c r="FV277" s="12">
        <f t="shared" si="2535"/>
        <v>4.3378995433789952E-2</v>
      </c>
      <c r="FW277" s="13"/>
      <c r="FX277" s="11"/>
      <c r="FY277" s="11"/>
      <c r="FZ277" s="14"/>
      <c r="GA277" s="10">
        <v>1</v>
      </c>
      <c r="GB277" s="11"/>
      <c r="GC277" s="69">
        <f t="shared" si="2586"/>
        <v>868</v>
      </c>
      <c r="GD277" s="69">
        <f t="shared" si="2587"/>
        <v>71</v>
      </c>
      <c r="GE277" s="11">
        <v>414</v>
      </c>
      <c r="GF277" s="12">
        <f t="shared" si="2536"/>
        <v>0.5</v>
      </c>
      <c r="GG277" s="11">
        <v>20</v>
      </c>
      <c r="GH277" s="12">
        <f t="shared" si="2537"/>
        <v>4.6082949308755762E-2</v>
      </c>
      <c r="GI277" s="13"/>
      <c r="GJ277" s="11"/>
      <c r="GK277" s="11"/>
      <c r="GL277" s="14"/>
      <c r="GM277" s="10">
        <v>1</v>
      </c>
      <c r="GN277" s="11"/>
      <c r="GO277" s="69">
        <f t="shared" si="2588"/>
        <v>137</v>
      </c>
      <c r="GP277" s="69">
        <f t="shared" si="2589"/>
        <v>12</v>
      </c>
      <c r="GQ277" s="11">
        <v>57</v>
      </c>
      <c r="GR277" s="12">
        <f t="shared" si="2538"/>
        <v>0.44525547445255476</v>
      </c>
      <c r="GS277" s="11">
        <v>4</v>
      </c>
      <c r="GT277" s="12">
        <f t="shared" si="2539"/>
        <v>6.5573770491803282E-2</v>
      </c>
      <c r="GU277" s="13"/>
      <c r="GV277" s="11"/>
      <c r="GW277" s="11"/>
      <c r="GX277" s="14"/>
      <c r="GY277" s="10"/>
      <c r="GZ277" s="11"/>
      <c r="HA277" s="69">
        <f t="shared" si="2590"/>
        <v>896</v>
      </c>
      <c r="HB277" s="69">
        <f t="shared" si="2591"/>
        <v>72</v>
      </c>
      <c r="HC277" s="11">
        <v>444</v>
      </c>
      <c r="HD277" s="12">
        <f t="shared" si="2540"/>
        <v>0.5111607142857143</v>
      </c>
      <c r="HE277" s="11">
        <v>14</v>
      </c>
      <c r="HF277" s="12">
        <f t="shared" si="2541"/>
        <v>3.0567685589519649E-2</v>
      </c>
      <c r="HG277" s="13"/>
      <c r="HH277" s="11"/>
      <c r="HI277" s="11"/>
      <c r="HJ277" s="14"/>
      <c r="HK277" s="10">
        <f t="shared" si="2542"/>
        <v>8</v>
      </c>
      <c r="HL277" s="11">
        <f t="shared" si="2543"/>
        <v>0</v>
      </c>
      <c r="HM277" s="11">
        <f t="shared" si="2544"/>
        <v>11743</v>
      </c>
      <c r="HN277" s="11">
        <f t="shared" si="2545"/>
        <v>946</v>
      </c>
      <c r="HO277" s="11">
        <f t="shared" si="2546"/>
        <v>5783</v>
      </c>
      <c r="HP277" s="95">
        <f t="shared" si="2547"/>
        <v>0.49246359533339013</v>
      </c>
      <c r="HQ277" s="15">
        <f t="shared" si="2548"/>
        <v>197</v>
      </c>
      <c r="HR277" s="12">
        <f t="shared" si="2549"/>
        <v>3.4065363997924952E-2</v>
      </c>
      <c r="HS277" s="16">
        <v>67.599999999999994</v>
      </c>
      <c r="HT277" s="17">
        <v>5464</v>
      </c>
      <c r="HU277" s="16">
        <f t="shared" si="2550"/>
        <v>94.483831921148195</v>
      </c>
      <c r="HV277" s="15"/>
      <c r="HW277" s="14"/>
      <c r="HX277" s="73">
        <f t="shared" si="2551"/>
        <v>0.49469413233458176</v>
      </c>
      <c r="HY277" s="73">
        <f t="shared" si="2552"/>
        <v>0.4959871589085072</v>
      </c>
      <c r="HZ277" s="73">
        <f t="shared" si="2553"/>
        <v>0.47372372372372373</v>
      </c>
      <c r="IA277" s="73">
        <f t="shared" si="2554"/>
        <v>0.50398550724637681</v>
      </c>
    </row>
    <row r="278" spans="1:244" x14ac:dyDescent="0.25">
      <c r="A278" s="374"/>
      <c r="B278" s="41">
        <f t="shared" si="2555"/>
        <v>45154</v>
      </c>
      <c r="C278" s="10">
        <v>1</v>
      </c>
      <c r="D278" s="11"/>
      <c r="E278" s="69">
        <f t="shared" si="2556"/>
        <v>809</v>
      </c>
      <c r="F278" s="69">
        <f t="shared" si="2557"/>
        <v>64</v>
      </c>
      <c r="G278" s="11">
        <v>392</v>
      </c>
      <c r="H278" s="12">
        <f t="shared" si="2506"/>
        <v>0.48702101359703337</v>
      </c>
      <c r="I278" s="11">
        <v>2</v>
      </c>
      <c r="J278" s="12">
        <f t="shared" si="2507"/>
        <v>5.076142131979695E-3</v>
      </c>
      <c r="K278" s="11"/>
      <c r="L278" s="11"/>
      <c r="M278" s="18"/>
      <c r="N278" s="20"/>
      <c r="O278" s="10"/>
      <c r="P278" s="11"/>
      <c r="Q278" s="69">
        <f t="shared" si="2558"/>
        <v>745</v>
      </c>
      <c r="R278" s="69">
        <f t="shared" si="2559"/>
        <v>59</v>
      </c>
      <c r="S278" s="11">
        <v>354</v>
      </c>
      <c r="T278" s="12">
        <f t="shared" si="2508"/>
        <v>0.48859060402684562</v>
      </c>
      <c r="U278" s="11">
        <v>10</v>
      </c>
      <c r="V278" s="12">
        <f t="shared" si="2509"/>
        <v>2.7472527472527472E-2</v>
      </c>
      <c r="W278" s="11"/>
      <c r="X278" s="11"/>
      <c r="Y278" s="18"/>
      <c r="Z278" s="20"/>
      <c r="AA278" s="10"/>
      <c r="AB278" s="11"/>
      <c r="AC278" s="69">
        <f t="shared" si="2560"/>
        <v>155</v>
      </c>
      <c r="AD278" s="69">
        <f t="shared" si="2561"/>
        <v>13</v>
      </c>
      <c r="AE278" s="11">
        <v>64</v>
      </c>
      <c r="AF278" s="12">
        <f t="shared" si="2510"/>
        <v>0.43225806451612903</v>
      </c>
      <c r="AG278" s="11">
        <v>3</v>
      </c>
      <c r="AH278" s="12">
        <f t="shared" si="2511"/>
        <v>4.4776119402985072E-2</v>
      </c>
      <c r="AI278" s="11"/>
      <c r="AJ278" s="11"/>
      <c r="AK278" s="18"/>
      <c r="AL278" s="20"/>
      <c r="AM278" s="10"/>
      <c r="AN278" s="11"/>
      <c r="AO278" s="69">
        <f t="shared" si="2562"/>
        <v>749</v>
      </c>
      <c r="AP278" s="69">
        <f t="shared" si="2563"/>
        <v>61</v>
      </c>
      <c r="AQ278" s="11">
        <v>361</v>
      </c>
      <c r="AR278" s="12">
        <f t="shared" si="2512"/>
        <v>0.50333778371161553</v>
      </c>
      <c r="AS278" s="11">
        <v>16</v>
      </c>
      <c r="AT278" s="12">
        <f t="shared" si="2513"/>
        <v>4.2440318302387266E-2</v>
      </c>
      <c r="AU278" s="11"/>
      <c r="AV278" s="11"/>
      <c r="AW278" s="18"/>
      <c r="AX278" s="20"/>
      <c r="AY278" s="10"/>
      <c r="AZ278" s="11"/>
      <c r="BA278" s="69">
        <f t="shared" si="2564"/>
        <v>745</v>
      </c>
      <c r="BB278" s="69">
        <f t="shared" si="2565"/>
        <v>60</v>
      </c>
      <c r="BC278" s="11">
        <v>346</v>
      </c>
      <c r="BD278" s="12">
        <f t="shared" si="2514"/>
        <v>0.48456375838926175</v>
      </c>
      <c r="BE278" s="11">
        <v>15</v>
      </c>
      <c r="BF278" s="12">
        <f t="shared" si="2515"/>
        <v>4.1551246537396121E-2</v>
      </c>
      <c r="BG278" s="11"/>
      <c r="BH278" s="11"/>
      <c r="BI278" s="18"/>
      <c r="BJ278" s="20"/>
      <c r="BK278" s="10"/>
      <c r="BL278" s="11"/>
      <c r="BM278" s="69">
        <f t="shared" si="2566"/>
        <v>799</v>
      </c>
      <c r="BN278" s="69">
        <f t="shared" si="2567"/>
        <v>62</v>
      </c>
      <c r="BO278" s="11">
        <v>384</v>
      </c>
      <c r="BP278" s="12">
        <f t="shared" si="2516"/>
        <v>0.48685857321652065</v>
      </c>
      <c r="BQ278" s="11">
        <v>5</v>
      </c>
      <c r="BR278" s="12">
        <f t="shared" si="2517"/>
        <v>1.2853470437017995E-2</v>
      </c>
      <c r="BS278" s="11"/>
      <c r="BT278" s="11"/>
      <c r="BU278" s="18"/>
      <c r="BV278" s="20"/>
      <c r="BW278" s="10"/>
      <c r="BX278" s="11"/>
      <c r="BY278" s="69">
        <f t="shared" si="2568"/>
        <v>736</v>
      </c>
      <c r="BZ278" s="69">
        <f t="shared" si="2569"/>
        <v>59</v>
      </c>
      <c r="CA278" s="11">
        <v>344</v>
      </c>
      <c r="CB278" s="12">
        <f t="shared" si="2518"/>
        <v>0.4796195652173913</v>
      </c>
      <c r="CC278" s="11">
        <v>9</v>
      </c>
      <c r="CD278" s="12">
        <f t="shared" si="2519"/>
        <v>2.5495750708215296E-2</v>
      </c>
      <c r="CE278" s="11"/>
      <c r="CF278" s="11"/>
      <c r="CG278" s="18"/>
      <c r="CH278" s="20"/>
      <c r="CI278" s="10"/>
      <c r="CJ278" s="11"/>
      <c r="CK278" s="69">
        <f t="shared" si="2570"/>
        <v>126</v>
      </c>
      <c r="CL278" s="69">
        <f t="shared" si="2571"/>
        <v>12</v>
      </c>
      <c r="CM278" s="11">
        <v>60</v>
      </c>
      <c r="CN278" s="12">
        <f t="shared" si="2520"/>
        <v>0.50793650793650791</v>
      </c>
      <c r="CO278" s="11">
        <v>4</v>
      </c>
      <c r="CP278" s="12">
        <f t="shared" si="2521"/>
        <v>6.25E-2</v>
      </c>
      <c r="CQ278" s="11"/>
      <c r="CR278" s="11"/>
      <c r="CS278" s="18"/>
      <c r="CT278" s="20"/>
      <c r="CU278" s="10">
        <v>1</v>
      </c>
      <c r="CV278" s="11"/>
      <c r="CW278" s="69">
        <f t="shared" si="2572"/>
        <v>728</v>
      </c>
      <c r="CX278" s="69">
        <f t="shared" si="2573"/>
        <v>59</v>
      </c>
      <c r="CY278" s="11">
        <v>345</v>
      </c>
      <c r="CZ278" s="12">
        <f t="shared" si="2522"/>
        <v>0.48214285714285715</v>
      </c>
      <c r="DA278" s="11">
        <v>6</v>
      </c>
      <c r="DB278" s="12">
        <f t="shared" si="2523"/>
        <v>1.7094017094017096E-2</v>
      </c>
      <c r="DC278" s="11"/>
      <c r="DD278" s="11"/>
      <c r="DE278" s="18"/>
      <c r="DF278" s="20"/>
      <c r="DG278" s="10"/>
      <c r="DH278" s="11"/>
      <c r="DI278" s="69">
        <f t="shared" si="2574"/>
        <v>725</v>
      </c>
      <c r="DJ278" s="69">
        <f t="shared" si="2575"/>
        <v>59</v>
      </c>
      <c r="DK278" s="11">
        <v>380</v>
      </c>
      <c r="DL278" s="12">
        <f t="shared" si="2524"/>
        <v>0.53103448275862064</v>
      </c>
      <c r="DM278" s="11">
        <v>5</v>
      </c>
      <c r="DN278" s="12">
        <f t="shared" si="2525"/>
        <v>1.2987012987012988E-2</v>
      </c>
      <c r="DO278" s="11"/>
      <c r="DP278" s="11"/>
      <c r="DQ278" s="18"/>
      <c r="DR278" s="20"/>
      <c r="DS278" s="10"/>
      <c r="DT278" s="11"/>
      <c r="DU278" s="69">
        <f t="shared" si="2576"/>
        <v>816</v>
      </c>
      <c r="DV278" s="69">
        <f t="shared" si="2577"/>
        <v>65</v>
      </c>
      <c r="DW278" s="11">
        <v>391</v>
      </c>
      <c r="DX278" s="12">
        <f t="shared" si="2526"/>
        <v>0.50612745098039214</v>
      </c>
      <c r="DY278" s="11">
        <v>22</v>
      </c>
      <c r="DZ278" s="12">
        <f t="shared" si="2527"/>
        <v>5.3268765133171914E-2</v>
      </c>
      <c r="EA278" s="11"/>
      <c r="EB278" s="11"/>
      <c r="EC278" s="18"/>
      <c r="ED278" s="20"/>
      <c r="EE278" s="10"/>
      <c r="EF278" s="11"/>
      <c r="EG278" s="69">
        <f t="shared" si="2578"/>
        <v>842</v>
      </c>
      <c r="EH278" s="69">
        <f t="shared" si="2579"/>
        <v>67</v>
      </c>
      <c r="EI278" s="11">
        <v>388</v>
      </c>
      <c r="EJ278" s="12">
        <f t="shared" si="2528"/>
        <v>0.47743467933491684</v>
      </c>
      <c r="EK278" s="11">
        <v>14</v>
      </c>
      <c r="EL278" s="12">
        <f t="shared" si="2529"/>
        <v>3.482587064676617E-2</v>
      </c>
      <c r="EM278" s="11"/>
      <c r="EN278" s="11"/>
      <c r="EO278" s="18"/>
      <c r="EP278" s="20"/>
      <c r="EQ278" s="10"/>
      <c r="ER278" s="11"/>
      <c r="ES278" s="69">
        <f t="shared" si="2580"/>
        <v>161</v>
      </c>
      <c r="ET278" s="69">
        <f t="shared" si="2581"/>
        <v>14</v>
      </c>
      <c r="EU278" s="11">
        <v>51</v>
      </c>
      <c r="EV278" s="12">
        <f t="shared" si="2530"/>
        <v>0.36024844720496896</v>
      </c>
      <c r="EW278" s="11">
        <v>7</v>
      </c>
      <c r="EX278" s="12">
        <f t="shared" si="2531"/>
        <v>0.1206896551724138</v>
      </c>
      <c r="EY278" s="11"/>
      <c r="EZ278" s="11"/>
      <c r="FA278" s="18"/>
      <c r="FB278" s="20"/>
      <c r="FC278" s="10"/>
      <c r="FD278" s="11"/>
      <c r="FE278" s="69">
        <f t="shared" si="2582"/>
        <v>845</v>
      </c>
      <c r="FF278" s="69">
        <f t="shared" si="2583"/>
        <v>67</v>
      </c>
      <c r="FG278" s="11">
        <v>389</v>
      </c>
      <c r="FH278" s="12">
        <f t="shared" si="2532"/>
        <v>0.47810650887573963</v>
      </c>
      <c r="FI278" s="11">
        <v>15</v>
      </c>
      <c r="FJ278" s="12">
        <f t="shared" si="2533"/>
        <v>3.7128712871287127E-2</v>
      </c>
      <c r="FK278" s="11"/>
      <c r="FL278" s="11"/>
      <c r="FM278" s="18"/>
      <c r="FN278" s="20"/>
      <c r="FO278" s="10"/>
      <c r="FP278" s="11"/>
      <c r="FQ278" s="69">
        <f t="shared" si="2584"/>
        <v>859</v>
      </c>
      <c r="FR278" s="69">
        <f t="shared" si="2585"/>
        <v>70</v>
      </c>
      <c r="FS278" s="11">
        <v>414</v>
      </c>
      <c r="FT278" s="12">
        <f t="shared" si="2534"/>
        <v>0.49941792782305006</v>
      </c>
      <c r="FU278" s="11">
        <v>15</v>
      </c>
      <c r="FV278" s="12">
        <f t="shared" si="2535"/>
        <v>3.4965034965034968E-2</v>
      </c>
      <c r="FW278" s="11"/>
      <c r="FX278" s="11"/>
      <c r="FY278" s="18"/>
      <c r="FZ278" s="20"/>
      <c r="GA278" s="10"/>
      <c r="GB278" s="11"/>
      <c r="GC278" s="69">
        <f t="shared" si="2586"/>
        <v>868</v>
      </c>
      <c r="GD278" s="69">
        <f t="shared" si="2587"/>
        <v>71</v>
      </c>
      <c r="GE278" s="11">
        <v>428</v>
      </c>
      <c r="GF278" s="12">
        <f t="shared" si="2536"/>
        <v>0.50921658986175111</v>
      </c>
      <c r="GG278" s="11">
        <v>14</v>
      </c>
      <c r="GH278" s="12">
        <f t="shared" si="2537"/>
        <v>3.1674208144796379E-2</v>
      </c>
      <c r="GI278" s="11"/>
      <c r="GJ278" s="11"/>
      <c r="GK278" s="18"/>
      <c r="GL278" s="20"/>
      <c r="GM278" s="10"/>
      <c r="GN278" s="11"/>
      <c r="GO278" s="69">
        <f t="shared" si="2588"/>
        <v>137</v>
      </c>
      <c r="GP278" s="69">
        <f t="shared" si="2589"/>
        <v>12</v>
      </c>
      <c r="GQ278" s="11">
        <v>48</v>
      </c>
      <c r="GR278" s="12">
        <f t="shared" si="2538"/>
        <v>0.37956204379562042</v>
      </c>
      <c r="GS278" s="11">
        <v>4</v>
      </c>
      <c r="GT278" s="12">
        <f t="shared" si="2539"/>
        <v>7.6923076923076927E-2</v>
      </c>
      <c r="GU278" s="11"/>
      <c r="GV278" s="11"/>
      <c r="GW278" s="18"/>
      <c r="GX278" s="20"/>
      <c r="GY278" s="10"/>
      <c r="GZ278" s="11"/>
      <c r="HA278" s="69">
        <f t="shared" si="2590"/>
        <v>896</v>
      </c>
      <c r="HB278" s="69">
        <f t="shared" si="2591"/>
        <v>72</v>
      </c>
      <c r="HC278" s="11">
        <v>471</v>
      </c>
      <c r="HD278" s="12">
        <f t="shared" si="2540"/>
        <v>0.5401785714285714</v>
      </c>
      <c r="HE278" s="11">
        <v>13</v>
      </c>
      <c r="HF278" s="12">
        <f t="shared" si="2541"/>
        <v>2.6859504132231406E-2</v>
      </c>
      <c r="HG278" s="11"/>
      <c r="HH278" s="11"/>
      <c r="HI278" s="18"/>
      <c r="HJ278" s="20"/>
      <c r="HK278" s="10">
        <f t="shared" si="2542"/>
        <v>2</v>
      </c>
      <c r="HL278" s="11">
        <f t="shared" si="2543"/>
        <v>0</v>
      </c>
      <c r="HM278" s="11">
        <f t="shared" si="2544"/>
        <v>11741</v>
      </c>
      <c r="HN278" s="11">
        <f t="shared" si="2545"/>
        <v>946</v>
      </c>
      <c r="HO278" s="11">
        <f t="shared" si="2546"/>
        <v>5789</v>
      </c>
      <c r="HP278" s="95">
        <f t="shared" si="2547"/>
        <v>0.49305851290350056</v>
      </c>
      <c r="HQ278" s="15">
        <f t="shared" si="2548"/>
        <v>179</v>
      </c>
      <c r="HR278" s="12">
        <f t="shared" si="2549"/>
        <v>3.0920711694593195E-2</v>
      </c>
      <c r="HS278" s="16">
        <v>67.5</v>
      </c>
      <c r="HT278" s="17">
        <v>5448</v>
      </c>
      <c r="HU278" s="16">
        <f t="shared" si="2550"/>
        <v>94.10951805147694</v>
      </c>
      <c r="HV278" s="18"/>
      <c r="HW278" s="20"/>
      <c r="HX278" s="73">
        <f t="shared" si="2551"/>
        <v>0.48798001873243835</v>
      </c>
      <c r="HY278" s="73">
        <f t="shared" si="2552"/>
        <v>0.4951830443159923</v>
      </c>
      <c r="HZ278" s="73">
        <f t="shared" si="2553"/>
        <v>0.47935435435435436</v>
      </c>
      <c r="IA278" s="73">
        <f t="shared" si="2554"/>
        <v>0.50978260869565217</v>
      </c>
    </row>
    <row r="279" spans="1:244" x14ac:dyDescent="0.25">
      <c r="A279" s="374"/>
      <c r="B279" s="41">
        <f>+B278+1</f>
        <v>45155</v>
      </c>
      <c r="C279" s="10">
        <v>1</v>
      </c>
      <c r="D279" s="11"/>
      <c r="E279" s="69">
        <f t="shared" si="2556"/>
        <v>808</v>
      </c>
      <c r="F279" s="69">
        <f t="shared" si="2557"/>
        <v>64</v>
      </c>
      <c r="G279" s="11">
        <v>360</v>
      </c>
      <c r="H279" s="12">
        <f t="shared" si="2506"/>
        <v>0.46410891089108913</v>
      </c>
      <c r="I279" s="11">
        <v>15</v>
      </c>
      <c r="J279" s="12">
        <f t="shared" si="2507"/>
        <v>0.04</v>
      </c>
      <c r="K279" s="13"/>
      <c r="L279" s="13"/>
      <c r="M279" s="25"/>
      <c r="N279" s="38">
        <v>4535</v>
      </c>
      <c r="O279" s="10"/>
      <c r="P279" s="11"/>
      <c r="Q279" s="69">
        <f t="shared" si="2558"/>
        <v>745</v>
      </c>
      <c r="R279" s="69">
        <f t="shared" si="2559"/>
        <v>59</v>
      </c>
      <c r="S279" s="11">
        <v>355</v>
      </c>
      <c r="T279" s="12">
        <f t="shared" si="2508"/>
        <v>0.49395973154362416</v>
      </c>
      <c r="U279" s="11">
        <v>13</v>
      </c>
      <c r="V279" s="12">
        <f t="shared" si="2509"/>
        <v>3.5326086956521736E-2</v>
      </c>
      <c r="W279" s="13"/>
      <c r="X279" s="13"/>
      <c r="Y279" s="25"/>
      <c r="Z279" s="38">
        <v>4535</v>
      </c>
      <c r="AA279" s="10">
        <v>1</v>
      </c>
      <c r="AB279" s="11"/>
      <c r="AC279" s="69">
        <f t="shared" si="2560"/>
        <v>154</v>
      </c>
      <c r="AD279" s="69">
        <f t="shared" si="2561"/>
        <v>13</v>
      </c>
      <c r="AE279" s="11">
        <v>71</v>
      </c>
      <c r="AF279" s="12">
        <f t="shared" si="2510"/>
        <v>0.48051948051948051</v>
      </c>
      <c r="AG279" s="11">
        <v>3</v>
      </c>
      <c r="AH279" s="12">
        <f t="shared" si="2511"/>
        <v>4.0540540540540543E-2</v>
      </c>
      <c r="AI279" s="13"/>
      <c r="AJ279" s="13"/>
      <c r="AK279" s="25"/>
      <c r="AL279" s="38">
        <v>4535</v>
      </c>
      <c r="AM279" s="10">
        <v>1</v>
      </c>
      <c r="AN279" s="11"/>
      <c r="AO279" s="69">
        <f t="shared" si="2562"/>
        <v>748</v>
      </c>
      <c r="AP279" s="69">
        <f t="shared" si="2563"/>
        <v>61</v>
      </c>
      <c r="AQ279" s="11">
        <v>377</v>
      </c>
      <c r="AR279" s="12">
        <f t="shared" si="2512"/>
        <v>0.51604278074866305</v>
      </c>
      <c r="AS279" s="11">
        <v>9</v>
      </c>
      <c r="AT279" s="12">
        <f t="shared" si="2513"/>
        <v>2.3316062176165803E-2</v>
      </c>
      <c r="AU279" s="13"/>
      <c r="AV279" s="13"/>
      <c r="AW279" s="25"/>
      <c r="AX279" s="38">
        <v>4535</v>
      </c>
      <c r="AY279" s="10">
        <v>1</v>
      </c>
      <c r="AZ279" s="11"/>
      <c r="BA279" s="69">
        <f t="shared" si="2564"/>
        <v>744</v>
      </c>
      <c r="BB279" s="69">
        <f t="shared" si="2565"/>
        <v>60</v>
      </c>
      <c r="BC279" s="11">
        <v>345</v>
      </c>
      <c r="BD279" s="12">
        <f t="shared" si="2514"/>
        <v>0.478494623655914</v>
      </c>
      <c r="BE279" s="11">
        <v>11</v>
      </c>
      <c r="BF279" s="12">
        <f t="shared" si="2515"/>
        <v>3.0898876404494381E-2</v>
      </c>
      <c r="BG279" s="13"/>
      <c r="BH279" s="13"/>
      <c r="BI279" s="25"/>
      <c r="BJ279" s="38">
        <v>4535</v>
      </c>
      <c r="BK279" s="10"/>
      <c r="BL279" s="11"/>
      <c r="BM279" s="69">
        <f t="shared" si="2566"/>
        <v>799</v>
      </c>
      <c r="BN279" s="69">
        <f t="shared" si="2567"/>
        <v>62</v>
      </c>
      <c r="BO279" s="11">
        <v>379</v>
      </c>
      <c r="BP279" s="12">
        <f t="shared" si="2516"/>
        <v>0.48685857321652065</v>
      </c>
      <c r="BQ279" s="11">
        <v>10</v>
      </c>
      <c r="BR279" s="12">
        <f t="shared" si="2517"/>
        <v>2.570694087403599E-2</v>
      </c>
      <c r="BS279" s="13"/>
      <c r="BT279" s="13"/>
      <c r="BU279" s="25"/>
      <c r="BV279" s="38">
        <v>4535</v>
      </c>
      <c r="BW279" s="10"/>
      <c r="BX279" s="11"/>
      <c r="BY279" s="69">
        <f t="shared" si="2568"/>
        <v>736</v>
      </c>
      <c r="BZ279" s="69">
        <f t="shared" si="2569"/>
        <v>59</v>
      </c>
      <c r="CA279" s="11">
        <v>322</v>
      </c>
      <c r="CB279" s="12">
        <f t="shared" si="2518"/>
        <v>0.45244565217391303</v>
      </c>
      <c r="CC279" s="11">
        <v>11</v>
      </c>
      <c r="CD279" s="12">
        <f t="shared" si="2519"/>
        <v>3.3033033033033031E-2</v>
      </c>
      <c r="CE279" s="13"/>
      <c r="CF279" s="13"/>
      <c r="CG279" s="25"/>
      <c r="CH279" s="38">
        <v>4535</v>
      </c>
      <c r="CI279" s="10"/>
      <c r="CJ279" s="11"/>
      <c r="CK279" s="69">
        <v>126</v>
      </c>
      <c r="CL279" s="69">
        <f t="shared" si="2571"/>
        <v>12</v>
      </c>
      <c r="CM279" s="11">
        <v>51</v>
      </c>
      <c r="CN279" s="12">
        <f t="shared" si="2520"/>
        <v>0.44444444444444442</v>
      </c>
      <c r="CO279" s="11">
        <v>5</v>
      </c>
      <c r="CP279" s="12">
        <f t="shared" si="2521"/>
        <v>8.9285714285714288E-2</v>
      </c>
      <c r="CQ279" s="13"/>
      <c r="CR279" s="13"/>
      <c r="CS279" s="25"/>
      <c r="CT279" s="38">
        <v>4535</v>
      </c>
      <c r="CU279" s="10"/>
      <c r="CV279" s="11"/>
      <c r="CW279" s="69">
        <f t="shared" si="2572"/>
        <v>728</v>
      </c>
      <c r="CX279" s="69">
        <f t="shared" si="2573"/>
        <v>59</v>
      </c>
      <c r="CY279" s="11">
        <v>312</v>
      </c>
      <c r="CZ279" s="12">
        <f t="shared" si="2522"/>
        <v>0.44230769230769229</v>
      </c>
      <c r="DA279" s="11">
        <v>10</v>
      </c>
      <c r="DB279" s="12">
        <f t="shared" si="2523"/>
        <v>3.1055900621118012E-2</v>
      </c>
      <c r="DC279" s="13"/>
      <c r="DD279" s="13"/>
      <c r="DE279" s="25"/>
      <c r="DF279" s="38">
        <v>4535</v>
      </c>
      <c r="DG279" s="10"/>
      <c r="DH279" s="11"/>
      <c r="DI279" s="69">
        <f t="shared" si="2574"/>
        <v>725</v>
      </c>
      <c r="DJ279" s="69">
        <f t="shared" si="2575"/>
        <v>59</v>
      </c>
      <c r="DK279" s="11">
        <v>352</v>
      </c>
      <c r="DL279" s="12">
        <f t="shared" si="2524"/>
        <v>0.49103448275862072</v>
      </c>
      <c r="DM279" s="11">
        <v>4</v>
      </c>
      <c r="DN279" s="12">
        <f t="shared" si="2525"/>
        <v>1.1235955056179775E-2</v>
      </c>
      <c r="DO279" s="13"/>
      <c r="DP279" s="13"/>
      <c r="DQ279" s="25"/>
      <c r="DR279" s="38">
        <v>4535</v>
      </c>
      <c r="DS279" s="10"/>
      <c r="DT279" s="11"/>
      <c r="DU279" s="69">
        <f t="shared" si="2576"/>
        <v>816</v>
      </c>
      <c r="DV279" s="69">
        <f t="shared" si="2577"/>
        <v>65</v>
      </c>
      <c r="DW279" s="11">
        <v>381</v>
      </c>
      <c r="DX279" s="12">
        <f t="shared" si="2526"/>
        <v>0.49019607843137253</v>
      </c>
      <c r="DY279" s="11">
        <v>19</v>
      </c>
      <c r="DZ279" s="12">
        <f t="shared" si="2527"/>
        <v>4.7500000000000001E-2</v>
      </c>
      <c r="EA279" s="13"/>
      <c r="EB279" s="13"/>
      <c r="EC279" s="25"/>
      <c r="ED279" s="38">
        <v>4535</v>
      </c>
      <c r="EE279" s="10">
        <v>1</v>
      </c>
      <c r="EF279" s="11"/>
      <c r="EG279" s="69">
        <f t="shared" si="2578"/>
        <v>841</v>
      </c>
      <c r="EH279" s="69">
        <f t="shared" si="2579"/>
        <v>67</v>
      </c>
      <c r="EI279" s="11">
        <v>428</v>
      </c>
      <c r="EJ279" s="12">
        <f t="shared" si="2528"/>
        <v>0.52556480380499404</v>
      </c>
      <c r="EK279" s="11">
        <v>14</v>
      </c>
      <c r="EL279" s="12">
        <f t="shared" si="2529"/>
        <v>3.1674208144796379E-2</v>
      </c>
      <c r="EM279" s="13"/>
      <c r="EN279" s="13"/>
      <c r="EO279" s="25"/>
      <c r="EP279" s="38">
        <v>4535</v>
      </c>
      <c r="EQ279" s="10"/>
      <c r="ER279" s="11"/>
      <c r="ES279" s="69">
        <f t="shared" si="2580"/>
        <v>161</v>
      </c>
      <c r="ET279" s="69">
        <f t="shared" si="2581"/>
        <v>14</v>
      </c>
      <c r="EU279" s="11">
        <v>70</v>
      </c>
      <c r="EV279" s="12">
        <f t="shared" si="2530"/>
        <v>0.453416149068323</v>
      </c>
      <c r="EW279" s="11">
        <v>3</v>
      </c>
      <c r="EX279" s="12">
        <f t="shared" si="2531"/>
        <v>4.1095890410958902E-2</v>
      </c>
      <c r="EY279" s="13"/>
      <c r="EZ279" s="13"/>
      <c r="FA279" s="25"/>
      <c r="FB279" s="38">
        <v>4535</v>
      </c>
      <c r="FC279" s="10"/>
      <c r="FD279" s="11"/>
      <c r="FE279" s="69">
        <f t="shared" si="2582"/>
        <v>845</v>
      </c>
      <c r="FF279" s="69">
        <f t="shared" si="2583"/>
        <v>67</v>
      </c>
      <c r="FG279" s="11">
        <v>443</v>
      </c>
      <c r="FH279" s="12">
        <f t="shared" si="2532"/>
        <v>0.53846153846153844</v>
      </c>
      <c r="FI279" s="11">
        <v>12</v>
      </c>
      <c r="FJ279" s="12">
        <f t="shared" si="2533"/>
        <v>2.6373626373626374E-2</v>
      </c>
      <c r="FK279" s="13"/>
      <c r="FL279" s="13"/>
      <c r="FM279" s="25"/>
      <c r="FN279" s="38">
        <v>4535</v>
      </c>
      <c r="FO279" s="10">
        <v>1</v>
      </c>
      <c r="FP279" s="11"/>
      <c r="FQ279" s="69">
        <f t="shared" si="2584"/>
        <v>858</v>
      </c>
      <c r="FR279" s="69">
        <f t="shared" si="2585"/>
        <v>70</v>
      </c>
      <c r="FS279" s="11">
        <v>413</v>
      </c>
      <c r="FT279" s="12">
        <f t="shared" si="2534"/>
        <v>0.5</v>
      </c>
      <c r="FU279" s="11">
        <v>16</v>
      </c>
      <c r="FV279" s="12">
        <f t="shared" si="2535"/>
        <v>3.7296037296037296E-2</v>
      </c>
      <c r="FW279" s="13"/>
      <c r="FX279" s="13"/>
      <c r="FY279" s="25"/>
      <c r="FZ279" s="38">
        <v>4535</v>
      </c>
      <c r="GA279" s="10"/>
      <c r="GB279" s="11"/>
      <c r="GC279" s="69">
        <f t="shared" si="2586"/>
        <v>868</v>
      </c>
      <c r="GD279" s="69">
        <f t="shared" si="2587"/>
        <v>71</v>
      </c>
      <c r="GE279" s="11">
        <v>426</v>
      </c>
      <c r="GF279" s="12">
        <f t="shared" si="2536"/>
        <v>0.51497695852534564</v>
      </c>
      <c r="GG279" s="11">
        <v>21</v>
      </c>
      <c r="GH279" s="12">
        <f t="shared" si="2537"/>
        <v>4.6979865771812082E-2</v>
      </c>
      <c r="GI279" s="13"/>
      <c r="GJ279" s="13"/>
      <c r="GK279" s="25"/>
      <c r="GL279" s="38">
        <v>4535</v>
      </c>
      <c r="GM279" s="10"/>
      <c r="GN279" s="11"/>
      <c r="GO279" s="69">
        <f t="shared" si="2588"/>
        <v>137</v>
      </c>
      <c r="GP279" s="69">
        <f t="shared" si="2589"/>
        <v>12</v>
      </c>
      <c r="GQ279" s="11">
        <v>46</v>
      </c>
      <c r="GR279" s="12">
        <f t="shared" si="2538"/>
        <v>0.38686131386861317</v>
      </c>
      <c r="GS279" s="11">
        <v>7</v>
      </c>
      <c r="GT279" s="12">
        <f t="shared" si="2539"/>
        <v>0.13207547169811321</v>
      </c>
      <c r="GU279" s="13"/>
      <c r="GV279" s="13"/>
      <c r="GW279" s="25"/>
      <c r="GX279" s="38">
        <v>4535</v>
      </c>
      <c r="GY279" s="10"/>
      <c r="GZ279" s="11"/>
      <c r="HA279" s="69">
        <f t="shared" si="2590"/>
        <v>896</v>
      </c>
      <c r="HB279" s="69">
        <f t="shared" si="2591"/>
        <v>72</v>
      </c>
      <c r="HC279" s="11">
        <v>464</v>
      </c>
      <c r="HD279" s="12">
        <f t="shared" si="2540"/>
        <v>0.5424107142857143</v>
      </c>
      <c r="HE279" s="11">
        <v>22</v>
      </c>
      <c r="HF279" s="12">
        <f t="shared" si="2541"/>
        <v>4.5267489711934158E-2</v>
      </c>
      <c r="HG279" s="13"/>
      <c r="HH279" s="13"/>
      <c r="HI279" s="25"/>
      <c r="HJ279" s="38">
        <v>4535</v>
      </c>
      <c r="HK279" s="10">
        <f t="shared" si="2542"/>
        <v>6</v>
      </c>
      <c r="HL279" s="11">
        <f t="shared" si="2543"/>
        <v>0</v>
      </c>
      <c r="HM279" s="11">
        <f t="shared" si="2544"/>
        <v>11735</v>
      </c>
      <c r="HN279" s="11">
        <f t="shared" si="2545"/>
        <v>946</v>
      </c>
      <c r="HO279" s="11">
        <f t="shared" si="2546"/>
        <v>5800</v>
      </c>
      <c r="HP279" s="95">
        <f t="shared" si="2547"/>
        <v>0.49424797613975285</v>
      </c>
      <c r="HQ279" s="15">
        <f t="shared" si="2548"/>
        <v>205</v>
      </c>
      <c r="HR279" s="12">
        <f t="shared" si="2549"/>
        <v>3.5344827586206898E-2</v>
      </c>
      <c r="HS279" s="16">
        <v>67.5</v>
      </c>
      <c r="HT279" s="17">
        <v>5466</v>
      </c>
      <c r="HU279" s="16">
        <f t="shared" si="2550"/>
        <v>94.241379310344826</v>
      </c>
      <c r="HV279" s="23"/>
      <c r="HW279" s="22">
        <v>4535</v>
      </c>
      <c r="HX279" s="73">
        <f t="shared" si="2551"/>
        <v>0.48733979368552671</v>
      </c>
      <c r="HY279" s="73">
        <f t="shared" si="2552"/>
        <v>0.46756583172768146</v>
      </c>
      <c r="HZ279" s="73">
        <f t="shared" si="2553"/>
        <v>0.51445737889598198</v>
      </c>
      <c r="IA279" s="73">
        <f t="shared" si="2554"/>
        <v>0.51286698079014137</v>
      </c>
    </row>
    <row r="280" spans="1:244" x14ac:dyDescent="0.25">
      <c r="A280" s="374"/>
      <c r="B280" s="41">
        <f t="shared" si="2555"/>
        <v>45156</v>
      </c>
      <c r="C280" s="10"/>
      <c r="D280" s="11"/>
      <c r="E280" s="69">
        <f t="shared" si="2556"/>
        <v>808</v>
      </c>
      <c r="F280" s="69">
        <f t="shared" si="2557"/>
        <v>64</v>
      </c>
      <c r="G280" s="11">
        <v>384</v>
      </c>
      <c r="H280" s="12">
        <f t="shared" si="2506"/>
        <v>0.49133663366336633</v>
      </c>
      <c r="I280" s="11">
        <v>13</v>
      </c>
      <c r="J280" s="12">
        <f t="shared" si="2507"/>
        <v>3.2745591939546598E-2</v>
      </c>
      <c r="K280" s="13"/>
      <c r="L280" s="11"/>
      <c r="M280" s="25"/>
      <c r="N280" s="38">
        <v>4776</v>
      </c>
      <c r="O280" s="10"/>
      <c r="P280" s="11"/>
      <c r="Q280" s="69">
        <f t="shared" si="2558"/>
        <v>745</v>
      </c>
      <c r="R280" s="69">
        <f t="shared" si="2559"/>
        <v>59</v>
      </c>
      <c r="S280" s="11">
        <v>358</v>
      </c>
      <c r="T280" s="12">
        <f t="shared" si="2508"/>
        <v>0.4993288590604027</v>
      </c>
      <c r="U280" s="11">
        <v>14</v>
      </c>
      <c r="V280" s="12">
        <f t="shared" si="2509"/>
        <v>3.7634408602150539E-2</v>
      </c>
      <c r="W280" s="13"/>
      <c r="X280" s="11"/>
      <c r="Y280" s="25"/>
      <c r="Z280" s="38">
        <v>4774.17</v>
      </c>
      <c r="AA280" s="10"/>
      <c r="AB280" s="11"/>
      <c r="AC280" s="69">
        <f t="shared" si="2560"/>
        <v>154</v>
      </c>
      <c r="AD280" s="69">
        <f t="shared" si="2561"/>
        <v>13</v>
      </c>
      <c r="AE280" s="11">
        <v>75</v>
      </c>
      <c r="AF280" s="12">
        <f t="shared" si="2510"/>
        <v>0.48701298701298701</v>
      </c>
      <c r="AG280" s="11">
        <v>0</v>
      </c>
      <c r="AH280" s="12">
        <f t="shared" si="2511"/>
        <v>0</v>
      </c>
      <c r="AI280" s="13"/>
      <c r="AJ280" s="11"/>
      <c r="AK280" s="25"/>
      <c r="AL280" s="38">
        <v>4567.5</v>
      </c>
      <c r="AM280" s="10"/>
      <c r="AN280" s="11"/>
      <c r="AO280" s="69">
        <f t="shared" si="2562"/>
        <v>748</v>
      </c>
      <c r="AP280" s="69">
        <f t="shared" si="2563"/>
        <v>61</v>
      </c>
      <c r="AQ280" s="11">
        <v>349</v>
      </c>
      <c r="AR280" s="12">
        <f t="shared" si="2512"/>
        <v>0.48663101604278075</v>
      </c>
      <c r="AS280" s="11">
        <v>15</v>
      </c>
      <c r="AT280" s="12">
        <f t="shared" si="2513"/>
        <v>4.1208791208791208E-2</v>
      </c>
      <c r="AU280" s="13"/>
      <c r="AV280" s="11"/>
      <c r="AW280" s="25"/>
      <c r="AX280" s="38">
        <v>4844</v>
      </c>
      <c r="AY280" s="10"/>
      <c r="AZ280" s="11"/>
      <c r="BA280" s="69">
        <f t="shared" si="2564"/>
        <v>744</v>
      </c>
      <c r="BB280" s="69">
        <f t="shared" si="2565"/>
        <v>60</v>
      </c>
      <c r="BC280" s="11">
        <v>381</v>
      </c>
      <c r="BD280" s="12">
        <f t="shared" si="2514"/>
        <v>0.52419354838709675</v>
      </c>
      <c r="BE280" s="11">
        <v>9</v>
      </c>
      <c r="BF280" s="12">
        <f t="shared" si="2515"/>
        <v>2.3076923076923078E-2</v>
      </c>
      <c r="BG280" s="13"/>
      <c r="BH280" s="11"/>
      <c r="BI280" s="25"/>
      <c r="BJ280" s="38">
        <v>5085</v>
      </c>
      <c r="BK280" s="10"/>
      <c r="BL280" s="11"/>
      <c r="BM280" s="69">
        <f t="shared" si="2566"/>
        <v>799</v>
      </c>
      <c r="BN280" s="69">
        <f t="shared" si="2567"/>
        <v>62</v>
      </c>
      <c r="BO280" s="11">
        <v>341</v>
      </c>
      <c r="BP280" s="12">
        <f t="shared" si="2516"/>
        <v>0.45807259073842305</v>
      </c>
      <c r="BQ280" s="11">
        <v>25</v>
      </c>
      <c r="BR280" s="12">
        <f t="shared" si="2517"/>
        <v>6.8306010928961755E-2</v>
      </c>
      <c r="BS280" s="13"/>
      <c r="BT280" s="11"/>
      <c r="BU280" s="25"/>
      <c r="BV280" s="38">
        <v>4662.1400000000003</v>
      </c>
      <c r="BW280" s="10"/>
      <c r="BX280" s="11"/>
      <c r="BY280" s="69">
        <f t="shared" si="2568"/>
        <v>736</v>
      </c>
      <c r="BZ280" s="69">
        <f t="shared" si="2569"/>
        <v>59</v>
      </c>
      <c r="CA280" s="11">
        <v>295</v>
      </c>
      <c r="CB280" s="12">
        <f t="shared" si="2518"/>
        <v>0.4171195652173913</v>
      </c>
      <c r="CC280" s="11">
        <v>12</v>
      </c>
      <c r="CD280" s="12">
        <f t="shared" si="2519"/>
        <v>3.9087947882736153E-2</v>
      </c>
      <c r="CE280" s="13"/>
      <c r="CF280" s="11"/>
      <c r="CG280" s="25"/>
      <c r="CH280" s="38">
        <v>4835.33</v>
      </c>
      <c r="CI280" s="10"/>
      <c r="CJ280" s="11"/>
      <c r="CK280" s="69">
        <f t="shared" si="2570"/>
        <v>126</v>
      </c>
      <c r="CL280" s="69">
        <f t="shared" si="2571"/>
        <v>12</v>
      </c>
      <c r="CM280" s="11">
        <v>53</v>
      </c>
      <c r="CN280" s="12">
        <f t="shared" si="2520"/>
        <v>0.49206349206349204</v>
      </c>
      <c r="CO280" s="11">
        <v>9</v>
      </c>
      <c r="CP280" s="12">
        <f t="shared" si="2521"/>
        <v>0.14516129032258066</v>
      </c>
      <c r="CQ280" s="13"/>
      <c r="CR280" s="11"/>
      <c r="CS280" s="25"/>
      <c r="CT280" s="38">
        <v>4740</v>
      </c>
      <c r="CU280" s="10">
        <v>1</v>
      </c>
      <c r="CV280" s="11"/>
      <c r="CW280" s="69">
        <f t="shared" si="2572"/>
        <v>727</v>
      </c>
      <c r="CX280" s="69">
        <f t="shared" si="2573"/>
        <v>59</v>
      </c>
      <c r="CY280" s="11">
        <v>301</v>
      </c>
      <c r="CZ280" s="12">
        <f t="shared" si="2522"/>
        <v>0.42503438789546077</v>
      </c>
      <c r="DA280" s="11">
        <v>8</v>
      </c>
      <c r="DB280" s="12">
        <f t="shared" si="2523"/>
        <v>2.5889967637540454E-2</v>
      </c>
      <c r="DC280" s="13"/>
      <c r="DD280" s="11"/>
      <c r="DE280" s="25"/>
      <c r="DF280" s="38">
        <v>4906.92</v>
      </c>
      <c r="DG280" s="10"/>
      <c r="DH280" s="11"/>
      <c r="DI280" s="69">
        <f t="shared" si="2574"/>
        <v>725</v>
      </c>
      <c r="DJ280" s="69">
        <f t="shared" si="2575"/>
        <v>59</v>
      </c>
      <c r="DK280" s="11">
        <v>327</v>
      </c>
      <c r="DL280" s="12">
        <f t="shared" si="2524"/>
        <v>0.47310344827586209</v>
      </c>
      <c r="DM280" s="11">
        <v>16</v>
      </c>
      <c r="DN280" s="12">
        <f t="shared" si="2525"/>
        <v>4.6647230320699708E-2</v>
      </c>
      <c r="DO280" s="13"/>
      <c r="DP280" s="11"/>
      <c r="DQ280" s="25"/>
      <c r="DR280" s="38">
        <v>5113.13</v>
      </c>
      <c r="DS280" s="10"/>
      <c r="DT280" s="11"/>
      <c r="DU280" s="69">
        <f t="shared" si="2576"/>
        <v>816</v>
      </c>
      <c r="DV280" s="69">
        <f t="shared" si="2577"/>
        <v>65</v>
      </c>
      <c r="DW280" s="11">
        <v>353</v>
      </c>
      <c r="DX280" s="12">
        <f t="shared" si="2526"/>
        <v>0.45710784313725489</v>
      </c>
      <c r="DY280" s="11">
        <v>20</v>
      </c>
      <c r="DZ280" s="12">
        <f t="shared" si="2527"/>
        <v>5.3619302949061663E-2</v>
      </c>
      <c r="EA280" s="13"/>
      <c r="EB280" s="11"/>
      <c r="EC280" s="25"/>
      <c r="ED280" s="38">
        <v>4866</v>
      </c>
      <c r="EE280" s="10">
        <v>2</v>
      </c>
      <c r="EF280" s="11"/>
      <c r="EG280" s="69">
        <f t="shared" si="2578"/>
        <v>839</v>
      </c>
      <c r="EH280" s="69">
        <f t="shared" si="2579"/>
        <v>67</v>
      </c>
      <c r="EI280" s="11">
        <v>370</v>
      </c>
      <c r="EJ280" s="12">
        <f t="shared" si="2528"/>
        <v>0.46364719904648388</v>
      </c>
      <c r="EK280" s="11">
        <v>19</v>
      </c>
      <c r="EL280" s="12">
        <f t="shared" si="2529"/>
        <v>4.8843187660668377E-2</v>
      </c>
      <c r="EM280" s="13"/>
      <c r="EN280" s="11"/>
      <c r="EO280" s="25"/>
      <c r="EP280" s="38">
        <v>5023.8500000000004</v>
      </c>
      <c r="EQ280" s="10"/>
      <c r="ER280" s="11"/>
      <c r="ES280" s="69">
        <f t="shared" si="2580"/>
        <v>161</v>
      </c>
      <c r="ET280" s="69">
        <f t="shared" si="2581"/>
        <v>14</v>
      </c>
      <c r="EU280" s="11">
        <v>52</v>
      </c>
      <c r="EV280" s="12">
        <f t="shared" si="2530"/>
        <v>0.36024844720496896</v>
      </c>
      <c r="EW280" s="11">
        <v>6</v>
      </c>
      <c r="EX280" s="12">
        <f t="shared" si="2531"/>
        <v>0.10344827586206896</v>
      </c>
      <c r="EY280" s="13"/>
      <c r="EZ280" s="11"/>
      <c r="FA280" s="25"/>
      <c r="FB280" s="38">
        <v>4420</v>
      </c>
      <c r="FC280" s="10"/>
      <c r="FD280" s="11"/>
      <c r="FE280" s="69">
        <f t="shared" si="2582"/>
        <v>845</v>
      </c>
      <c r="FF280" s="69">
        <f t="shared" si="2583"/>
        <v>67</v>
      </c>
      <c r="FG280" s="11">
        <v>406</v>
      </c>
      <c r="FH280" s="12">
        <f t="shared" si="2532"/>
        <v>0.4958579881656805</v>
      </c>
      <c r="FI280" s="11">
        <v>13</v>
      </c>
      <c r="FJ280" s="12">
        <f t="shared" si="2533"/>
        <v>3.1026252983293555E-2</v>
      </c>
      <c r="FK280" s="13"/>
      <c r="FL280" s="11"/>
      <c r="FM280" s="25"/>
      <c r="FN280" s="38">
        <v>4919.3333329999996</v>
      </c>
      <c r="FO280" s="10"/>
      <c r="FP280" s="11"/>
      <c r="FQ280" s="69">
        <f t="shared" si="2584"/>
        <v>858</v>
      </c>
      <c r="FR280" s="69">
        <f t="shared" si="2585"/>
        <v>70</v>
      </c>
      <c r="FS280" s="11">
        <v>373</v>
      </c>
      <c r="FT280" s="12">
        <f t="shared" si="2534"/>
        <v>0.45687645687645689</v>
      </c>
      <c r="FU280" s="11">
        <v>19</v>
      </c>
      <c r="FV280" s="12">
        <f t="shared" si="2535"/>
        <v>4.8469387755102039E-2</v>
      </c>
      <c r="FW280" s="13"/>
      <c r="FX280" s="11"/>
      <c r="FY280" s="25"/>
      <c r="FZ280" s="38">
        <v>4873.53</v>
      </c>
      <c r="GA280" s="10"/>
      <c r="GB280" s="11"/>
      <c r="GC280" s="69">
        <f t="shared" si="2586"/>
        <v>868</v>
      </c>
      <c r="GD280" s="69">
        <f t="shared" si="2587"/>
        <v>71</v>
      </c>
      <c r="GE280" s="11">
        <v>407</v>
      </c>
      <c r="GF280" s="12">
        <f t="shared" si="2536"/>
        <v>0.49078341013824883</v>
      </c>
      <c r="GG280" s="11">
        <v>19</v>
      </c>
      <c r="GH280" s="12">
        <f t="shared" si="2537"/>
        <v>4.4600938967136149E-2</v>
      </c>
      <c r="GI280" s="13"/>
      <c r="GJ280" s="11"/>
      <c r="GK280" s="25"/>
      <c r="GL280" s="38">
        <v>4662.8571430000002</v>
      </c>
      <c r="GM280" s="10"/>
      <c r="GN280" s="11"/>
      <c r="GO280" s="69">
        <f t="shared" si="2588"/>
        <v>137</v>
      </c>
      <c r="GP280" s="69">
        <f t="shared" si="2589"/>
        <v>12</v>
      </c>
      <c r="GQ280" s="11">
        <v>50</v>
      </c>
      <c r="GR280" s="12">
        <f t="shared" si="2538"/>
        <v>0.38686131386861317</v>
      </c>
      <c r="GS280" s="11">
        <v>3</v>
      </c>
      <c r="GT280" s="12">
        <f t="shared" si="2539"/>
        <v>5.6603773584905662E-2</v>
      </c>
      <c r="GU280" s="13"/>
      <c r="GV280" s="11"/>
      <c r="GW280" s="25"/>
      <c r="GX280" s="38">
        <v>4512.5</v>
      </c>
      <c r="GY280" s="10"/>
      <c r="GZ280" s="11"/>
      <c r="HA280" s="69">
        <f t="shared" si="2590"/>
        <v>896</v>
      </c>
      <c r="HB280" s="69">
        <f t="shared" si="2591"/>
        <v>72</v>
      </c>
      <c r="HC280" s="11">
        <v>426</v>
      </c>
      <c r="HD280" s="12">
        <f t="shared" si="2540"/>
        <v>0.48995535714285715</v>
      </c>
      <c r="HE280" s="11">
        <v>13</v>
      </c>
      <c r="HF280" s="12">
        <f t="shared" si="2541"/>
        <v>2.9612756264236904E-2</v>
      </c>
      <c r="HG280" s="13"/>
      <c r="HH280" s="11"/>
      <c r="HI280" s="25"/>
      <c r="HJ280" s="38">
        <v>4986.43</v>
      </c>
      <c r="HK280" s="10">
        <f t="shared" si="2542"/>
        <v>3</v>
      </c>
      <c r="HL280" s="11">
        <f t="shared" si="2543"/>
        <v>0</v>
      </c>
      <c r="HM280" s="11">
        <f t="shared" si="2544"/>
        <v>11732</v>
      </c>
      <c r="HN280" s="11">
        <f t="shared" si="2545"/>
        <v>946</v>
      </c>
      <c r="HO280" s="11">
        <f t="shared" si="2546"/>
        <v>5534</v>
      </c>
      <c r="HP280" s="95">
        <f t="shared" si="2547"/>
        <v>0.47170132969655643</v>
      </c>
      <c r="HQ280" s="15">
        <f t="shared" si="2548"/>
        <v>233</v>
      </c>
      <c r="HR280" s="12">
        <f t="shared" si="2549"/>
        <v>4.2103361040838456E-2</v>
      </c>
      <c r="HS280" s="16">
        <v>67.7</v>
      </c>
      <c r="HT280" s="17">
        <v>5173</v>
      </c>
      <c r="HU280" s="16">
        <f t="shared" si="2550"/>
        <v>93.476689555475247</v>
      </c>
      <c r="HV280" s="23"/>
      <c r="HW280" s="22">
        <v>4860.6400000000003</v>
      </c>
      <c r="HX280" s="73">
        <f t="shared" si="2551"/>
        <v>0.49953110346983431</v>
      </c>
      <c r="HY280" s="73">
        <f t="shared" si="2552"/>
        <v>0.44555091551557985</v>
      </c>
      <c r="HZ280" s="73">
        <f t="shared" si="2553"/>
        <v>0.46561443066516345</v>
      </c>
      <c r="IA280" s="73">
        <f t="shared" si="2554"/>
        <v>0.47480971366437114</v>
      </c>
    </row>
    <row r="281" spans="1:244" x14ac:dyDescent="0.25">
      <c r="A281" s="374"/>
      <c r="B281" s="41">
        <f t="shared" si="2555"/>
        <v>45157</v>
      </c>
      <c r="C281" s="10"/>
      <c r="D281" s="11"/>
      <c r="E281" s="69">
        <f t="shared" si="2556"/>
        <v>808</v>
      </c>
      <c r="F281" s="69">
        <f t="shared" si="2557"/>
        <v>64</v>
      </c>
      <c r="G281" s="11">
        <v>400</v>
      </c>
      <c r="H281" s="12">
        <f t="shared" si="2506"/>
        <v>0.50618811881188119</v>
      </c>
      <c r="I281" s="11">
        <v>9</v>
      </c>
      <c r="J281" s="12">
        <f t="shared" si="2507"/>
        <v>2.2004889975550123E-2</v>
      </c>
      <c r="K281" s="13"/>
      <c r="L281" s="11"/>
      <c r="M281" s="39"/>
      <c r="N281" s="43">
        <v>100</v>
      </c>
      <c r="O281" s="10"/>
      <c r="P281" s="11"/>
      <c r="Q281" s="69">
        <f t="shared" si="2558"/>
        <v>745</v>
      </c>
      <c r="R281" s="69">
        <f t="shared" si="2559"/>
        <v>59</v>
      </c>
      <c r="S281" s="11">
        <v>360</v>
      </c>
      <c r="T281" s="12">
        <f t="shared" si="2508"/>
        <v>0.48993288590604028</v>
      </c>
      <c r="U281" s="11">
        <v>5</v>
      </c>
      <c r="V281" s="12">
        <f t="shared" si="2509"/>
        <v>1.3698630136986301E-2</v>
      </c>
      <c r="W281" s="13"/>
      <c r="X281" s="11"/>
      <c r="Y281" s="39"/>
      <c r="Z281" s="43">
        <v>91.67</v>
      </c>
      <c r="AA281" s="10">
        <v>1</v>
      </c>
      <c r="AB281" s="11"/>
      <c r="AC281" s="69">
        <f t="shared" si="2560"/>
        <v>153</v>
      </c>
      <c r="AD281" s="69">
        <f t="shared" si="2561"/>
        <v>13</v>
      </c>
      <c r="AE281" s="11">
        <v>79</v>
      </c>
      <c r="AF281" s="12">
        <f t="shared" si="2510"/>
        <v>0.5163398692810458</v>
      </c>
      <c r="AG281" s="11">
        <v>0</v>
      </c>
      <c r="AH281" s="12">
        <f t="shared" si="2511"/>
        <v>0</v>
      </c>
      <c r="AI281" s="13"/>
      <c r="AJ281" s="11"/>
      <c r="AK281" s="39"/>
      <c r="AL281" s="43">
        <v>100</v>
      </c>
      <c r="AM281" s="10"/>
      <c r="AN281" s="11"/>
      <c r="AO281" s="69">
        <f t="shared" si="2562"/>
        <v>748</v>
      </c>
      <c r="AP281" s="69">
        <f t="shared" si="2563"/>
        <v>61</v>
      </c>
      <c r="AQ281" s="11">
        <v>363</v>
      </c>
      <c r="AR281" s="12">
        <f t="shared" si="2512"/>
        <v>0.5</v>
      </c>
      <c r="AS281" s="11">
        <v>11</v>
      </c>
      <c r="AT281" s="12">
        <f t="shared" si="2513"/>
        <v>2.9411764705882353E-2</v>
      </c>
      <c r="AU281" s="13"/>
      <c r="AV281" s="11"/>
      <c r="AW281" s="39"/>
      <c r="AX281" s="43">
        <v>100</v>
      </c>
      <c r="AY281" s="10">
        <v>1</v>
      </c>
      <c r="AZ281" s="11"/>
      <c r="BA281" s="69">
        <f t="shared" si="2564"/>
        <v>743</v>
      </c>
      <c r="BB281" s="69">
        <f t="shared" si="2565"/>
        <v>60</v>
      </c>
      <c r="BC281" s="11">
        <v>371</v>
      </c>
      <c r="BD281" s="12">
        <f t="shared" si="2514"/>
        <v>0.51413189771197843</v>
      </c>
      <c r="BE281" s="11">
        <v>11</v>
      </c>
      <c r="BF281" s="12">
        <f t="shared" si="2515"/>
        <v>2.8795811518324606E-2</v>
      </c>
      <c r="BG281" s="13"/>
      <c r="BH281" s="11"/>
      <c r="BI281" s="39"/>
      <c r="BJ281" s="43">
        <v>100</v>
      </c>
      <c r="BK281" s="10">
        <v>1</v>
      </c>
      <c r="BL281" s="11"/>
      <c r="BM281" s="69">
        <f t="shared" si="2566"/>
        <v>798</v>
      </c>
      <c r="BN281" s="69">
        <f t="shared" si="2567"/>
        <v>62</v>
      </c>
      <c r="BO281" s="11">
        <v>374</v>
      </c>
      <c r="BP281" s="12">
        <f t="shared" si="2516"/>
        <v>0.48120300751879697</v>
      </c>
      <c r="BQ281" s="11">
        <v>10</v>
      </c>
      <c r="BR281" s="12">
        <f t="shared" si="2517"/>
        <v>2.6041666666666668E-2</v>
      </c>
      <c r="BS281" s="13"/>
      <c r="BT281" s="11"/>
      <c r="BU281" s="39"/>
      <c r="BV281" s="43">
        <v>100</v>
      </c>
      <c r="BW281" s="10">
        <v>1</v>
      </c>
      <c r="BX281" s="11"/>
      <c r="BY281" s="69">
        <f t="shared" si="2568"/>
        <v>735</v>
      </c>
      <c r="BZ281" s="69">
        <f t="shared" si="2569"/>
        <v>59</v>
      </c>
      <c r="CA281" s="11">
        <v>365</v>
      </c>
      <c r="CB281" s="12">
        <f t="shared" si="2518"/>
        <v>0.51428571428571423</v>
      </c>
      <c r="CC281" s="11">
        <v>13</v>
      </c>
      <c r="CD281" s="12">
        <f t="shared" si="2519"/>
        <v>3.439153439153439E-2</v>
      </c>
      <c r="CE281" s="13"/>
      <c r="CF281" s="11"/>
      <c r="CG281" s="39"/>
      <c r="CH281" s="43">
        <v>100</v>
      </c>
      <c r="CI281" s="10"/>
      <c r="CJ281" s="11"/>
      <c r="CK281" s="69">
        <f t="shared" si="2570"/>
        <v>126</v>
      </c>
      <c r="CL281" s="69">
        <f t="shared" si="2571"/>
        <v>12</v>
      </c>
      <c r="CM281" s="11">
        <v>59</v>
      </c>
      <c r="CN281" s="12">
        <f t="shared" si="2520"/>
        <v>0.48412698412698413</v>
      </c>
      <c r="CO281" s="11">
        <v>2</v>
      </c>
      <c r="CP281" s="12">
        <f t="shared" si="2521"/>
        <v>3.2786885245901641E-2</v>
      </c>
      <c r="CQ281" s="13"/>
      <c r="CR281" s="11"/>
      <c r="CS281" s="39"/>
      <c r="CT281" s="43">
        <v>100</v>
      </c>
      <c r="CU281" s="10"/>
      <c r="CV281" s="11"/>
      <c r="CW281" s="69">
        <f t="shared" si="2572"/>
        <v>727</v>
      </c>
      <c r="CX281" s="69">
        <f t="shared" si="2573"/>
        <v>59</v>
      </c>
      <c r="CY281" s="11">
        <v>351</v>
      </c>
      <c r="CZ281" s="12">
        <f t="shared" si="2522"/>
        <v>0.48830811554332876</v>
      </c>
      <c r="DA281" s="11">
        <v>4</v>
      </c>
      <c r="DB281" s="12">
        <f t="shared" si="2523"/>
        <v>1.1267605633802818E-2</v>
      </c>
      <c r="DC281" s="13"/>
      <c r="DD281" s="11"/>
      <c r="DE281" s="39"/>
      <c r="DF281" s="43">
        <v>100</v>
      </c>
      <c r="DG281" s="10"/>
      <c r="DH281" s="11"/>
      <c r="DI281" s="69">
        <f t="shared" si="2574"/>
        <v>725</v>
      </c>
      <c r="DJ281" s="69">
        <f t="shared" si="2575"/>
        <v>59</v>
      </c>
      <c r="DK281" s="11">
        <v>387</v>
      </c>
      <c r="DL281" s="12">
        <f t="shared" si="2524"/>
        <v>0.55448275862068963</v>
      </c>
      <c r="DM281" s="11">
        <v>15</v>
      </c>
      <c r="DN281" s="12">
        <f t="shared" si="2525"/>
        <v>3.7313432835820892E-2</v>
      </c>
      <c r="DO281" s="13"/>
      <c r="DP281" s="11"/>
      <c r="DQ281" s="39"/>
      <c r="DR281" s="43">
        <v>87.5</v>
      </c>
      <c r="DS281" s="10"/>
      <c r="DT281" s="11"/>
      <c r="DU281" s="69">
        <f t="shared" si="2576"/>
        <v>816</v>
      </c>
      <c r="DV281" s="69">
        <f t="shared" si="2577"/>
        <v>65</v>
      </c>
      <c r="DW281" s="11">
        <v>344</v>
      </c>
      <c r="DX281" s="12">
        <f t="shared" si="2526"/>
        <v>0.44117647058823528</v>
      </c>
      <c r="DY281" s="11">
        <v>16</v>
      </c>
      <c r="DZ281" s="12">
        <f t="shared" si="2527"/>
        <v>4.4444444444444446E-2</v>
      </c>
      <c r="EA281" s="13"/>
      <c r="EB281" s="11"/>
      <c r="EC281" s="39"/>
      <c r="ED281" s="43">
        <v>86.67</v>
      </c>
      <c r="EE281" s="10"/>
      <c r="EF281" s="11"/>
      <c r="EG281" s="69">
        <f t="shared" si="2578"/>
        <v>839</v>
      </c>
      <c r="EH281" s="69">
        <f t="shared" si="2579"/>
        <v>67</v>
      </c>
      <c r="EI281" s="11">
        <v>379</v>
      </c>
      <c r="EJ281" s="12">
        <f t="shared" si="2528"/>
        <v>0.46841477949940408</v>
      </c>
      <c r="EK281" s="11">
        <v>14</v>
      </c>
      <c r="EL281" s="12">
        <f t="shared" si="2529"/>
        <v>3.5623409669211195E-2</v>
      </c>
      <c r="EM281" s="13"/>
      <c r="EN281" s="11"/>
      <c r="EO281" s="39"/>
      <c r="EP281" s="43">
        <v>100</v>
      </c>
      <c r="EQ281" s="10"/>
      <c r="ER281" s="11"/>
      <c r="ES281" s="69">
        <f t="shared" si="2580"/>
        <v>161</v>
      </c>
      <c r="ET281" s="69">
        <f t="shared" si="2581"/>
        <v>14</v>
      </c>
      <c r="EU281" s="11">
        <v>65</v>
      </c>
      <c r="EV281" s="12">
        <f t="shared" si="2530"/>
        <v>0.42857142857142855</v>
      </c>
      <c r="EW281" s="11">
        <v>4</v>
      </c>
      <c r="EX281" s="12">
        <f t="shared" si="2531"/>
        <v>5.7971014492753624E-2</v>
      </c>
      <c r="EY281" s="13"/>
      <c r="EZ281" s="11"/>
      <c r="FA281" s="39"/>
      <c r="FB281" s="43">
        <v>100</v>
      </c>
      <c r="FC281" s="10"/>
      <c r="FD281" s="11"/>
      <c r="FE281" s="69">
        <f t="shared" si="2582"/>
        <v>845</v>
      </c>
      <c r="FF281" s="69">
        <f t="shared" si="2583"/>
        <v>67</v>
      </c>
      <c r="FG281" s="11">
        <v>393</v>
      </c>
      <c r="FH281" s="12">
        <f t="shared" si="2532"/>
        <v>0.48165680473372779</v>
      </c>
      <c r="FI281" s="11">
        <v>14</v>
      </c>
      <c r="FJ281" s="12">
        <f t="shared" si="2533"/>
        <v>3.4398034398034398E-2</v>
      </c>
      <c r="FK281" s="13"/>
      <c r="FL281" s="11"/>
      <c r="FM281" s="39"/>
      <c r="FN281" s="43">
        <v>93.33</v>
      </c>
      <c r="FO281" s="10"/>
      <c r="FP281" s="11"/>
      <c r="FQ281" s="69">
        <f t="shared" si="2584"/>
        <v>858</v>
      </c>
      <c r="FR281" s="69">
        <f t="shared" si="2585"/>
        <v>70</v>
      </c>
      <c r="FS281" s="11">
        <v>363</v>
      </c>
      <c r="FT281" s="12">
        <f t="shared" si="2534"/>
        <v>0.44988344988344986</v>
      </c>
      <c r="FU281" s="11">
        <v>23</v>
      </c>
      <c r="FV281" s="12">
        <f t="shared" si="2535"/>
        <v>5.9585492227979271E-2</v>
      </c>
      <c r="FW281" s="13"/>
      <c r="FX281" s="11"/>
      <c r="FY281" s="39"/>
      <c r="FZ281" s="43">
        <v>94.12</v>
      </c>
      <c r="GA281" s="10"/>
      <c r="GB281" s="11"/>
      <c r="GC281" s="69">
        <f t="shared" si="2586"/>
        <v>868</v>
      </c>
      <c r="GD281" s="69">
        <f t="shared" si="2587"/>
        <v>71</v>
      </c>
      <c r="GE281" s="11">
        <v>401</v>
      </c>
      <c r="GF281" s="12">
        <f t="shared" si="2536"/>
        <v>0.4838709677419355</v>
      </c>
      <c r="GG281" s="11">
        <v>19</v>
      </c>
      <c r="GH281" s="12">
        <f t="shared" si="2537"/>
        <v>4.5238095238095237E-2</v>
      </c>
      <c r="GI281" s="13"/>
      <c r="GJ281" s="11"/>
      <c r="GK281" s="39"/>
      <c r="GL281" s="43">
        <v>100</v>
      </c>
      <c r="GM281" s="10"/>
      <c r="GN281" s="11"/>
      <c r="GO281" s="69">
        <f t="shared" si="2588"/>
        <v>137</v>
      </c>
      <c r="GP281" s="69">
        <f t="shared" si="2589"/>
        <v>12</v>
      </c>
      <c r="GQ281" s="11">
        <v>44</v>
      </c>
      <c r="GR281" s="12">
        <f t="shared" si="2538"/>
        <v>0.35766423357664234</v>
      </c>
      <c r="GS281" s="11">
        <v>5</v>
      </c>
      <c r="GT281" s="12">
        <f t="shared" si="2539"/>
        <v>0.10204081632653061</v>
      </c>
      <c r="GU281" s="13"/>
      <c r="GV281" s="11"/>
      <c r="GW281" s="39"/>
      <c r="GX281" s="43">
        <v>100</v>
      </c>
      <c r="GY281" s="10"/>
      <c r="GZ281" s="11"/>
      <c r="HA281" s="69">
        <f t="shared" si="2590"/>
        <v>896</v>
      </c>
      <c r="HB281" s="69">
        <f t="shared" si="2591"/>
        <v>72</v>
      </c>
      <c r="HC281" s="11">
        <v>428</v>
      </c>
      <c r="HD281" s="12">
        <f t="shared" si="2540"/>
        <v>0.5022321428571429</v>
      </c>
      <c r="HE281" s="11">
        <v>22</v>
      </c>
      <c r="HF281" s="12">
        <f t="shared" si="2541"/>
        <v>4.8888888888888891E-2</v>
      </c>
      <c r="HG281" s="13"/>
      <c r="HH281" s="11"/>
      <c r="HI281" s="39"/>
      <c r="HJ281" s="43">
        <v>92.86</v>
      </c>
      <c r="HK281" s="10">
        <f t="shared" si="2542"/>
        <v>4</v>
      </c>
      <c r="HL281" s="11">
        <f t="shared" si="2543"/>
        <v>0</v>
      </c>
      <c r="HM281" s="11">
        <f t="shared" si="2544"/>
        <v>11728</v>
      </c>
      <c r="HN281" s="11">
        <f t="shared" si="2545"/>
        <v>946</v>
      </c>
      <c r="HO281" s="11">
        <f t="shared" si="2546"/>
        <v>5723</v>
      </c>
      <c r="HP281" s="95">
        <f t="shared" si="2547"/>
        <v>0.48797748976807642</v>
      </c>
      <c r="HQ281" s="15">
        <f t="shared" si="2548"/>
        <v>197</v>
      </c>
      <c r="HR281" s="12">
        <f t="shared" si="2549"/>
        <v>3.4422505678839768E-2</v>
      </c>
      <c r="HS281" s="16">
        <v>67.7</v>
      </c>
      <c r="HT281" s="17">
        <v>5437</v>
      </c>
      <c r="HU281" s="16">
        <f t="shared" si="2550"/>
        <v>95.002621002970471</v>
      </c>
      <c r="HV281" s="23"/>
      <c r="HW281" s="22">
        <v>90.91</v>
      </c>
      <c r="HX281" s="73">
        <f t="shared" si="2551"/>
        <v>0.5032843290584923</v>
      </c>
      <c r="HY281" s="73">
        <f t="shared" si="2552"/>
        <v>0.507875281260045</v>
      </c>
      <c r="HZ281" s="73">
        <f t="shared" si="2553"/>
        <v>0.4618564449455092</v>
      </c>
      <c r="IA281" s="73">
        <f t="shared" si="2554"/>
        <v>0.4729974628488583</v>
      </c>
      <c r="IF281" s="85">
        <f>IF282/IF283</f>
        <v>2.8072364316905803E-3</v>
      </c>
      <c r="IG281" s="85">
        <f>IG282/IG283</f>
        <v>2.5649246553382495E-3</v>
      </c>
      <c r="IH281" s="85">
        <f>IH282/IH283</f>
        <v>2.2497187851518562E-3</v>
      </c>
      <c r="II281" s="85">
        <f>II282/II283</f>
        <v>1.4477017734346724E-3</v>
      </c>
      <c r="IJ281" s="88" t="s">
        <v>90</v>
      </c>
    </row>
    <row r="282" spans="1:244" ht="19.5" thickBot="1" x14ac:dyDescent="0.3">
      <c r="A282" s="374"/>
      <c r="B282" s="42"/>
      <c r="C282" s="26">
        <f>SUM(C275:C281)</f>
        <v>3</v>
      </c>
      <c r="D282" s="27">
        <f>SUM(D275:D281)</f>
        <v>0</v>
      </c>
      <c r="E282" s="27"/>
      <c r="F282" s="27"/>
      <c r="G282" s="27">
        <f>SUM(G275:G281)</f>
        <v>2656</v>
      </c>
      <c r="H282" s="28">
        <f>((G282+I282)/7)/E281</f>
        <v>0.48161244695898164</v>
      </c>
      <c r="I282" s="27">
        <f>SUM(I275:I281)</f>
        <v>68</v>
      </c>
      <c r="J282" s="28">
        <f>(I282/(I282+G282))</f>
        <v>2.4963289280469897E-2</v>
      </c>
      <c r="K282" s="27"/>
      <c r="L282" s="27"/>
      <c r="M282" s="29" t="e">
        <f>M280/M279*100-100</f>
        <v>#DIV/0!</v>
      </c>
      <c r="N282" s="67">
        <f>N280/N279*100-100</f>
        <v>5.3142227122381342</v>
      </c>
      <c r="O282" s="26">
        <f>SUM(O275:O281)</f>
        <v>0</v>
      </c>
      <c r="P282" s="27">
        <f>SUM(P275:P281)</f>
        <v>1</v>
      </c>
      <c r="Q282" s="27"/>
      <c r="R282" s="27"/>
      <c r="S282" s="27">
        <f>SUM(S275:S281)</f>
        <v>2414</v>
      </c>
      <c r="T282" s="28">
        <f>((S282+U282)/7)/Q281</f>
        <v>0.47842761265580058</v>
      </c>
      <c r="U282" s="27">
        <f>SUM(U275:U281)</f>
        <v>81</v>
      </c>
      <c r="V282" s="28">
        <f>(U282/(U282+S282))</f>
        <v>3.2464929859719438E-2</v>
      </c>
      <c r="W282" s="27"/>
      <c r="X282" s="27"/>
      <c r="Y282" s="29" t="e">
        <f>Y280/Y279*100-100</f>
        <v>#DIV/0!</v>
      </c>
      <c r="Z282" s="67">
        <f>Z280/Z279*100-100</f>
        <v>5.2738699007717713</v>
      </c>
      <c r="AA282" s="26">
        <f>SUM(AA275:AA281)</f>
        <v>2</v>
      </c>
      <c r="AB282" s="27">
        <f>SUM(AB275:AB281)</f>
        <v>0</v>
      </c>
      <c r="AC282" s="27"/>
      <c r="AD282" s="27"/>
      <c r="AE282" s="27">
        <f>SUM(AE275:AE281)</f>
        <v>490</v>
      </c>
      <c r="AF282" s="28">
        <f>((AE282+AG282)/7)/AC281</f>
        <v>0.47058823529411764</v>
      </c>
      <c r="AG282" s="27">
        <f>SUM(AG275:AG281)</f>
        <v>14</v>
      </c>
      <c r="AH282" s="28">
        <f>(AG282/(AG282+AE282))</f>
        <v>2.7777777777777776E-2</v>
      </c>
      <c r="AI282" s="27"/>
      <c r="AJ282" s="27"/>
      <c r="AK282" s="29" t="e">
        <f>AK280/AK279*100-100</f>
        <v>#DIV/0!</v>
      </c>
      <c r="AL282" s="67">
        <f>AL280/AL279*100-100</f>
        <v>0.71664829106946115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2493</v>
      </c>
      <c r="AR282" s="28">
        <f>((AQ282+AS282)/7)/AO281</f>
        <v>0.4908326967150497</v>
      </c>
      <c r="AS282" s="27">
        <f>SUM(AS275:AS281)</f>
        <v>77</v>
      </c>
      <c r="AT282" s="28">
        <f>(AS282/(AS282+AQ282))</f>
        <v>2.9961089494163425E-2</v>
      </c>
      <c r="AU282" s="27"/>
      <c r="AV282" s="27"/>
      <c r="AW282" s="29" t="e">
        <f>AW280/AW279*100-100</f>
        <v>#DIV/0!</v>
      </c>
      <c r="AX282" s="67">
        <f>AX280/AX279*100-100</f>
        <v>6.8136714443219404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2553</v>
      </c>
      <c r="BD282" s="28">
        <f>((BC282+BE282)/7)/BA281</f>
        <v>0.50413382041915011</v>
      </c>
      <c r="BE282" s="27">
        <f>SUM(BE275:BE281)</f>
        <v>69</v>
      </c>
      <c r="BF282" s="28">
        <f>(BE282/(BE282+BC282))</f>
        <v>2.6315789473684209E-2</v>
      </c>
      <c r="BG282" s="27"/>
      <c r="BH282" s="27"/>
      <c r="BI282" s="29" t="e">
        <f>BI280/BI279*100-100</f>
        <v>#DIV/0!</v>
      </c>
      <c r="BJ282" s="67">
        <f>BJ280/BJ279*100-100</f>
        <v>12.127894156560075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2573</v>
      </c>
      <c r="BP282" s="28">
        <f>((BO282+BQ282)/7)/BM281</f>
        <v>0.47744360902255639</v>
      </c>
      <c r="BQ282" s="27">
        <f>SUM(BQ275:BQ281)</f>
        <v>94</v>
      </c>
      <c r="BR282" s="28">
        <f>(BQ282/(BQ282+BO282))</f>
        <v>3.5245594300712411E-2</v>
      </c>
      <c r="BS282" s="27"/>
      <c r="BT282" s="27"/>
      <c r="BU282" s="29" t="e">
        <f>BU280/BU279*100-100</f>
        <v>#DIV/0!</v>
      </c>
      <c r="BV282" s="67">
        <f>BV280/BV279*100-100</f>
        <v>2.8035281146637345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2293</v>
      </c>
      <c r="CB282" s="28">
        <f>((CA282+CC282)/7)/BY281</f>
        <v>0.46141885325558796</v>
      </c>
      <c r="CC282" s="27">
        <f>SUM(CC275:CC281)</f>
        <v>81</v>
      </c>
      <c r="CD282" s="28">
        <f>(CC282/(CC282+CA282))</f>
        <v>3.4119629317607411E-2</v>
      </c>
      <c r="CE282" s="27"/>
      <c r="CF282" s="27"/>
      <c r="CG282" s="29" t="e">
        <f>CG280/CG279*100-100</f>
        <v>#DIV/0!</v>
      </c>
      <c r="CH282" s="67">
        <f>CH280/CH279*100-100</f>
        <v>6.6224917309812668</v>
      </c>
      <c r="CI282" s="26">
        <f>SUM(CI275:CI281)</f>
        <v>1</v>
      </c>
      <c r="CJ282" s="27">
        <f>SUM(CJ275:CJ281)</f>
        <v>0</v>
      </c>
      <c r="CK282" s="27"/>
      <c r="CL282" s="27"/>
      <c r="CM282" s="27">
        <f>SUM(CM275:CM281)</f>
        <v>390</v>
      </c>
      <c r="CN282" s="28">
        <f>((CM282+CO282)/7)/CK281</f>
        <v>0.47959183673469391</v>
      </c>
      <c r="CO282" s="27">
        <f>SUM(CO275:CO281)</f>
        <v>33</v>
      </c>
      <c r="CP282" s="28">
        <f>(CO282/(CO282+CM282))</f>
        <v>7.8014184397163122E-2</v>
      </c>
      <c r="CQ282" s="27"/>
      <c r="CR282" s="27"/>
      <c r="CS282" s="29" t="e">
        <f>CS280/CS279*100-100</f>
        <v>#DIV/0!</v>
      </c>
      <c r="CT282" s="67">
        <f>CT280/CT279*100-100</f>
        <v>4.5203969128996704</v>
      </c>
      <c r="CU282" s="26">
        <f>SUM(CU275:CU281)</f>
        <v>4</v>
      </c>
      <c r="CV282" s="27">
        <f>SUM(CV275:CV281)</f>
        <v>0</v>
      </c>
      <c r="CW282" s="27"/>
      <c r="CX282" s="27"/>
      <c r="CY282" s="27">
        <f>SUM(CY275:CY281)</f>
        <v>2285</v>
      </c>
      <c r="CZ282" s="28">
        <f>((CY282+DA282)/7)/CW281</f>
        <v>0.45942228335625862</v>
      </c>
      <c r="DA282" s="27">
        <f>SUM(DA275:DA281)</f>
        <v>53</v>
      </c>
      <c r="DB282" s="28">
        <f>(DA282/(DA282+CY282))</f>
        <v>2.2668947818648418E-2</v>
      </c>
      <c r="DC282" s="27"/>
      <c r="DD282" s="27"/>
      <c r="DE282" s="29" t="e">
        <f>DE280/DE279*100-100</f>
        <v>#DIV/0!</v>
      </c>
      <c r="DF282" s="67">
        <f>DF280/DF279*100-100</f>
        <v>8.201102535832419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2545</v>
      </c>
      <c r="DL282" s="28">
        <f>((DK282+DM282)/7)/DI281</f>
        <v>0.51448275862068971</v>
      </c>
      <c r="DM282" s="27">
        <f>SUM(DM275:DM281)</f>
        <v>66</v>
      </c>
      <c r="DN282" s="28">
        <f>(DM282/(DM282+DK282))</f>
        <v>2.5277671390271927E-2</v>
      </c>
      <c r="DO282" s="27"/>
      <c r="DP282" s="27"/>
      <c r="DQ282" s="29" t="e">
        <f>DQ280/DQ279*100-100</f>
        <v>#DIV/0!</v>
      </c>
      <c r="DR282" s="67">
        <f>DR280/DR279*100-100</f>
        <v>12.748180815876523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2586</v>
      </c>
      <c r="DX282" s="28">
        <f>((DW282+DY282)/7)/DU281</f>
        <v>0.47706582633053218</v>
      </c>
      <c r="DY282" s="27">
        <f>SUM(DY275:DY281)</f>
        <v>139</v>
      </c>
      <c r="DZ282" s="28">
        <f>(DY282/(DY282+DW282))</f>
        <v>5.1009174311926607E-2</v>
      </c>
      <c r="EA282" s="27"/>
      <c r="EB282" s="27"/>
      <c r="EC282" s="29" t="e">
        <f>EC280/EC279*100-100</f>
        <v>#DIV/0!</v>
      </c>
      <c r="ED282" s="67">
        <f>ED280/ED279*100-100</f>
        <v>7.2987872105843508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2743</v>
      </c>
      <c r="EJ282" s="28">
        <f>((EI282+EK282)/7)/EG281</f>
        <v>0.48424995743231736</v>
      </c>
      <c r="EK282" s="27">
        <f>SUM(EK275:EK281)</f>
        <v>101</v>
      </c>
      <c r="EL282" s="28">
        <f>(EK282/(EK282+EI282))</f>
        <v>3.551336146272855E-2</v>
      </c>
      <c r="EM282" s="27"/>
      <c r="EN282" s="27"/>
      <c r="EO282" s="29" t="e">
        <f>EO280/EO279*100-100</f>
        <v>#DIV/0!</v>
      </c>
      <c r="EP282" s="67">
        <f>EP280/EP279*100-100</f>
        <v>10.779492833517097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421</v>
      </c>
      <c r="EV282" s="28">
        <f>((EU282+EW282)/7)/ES281</f>
        <v>0.40905057675244011</v>
      </c>
      <c r="EW282" s="27">
        <f>SUM(EW275:EW281)</f>
        <v>40</v>
      </c>
      <c r="EX282" s="28">
        <f>(EW282/(EW282+EU282))</f>
        <v>8.6767895878524945E-2</v>
      </c>
      <c r="EY282" s="27"/>
      <c r="EZ282" s="27"/>
      <c r="FA282" s="29" t="e">
        <f>FA280/FA279*100-100</f>
        <v>#DIV/0!</v>
      </c>
      <c r="FB282" s="67">
        <f>FB280/FB279*100-100</f>
        <v>-2.5358324145534681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2864</v>
      </c>
      <c r="FH282" s="28">
        <f>((FG282+FI282)/7)/FE281</f>
        <v>0.50042265426880805</v>
      </c>
      <c r="FI282" s="27">
        <f>SUM(FI275:FI281)</f>
        <v>96</v>
      </c>
      <c r="FJ282" s="28">
        <f>(FI282/(FI282+FG282))</f>
        <v>3.2432432432432434E-2</v>
      </c>
      <c r="FK282" s="27"/>
      <c r="FL282" s="27"/>
      <c r="FM282" s="29" t="e">
        <f>FM280/FM279*100-100</f>
        <v>#DIV/0!</v>
      </c>
      <c r="FN282" s="67">
        <f>FN280/FN279*100-100</f>
        <v>8.4748254244762791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2779</v>
      </c>
      <c r="FT282" s="28">
        <f>((FS282+FU282)/7)/FQ281</f>
        <v>0.48551448551448551</v>
      </c>
      <c r="FU282" s="27">
        <f>SUM(FU275:FU281)</f>
        <v>137</v>
      </c>
      <c r="FV282" s="28">
        <f>(FU282/(FU282+FS282))</f>
        <v>4.698216735253772E-2</v>
      </c>
      <c r="FW282" s="27"/>
      <c r="FX282" s="27"/>
      <c r="FY282" s="29" t="e">
        <f>FY280/FY279*100-100</f>
        <v>#DIV/0!</v>
      </c>
      <c r="FZ282" s="67">
        <f>FZ280/FZ279*100-100</f>
        <v>7.4648291069459702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2891</v>
      </c>
      <c r="GF282" s="28">
        <f>((GE282+GG282)/7)/GC281</f>
        <v>0.49687294272547727</v>
      </c>
      <c r="GG282" s="27">
        <f>SUM(GG275:GG281)</f>
        <v>128</v>
      </c>
      <c r="GH282" s="28">
        <f>(GG282/(GG282+GE282))</f>
        <v>4.2398145081152701E-2</v>
      </c>
      <c r="GI282" s="27"/>
      <c r="GJ282" s="27"/>
      <c r="GK282" s="29" t="e">
        <f>GK280/GK279*100-100</f>
        <v>#DIV/0!</v>
      </c>
      <c r="GL282" s="67">
        <f>GL280/GL279*100-100</f>
        <v>2.8193416317530335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348</v>
      </c>
      <c r="GR282" s="28">
        <f>((GQ282+GS282)/7)/GO281</f>
        <v>0.40145985401459855</v>
      </c>
      <c r="GS282" s="27">
        <f>SUM(GS275:GS281)</f>
        <v>37</v>
      </c>
      <c r="GT282" s="28">
        <f>(GS282/(GS282+GQ282))</f>
        <v>9.6103896103896108E-2</v>
      </c>
      <c r="GU282" s="27"/>
      <c r="GV282" s="27"/>
      <c r="GW282" s="29" t="e">
        <f>GW280/GW279*100-100</f>
        <v>#DIV/0!</v>
      </c>
      <c r="GX282" s="67">
        <f>GX280/GX279*100-100</f>
        <v>-0.49614112458654347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3102</v>
      </c>
      <c r="HD282" s="28">
        <f>((HC282+HE282)/7)/HA281</f>
        <v>0.51403061224489799</v>
      </c>
      <c r="HE282" s="27">
        <f>SUM(HE275:HE281)</f>
        <v>122</v>
      </c>
      <c r="HF282" s="28">
        <f>(HE282/(HE282+HC282))</f>
        <v>3.7841191066997522E-2</v>
      </c>
      <c r="HG282" s="27"/>
      <c r="HH282" s="27"/>
      <c r="HI282" s="29" t="e">
        <f>HI280/HI279*100-100</f>
        <v>#DIV/0!</v>
      </c>
      <c r="HJ282" s="67">
        <f>HJ280/HJ279*100-100</f>
        <v>9.9543550165380452</v>
      </c>
      <c r="HK282" s="26">
        <f t="shared" si="2542"/>
        <v>27</v>
      </c>
      <c r="HL282" s="27">
        <f t="shared" si="2543"/>
        <v>1</v>
      </c>
      <c r="HM282" s="27">
        <f t="shared" si="2544"/>
        <v>0</v>
      </c>
      <c r="HN282" s="27">
        <f t="shared" si="2545"/>
        <v>0</v>
      </c>
      <c r="HO282" s="27">
        <f t="shared" si="2546"/>
        <v>39862</v>
      </c>
      <c r="HP282" s="96">
        <f>+((HO282)/HM281)/7</f>
        <v>0.48555349834340283</v>
      </c>
      <c r="HQ282" s="62">
        <f t="shared" si="2548"/>
        <v>1436</v>
      </c>
      <c r="HR282" s="52">
        <f t="shared" si="2549"/>
        <v>3.6024283779037679E-2</v>
      </c>
      <c r="HS282" s="53">
        <f>SUM(HS275:HS281)/7</f>
        <v>67.528571428571425</v>
      </c>
      <c r="HT282" s="54">
        <f>SUM(HT275:HT281)</f>
        <v>37554</v>
      </c>
      <c r="HU282" s="53">
        <f>AVERAGE(HU275:HU281)</f>
        <v>94.201573668724492</v>
      </c>
      <c r="HV282" s="63" t="e">
        <f>HV280/HV279*100-100</f>
        <v>#DIV/0!</v>
      </c>
      <c r="HW282" s="67">
        <f>HW280/HW279*100-100</f>
        <v>7.1805953693495184</v>
      </c>
      <c r="HX282" s="73">
        <f>SUM(G282,I282,S282,U282,AE282,AG282,AQ282,AS282,BC282,BE282)/7/SUM(E281,Q281,AC281,AO281,BA281)</f>
        <v>0.48773403637338575</v>
      </c>
      <c r="HY282" s="73">
        <f>SUM(BO282,BQ282,CA282,CC282,CM282,CO282,CY282,DA282,DK282,DM282)/7/SUM(BM281,BY281,CK281,CW281,DI281)</f>
        <v>0.47816503650640585</v>
      </c>
      <c r="HZ282" s="73">
        <f>SUM(DW282,DY282,EI282,EK282,EU282,EW282,FG282,FI282)/7/SUM(DU281,EG281,ES281,FE281)</f>
        <v>0.48263273742416918</v>
      </c>
      <c r="IA282" s="73">
        <f>SUM(FS282,FU282,GE282,GG282,GQ282,GS282,HC282,HE282)/7/SUM(FQ281,GC281,GO281,HA281)</f>
        <v>0.4941749080929943</v>
      </c>
      <c r="IB282" s="84">
        <f>SUM(I282,U282,AG282,AS282,BE282)/SUM(G282,I282,S282,U282,AE282,AG282,AQ282,AS282,BC282,BE282)</f>
        <v>2.8309665597801192E-2</v>
      </c>
      <c r="IC282" s="84">
        <f>SUM(BQ282,CC282,CO282,DA282,DM282)/SUM(BO282,BQ282,CA282,CC282,CM282,CO282,CY282,DA282,DK282,DM282)</f>
        <v>3.140305387496399E-2</v>
      </c>
      <c r="ID282" s="84">
        <f>SUM(DY282,EK282,EW282,FI282)/SUM(DW282,DY282,EI282,EK282,EU282,EW282,FG282,FI282)</f>
        <v>4.1824249165739708E-2</v>
      </c>
      <c r="IE282" s="84">
        <f>SUM(FU282,GG282,GS282,HE282)/SUM(FS282,FU282,GE282,GG282,GQ282,GS282,HC282,HE282)</f>
        <v>4.4425817267393128E-2</v>
      </c>
      <c r="IF282" s="86">
        <f>SUM(C282,O282,AA282,AM282,AY282)</f>
        <v>9</v>
      </c>
      <c r="IG282" s="86">
        <f>SUM(BK282,BW282,CI282,CU282,DG282)</f>
        <v>8</v>
      </c>
      <c r="IH282" s="86">
        <f>SUM(DS282,EE282,EQ282,FC282)</f>
        <v>6</v>
      </c>
      <c r="II282" s="86">
        <f>SUM(FO282,GA282,GM282,GY282)</f>
        <v>4</v>
      </c>
      <c r="IJ282" s="88" t="s">
        <v>89</v>
      </c>
    </row>
    <row r="283" spans="1:244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HK282/HM275</f>
        <v>2.2970903522205209E-3</v>
      </c>
      <c r="HL283" s="66">
        <f>HL282/HN275</f>
        <v>1.0570824524312897E-3</v>
      </c>
      <c r="HM283" s="45"/>
      <c r="HN283" s="45"/>
      <c r="HO283" s="45"/>
      <c r="HP283" s="98"/>
      <c r="HQ283" s="45"/>
      <c r="HR283" s="45"/>
      <c r="HS283" s="45"/>
      <c r="HT283" s="55"/>
      <c r="HU283" s="45"/>
      <c r="HV283" s="45"/>
      <c r="HW283" s="46"/>
      <c r="HY283" s="72"/>
      <c r="HZ283" s="72"/>
      <c r="IA283" s="72"/>
      <c r="IF283" s="86">
        <f>SUM(E272,Q272,AC272,AO272,BA272)</f>
        <v>3206</v>
      </c>
      <c r="IG283" s="86">
        <f>SUM(BM272,BY272,CK272,CW272,DI272)</f>
        <v>3119</v>
      </c>
      <c r="IH283" s="86">
        <f>SUM(DU272,EG272,ES272,FE272)</f>
        <v>2667</v>
      </c>
      <c r="II283" s="86">
        <f>SUM(FQ272,GC272,GO272,HA272)</f>
        <v>2763</v>
      </c>
      <c r="IJ283" s="88" t="s">
        <v>84</v>
      </c>
    </row>
    <row r="284" spans="1:244" x14ac:dyDescent="0.25">
      <c r="A284" s="373">
        <v>56</v>
      </c>
      <c r="B284" s="68">
        <f>B281+1</f>
        <v>45158</v>
      </c>
      <c r="C284" s="33"/>
      <c r="D284" s="34"/>
      <c r="E284" s="34">
        <f>E281-C284</f>
        <v>808</v>
      </c>
      <c r="F284" s="34">
        <f>F281-D284</f>
        <v>64</v>
      </c>
      <c r="G284" s="34">
        <v>363</v>
      </c>
      <c r="H284" s="35">
        <f t="shared" ref="H284:H290" si="2592">((G284+I284)/E284)</f>
        <v>0.46534653465346537</v>
      </c>
      <c r="I284" s="34">
        <v>13</v>
      </c>
      <c r="J284" s="35">
        <f t="shared" ref="J284:J290" si="2593">I284/(G284+I284)</f>
        <v>3.4574468085106384E-2</v>
      </c>
      <c r="K284" s="36"/>
      <c r="L284" s="34"/>
      <c r="M284" s="34"/>
      <c r="N284" s="37"/>
      <c r="O284" s="33">
        <v>1</v>
      </c>
      <c r="P284" s="34"/>
      <c r="Q284" s="34">
        <f>Q281-O284</f>
        <v>744</v>
      </c>
      <c r="R284" s="34">
        <f>R281-P284</f>
        <v>59</v>
      </c>
      <c r="S284" s="34">
        <v>354</v>
      </c>
      <c r="T284" s="35">
        <f t="shared" ref="T284:T290" si="2594">((S284+U284)/Q284)</f>
        <v>0.48521505376344087</v>
      </c>
      <c r="U284" s="34">
        <v>7</v>
      </c>
      <c r="V284" s="35">
        <f t="shared" ref="V284:V290" si="2595">U284/(S284+U284)</f>
        <v>1.9390581717451522E-2</v>
      </c>
      <c r="W284" s="36"/>
      <c r="X284" s="34"/>
      <c r="Y284" s="34"/>
      <c r="Z284" s="37"/>
      <c r="AA284" s="33"/>
      <c r="AB284" s="34"/>
      <c r="AC284" s="34">
        <f>AC281-AA284</f>
        <v>153</v>
      </c>
      <c r="AD284" s="34">
        <f>AD281-AB284</f>
        <v>13</v>
      </c>
      <c r="AE284" s="34">
        <v>67</v>
      </c>
      <c r="AF284" s="35">
        <f t="shared" ref="AF284:AF290" si="2596">((AE284+AG284)/AC284)</f>
        <v>0.43790849673202614</v>
      </c>
      <c r="AG284" s="34">
        <v>0</v>
      </c>
      <c r="AH284" s="35">
        <f t="shared" ref="AH284:AH290" si="2597">AG284/(AE284+AG284)</f>
        <v>0</v>
      </c>
      <c r="AI284" s="36"/>
      <c r="AJ284" s="34"/>
      <c r="AK284" s="34"/>
      <c r="AL284" s="37"/>
      <c r="AM284" s="33"/>
      <c r="AN284" s="34"/>
      <c r="AO284" s="34">
        <f>AO281-AM284</f>
        <v>748</v>
      </c>
      <c r="AP284" s="34">
        <f>AP281-AN284</f>
        <v>61</v>
      </c>
      <c r="AQ284" s="34">
        <v>358</v>
      </c>
      <c r="AR284" s="35">
        <f t="shared" ref="AR284:AR290" si="2598">((AQ284+AS284)/AO284)</f>
        <v>0.49866310160427807</v>
      </c>
      <c r="AS284" s="34">
        <v>15</v>
      </c>
      <c r="AT284" s="35">
        <f t="shared" ref="AT284:AT290" si="2599">AS284/(AQ284+AS284)</f>
        <v>4.0214477211796246E-2</v>
      </c>
      <c r="AU284" s="36"/>
      <c r="AV284" s="34"/>
      <c r="AW284" s="34"/>
      <c r="AX284" s="37"/>
      <c r="AY284" s="33"/>
      <c r="AZ284" s="34"/>
      <c r="BA284" s="34">
        <f>BA281-AY284</f>
        <v>743</v>
      </c>
      <c r="BB284" s="34">
        <f>BB281-AZ284</f>
        <v>60</v>
      </c>
      <c r="BC284" s="34">
        <v>364</v>
      </c>
      <c r="BD284" s="35">
        <f t="shared" ref="BD284:BD290" si="2600">((BC284+BE284)/BA284)</f>
        <v>0.49932705248990578</v>
      </c>
      <c r="BE284" s="34">
        <v>7</v>
      </c>
      <c r="BF284" s="35">
        <f t="shared" ref="BF284:BF290" si="2601">BE284/(BC284+BE284)</f>
        <v>1.8867924528301886E-2</v>
      </c>
      <c r="BG284" s="36"/>
      <c r="BH284" s="34"/>
      <c r="BI284" s="34"/>
      <c r="BJ284" s="37"/>
      <c r="BK284" s="33">
        <v>3</v>
      </c>
      <c r="BL284" s="34"/>
      <c r="BM284" s="34">
        <f>BM281-BK284</f>
        <v>795</v>
      </c>
      <c r="BN284" s="34">
        <f>BN281-BL284</f>
        <v>62</v>
      </c>
      <c r="BO284" s="34">
        <v>364</v>
      </c>
      <c r="BP284" s="35">
        <f t="shared" ref="BP284:BP290" si="2602">((BO284+BQ284)/BM284)</f>
        <v>0.47044025157232705</v>
      </c>
      <c r="BQ284" s="34">
        <v>10</v>
      </c>
      <c r="BR284" s="35">
        <f t="shared" ref="BR284:BR290" si="2603">BQ284/(BO284+BQ284)</f>
        <v>2.6737967914438502E-2</v>
      </c>
      <c r="BS284" s="36"/>
      <c r="BT284" s="34"/>
      <c r="BU284" s="34"/>
      <c r="BV284" s="37"/>
      <c r="BW284" s="33">
        <v>1</v>
      </c>
      <c r="BX284" s="34"/>
      <c r="BY284" s="34">
        <f>BY281-BW284</f>
        <v>734</v>
      </c>
      <c r="BZ284" s="34">
        <f>BZ281-BX284</f>
        <v>59</v>
      </c>
      <c r="CA284" s="34">
        <v>320</v>
      </c>
      <c r="CB284" s="35">
        <f t="shared" ref="CB284:CB290" si="2604">((CA284+CC284)/BY284)</f>
        <v>0.44686648501362397</v>
      </c>
      <c r="CC284" s="34">
        <v>8</v>
      </c>
      <c r="CD284" s="35">
        <f t="shared" ref="CD284:CD290" si="2605">CC284/(CA284+CC284)</f>
        <v>2.4390243902439025E-2</v>
      </c>
      <c r="CE284" s="36"/>
      <c r="CF284" s="34"/>
      <c r="CG284" s="34"/>
      <c r="CH284" s="37"/>
      <c r="CI284" s="33"/>
      <c r="CJ284" s="34"/>
      <c r="CK284" s="34">
        <f>CK281-CI284</f>
        <v>126</v>
      </c>
      <c r="CL284" s="34">
        <f>CL281-CJ284</f>
        <v>12</v>
      </c>
      <c r="CM284" s="34">
        <v>49</v>
      </c>
      <c r="CN284" s="35">
        <f t="shared" ref="CN284:CN290" si="2606">((CM284+CO284)/CK284)</f>
        <v>0.40476190476190477</v>
      </c>
      <c r="CO284" s="34">
        <v>2</v>
      </c>
      <c r="CP284" s="35">
        <f t="shared" ref="CP284:CP290" si="2607">CO284/(CM284+CO284)</f>
        <v>3.9215686274509803E-2</v>
      </c>
      <c r="CQ284" s="36"/>
      <c r="CR284" s="34"/>
      <c r="CS284" s="34"/>
      <c r="CT284" s="37"/>
      <c r="CU284" s="33"/>
      <c r="CV284" s="34"/>
      <c r="CW284" s="34">
        <f>CW281-CU284</f>
        <v>727</v>
      </c>
      <c r="CX284" s="34">
        <f>CX281-CV284</f>
        <v>59</v>
      </c>
      <c r="CY284" s="34">
        <v>338</v>
      </c>
      <c r="CZ284" s="35">
        <f t="shared" ref="CZ284:CZ290" si="2608">((CY284+DA284)/CW284)</f>
        <v>0.47867950481430538</v>
      </c>
      <c r="DA284" s="34">
        <v>10</v>
      </c>
      <c r="DB284" s="35">
        <f t="shared" ref="DB284:DB290" si="2609">DA284/(CY284+DA284)</f>
        <v>2.8735632183908046E-2</v>
      </c>
      <c r="DC284" s="36"/>
      <c r="DD284" s="34"/>
      <c r="DE284" s="34"/>
      <c r="DF284" s="37"/>
      <c r="DG284" s="33"/>
      <c r="DH284" s="34"/>
      <c r="DI284" s="34">
        <f>DI281-DG284</f>
        <v>725</v>
      </c>
      <c r="DJ284" s="34">
        <f>DJ281-DH284</f>
        <v>59</v>
      </c>
      <c r="DK284" s="34">
        <v>352</v>
      </c>
      <c r="DL284" s="35">
        <f t="shared" ref="DL284:DL290" si="2610">((DK284+DM284)/DI284)</f>
        <v>0.49655172413793103</v>
      </c>
      <c r="DM284" s="34">
        <v>8</v>
      </c>
      <c r="DN284" s="35">
        <f t="shared" ref="DN284:DN290" si="2611">DM284/(DK284+DM284)</f>
        <v>2.2222222222222223E-2</v>
      </c>
      <c r="DO284" s="36"/>
      <c r="DP284" s="34"/>
      <c r="DQ284" s="34"/>
      <c r="DR284" s="37"/>
      <c r="DS284" s="33"/>
      <c r="DT284" s="34"/>
      <c r="DU284" s="34">
        <f>DU281-DS284</f>
        <v>816</v>
      </c>
      <c r="DV284" s="34">
        <f>DV281-DT284</f>
        <v>65</v>
      </c>
      <c r="DW284" s="34">
        <v>349</v>
      </c>
      <c r="DX284" s="35">
        <f t="shared" ref="DX284:DX290" si="2612">((DW284+DY284)/DU284)</f>
        <v>0.4485294117647059</v>
      </c>
      <c r="DY284" s="34">
        <v>17</v>
      </c>
      <c r="DZ284" s="35">
        <f t="shared" ref="DZ284:DZ290" si="2613">DY284/(DW284+DY284)</f>
        <v>4.6448087431693992E-2</v>
      </c>
      <c r="EA284" s="36"/>
      <c r="EB284" s="34"/>
      <c r="EC284" s="34"/>
      <c r="ED284" s="37"/>
      <c r="EE284" s="33">
        <v>1</v>
      </c>
      <c r="EF284" s="34"/>
      <c r="EG284" s="34">
        <f>EG281-EE284</f>
        <v>838</v>
      </c>
      <c r="EH284" s="34">
        <f>EH281-EF284</f>
        <v>67</v>
      </c>
      <c r="EI284" s="34">
        <v>347</v>
      </c>
      <c r="EJ284" s="35">
        <f t="shared" ref="EJ284:EJ290" si="2614">((EI284+EK284)/EG284)</f>
        <v>0.43078758949880669</v>
      </c>
      <c r="EK284" s="34">
        <v>14</v>
      </c>
      <c r="EL284" s="35">
        <f t="shared" ref="EL284:EL290" si="2615">EK284/(EI284+EK284)</f>
        <v>3.8781163434903045E-2</v>
      </c>
      <c r="EM284" s="36"/>
      <c r="EN284" s="34"/>
      <c r="EO284" s="34"/>
      <c r="EP284" s="37"/>
      <c r="EQ284" s="33"/>
      <c r="ER284" s="34"/>
      <c r="ES284" s="34">
        <f>ES281-EQ284</f>
        <v>161</v>
      </c>
      <c r="ET284" s="34">
        <f>ET281-ER284</f>
        <v>14</v>
      </c>
      <c r="EU284" s="34">
        <v>64</v>
      </c>
      <c r="EV284" s="35">
        <f t="shared" ref="EV284:EV290" si="2616">((EU284+EW284)/ES284)</f>
        <v>0.40372670807453415</v>
      </c>
      <c r="EW284" s="34">
        <v>1</v>
      </c>
      <c r="EX284" s="35">
        <f t="shared" ref="EX284:EX290" si="2617">EW284/(EU284+EW284)</f>
        <v>1.5384615384615385E-2</v>
      </c>
      <c r="EY284" s="36"/>
      <c r="EZ284" s="34"/>
      <c r="FA284" s="34"/>
      <c r="FB284" s="37"/>
      <c r="FC284" s="33">
        <v>1</v>
      </c>
      <c r="FD284" s="34"/>
      <c r="FE284" s="34">
        <f>FE281-FC284</f>
        <v>844</v>
      </c>
      <c r="FF284" s="34">
        <f>FF281-FD284</f>
        <v>67</v>
      </c>
      <c r="FG284" s="34">
        <v>400</v>
      </c>
      <c r="FH284" s="35">
        <f t="shared" ref="FH284:FH290" si="2618">((FG284+FI284)/FE284)</f>
        <v>0.48696682464454977</v>
      </c>
      <c r="FI284" s="34">
        <v>11</v>
      </c>
      <c r="FJ284" s="35">
        <f t="shared" ref="FJ284:FJ290" si="2619">FI284/(FG284+FI284)</f>
        <v>2.6763990267639901E-2</v>
      </c>
      <c r="FK284" s="36"/>
      <c r="FL284" s="34"/>
      <c r="FM284" s="34"/>
      <c r="FN284" s="37"/>
      <c r="FO284" s="33"/>
      <c r="FP284" s="34"/>
      <c r="FQ284" s="34">
        <f>FQ281-FO284</f>
        <v>858</v>
      </c>
      <c r="FR284" s="34">
        <f>FR281-FP284</f>
        <v>70</v>
      </c>
      <c r="FS284" s="34">
        <v>403</v>
      </c>
      <c r="FT284" s="35">
        <f t="shared" ref="FT284:FT290" si="2620">((FS284+FU284)/FQ284)</f>
        <v>0.48834498834498835</v>
      </c>
      <c r="FU284" s="34">
        <v>16</v>
      </c>
      <c r="FV284" s="35">
        <f t="shared" ref="FV284:FV290" si="2621">FU284/(FS284+FU284)</f>
        <v>3.8186157517899763E-2</v>
      </c>
      <c r="FW284" s="36"/>
      <c r="FX284" s="34"/>
      <c r="FY284" s="34"/>
      <c r="FZ284" s="37"/>
      <c r="GA284" s="33"/>
      <c r="GB284" s="34"/>
      <c r="GC284" s="34">
        <f>GC281-GA284</f>
        <v>868</v>
      </c>
      <c r="GD284" s="34">
        <f>GD281-GB284</f>
        <v>71</v>
      </c>
      <c r="GE284" s="34">
        <v>405</v>
      </c>
      <c r="GF284" s="35">
        <f t="shared" ref="GF284:GF290" si="2622">((GE284+GG284)/GC284)</f>
        <v>0.4838709677419355</v>
      </c>
      <c r="GG284" s="34">
        <v>15</v>
      </c>
      <c r="GH284" s="35">
        <f t="shared" ref="GH284:GH290" si="2623">GG284/(GE284+GG284)</f>
        <v>3.5714285714285712E-2</v>
      </c>
      <c r="GI284" s="36"/>
      <c r="GJ284" s="34"/>
      <c r="GK284" s="34"/>
      <c r="GL284" s="37"/>
      <c r="GM284" s="33"/>
      <c r="GN284" s="34"/>
      <c r="GO284" s="34">
        <f>GO281-GM284</f>
        <v>137</v>
      </c>
      <c r="GP284" s="34">
        <f>GP281-GN284</f>
        <v>12</v>
      </c>
      <c r="GQ284" s="34">
        <v>43</v>
      </c>
      <c r="GR284" s="35">
        <f t="shared" ref="GR284:GR290" si="2624">((GQ284+GS284)/GO284)</f>
        <v>0.35766423357664234</v>
      </c>
      <c r="GS284" s="34">
        <v>6</v>
      </c>
      <c r="GT284" s="35">
        <f t="shared" ref="GT284:GT290" si="2625">GS284/(GQ284+GS284)</f>
        <v>0.12244897959183673</v>
      </c>
      <c r="GU284" s="36"/>
      <c r="GV284" s="34"/>
      <c r="GW284" s="34"/>
      <c r="GX284" s="37"/>
      <c r="GY284" s="33">
        <v>1</v>
      </c>
      <c r="GZ284" s="34"/>
      <c r="HA284" s="34">
        <f>HA281-GY284</f>
        <v>895</v>
      </c>
      <c r="HB284" s="34">
        <f>HB281-GZ284</f>
        <v>72</v>
      </c>
      <c r="HC284" s="34">
        <v>444</v>
      </c>
      <c r="HD284" s="35">
        <f t="shared" ref="HD284:HD290" si="2626">((HC284+HE284)/HA284)</f>
        <v>0.5173184357541899</v>
      </c>
      <c r="HE284" s="34">
        <v>19</v>
      </c>
      <c r="HF284" s="35">
        <f t="shared" ref="HF284:HF290" si="2627">HE284/(HC284+HE284)</f>
        <v>4.1036717062634988E-2</v>
      </c>
      <c r="HG284" s="36"/>
      <c r="HH284" s="34"/>
      <c r="HI284" s="34"/>
      <c r="HJ284" s="37"/>
      <c r="HK284" s="33">
        <f t="shared" ref="HK284:HK291" si="2628">+C284+O284+AA284+AM284+AY284+BK284+BW284+CI284+CU284+DG284+DS284+EE284+EQ284+FC284+FO284+GA284+GM284+GY284</f>
        <v>8</v>
      </c>
      <c r="HL284" s="34">
        <f t="shared" ref="HL284:HL291" si="2629">+D284+P284+AB284+AN284+AZ284+BL284+BX284+CJ284+CV284+DH284+DT284+EF284+ER284+FD284+FP284+GB284+GN284+GZ284</f>
        <v>0</v>
      </c>
      <c r="HM284" s="34">
        <f t="shared" ref="HM284:HM291" si="2630">+E284+Q284+AC284+AO284+BA284+BM284+BY284+CK284+CW284+DI284+DU284+EG284+ES284+FE284+FQ284+GC284+GO284+HA284</f>
        <v>11720</v>
      </c>
      <c r="HN284" s="34">
        <f t="shared" ref="HN284:HN291" si="2631">+F284+R284+AD284+AP284+BB284+BN284+BZ284+CL284+CX284+DJ284+DV284+EH284+ET284+FF284+FR284+GD284+GP284+HB284</f>
        <v>946</v>
      </c>
      <c r="HO284" s="34">
        <f t="shared" ref="HO284:HO291" si="2632">+G284+S284+AE284+AQ284+BC284+BO284+CA284+CM284+CY284+DK284+DW284+EI284+EU284+FG284+FS284+GE284+GQ284+HC284+I284+U284+AG284+AS284+BE284+BQ284+CC284+CO284+DA284+DM284+DY284+EK284+EW284+FI284+FU284+GG284+GS284+HE284</f>
        <v>5563</v>
      </c>
      <c r="HP284" s="94">
        <f t="shared" ref="HP284:HP290" si="2633">+(HO284)/HM284</f>
        <v>0.47465870307167235</v>
      </c>
      <c r="HQ284" s="48">
        <f t="shared" ref="HQ284:HQ291" si="2634">+I284+U284+AG284+AS284+BE284+BQ284+CC284+CO284+DA284+DM284+DY284+EK284+EW284+FI284+FU284+GG284+GS284+HE284</f>
        <v>179</v>
      </c>
      <c r="HR284" s="35">
        <f t="shared" ref="HR284:HR291" si="2635">+(HQ284/(HO284))</f>
        <v>3.2176882976811073E-2</v>
      </c>
      <c r="HS284" s="49">
        <v>67.400000000000006</v>
      </c>
      <c r="HT284" s="50">
        <v>5280</v>
      </c>
      <c r="HU284" s="49">
        <f t="shared" ref="HU284:HU290" si="2636">+HT284/HO284*100</f>
        <v>94.912816825453888</v>
      </c>
      <c r="HV284" s="48"/>
      <c r="HW284" s="37"/>
      <c r="HX284" s="73">
        <f t="shared" ref="HX284:HX290" si="2637">SUM(G284,I284,S284,U284,AE284,AG284,AQ284,AS284,BC284,BE284)/SUM(E284,Q284,AC284,AO284,BA284)</f>
        <v>0.48435544430538174</v>
      </c>
      <c r="HY284" s="73">
        <f t="shared" ref="HY284:HY290" si="2638">SUM(BO284,BQ284,CA284,CC284,CM284,CO284,CY284,DA284,DK284,DM284)/SUM(BM284,BY284,CK284,CW284,DI284)</f>
        <v>0.47022851625362083</v>
      </c>
      <c r="HZ284" s="73">
        <f t="shared" ref="HZ284:HZ290" si="2639">SUM(DW284,DY284,EI284,EK284,EU284,EW284,FG284,FI284)/SUM(DU284,EG284,ES284,FE284)</f>
        <v>0.45242572395637459</v>
      </c>
      <c r="IA284" s="73">
        <f t="shared" ref="IA284:IA290" si="2640">SUM(FS284,FU284,GE284,GG284,GQ284,GS284,HC284,HE284)/SUM(FQ284,GC284,GO284,HA284)</f>
        <v>0.48984771573604063</v>
      </c>
    </row>
    <row r="285" spans="1:244" x14ac:dyDescent="0.25">
      <c r="A285" s="374"/>
      <c r="B285" s="41">
        <f t="shared" ref="B285:B290" si="2641">+B284+1</f>
        <v>45159</v>
      </c>
      <c r="C285" s="10">
        <v>1</v>
      </c>
      <c r="D285" s="11"/>
      <c r="E285" s="69">
        <f t="shared" ref="E285:E290" si="2642">E284-C285</f>
        <v>807</v>
      </c>
      <c r="F285" s="69">
        <f t="shared" ref="F285:F290" si="2643">F284-D285</f>
        <v>64</v>
      </c>
      <c r="G285" s="11">
        <v>402</v>
      </c>
      <c r="H285" s="12">
        <f t="shared" si="2592"/>
        <v>0.51425030978934327</v>
      </c>
      <c r="I285" s="11">
        <v>13</v>
      </c>
      <c r="J285" s="12">
        <f t="shared" si="2593"/>
        <v>3.1325301204819279E-2</v>
      </c>
      <c r="K285" s="13"/>
      <c r="L285" s="11"/>
      <c r="M285" s="11"/>
      <c r="N285" s="14"/>
      <c r="O285" s="10"/>
      <c r="P285" s="11"/>
      <c r="Q285" s="69">
        <f t="shared" ref="Q285:Q290" si="2644">Q284-O285</f>
        <v>744</v>
      </c>
      <c r="R285" s="69">
        <f t="shared" ref="R285:R290" si="2645">R284-P285</f>
        <v>59</v>
      </c>
      <c r="S285" s="11">
        <v>348</v>
      </c>
      <c r="T285" s="12">
        <f t="shared" si="2594"/>
        <v>0.47446236559139787</v>
      </c>
      <c r="U285" s="11">
        <v>5</v>
      </c>
      <c r="V285" s="12">
        <f t="shared" si="2595"/>
        <v>1.4164305949008499E-2</v>
      </c>
      <c r="W285" s="13"/>
      <c r="X285" s="11"/>
      <c r="Y285" s="11"/>
      <c r="Z285" s="14"/>
      <c r="AA285" s="10"/>
      <c r="AB285" s="11"/>
      <c r="AC285" s="69">
        <f t="shared" ref="AC285:AC290" si="2646">AC284-AA285</f>
        <v>153</v>
      </c>
      <c r="AD285" s="69">
        <f t="shared" ref="AD285:AD290" si="2647">AD284-AB285</f>
        <v>13</v>
      </c>
      <c r="AE285" s="11">
        <v>64</v>
      </c>
      <c r="AF285" s="12">
        <f t="shared" si="2596"/>
        <v>0.41830065359477125</v>
      </c>
      <c r="AG285" s="11">
        <v>0</v>
      </c>
      <c r="AH285" s="12">
        <f t="shared" si="2597"/>
        <v>0</v>
      </c>
      <c r="AI285" s="13"/>
      <c r="AJ285" s="11"/>
      <c r="AK285" s="11"/>
      <c r="AL285" s="14"/>
      <c r="AM285" s="10"/>
      <c r="AN285" s="11"/>
      <c r="AO285" s="69">
        <f t="shared" ref="AO285:AO290" si="2648">AO284-AM285</f>
        <v>748</v>
      </c>
      <c r="AP285" s="69">
        <f t="shared" ref="AP285:AP290" si="2649">AP284-AN285</f>
        <v>61</v>
      </c>
      <c r="AQ285" s="11">
        <v>348</v>
      </c>
      <c r="AR285" s="12">
        <f t="shared" si="2598"/>
        <v>0.48395721925133689</v>
      </c>
      <c r="AS285" s="11">
        <v>14</v>
      </c>
      <c r="AT285" s="12">
        <f t="shared" si="2599"/>
        <v>3.8674033149171269E-2</v>
      </c>
      <c r="AU285" s="13"/>
      <c r="AV285" s="11"/>
      <c r="AW285" s="11"/>
      <c r="AX285" s="14"/>
      <c r="AY285" s="10"/>
      <c r="AZ285" s="11"/>
      <c r="BA285" s="69">
        <f t="shared" ref="BA285:BA290" si="2650">BA284-AY285</f>
        <v>743</v>
      </c>
      <c r="BB285" s="69">
        <f t="shared" ref="BB285:BB290" si="2651">BB284-AZ285</f>
        <v>60</v>
      </c>
      <c r="BC285" s="11">
        <v>368</v>
      </c>
      <c r="BD285" s="12">
        <f t="shared" si="2600"/>
        <v>0.5074024226110363</v>
      </c>
      <c r="BE285" s="11">
        <v>9</v>
      </c>
      <c r="BF285" s="12">
        <f t="shared" si="2601"/>
        <v>2.3872679045092837E-2</v>
      </c>
      <c r="BG285" s="13"/>
      <c r="BH285" s="11"/>
      <c r="BI285" s="11"/>
      <c r="BJ285" s="14"/>
      <c r="BK285" s="10"/>
      <c r="BL285" s="11"/>
      <c r="BM285" s="69">
        <f t="shared" ref="BM285:BM290" si="2652">BM284-BK285</f>
        <v>795</v>
      </c>
      <c r="BN285" s="69">
        <f t="shared" ref="BN285:BN290" si="2653">BN284-BL285</f>
        <v>62</v>
      </c>
      <c r="BO285" s="11">
        <v>326</v>
      </c>
      <c r="BP285" s="12">
        <f t="shared" si="2602"/>
        <v>0.42515723270440253</v>
      </c>
      <c r="BQ285" s="11">
        <v>12</v>
      </c>
      <c r="BR285" s="12">
        <f t="shared" si="2603"/>
        <v>3.5502958579881658E-2</v>
      </c>
      <c r="BS285" s="13"/>
      <c r="BT285" s="11"/>
      <c r="BU285" s="11"/>
      <c r="BV285" s="14"/>
      <c r="BW285" s="10"/>
      <c r="BX285" s="11"/>
      <c r="BY285" s="69">
        <f t="shared" ref="BY285:BY290" si="2654">BY284-BW285</f>
        <v>734</v>
      </c>
      <c r="BZ285" s="69">
        <f t="shared" ref="BZ285:BZ290" si="2655">BZ284-BX285</f>
        <v>59</v>
      </c>
      <c r="CA285" s="11">
        <v>330</v>
      </c>
      <c r="CB285" s="12">
        <f t="shared" si="2604"/>
        <v>0.45504087193460491</v>
      </c>
      <c r="CC285" s="11">
        <v>4</v>
      </c>
      <c r="CD285" s="12">
        <f t="shared" si="2605"/>
        <v>1.1976047904191617E-2</v>
      </c>
      <c r="CE285" s="13"/>
      <c r="CF285" s="11"/>
      <c r="CG285" s="11"/>
      <c r="CH285" s="14"/>
      <c r="CI285" s="10"/>
      <c r="CJ285" s="11"/>
      <c r="CK285" s="69">
        <f t="shared" ref="CK285:CK290" si="2656">CK284-CI285</f>
        <v>126</v>
      </c>
      <c r="CL285" s="69">
        <f t="shared" ref="CL285:CL290" si="2657">CL284-CJ285</f>
        <v>12</v>
      </c>
      <c r="CM285" s="11">
        <v>52</v>
      </c>
      <c r="CN285" s="12">
        <f t="shared" si="2606"/>
        <v>0.42063492063492064</v>
      </c>
      <c r="CO285" s="11">
        <v>1</v>
      </c>
      <c r="CP285" s="12">
        <f t="shared" si="2607"/>
        <v>1.8867924528301886E-2</v>
      </c>
      <c r="CQ285" s="13"/>
      <c r="CR285" s="11"/>
      <c r="CS285" s="11"/>
      <c r="CT285" s="14"/>
      <c r="CU285" s="10"/>
      <c r="CV285" s="11"/>
      <c r="CW285" s="69">
        <f t="shared" ref="CW285:CW290" si="2658">CW284-CU285</f>
        <v>727</v>
      </c>
      <c r="CX285" s="69">
        <f t="shared" ref="CX285:CX290" si="2659">CX284-CV285</f>
        <v>59</v>
      </c>
      <c r="CY285" s="11">
        <v>359</v>
      </c>
      <c r="CZ285" s="12">
        <f t="shared" si="2608"/>
        <v>0.50068775790921594</v>
      </c>
      <c r="DA285" s="11">
        <v>5</v>
      </c>
      <c r="DB285" s="12">
        <f t="shared" si="2609"/>
        <v>1.3736263736263736E-2</v>
      </c>
      <c r="DC285" s="13"/>
      <c r="DD285" s="11"/>
      <c r="DE285" s="11"/>
      <c r="DF285" s="14"/>
      <c r="DG285" s="10">
        <v>1</v>
      </c>
      <c r="DH285" s="11"/>
      <c r="DI285" s="69">
        <f t="shared" ref="DI285:DI290" si="2660">DI284-DG285</f>
        <v>724</v>
      </c>
      <c r="DJ285" s="69">
        <f t="shared" ref="DJ285:DJ290" si="2661">DJ284-DH285</f>
        <v>59</v>
      </c>
      <c r="DK285" s="11">
        <v>361</v>
      </c>
      <c r="DL285" s="12">
        <f t="shared" si="2610"/>
        <v>0.51104972375690605</v>
      </c>
      <c r="DM285" s="11">
        <v>9</v>
      </c>
      <c r="DN285" s="12">
        <f t="shared" si="2611"/>
        <v>2.4324324324324326E-2</v>
      </c>
      <c r="DO285" s="13"/>
      <c r="DP285" s="11"/>
      <c r="DQ285" s="11"/>
      <c r="DR285" s="14"/>
      <c r="DS285" s="10"/>
      <c r="DT285" s="11"/>
      <c r="DU285" s="69">
        <f t="shared" ref="DU285:DU290" si="2662">DU284-DS285</f>
        <v>816</v>
      </c>
      <c r="DV285" s="69">
        <f t="shared" ref="DV285:DV290" si="2663">DV284-DT285</f>
        <v>65</v>
      </c>
      <c r="DW285" s="11">
        <v>363</v>
      </c>
      <c r="DX285" s="12">
        <f t="shared" si="2612"/>
        <v>0.47671568627450983</v>
      </c>
      <c r="DY285" s="11">
        <v>26</v>
      </c>
      <c r="DZ285" s="12">
        <f t="shared" si="2613"/>
        <v>6.6838046272493568E-2</v>
      </c>
      <c r="EA285" s="13"/>
      <c r="EB285" s="11"/>
      <c r="EC285" s="11"/>
      <c r="ED285" s="14"/>
      <c r="EE285" s="10"/>
      <c r="EF285" s="11"/>
      <c r="EG285" s="69">
        <f t="shared" ref="EG285:EG290" si="2664">EG284-EE285</f>
        <v>838</v>
      </c>
      <c r="EH285" s="69">
        <f t="shared" ref="EH285:EH290" si="2665">EH284-EF285</f>
        <v>67</v>
      </c>
      <c r="EI285" s="11">
        <v>411</v>
      </c>
      <c r="EJ285" s="12">
        <f t="shared" si="2614"/>
        <v>0.51909307875894983</v>
      </c>
      <c r="EK285" s="11">
        <v>24</v>
      </c>
      <c r="EL285" s="12">
        <f t="shared" si="2615"/>
        <v>5.5172413793103448E-2</v>
      </c>
      <c r="EM285" s="13"/>
      <c r="EN285" s="11"/>
      <c r="EO285" s="11"/>
      <c r="EP285" s="14"/>
      <c r="EQ285" s="10"/>
      <c r="ER285" s="11"/>
      <c r="ES285" s="69">
        <f t="shared" ref="ES285:ES290" si="2666">ES284-EQ285</f>
        <v>161</v>
      </c>
      <c r="ET285" s="69">
        <f t="shared" ref="ET285:ET290" si="2667">ET284-ER285</f>
        <v>14</v>
      </c>
      <c r="EU285" s="11">
        <v>57</v>
      </c>
      <c r="EV285" s="12">
        <f t="shared" si="2616"/>
        <v>0.37888198757763975</v>
      </c>
      <c r="EW285" s="11">
        <v>4</v>
      </c>
      <c r="EX285" s="12">
        <f t="shared" si="2617"/>
        <v>6.5573770491803282E-2</v>
      </c>
      <c r="EY285" s="13"/>
      <c r="EZ285" s="11"/>
      <c r="FA285" s="11"/>
      <c r="FB285" s="14"/>
      <c r="FC285" s="10"/>
      <c r="FD285" s="11"/>
      <c r="FE285" s="69">
        <f t="shared" ref="FE285:FE290" si="2668">FE284-FC285</f>
        <v>844</v>
      </c>
      <c r="FF285" s="69">
        <f t="shared" ref="FF285:FF290" si="2669">FF284-FD285</f>
        <v>67</v>
      </c>
      <c r="FG285" s="11">
        <v>416</v>
      </c>
      <c r="FH285" s="12">
        <f t="shared" si="2618"/>
        <v>0.50829383886255919</v>
      </c>
      <c r="FI285" s="11">
        <v>13</v>
      </c>
      <c r="FJ285" s="12">
        <f t="shared" si="2619"/>
        <v>3.0303030303030304E-2</v>
      </c>
      <c r="FK285" s="13"/>
      <c r="FL285" s="11"/>
      <c r="FM285" s="11"/>
      <c r="FN285" s="14"/>
      <c r="FO285" s="10"/>
      <c r="FP285" s="11"/>
      <c r="FQ285" s="69">
        <f t="shared" ref="FQ285:FQ290" si="2670">FQ284-FO285</f>
        <v>858</v>
      </c>
      <c r="FR285" s="69">
        <f t="shared" ref="FR285:FR290" si="2671">FR284-FP285</f>
        <v>70</v>
      </c>
      <c r="FS285" s="11">
        <v>406</v>
      </c>
      <c r="FT285" s="12">
        <f t="shared" si="2620"/>
        <v>0.49300699300699302</v>
      </c>
      <c r="FU285" s="11">
        <v>17</v>
      </c>
      <c r="FV285" s="12">
        <f t="shared" si="2621"/>
        <v>4.0189125295508277E-2</v>
      </c>
      <c r="FW285" s="13"/>
      <c r="FX285" s="11"/>
      <c r="FY285" s="11"/>
      <c r="FZ285" s="14"/>
      <c r="GA285" s="10"/>
      <c r="GB285" s="11"/>
      <c r="GC285" s="69">
        <f t="shared" ref="GC285:GC290" si="2672">GC284-GA285</f>
        <v>868</v>
      </c>
      <c r="GD285" s="69">
        <f t="shared" ref="GD285:GD290" si="2673">GD284-GB285</f>
        <v>71</v>
      </c>
      <c r="GE285" s="11">
        <v>416</v>
      </c>
      <c r="GF285" s="12">
        <f t="shared" si="2622"/>
        <v>0.50115207373271886</v>
      </c>
      <c r="GG285" s="11">
        <v>19</v>
      </c>
      <c r="GH285" s="12">
        <f t="shared" si="2623"/>
        <v>4.3678160919540229E-2</v>
      </c>
      <c r="GI285" s="13"/>
      <c r="GJ285" s="11"/>
      <c r="GK285" s="11"/>
      <c r="GL285" s="14"/>
      <c r="GM285" s="10"/>
      <c r="GN285" s="11"/>
      <c r="GO285" s="69">
        <f t="shared" ref="GO285:GO290" si="2674">GO284-GM285</f>
        <v>137</v>
      </c>
      <c r="GP285" s="69">
        <f t="shared" ref="GP285:GP290" si="2675">GP284-GN285</f>
        <v>12</v>
      </c>
      <c r="GQ285" s="11">
        <v>35</v>
      </c>
      <c r="GR285" s="12">
        <f t="shared" si="2624"/>
        <v>0.27737226277372262</v>
      </c>
      <c r="GS285" s="11">
        <v>3</v>
      </c>
      <c r="GT285" s="12">
        <f t="shared" si="2625"/>
        <v>7.8947368421052627E-2</v>
      </c>
      <c r="GU285" s="13"/>
      <c r="GV285" s="11"/>
      <c r="GW285" s="11"/>
      <c r="GX285" s="14"/>
      <c r="GY285" s="10"/>
      <c r="GZ285" s="11"/>
      <c r="HA285" s="69">
        <f t="shared" ref="HA285:HA290" si="2676">HA284-GY285</f>
        <v>895</v>
      </c>
      <c r="HB285" s="69">
        <f t="shared" ref="HB285:HB290" si="2677">HB284-GZ285</f>
        <v>72</v>
      </c>
      <c r="HC285" s="11">
        <v>444</v>
      </c>
      <c r="HD285" s="12">
        <f t="shared" si="2626"/>
        <v>0.50949720670391063</v>
      </c>
      <c r="HE285" s="11">
        <v>12</v>
      </c>
      <c r="HF285" s="12">
        <f t="shared" si="2627"/>
        <v>2.6315789473684209E-2</v>
      </c>
      <c r="HG285" s="13"/>
      <c r="HH285" s="11"/>
      <c r="HI285" s="11"/>
      <c r="HJ285" s="14"/>
      <c r="HK285" s="10">
        <f t="shared" si="2628"/>
        <v>2</v>
      </c>
      <c r="HL285" s="11">
        <f t="shared" si="2629"/>
        <v>0</v>
      </c>
      <c r="HM285" s="11">
        <f t="shared" si="2630"/>
        <v>11718</v>
      </c>
      <c r="HN285" s="11">
        <f t="shared" si="2631"/>
        <v>946</v>
      </c>
      <c r="HO285" s="11">
        <f t="shared" si="2632"/>
        <v>5696</v>
      </c>
      <c r="HP285" s="95">
        <f t="shared" si="2633"/>
        <v>0.48608977641235707</v>
      </c>
      <c r="HQ285" s="15">
        <f t="shared" si="2634"/>
        <v>190</v>
      </c>
      <c r="HR285" s="12">
        <f t="shared" si="2635"/>
        <v>3.3356741573033706E-2</v>
      </c>
      <c r="HS285" s="16">
        <v>67.7</v>
      </c>
      <c r="HT285" s="17">
        <v>5391</v>
      </c>
      <c r="HU285" s="16">
        <f t="shared" si="2636"/>
        <v>94.645365168539328</v>
      </c>
      <c r="HV285" s="15"/>
      <c r="HW285" s="14"/>
      <c r="HX285" s="73">
        <f t="shared" si="2637"/>
        <v>0.49170579029733957</v>
      </c>
      <c r="HY285" s="73">
        <f t="shared" si="2638"/>
        <v>0.46973599484867995</v>
      </c>
      <c r="HZ285" s="73">
        <f t="shared" si="2639"/>
        <v>0.4941707408800301</v>
      </c>
      <c r="IA285" s="73">
        <f t="shared" si="2640"/>
        <v>0.4902102973168963</v>
      </c>
    </row>
    <row r="286" spans="1:244" x14ac:dyDescent="0.25">
      <c r="A286" s="374"/>
      <c r="B286" s="339">
        <f t="shared" si="2641"/>
        <v>45160</v>
      </c>
      <c r="C286" s="10"/>
      <c r="D286" s="11"/>
      <c r="E286" s="69">
        <f t="shared" si="2642"/>
        <v>807</v>
      </c>
      <c r="F286" s="69">
        <v>64</v>
      </c>
      <c r="G286" s="11">
        <v>363</v>
      </c>
      <c r="H286" s="12">
        <f t="shared" si="2592"/>
        <v>0.46344485749690212</v>
      </c>
      <c r="I286" s="11">
        <v>11</v>
      </c>
      <c r="J286" s="12">
        <f t="shared" si="2593"/>
        <v>2.9411764705882353E-2</v>
      </c>
      <c r="K286" s="13"/>
      <c r="L286" s="11"/>
      <c r="M286" s="11"/>
      <c r="N286" s="14"/>
      <c r="O286" s="10"/>
      <c r="P286" s="11"/>
      <c r="Q286" s="69">
        <f t="shared" si="2644"/>
        <v>744</v>
      </c>
      <c r="R286" s="69">
        <v>60</v>
      </c>
      <c r="S286" s="11">
        <v>329</v>
      </c>
      <c r="T286" s="12">
        <f t="shared" si="2594"/>
        <v>0.46102150537634407</v>
      </c>
      <c r="U286" s="11">
        <v>14</v>
      </c>
      <c r="V286" s="12">
        <f t="shared" si="2595"/>
        <v>4.0816326530612242E-2</v>
      </c>
      <c r="W286" s="13"/>
      <c r="X286" s="11"/>
      <c r="Y286" s="11"/>
      <c r="Z286" s="14"/>
      <c r="AA286" s="10"/>
      <c r="AB286" s="11"/>
      <c r="AC286" s="69">
        <f t="shared" si="2646"/>
        <v>153</v>
      </c>
      <c r="AD286" s="69">
        <v>11</v>
      </c>
      <c r="AE286" s="11">
        <v>67</v>
      </c>
      <c r="AF286" s="12">
        <f t="shared" si="2596"/>
        <v>0.45751633986928103</v>
      </c>
      <c r="AG286" s="11">
        <v>3</v>
      </c>
      <c r="AH286" s="12">
        <f t="shared" si="2597"/>
        <v>4.2857142857142858E-2</v>
      </c>
      <c r="AI286" s="13"/>
      <c r="AJ286" s="11"/>
      <c r="AK286" s="11"/>
      <c r="AL286" s="14"/>
      <c r="AM286" s="10">
        <v>1</v>
      </c>
      <c r="AN286" s="11"/>
      <c r="AO286" s="69">
        <f t="shared" si="2648"/>
        <v>747</v>
      </c>
      <c r="AP286" s="69">
        <v>61</v>
      </c>
      <c r="AQ286" s="11">
        <v>379</v>
      </c>
      <c r="AR286" s="12">
        <f t="shared" si="2598"/>
        <v>0.52342704149933061</v>
      </c>
      <c r="AS286" s="11">
        <v>12</v>
      </c>
      <c r="AT286" s="12">
        <f t="shared" si="2599"/>
        <v>3.0690537084398978E-2</v>
      </c>
      <c r="AU286" s="13"/>
      <c r="AV286" s="11"/>
      <c r="AW286" s="11"/>
      <c r="AX286" s="14"/>
      <c r="AY286" s="10"/>
      <c r="AZ286" s="11"/>
      <c r="BA286" s="69">
        <f t="shared" si="2650"/>
        <v>743</v>
      </c>
      <c r="BB286" s="69">
        <v>60</v>
      </c>
      <c r="BC286" s="11">
        <v>334</v>
      </c>
      <c r="BD286" s="12">
        <f t="shared" si="2600"/>
        <v>0.46433378196500674</v>
      </c>
      <c r="BE286" s="11">
        <v>11</v>
      </c>
      <c r="BF286" s="12">
        <f t="shared" si="2601"/>
        <v>3.1884057971014491E-2</v>
      </c>
      <c r="BG286" s="13"/>
      <c r="BH286" s="11"/>
      <c r="BI286" s="11"/>
      <c r="BJ286" s="14"/>
      <c r="BK286" s="10"/>
      <c r="BL286" s="11"/>
      <c r="BM286" s="69">
        <f t="shared" si="2652"/>
        <v>795</v>
      </c>
      <c r="BN286" s="69">
        <v>64</v>
      </c>
      <c r="BO286" s="11">
        <v>351</v>
      </c>
      <c r="BP286" s="12">
        <f t="shared" si="2602"/>
        <v>0.45408805031446542</v>
      </c>
      <c r="BQ286" s="11">
        <v>10</v>
      </c>
      <c r="BR286" s="12">
        <f t="shared" si="2603"/>
        <v>2.7700831024930747E-2</v>
      </c>
      <c r="BS286" s="13"/>
      <c r="BT286" s="11"/>
      <c r="BU286" s="11"/>
      <c r="BV286" s="14"/>
      <c r="BW286" s="10"/>
      <c r="BX286" s="11"/>
      <c r="BY286" s="69">
        <f t="shared" si="2654"/>
        <v>734</v>
      </c>
      <c r="BZ286" s="69">
        <v>60</v>
      </c>
      <c r="CA286" s="11">
        <v>331</v>
      </c>
      <c r="CB286" s="12">
        <f t="shared" si="2604"/>
        <v>0.46321525885558584</v>
      </c>
      <c r="CC286" s="11">
        <v>9</v>
      </c>
      <c r="CD286" s="12">
        <f t="shared" si="2605"/>
        <v>2.6470588235294117E-2</v>
      </c>
      <c r="CE286" s="13"/>
      <c r="CF286" s="11"/>
      <c r="CG286" s="11"/>
      <c r="CH286" s="14"/>
      <c r="CI286" s="10"/>
      <c r="CJ286" s="11"/>
      <c r="CK286" s="69">
        <f t="shared" si="2656"/>
        <v>126</v>
      </c>
      <c r="CL286" s="69">
        <v>10</v>
      </c>
      <c r="CM286" s="11">
        <v>43</v>
      </c>
      <c r="CN286" s="12">
        <f t="shared" si="2606"/>
        <v>0.34126984126984128</v>
      </c>
      <c r="CO286" s="11">
        <v>0</v>
      </c>
      <c r="CP286" s="12">
        <f t="shared" si="2607"/>
        <v>0</v>
      </c>
      <c r="CQ286" s="13"/>
      <c r="CR286" s="11"/>
      <c r="CS286" s="11"/>
      <c r="CT286" s="14"/>
      <c r="CU286" s="10"/>
      <c r="CV286" s="11"/>
      <c r="CW286" s="69">
        <f t="shared" si="2658"/>
        <v>727</v>
      </c>
      <c r="CX286" s="69">
        <v>59</v>
      </c>
      <c r="CY286" s="11">
        <v>331</v>
      </c>
      <c r="CZ286" s="12">
        <f t="shared" si="2608"/>
        <v>0.47042640990371387</v>
      </c>
      <c r="DA286" s="11">
        <v>11</v>
      </c>
      <c r="DB286" s="12">
        <f t="shared" si="2609"/>
        <v>3.2163742690058478E-2</v>
      </c>
      <c r="DC286" s="13"/>
      <c r="DD286" s="11"/>
      <c r="DE286" s="11"/>
      <c r="DF286" s="14"/>
      <c r="DG286" s="10"/>
      <c r="DH286" s="11"/>
      <c r="DI286" s="69">
        <f t="shared" si="2660"/>
        <v>724</v>
      </c>
      <c r="DJ286" s="69">
        <v>59</v>
      </c>
      <c r="DK286" s="11">
        <v>364</v>
      </c>
      <c r="DL286" s="12">
        <f t="shared" si="2610"/>
        <v>0.51933701657458564</v>
      </c>
      <c r="DM286" s="11">
        <v>12</v>
      </c>
      <c r="DN286" s="12">
        <f t="shared" si="2611"/>
        <v>3.1914893617021274E-2</v>
      </c>
      <c r="DO286" s="13"/>
      <c r="DP286" s="11"/>
      <c r="DQ286" s="11"/>
      <c r="DR286" s="14"/>
      <c r="DS286" s="10"/>
      <c r="DT286" s="11"/>
      <c r="DU286" s="69">
        <f t="shared" si="2662"/>
        <v>816</v>
      </c>
      <c r="DV286" s="69">
        <f t="shared" si="2663"/>
        <v>65</v>
      </c>
      <c r="DW286" s="11">
        <v>358</v>
      </c>
      <c r="DX286" s="12">
        <f t="shared" si="2612"/>
        <v>0.45833333333333331</v>
      </c>
      <c r="DY286" s="11">
        <v>16</v>
      </c>
      <c r="DZ286" s="12">
        <f t="shared" si="2613"/>
        <v>4.2780748663101602E-2</v>
      </c>
      <c r="EA286" s="13"/>
      <c r="EB286" s="11"/>
      <c r="EC286" s="11"/>
      <c r="ED286" s="14"/>
      <c r="EE286" s="10"/>
      <c r="EF286" s="11"/>
      <c r="EG286" s="69">
        <f t="shared" si="2664"/>
        <v>838</v>
      </c>
      <c r="EH286" s="69">
        <f t="shared" si="2665"/>
        <v>67</v>
      </c>
      <c r="EI286" s="11">
        <v>392</v>
      </c>
      <c r="EJ286" s="12">
        <f t="shared" si="2614"/>
        <v>0.48926014319809069</v>
      </c>
      <c r="EK286" s="11">
        <v>18</v>
      </c>
      <c r="EL286" s="12">
        <f t="shared" si="2615"/>
        <v>4.3902439024390241E-2</v>
      </c>
      <c r="EM286" s="13"/>
      <c r="EN286" s="11"/>
      <c r="EO286" s="11"/>
      <c r="EP286" s="14"/>
      <c r="EQ286" s="10"/>
      <c r="ER286" s="11"/>
      <c r="ES286" s="69">
        <f t="shared" si="2666"/>
        <v>161</v>
      </c>
      <c r="ET286" s="69">
        <f t="shared" si="2667"/>
        <v>14</v>
      </c>
      <c r="EU286" s="11">
        <v>52</v>
      </c>
      <c r="EV286" s="12">
        <f t="shared" si="2616"/>
        <v>0.35403726708074534</v>
      </c>
      <c r="EW286" s="11">
        <v>5</v>
      </c>
      <c r="EX286" s="12">
        <f t="shared" si="2617"/>
        <v>8.771929824561403E-2</v>
      </c>
      <c r="EY286" s="13"/>
      <c r="EZ286" s="11"/>
      <c r="FA286" s="11"/>
      <c r="FB286" s="14"/>
      <c r="FC286" s="10"/>
      <c r="FD286" s="11"/>
      <c r="FE286" s="69">
        <f t="shared" si="2668"/>
        <v>844</v>
      </c>
      <c r="FF286" s="69">
        <f t="shared" si="2669"/>
        <v>67</v>
      </c>
      <c r="FG286" s="11">
        <v>430</v>
      </c>
      <c r="FH286" s="12">
        <f t="shared" si="2618"/>
        <v>0.52132701421800953</v>
      </c>
      <c r="FI286" s="11">
        <v>10</v>
      </c>
      <c r="FJ286" s="12">
        <f t="shared" si="2619"/>
        <v>2.2727272727272728E-2</v>
      </c>
      <c r="FK286" s="13"/>
      <c r="FL286" s="11"/>
      <c r="FM286" s="11"/>
      <c r="FN286" s="14"/>
      <c r="FO286" s="10">
        <v>2</v>
      </c>
      <c r="FP286" s="11"/>
      <c r="FQ286" s="69">
        <f t="shared" si="2670"/>
        <v>856</v>
      </c>
      <c r="FR286" s="69">
        <f t="shared" si="2671"/>
        <v>70</v>
      </c>
      <c r="FS286" s="11">
        <v>374</v>
      </c>
      <c r="FT286" s="12">
        <f t="shared" si="2620"/>
        <v>0.46495327102803741</v>
      </c>
      <c r="FU286" s="11">
        <v>24</v>
      </c>
      <c r="FV286" s="12">
        <f t="shared" si="2621"/>
        <v>6.030150753768844E-2</v>
      </c>
      <c r="FW286" s="13"/>
      <c r="FX286" s="11"/>
      <c r="FY286" s="11"/>
      <c r="FZ286" s="14"/>
      <c r="GA286" s="10"/>
      <c r="GB286" s="11"/>
      <c r="GC286" s="69">
        <f t="shared" si="2672"/>
        <v>868</v>
      </c>
      <c r="GD286" s="69">
        <f t="shared" si="2673"/>
        <v>71</v>
      </c>
      <c r="GE286" s="11">
        <v>394</v>
      </c>
      <c r="GF286" s="12">
        <f t="shared" si="2622"/>
        <v>0.47580645161290325</v>
      </c>
      <c r="GG286" s="11">
        <v>19</v>
      </c>
      <c r="GH286" s="12">
        <f t="shared" si="2623"/>
        <v>4.6004842615012108E-2</v>
      </c>
      <c r="GI286" s="13"/>
      <c r="GJ286" s="11"/>
      <c r="GK286" s="11"/>
      <c r="GL286" s="14"/>
      <c r="GM286" s="10">
        <v>1</v>
      </c>
      <c r="GN286" s="11"/>
      <c r="GO286" s="69">
        <f t="shared" si="2674"/>
        <v>136</v>
      </c>
      <c r="GP286" s="69">
        <f t="shared" si="2675"/>
        <v>12</v>
      </c>
      <c r="GQ286" s="11">
        <v>64</v>
      </c>
      <c r="GR286" s="12">
        <f t="shared" si="2624"/>
        <v>0.53676470588235292</v>
      </c>
      <c r="GS286" s="11">
        <v>9</v>
      </c>
      <c r="GT286" s="12">
        <f t="shared" si="2625"/>
        <v>0.12328767123287671</v>
      </c>
      <c r="GU286" s="13"/>
      <c r="GV286" s="11"/>
      <c r="GW286" s="11"/>
      <c r="GX286" s="14"/>
      <c r="GY286" s="10"/>
      <c r="GZ286" s="11"/>
      <c r="HA286" s="69">
        <f t="shared" si="2676"/>
        <v>895</v>
      </c>
      <c r="HB286" s="69">
        <f t="shared" si="2677"/>
        <v>72</v>
      </c>
      <c r="HC286" s="11">
        <v>419</v>
      </c>
      <c r="HD286" s="12">
        <f t="shared" si="2626"/>
        <v>0.48938547486033518</v>
      </c>
      <c r="HE286" s="11">
        <v>19</v>
      </c>
      <c r="HF286" s="12">
        <f t="shared" si="2627"/>
        <v>4.3378995433789952E-2</v>
      </c>
      <c r="HG286" s="13"/>
      <c r="HH286" s="11"/>
      <c r="HI286" s="11"/>
      <c r="HJ286" s="14"/>
      <c r="HK286" s="10">
        <f t="shared" si="2628"/>
        <v>4</v>
      </c>
      <c r="HL286" s="11">
        <f t="shared" si="2629"/>
        <v>0</v>
      </c>
      <c r="HM286" s="11">
        <f t="shared" si="2630"/>
        <v>11714</v>
      </c>
      <c r="HN286" s="11">
        <f t="shared" si="2631"/>
        <v>946</v>
      </c>
      <c r="HO286" s="11">
        <f t="shared" si="2632"/>
        <v>5588</v>
      </c>
      <c r="HP286" s="95">
        <f t="shared" si="2633"/>
        <v>0.47703602526890898</v>
      </c>
      <c r="HQ286" s="15">
        <f t="shared" si="2634"/>
        <v>213</v>
      </c>
      <c r="HR286" s="12">
        <f t="shared" si="2635"/>
        <v>3.8117394416607012E-2</v>
      </c>
      <c r="HS286" s="16">
        <v>67.8</v>
      </c>
      <c r="HT286" s="17">
        <v>5273</v>
      </c>
      <c r="HU286" s="16">
        <f t="shared" si="2636"/>
        <v>94.362920544022913</v>
      </c>
      <c r="HV286" s="15"/>
      <c r="HW286" s="14"/>
      <c r="HX286" s="73">
        <f t="shared" si="2637"/>
        <v>0.47683155917345021</v>
      </c>
      <c r="HY286" s="73">
        <f t="shared" si="2638"/>
        <v>0.47070186735350933</v>
      </c>
      <c r="HZ286" s="73">
        <f t="shared" si="2639"/>
        <v>0.48176006017299738</v>
      </c>
      <c r="IA286" s="73">
        <f t="shared" si="2640"/>
        <v>0.47985480943738656</v>
      </c>
    </row>
    <row r="287" spans="1:244" x14ac:dyDescent="0.25">
      <c r="A287" s="374"/>
      <c r="B287" s="339">
        <f t="shared" si="2641"/>
        <v>45161</v>
      </c>
      <c r="C287" s="10"/>
      <c r="D287" s="11"/>
      <c r="E287" s="69">
        <f t="shared" si="2642"/>
        <v>807</v>
      </c>
      <c r="F287" s="69">
        <f t="shared" si="2643"/>
        <v>64</v>
      </c>
      <c r="G287" s="11">
        <v>383</v>
      </c>
      <c r="H287" s="12">
        <f t="shared" si="2592"/>
        <v>0.48946716232961585</v>
      </c>
      <c r="I287" s="11">
        <v>12</v>
      </c>
      <c r="J287" s="12">
        <f t="shared" si="2593"/>
        <v>3.0379746835443037E-2</v>
      </c>
      <c r="K287" s="11"/>
      <c r="L287" s="11"/>
      <c r="M287" s="18"/>
      <c r="N287" s="20"/>
      <c r="O287" s="10"/>
      <c r="P287" s="11"/>
      <c r="Q287" s="69">
        <f t="shared" si="2644"/>
        <v>744</v>
      </c>
      <c r="R287" s="69">
        <f t="shared" si="2645"/>
        <v>60</v>
      </c>
      <c r="S287" s="11">
        <v>357</v>
      </c>
      <c r="T287" s="12">
        <f t="shared" si="2594"/>
        <v>0.49865591397849462</v>
      </c>
      <c r="U287" s="11">
        <v>14</v>
      </c>
      <c r="V287" s="12">
        <f t="shared" si="2595"/>
        <v>3.7735849056603772E-2</v>
      </c>
      <c r="W287" s="11"/>
      <c r="X287" s="11"/>
      <c r="Y287" s="18"/>
      <c r="Z287" s="20"/>
      <c r="AA287" s="10">
        <v>1</v>
      </c>
      <c r="AB287" s="11"/>
      <c r="AC287" s="69">
        <f t="shared" si="2646"/>
        <v>152</v>
      </c>
      <c r="AD287" s="69">
        <f t="shared" si="2647"/>
        <v>11</v>
      </c>
      <c r="AE287" s="11">
        <v>61</v>
      </c>
      <c r="AF287" s="12">
        <f t="shared" si="2596"/>
        <v>0.41447368421052633</v>
      </c>
      <c r="AG287" s="11">
        <v>2</v>
      </c>
      <c r="AH287" s="12">
        <f t="shared" si="2597"/>
        <v>3.1746031746031744E-2</v>
      </c>
      <c r="AI287" s="11"/>
      <c r="AJ287" s="11"/>
      <c r="AK287" s="18"/>
      <c r="AL287" s="20"/>
      <c r="AM287" s="10"/>
      <c r="AN287" s="11"/>
      <c r="AO287" s="69">
        <f t="shared" si="2648"/>
        <v>747</v>
      </c>
      <c r="AP287" s="69">
        <f t="shared" si="2649"/>
        <v>61</v>
      </c>
      <c r="AQ287" s="11">
        <v>349</v>
      </c>
      <c r="AR287" s="12">
        <f t="shared" si="2598"/>
        <v>0.47657295850066933</v>
      </c>
      <c r="AS287" s="11">
        <v>7</v>
      </c>
      <c r="AT287" s="12">
        <f t="shared" si="2599"/>
        <v>1.9662921348314606E-2</v>
      </c>
      <c r="AU287" s="11"/>
      <c r="AV287" s="11"/>
      <c r="AW287" s="18"/>
      <c r="AX287" s="20"/>
      <c r="AY287" s="10"/>
      <c r="AZ287" s="11"/>
      <c r="BA287" s="69">
        <f t="shared" si="2650"/>
        <v>743</v>
      </c>
      <c r="BB287" s="69">
        <f t="shared" si="2651"/>
        <v>60</v>
      </c>
      <c r="BC287" s="11">
        <v>344</v>
      </c>
      <c r="BD287" s="12">
        <f t="shared" si="2600"/>
        <v>0.47510094212651416</v>
      </c>
      <c r="BE287" s="11">
        <v>9</v>
      </c>
      <c r="BF287" s="12">
        <f t="shared" si="2601"/>
        <v>2.5495750708215296E-2</v>
      </c>
      <c r="BG287" s="11"/>
      <c r="BH287" s="11"/>
      <c r="BI287" s="18"/>
      <c r="BJ287" s="20"/>
      <c r="BK287" s="10"/>
      <c r="BL287" s="11"/>
      <c r="BM287" s="69">
        <f t="shared" si="2652"/>
        <v>795</v>
      </c>
      <c r="BN287" s="69">
        <f t="shared" si="2653"/>
        <v>64</v>
      </c>
      <c r="BO287" s="11">
        <v>338</v>
      </c>
      <c r="BP287" s="12">
        <f t="shared" si="2602"/>
        <v>0.44025157232704404</v>
      </c>
      <c r="BQ287" s="11">
        <v>12</v>
      </c>
      <c r="BR287" s="12">
        <f t="shared" si="2603"/>
        <v>3.4285714285714287E-2</v>
      </c>
      <c r="BS287" s="11"/>
      <c r="BT287" s="11"/>
      <c r="BU287" s="18"/>
      <c r="BV287" s="20"/>
      <c r="BW287" s="10">
        <v>1</v>
      </c>
      <c r="BX287" s="11"/>
      <c r="BY287" s="69">
        <f t="shared" si="2654"/>
        <v>733</v>
      </c>
      <c r="BZ287" s="69">
        <f t="shared" si="2655"/>
        <v>60</v>
      </c>
      <c r="CA287" s="11">
        <v>337</v>
      </c>
      <c r="CB287" s="12">
        <f t="shared" si="2604"/>
        <v>0.47612551159618011</v>
      </c>
      <c r="CC287" s="11">
        <v>12</v>
      </c>
      <c r="CD287" s="12">
        <f t="shared" si="2605"/>
        <v>3.4383954154727794E-2</v>
      </c>
      <c r="CE287" s="11"/>
      <c r="CF287" s="11"/>
      <c r="CG287" s="18"/>
      <c r="CH287" s="20"/>
      <c r="CI287" s="10"/>
      <c r="CJ287" s="11"/>
      <c r="CK287" s="69">
        <f t="shared" si="2656"/>
        <v>126</v>
      </c>
      <c r="CL287" s="69">
        <f t="shared" si="2657"/>
        <v>10</v>
      </c>
      <c r="CM287" s="11">
        <v>52</v>
      </c>
      <c r="CN287" s="12">
        <f t="shared" si="2606"/>
        <v>0.41269841269841268</v>
      </c>
      <c r="CO287" s="11">
        <v>0</v>
      </c>
      <c r="CP287" s="12">
        <f t="shared" si="2607"/>
        <v>0</v>
      </c>
      <c r="CQ287" s="11"/>
      <c r="CR287" s="11"/>
      <c r="CS287" s="18"/>
      <c r="CT287" s="20"/>
      <c r="CU287" s="10">
        <v>1</v>
      </c>
      <c r="CV287" s="11"/>
      <c r="CW287" s="69">
        <f t="shared" si="2658"/>
        <v>726</v>
      </c>
      <c r="CX287" s="69">
        <f t="shared" si="2659"/>
        <v>59</v>
      </c>
      <c r="CY287" s="11">
        <v>305</v>
      </c>
      <c r="CZ287" s="12">
        <f t="shared" si="2608"/>
        <v>0.42561983471074383</v>
      </c>
      <c r="DA287" s="11">
        <v>4</v>
      </c>
      <c r="DB287" s="12">
        <f t="shared" si="2609"/>
        <v>1.2944983818770227E-2</v>
      </c>
      <c r="DC287" s="11"/>
      <c r="DD287" s="11"/>
      <c r="DE287" s="18"/>
      <c r="DF287" s="20"/>
      <c r="DG287" s="10"/>
      <c r="DH287" s="11"/>
      <c r="DI287" s="69">
        <f t="shared" si="2660"/>
        <v>724</v>
      </c>
      <c r="DJ287" s="69">
        <f t="shared" si="2661"/>
        <v>59</v>
      </c>
      <c r="DK287" s="11">
        <v>325</v>
      </c>
      <c r="DL287" s="12">
        <f t="shared" si="2610"/>
        <v>0.45994475138121549</v>
      </c>
      <c r="DM287" s="11">
        <v>8</v>
      </c>
      <c r="DN287" s="12">
        <f t="shared" si="2611"/>
        <v>2.4024024024024024E-2</v>
      </c>
      <c r="DO287" s="11"/>
      <c r="DP287" s="11"/>
      <c r="DQ287" s="18"/>
      <c r="DR287" s="20"/>
      <c r="DS287" s="10"/>
      <c r="DT287" s="11"/>
      <c r="DU287" s="69">
        <f t="shared" si="2662"/>
        <v>816</v>
      </c>
      <c r="DV287" s="69">
        <v>66</v>
      </c>
      <c r="DW287" s="11">
        <v>351</v>
      </c>
      <c r="DX287" s="12">
        <f t="shared" si="2612"/>
        <v>0.45465686274509803</v>
      </c>
      <c r="DY287" s="11">
        <v>20</v>
      </c>
      <c r="DZ287" s="12">
        <f t="shared" si="2613"/>
        <v>5.3908355795148251E-2</v>
      </c>
      <c r="EA287" s="11"/>
      <c r="EB287" s="11"/>
      <c r="EC287" s="18"/>
      <c r="ED287" s="20"/>
      <c r="EE287" s="10"/>
      <c r="EF287" s="11"/>
      <c r="EG287" s="69">
        <f t="shared" si="2664"/>
        <v>838</v>
      </c>
      <c r="EH287" s="69">
        <v>66</v>
      </c>
      <c r="EI287" s="11">
        <v>388</v>
      </c>
      <c r="EJ287" s="12">
        <f t="shared" si="2614"/>
        <v>0.48090692124105011</v>
      </c>
      <c r="EK287" s="11">
        <v>15</v>
      </c>
      <c r="EL287" s="12">
        <f t="shared" si="2615"/>
        <v>3.7220843672456573E-2</v>
      </c>
      <c r="EM287" s="11"/>
      <c r="EN287" s="11"/>
      <c r="EO287" s="18"/>
      <c r="EP287" s="20"/>
      <c r="EQ287" s="10"/>
      <c r="ER287" s="11"/>
      <c r="ES287" s="69">
        <f t="shared" si="2666"/>
        <v>161</v>
      </c>
      <c r="ET287" s="69">
        <v>12</v>
      </c>
      <c r="EU287" s="11">
        <v>57</v>
      </c>
      <c r="EV287" s="12">
        <f t="shared" si="2616"/>
        <v>0.36024844720496896</v>
      </c>
      <c r="EW287" s="11">
        <v>1</v>
      </c>
      <c r="EX287" s="12">
        <f t="shared" si="2617"/>
        <v>1.7241379310344827E-2</v>
      </c>
      <c r="EY287" s="11"/>
      <c r="EZ287" s="11"/>
      <c r="FA287" s="18"/>
      <c r="FB287" s="20"/>
      <c r="FC287" s="10"/>
      <c r="FD287" s="11"/>
      <c r="FE287" s="69">
        <f t="shared" si="2668"/>
        <v>844</v>
      </c>
      <c r="FF287" s="69">
        <v>68</v>
      </c>
      <c r="FG287" s="11">
        <v>421</v>
      </c>
      <c r="FH287" s="12">
        <f t="shared" si="2618"/>
        <v>0.50710900473933651</v>
      </c>
      <c r="FI287" s="11">
        <v>7</v>
      </c>
      <c r="FJ287" s="12">
        <f t="shared" si="2619"/>
        <v>1.6355140186915886E-2</v>
      </c>
      <c r="FK287" s="11"/>
      <c r="FL287" s="11"/>
      <c r="FM287" s="18"/>
      <c r="FN287" s="20"/>
      <c r="FO287" s="10">
        <v>2</v>
      </c>
      <c r="FP287" s="11"/>
      <c r="FQ287" s="69">
        <f t="shared" si="2670"/>
        <v>854</v>
      </c>
      <c r="FR287" s="69">
        <v>70</v>
      </c>
      <c r="FS287" s="11">
        <v>373</v>
      </c>
      <c r="FT287" s="12">
        <f t="shared" si="2620"/>
        <v>0.46487119437939112</v>
      </c>
      <c r="FU287" s="11">
        <v>24</v>
      </c>
      <c r="FV287" s="12">
        <f t="shared" si="2621"/>
        <v>6.0453400503778336E-2</v>
      </c>
      <c r="FW287" s="11"/>
      <c r="FX287" s="11"/>
      <c r="FY287" s="18"/>
      <c r="FZ287" s="20"/>
      <c r="GA287" s="10"/>
      <c r="GB287" s="11">
        <v>1</v>
      </c>
      <c r="GC287" s="69">
        <f t="shared" si="2672"/>
        <v>868</v>
      </c>
      <c r="GD287" s="69">
        <v>70</v>
      </c>
      <c r="GE287" s="11">
        <v>385</v>
      </c>
      <c r="GF287" s="12">
        <f t="shared" si="2622"/>
        <v>0.45967741935483869</v>
      </c>
      <c r="GG287" s="11">
        <v>14</v>
      </c>
      <c r="GH287" s="12">
        <f t="shared" si="2623"/>
        <v>3.5087719298245612E-2</v>
      </c>
      <c r="GI287" s="11"/>
      <c r="GJ287" s="11"/>
      <c r="GK287" s="18"/>
      <c r="GL287" s="20"/>
      <c r="GM287" s="10"/>
      <c r="GN287" s="11"/>
      <c r="GO287" s="69">
        <f t="shared" si="2674"/>
        <v>136</v>
      </c>
      <c r="GP287" s="69">
        <v>11</v>
      </c>
      <c r="GQ287" s="11">
        <v>38</v>
      </c>
      <c r="GR287" s="12">
        <f t="shared" si="2624"/>
        <v>0.33823529411764708</v>
      </c>
      <c r="GS287" s="11">
        <v>8</v>
      </c>
      <c r="GT287" s="12">
        <f t="shared" si="2625"/>
        <v>0.17391304347826086</v>
      </c>
      <c r="GU287" s="11"/>
      <c r="GV287" s="11"/>
      <c r="GW287" s="18"/>
      <c r="GX287" s="20"/>
      <c r="GY287" s="10"/>
      <c r="GZ287" s="11"/>
      <c r="HA287" s="69">
        <f t="shared" si="2676"/>
        <v>895</v>
      </c>
      <c r="HB287" s="69">
        <v>73</v>
      </c>
      <c r="HC287" s="11">
        <v>422</v>
      </c>
      <c r="HD287" s="12">
        <f t="shared" si="2626"/>
        <v>0.48603351955307261</v>
      </c>
      <c r="HE287" s="11">
        <v>13</v>
      </c>
      <c r="HF287" s="12">
        <f t="shared" si="2627"/>
        <v>2.9885057471264367E-2</v>
      </c>
      <c r="HG287" s="11"/>
      <c r="HH287" s="11"/>
      <c r="HI287" s="18"/>
      <c r="HJ287" s="20"/>
      <c r="HK287" s="10">
        <f t="shared" si="2628"/>
        <v>5</v>
      </c>
      <c r="HL287" s="11">
        <v>2</v>
      </c>
      <c r="HM287" s="11">
        <f t="shared" si="2630"/>
        <v>11709</v>
      </c>
      <c r="HN287" s="11">
        <f t="shared" si="2631"/>
        <v>944</v>
      </c>
      <c r="HO287" s="11">
        <f t="shared" si="2632"/>
        <v>5468</v>
      </c>
      <c r="HP287" s="95">
        <f t="shared" si="2633"/>
        <v>0.4669912033478521</v>
      </c>
      <c r="HQ287" s="15">
        <f t="shared" si="2634"/>
        <v>182</v>
      </c>
      <c r="HR287" s="12">
        <f t="shared" si="2635"/>
        <v>3.3284564740307242E-2</v>
      </c>
      <c r="HS287" s="16">
        <v>67.3</v>
      </c>
      <c r="HT287" s="17">
        <v>5150</v>
      </c>
      <c r="HU287" s="16">
        <f t="shared" si="2636"/>
        <v>94.184345281638628</v>
      </c>
      <c r="HV287" s="18"/>
      <c r="HW287" s="20"/>
      <c r="HX287" s="73">
        <f t="shared" si="2637"/>
        <v>0.48167867209520826</v>
      </c>
      <c r="HY287" s="73">
        <f t="shared" si="2638"/>
        <v>0.4487757731958763</v>
      </c>
      <c r="HZ287" s="73">
        <f t="shared" si="2639"/>
        <v>0.47386235426852202</v>
      </c>
      <c r="IA287" s="73">
        <f t="shared" si="2640"/>
        <v>0.46385760988013075</v>
      </c>
    </row>
    <row r="288" spans="1:244" x14ac:dyDescent="0.25">
      <c r="A288" s="374"/>
      <c r="B288" s="41">
        <f>+B287+1</f>
        <v>45162</v>
      </c>
      <c r="C288" s="10"/>
      <c r="D288" s="11"/>
      <c r="E288" s="69">
        <f t="shared" si="2642"/>
        <v>807</v>
      </c>
      <c r="F288" s="69">
        <f t="shared" si="2643"/>
        <v>64</v>
      </c>
      <c r="G288" s="11">
        <v>407</v>
      </c>
      <c r="H288" s="12">
        <f t="shared" si="2592"/>
        <v>0.52292441140024781</v>
      </c>
      <c r="I288" s="11">
        <v>15</v>
      </c>
      <c r="J288" s="12">
        <f t="shared" si="2593"/>
        <v>3.5545023696682464E-2</v>
      </c>
      <c r="K288" s="13"/>
      <c r="L288" s="13"/>
      <c r="M288" s="25">
        <v>4320</v>
      </c>
      <c r="N288" s="38">
        <v>4550</v>
      </c>
      <c r="O288" s="10"/>
      <c r="P288" s="11"/>
      <c r="Q288" s="69">
        <f t="shared" si="2644"/>
        <v>744</v>
      </c>
      <c r="R288" s="69">
        <f t="shared" si="2645"/>
        <v>60</v>
      </c>
      <c r="S288" s="11">
        <v>346</v>
      </c>
      <c r="T288" s="12">
        <f t="shared" si="2594"/>
        <v>0.48655913978494625</v>
      </c>
      <c r="U288" s="11">
        <v>16</v>
      </c>
      <c r="V288" s="12">
        <f t="shared" si="2595"/>
        <v>4.4198895027624308E-2</v>
      </c>
      <c r="W288" s="13"/>
      <c r="X288" s="13"/>
      <c r="Y288" s="25">
        <v>4320</v>
      </c>
      <c r="Z288" s="38">
        <v>4550</v>
      </c>
      <c r="AA288" s="10"/>
      <c r="AB288" s="11"/>
      <c r="AC288" s="69">
        <f t="shared" si="2646"/>
        <v>152</v>
      </c>
      <c r="AD288" s="69">
        <f t="shared" si="2647"/>
        <v>11</v>
      </c>
      <c r="AE288" s="11">
        <v>71</v>
      </c>
      <c r="AF288" s="12">
        <f t="shared" si="2596"/>
        <v>0.51315789473684215</v>
      </c>
      <c r="AG288" s="11">
        <v>7</v>
      </c>
      <c r="AH288" s="12">
        <f t="shared" si="2597"/>
        <v>8.9743589743589744E-2</v>
      </c>
      <c r="AI288" s="13"/>
      <c r="AJ288" s="13"/>
      <c r="AK288" s="25">
        <v>4320</v>
      </c>
      <c r="AL288" s="38">
        <v>4550</v>
      </c>
      <c r="AM288" s="10"/>
      <c r="AN288" s="11"/>
      <c r="AO288" s="69">
        <f t="shared" si="2648"/>
        <v>747</v>
      </c>
      <c r="AP288" s="69">
        <f t="shared" si="2649"/>
        <v>61</v>
      </c>
      <c r="AQ288" s="11">
        <v>318</v>
      </c>
      <c r="AR288" s="12">
        <f t="shared" si="2598"/>
        <v>0.44444444444444442</v>
      </c>
      <c r="AS288" s="11">
        <v>14</v>
      </c>
      <c r="AT288" s="12">
        <f t="shared" si="2599"/>
        <v>4.2168674698795178E-2</v>
      </c>
      <c r="AU288" s="13"/>
      <c r="AV288" s="13"/>
      <c r="AW288" s="25">
        <v>4320</v>
      </c>
      <c r="AX288" s="38">
        <v>4550</v>
      </c>
      <c r="AY288" s="10"/>
      <c r="AZ288" s="11"/>
      <c r="BA288" s="69">
        <f t="shared" si="2650"/>
        <v>743</v>
      </c>
      <c r="BB288" s="69">
        <f t="shared" si="2651"/>
        <v>60</v>
      </c>
      <c r="BC288" s="11">
        <v>383</v>
      </c>
      <c r="BD288" s="12">
        <f t="shared" si="2600"/>
        <v>0.52759084791386268</v>
      </c>
      <c r="BE288" s="11">
        <v>9</v>
      </c>
      <c r="BF288" s="12">
        <f t="shared" si="2601"/>
        <v>2.2959183673469389E-2</v>
      </c>
      <c r="BG288" s="13"/>
      <c r="BH288" s="13"/>
      <c r="BI288" s="25">
        <v>4320</v>
      </c>
      <c r="BJ288" s="38">
        <v>4550</v>
      </c>
      <c r="BK288" s="10"/>
      <c r="BL288" s="11"/>
      <c r="BM288" s="69">
        <f t="shared" si="2652"/>
        <v>795</v>
      </c>
      <c r="BN288" s="69">
        <f t="shared" si="2653"/>
        <v>64</v>
      </c>
      <c r="BO288" s="11">
        <v>357</v>
      </c>
      <c r="BP288" s="12">
        <f t="shared" si="2602"/>
        <v>0.4578616352201258</v>
      </c>
      <c r="BQ288" s="11">
        <v>7</v>
      </c>
      <c r="BR288" s="12">
        <f t="shared" si="2603"/>
        <v>1.9230769230769232E-2</v>
      </c>
      <c r="BS288" s="13"/>
      <c r="BT288" s="13"/>
      <c r="BU288" s="25">
        <v>4320</v>
      </c>
      <c r="BV288" s="38">
        <v>4550</v>
      </c>
      <c r="BW288" s="10"/>
      <c r="BX288" s="11"/>
      <c r="BY288" s="69">
        <f t="shared" si="2654"/>
        <v>733</v>
      </c>
      <c r="BZ288" s="69">
        <f t="shared" si="2655"/>
        <v>60</v>
      </c>
      <c r="CA288" s="11">
        <v>331</v>
      </c>
      <c r="CB288" s="12">
        <f t="shared" si="2604"/>
        <v>0.46793997271487042</v>
      </c>
      <c r="CC288" s="11">
        <v>12</v>
      </c>
      <c r="CD288" s="12">
        <f t="shared" si="2605"/>
        <v>3.4985422740524783E-2</v>
      </c>
      <c r="CE288" s="13"/>
      <c r="CF288" s="13"/>
      <c r="CG288" s="25">
        <v>4320</v>
      </c>
      <c r="CH288" s="38">
        <v>4550</v>
      </c>
      <c r="CI288" s="10"/>
      <c r="CJ288" s="11"/>
      <c r="CK288" s="69">
        <f t="shared" si="2656"/>
        <v>126</v>
      </c>
      <c r="CL288" s="69">
        <f t="shared" si="2657"/>
        <v>10</v>
      </c>
      <c r="CM288" s="11">
        <v>47</v>
      </c>
      <c r="CN288" s="12">
        <f t="shared" si="2606"/>
        <v>0.3968253968253968</v>
      </c>
      <c r="CO288" s="11">
        <v>3</v>
      </c>
      <c r="CP288" s="12">
        <f t="shared" si="2607"/>
        <v>0.06</v>
      </c>
      <c r="CQ288" s="13"/>
      <c r="CR288" s="13"/>
      <c r="CS288" s="25">
        <v>4320</v>
      </c>
      <c r="CT288" s="38">
        <v>4550</v>
      </c>
      <c r="CU288" s="10"/>
      <c r="CV288" s="11"/>
      <c r="CW288" s="69">
        <f t="shared" si="2658"/>
        <v>726</v>
      </c>
      <c r="CX288" s="69">
        <f t="shared" si="2659"/>
        <v>59</v>
      </c>
      <c r="CY288" s="11">
        <v>328</v>
      </c>
      <c r="CZ288" s="12">
        <f t="shared" si="2608"/>
        <v>0.45867768595041325</v>
      </c>
      <c r="DA288" s="11">
        <v>5</v>
      </c>
      <c r="DB288" s="12">
        <f t="shared" si="2609"/>
        <v>1.5015015015015015E-2</v>
      </c>
      <c r="DC288" s="13"/>
      <c r="DD288" s="13"/>
      <c r="DE288" s="25">
        <v>4320</v>
      </c>
      <c r="DF288" s="38">
        <v>4550</v>
      </c>
      <c r="DG288" s="10"/>
      <c r="DH288" s="11"/>
      <c r="DI288" s="69">
        <f t="shared" si="2660"/>
        <v>724</v>
      </c>
      <c r="DJ288" s="69">
        <f t="shared" si="2661"/>
        <v>59</v>
      </c>
      <c r="DK288" s="11">
        <v>362</v>
      </c>
      <c r="DL288" s="12">
        <f t="shared" si="2610"/>
        <v>0.50966850828729282</v>
      </c>
      <c r="DM288" s="11">
        <v>7</v>
      </c>
      <c r="DN288" s="12">
        <f t="shared" si="2611"/>
        <v>1.8970189701897018E-2</v>
      </c>
      <c r="DO288" s="13"/>
      <c r="DP288" s="13"/>
      <c r="DQ288" s="25">
        <v>4320</v>
      </c>
      <c r="DR288" s="38">
        <v>4550</v>
      </c>
      <c r="DS288" s="10"/>
      <c r="DT288" s="11"/>
      <c r="DU288" s="69">
        <f t="shared" si="2662"/>
        <v>816</v>
      </c>
      <c r="DV288" s="69">
        <f t="shared" si="2663"/>
        <v>66</v>
      </c>
      <c r="DW288" s="11">
        <v>360</v>
      </c>
      <c r="DX288" s="12">
        <f t="shared" si="2612"/>
        <v>0.46446078431372551</v>
      </c>
      <c r="DY288" s="11">
        <v>19</v>
      </c>
      <c r="DZ288" s="12">
        <f t="shared" si="2613"/>
        <v>5.0131926121372031E-2</v>
      </c>
      <c r="EA288" s="13"/>
      <c r="EB288" s="13"/>
      <c r="EC288" s="25">
        <v>4320</v>
      </c>
      <c r="ED288" s="38">
        <v>4550</v>
      </c>
      <c r="EE288" s="10"/>
      <c r="EF288" s="11"/>
      <c r="EG288" s="69">
        <f t="shared" si="2664"/>
        <v>838</v>
      </c>
      <c r="EH288" s="69">
        <f t="shared" si="2665"/>
        <v>66</v>
      </c>
      <c r="EI288" s="11">
        <v>395</v>
      </c>
      <c r="EJ288" s="12">
        <f t="shared" si="2614"/>
        <v>0.49164677804295942</v>
      </c>
      <c r="EK288" s="11">
        <v>17</v>
      </c>
      <c r="EL288" s="12">
        <f t="shared" si="2615"/>
        <v>4.12621359223301E-2</v>
      </c>
      <c r="EM288" s="13"/>
      <c r="EN288" s="13"/>
      <c r="EO288" s="25">
        <v>4320</v>
      </c>
      <c r="EP288" s="38">
        <v>4550</v>
      </c>
      <c r="EQ288" s="10"/>
      <c r="ER288" s="11"/>
      <c r="ES288" s="69">
        <f t="shared" si="2666"/>
        <v>161</v>
      </c>
      <c r="ET288" s="69">
        <f t="shared" si="2667"/>
        <v>12</v>
      </c>
      <c r="EU288" s="11">
        <v>63</v>
      </c>
      <c r="EV288" s="12">
        <f t="shared" si="2616"/>
        <v>0.40993788819875776</v>
      </c>
      <c r="EW288" s="11">
        <v>3</v>
      </c>
      <c r="EX288" s="12">
        <f t="shared" si="2617"/>
        <v>4.5454545454545456E-2</v>
      </c>
      <c r="EY288" s="13"/>
      <c r="EZ288" s="13"/>
      <c r="FA288" s="25">
        <v>4320</v>
      </c>
      <c r="FB288" s="38">
        <v>4550</v>
      </c>
      <c r="FC288" s="10"/>
      <c r="FD288" s="11"/>
      <c r="FE288" s="69">
        <f t="shared" si="2668"/>
        <v>844</v>
      </c>
      <c r="FF288" s="69">
        <f t="shared" si="2669"/>
        <v>68</v>
      </c>
      <c r="FG288" s="11">
        <v>429</v>
      </c>
      <c r="FH288" s="12">
        <f t="shared" si="2618"/>
        <v>0.52132701421800953</v>
      </c>
      <c r="FI288" s="11">
        <v>11</v>
      </c>
      <c r="FJ288" s="12">
        <f t="shared" si="2619"/>
        <v>2.5000000000000001E-2</v>
      </c>
      <c r="FK288" s="13"/>
      <c r="FL288" s="13"/>
      <c r="FM288" s="25">
        <v>4320</v>
      </c>
      <c r="FN288" s="38">
        <v>4550</v>
      </c>
      <c r="FO288" s="10">
        <v>2</v>
      </c>
      <c r="FP288" s="11"/>
      <c r="FQ288" s="69">
        <f t="shared" si="2670"/>
        <v>852</v>
      </c>
      <c r="FR288" s="69">
        <f t="shared" si="2671"/>
        <v>70</v>
      </c>
      <c r="FS288" s="11">
        <v>389</v>
      </c>
      <c r="FT288" s="12">
        <f t="shared" si="2620"/>
        <v>0.48239436619718312</v>
      </c>
      <c r="FU288" s="11">
        <v>22</v>
      </c>
      <c r="FV288" s="12">
        <f t="shared" si="2621"/>
        <v>5.3527980535279802E-2</v>
      </c>
      <c r="FW288" s="13"/>
      <c r="FX288" s="13"/>
      <c r="FY288" s="25">
        <v>4320</v>
      </c>
      <c r="FZ288" s="38">
        <v>4550</v>
      </c>
      <c r="GA288" s="10"/>
      <c r="GB288" s="11"/>
      <c r="GC288" s="69">
        <f t="shared" si="2672"/>
        <v>868</v>
      </c>
      <c r="GD288" s="69">
        <f t="shared" si="2673"/>
        <v>70</v>
      </c>
      <c r="GE288" s="11">
        <v>419</v>
      </c>
      <c r="GF288" s="12">
        <f t="shared" si="2622"/>
        <v>0.50345622119815669</v>
      </c>
      <c r="GG288" s="11">
        <v>18</v>
      </c>
      <c r="GH288" s="12">
        <f t="shared" si="2623"/>
        <v>4.1189931350114416E-2</v>
      </c>
      <c r="GI288" s="13"/>
      <c r="GJ288" s="13"/>
      <c r="GK288" s="25">
        <v>4320</v>
      </c>
      <c r="GL288" s="38">
        <v>4550</v>
      </c>
      <c r="GM288" s="10"/>
      <c r="GN288" s="11"/>
      <c r="GO288" s="69">
        <f t="shared" si="2674"/>
        <v>136</v>
      </c>
      <c r="GP288" s="69">
        <f t="shared" si="2675"/>
        <v>11</v>
      </c>
      <c r="GQ288" s="11">
        <v>51</v>
      </c>
      <c r="GR288" s="12">
        <f t="shared" si="2624"/>
        <v>0.41176470588235292</v>
      </c>
      <c r="GS288" s="11">
        <v>5</v>
      </c>
      <c r="GT288" s="12">
        <f t="shared" si="2625"/>
        <v>8.9285714285714288E-2</v>
      </c>
      <c r="GU288" s="13"/>
      <c r="GV288" s="13"/>
      <c r="GW288" s="25">
        <v>4320</v>
      </c>
      <c r="GX288" s="38">
        <v>4550</v>
      </c>
      <c r="GY288" s="10"/>
      <c r="GZ288" s="11"/>
      <c r="HA288" s="69">
        <f t="shared" si="2676"/>
        <v>895</v>
      </c>
      <c r="HB288" s="69">
        <f t="shared" si="2677"/>
        <v>73</v>
      </c>
      <c r="HC288" s="11">
        <v>463</v>
      </c>
      <c r="HD288" s="12">
        <f t="shared" si="2626"/>
        <v>0.53184357541899441</v>
      </c>
      <c r="HE288" s="11">
        <v>13</v>
      </c>
      <c r="HF288" s="12">
        <f t="shared" si="2627"/>
        <v>2.7310924369747899E-2</v>
      </c>
      <c r="HG288" s="13"/>
      <c r="HH288" s="13"/>
      <c r="HI288" s="25">
        <v>4320</v>
      </c>
      <c r="HJ288" s="38">
        <v>4550</v>
      </c>
      <c r="HK288" s="10">
        <f t="shared" si="2628"/>
        <v>2</v>
      </c>
      <c r="HL288" s="11">
        <f t="shared" si="2629"/>
        <v>0</v>
      </c>
      <c r="HM288" s="11">
        <f t="shared" si="2630"/>
        <v>11707</v>
      </c>
      <c r="HN288" s="11">
        <f t="shared" si="2631"/>
        <v>944</v>
      </c>
      <c r="HO288" s="11">
        <f t="shared" si="2632"/>
        <v>5722</v>
      </c>
      <c r="HP288" s="95">
        <f t="shared" si="2633"/>
        <v>0.48876740411719483</v>
      </c>
      <c r="HQ288" s="15">
        <f t="shared" si="2634"/>
        <v>203</v>
      </c>
      <c r="HR288" s="12">
        <f t="shared" si="2635"/>
        <v>3.5477105907025512E-2</v>
      </c>
      <c r="HS288" s="16">
        <v>67.400000000000006</v>
      </c>
      <c r="HT288" s="17">
        <v>5389</v>
      </c>
      <c r="HU288" s="16">
        <f t="shared" si="2636"/>
        <v>94.180356518699753</v>
      </c>
      <c r="HV288" s="23">
        <v>4320</v>
      </c>
      <c r="HW288" s="22">
        <v>4550</v>
      </c>
      <c r="HX288" s="73">
        <f t="shared" si="2637"/>
        <v>0.49671155652990917</v>
      </c>
      <c r="HY288" s="73">
        <f t="shared" si="2638"/>
        <v>0.47003865979381443</v>
      </c>
      <c r="HZ288" s="73">
        <f t="shared" si="2639"/>
        <v>0.48777735990974053</v>
      </c>
      <c r="IA288" s="73">
        <f t="shared" si="2640"/>
        <v>0.50163576881134131</v>
      </c>
    </row>
    <row r="289" spans="1:244" x14ac:dyDescent="0.25">
      <c r="A289" s="374"/>
      <c r="B289" s="41">
        <f t="shared" si="2641"/>
        <v>45163</v>
      </c>
      <c r="C289" s="10"/>
      <c r="D289" s="11"/>
      <c r="E289" s="69">
        <f t="shared" si="2642"/>
        <v>807</v>
      </c>
      <c r="F289" s="69">
        <f t="shared" si="2643"/>
        <v>64</v>
      </c>
      <c r="G289" s="11">
        <v>366</v>
      </c>
      <c r="H289" s="12">
        <f t="shared" si="2592"/>
        <v>0.47211895910780671</v>
      </c>
      <c r="I289" s="11">
        <v>15</v>
      </c>
      <c r="J289" s="12">
        <f t="shared" si="2593"/>
        <v>3.937007874015748E-2</v>
      </c>
      <c r="K289" s="13"/>
      <c r="L289" s="11"/>
      <c r="M289" s="25">
        <v>4904.4444444444443</v>
      </c>
      <c r="N289" s="38">
        <v>4570</v>
      </c>
      <c r="O289" s="10"/>
      <c r="P289" s="11">
        <v>1</v>
      </c>
      <c r="Q289" s="69">
        <f t="shared" si="2644"/>
        <v>744</v>
      </c>
      <c r="R289" s="69">
        <f t="shared" si="2645"/>
        <v>59</v>
      </c>
      <c r="S289" s="11">
        <v>364</v>
      </c>
      <c r="T289" s="12">
        <f t="shared" si="2594"/>
        <v>0.50403225806451613</v>
      </c>
      <c r="U289" s="11">
        <v>11</v>
      </c>
      <c r="V289" s="12">
        <f t="shared" si="2595"/>
        <v>2.9333333333333333E-2</v>
      </c>
      <c r="W289" s="13"/>
      <c r="X289" s="11"/>
      <c r="Y289" s="25">
        <v>4900.7407407407409</v>
      </c>
      <c r="Z289" s="38">
        <v>4960.909090909091</v>
      </c>
      <c r="AA289" s="10"/>
      <c r="AB289" s="11"/>
      <c r="AC289" s="69">
        <f t="shared" si="2646"/>
        <v>152</v>
      </c>
      <c r="AD289" s="69">
        <f t="shared" si="2647"/>
        <v>11</v>
      </c>
      <c r="AE289" s="11">
        <v>67</v>
      </c>
      <c r="AF289" s="12">
        <f t="shared" si="2596"/>
        <v>0.45394736842105265</v>
      </c>
      <c r="AG289" s="11">
        <v>2</v>
      </c>
      <c r="AH289" s="12">
        <f t="shared" si="2597"/>
        <v>2.8985507246376812E-2</v>
      </c>
      <c r="AI289" s="13"/>
      <c r="AJ289" s="11"/>
      <c r="AK289" s="25">
        <v>4911.818181818182</v>
      </c>
      <c r="AL289" s="38">
        <v>4373.333333333333</v>
      </c>
      <c r="AM289" s="10"/>
      <c r="AN289" s="11"/>
      <c r="AO289" s="69">
        <f t="shared" si="2648"/>
        <v>747</v>
      </c>
      <c r="AP289" s="69">
        <f t="shared" si="2649"/>
        <v>61</v>
      </c>
      <c r="AQ289" s="11">
        <v>356</v>
      </c>
      <c r="AR289" s="12">
        <f t="shared" si="2598"/>
        <v>0.48728246318607765</v>
      </c>
      <c r="AS289" s="11">
        <v>8</v>
      </c>
      <c r="AT289" s="12">
        <f t="shared" si="2599"/>
        <v>2.197802197802198E-2</v>
      </c>
      <c r="AU289" s="13"/>
      <c r="AV289" s="11"/>
      <c r="AW289" s="25">
        <v>4852.7027027027025</v>
      </c>
      <c r="AX289" s="38">
        <v>5118.181818181818</v>
      </c>
      <c r="AY289" s="10"/>
      <c r="AZ289" s="11"/>
      <c r="BA289" s="69">
        <f t="shared" si="2650"/>
        <v>743</v>
      </c>
      <c r="BB289" s="69">
        <f t="shared" si="2651"/>
        <v>60</v>
      </c>
      <c r="BC289" s="11">
        <v>367</v>
      </c>
      <c r="BD289" s="12">
        <f t="shared" si="2600"/>
        <v>0.50471063257065951</v>
      </c>
      <c r="BE289" s="11">
        <v>8</v>
      </c>
      <c r="BF289" s="12">
        <f t="shared" si="2601"/>
        <v>2.1333333333333333E-2</v>
      </c>
      <c r="BG289" s="13"/>
      <c r="BH289" s="11"/>
      <c r="BI289" s="25">
        <v>5058.1578947368425</v>
      </c>
      <c r="BJ289" s="38">
        <v>5250.909090909091</v>
      </c>
      <c r="BK289" s="10">
        <v>1</v>
      </c>
      <c r="BL289" s="11"/>
      <c r="BM289" s="69">
        <f t="shared" si="2652"/>
        <v>794</v>
      </c>
      <c r="BN289" s="69">
        <f t="shared" si="2653"/>
        <v>64</v>
      </c>
      <c r="BO289" s="11">
        <v>367</v>
      </c>
      <c r="BP289" s="12">
        <f t="shared" si="2602"/>
        <v>0.47229219143576828</v>
      </c>
      <c r="BQ289" s="11">
        <v>8</v>
      </c>
      <c r="BR289" s="12">
        <f t="shared" si="2603"/>
        <v>2.1333333333333333E-2</v>
      </c>
      <c r="BS289" s="13"/>
      <c r="BT289" s="11"/>
      <c r="BU289" s="25">
        <v>4898.9473684210525</v>
      </c>
      <c r="BV289" s="38">
        <v>4554</v>
      </c>
      <c r="BW289" s="10">
        <v>1</v>
      </c>
      <c r="BX289" s="11"/>
      <c r="BY289" s="69">
        <f t="shared" si="2654"/>
        <v>732</v>
      </c>
      <c r="BZ289" s="69">
        <f t="shared" si="2655"/>
        <v>60</v>
      </c>
      <c r="CA289" s="11">
        <v>333</v>
      </c>
      <c r="CB289" s="12">
        <f t="shared" si="2604"/>
        <v>0.47131147540983609</v>
      </c>
      <c r="CC289" s="11">
        <v>12</v>
      </c>
      <c r="CD289" s="12">
        <f t="shared" si="2605"/>
        <v>3.4782608695652174E-2</v>
      </c>
      <c r="CE289" s="13"/>
      <c r="CF289" s="11"/>
      <c r="CG289" s="25">
        <v>4812.9729729729734</v>
      </c>
      <c r="CH289" s="38">
        <v>4891.666666666667</v>
      </c>
      <c r="CI289" s="10"/>
      <c r="CJ289" s="11"/>
      <c r="CK289" s="69">
        <f t="shared" si="2656"/>
        <v>126</v>
      </c>
      <c r="CL289" s="69">
        <f t="shared" si="2657"/>
        <v>10</v>
      </c>
      <c r="CM289" s="11">
        <v>43</v>
      </c>
      <c r="CN289" s="12">
        <f t="shared" si="2606"/>
        <v>0.35714285714285715</v>
      </c>
      <c r="CO289" s="11">
        <v>2</v>
      </c>
      <c r="CP289" s="12">
        <f t="shared" si="2607"/>
        <v>4.4444444444444446E-2</v>
      </c>
      <c r="CQ289" s="13"/>
      <c r="CR289" s="11"/>
      <c r="CS289" s="25">
        <v>4956.363636363636</v>
      </c>
      <c r="CT289" s="38">
        <v>4293.333333333333</v>
      </c>
      <c r="CU289" s="10"/>
      <c r="CV289" s="11"/>
      <c r="CW289" s="69">
        <f t="shared" si="2658"/>
        <v>726</v>
      </c>
      <c r="CX289" s="69">
        <f t="shared" si="2659"/>
        <v>59</v>
      </c>
      <c r="CY289" s="11">
        <v>321</v>
      </c>
      <c r="CZ289" s="12">
        <f t="shared" si="2608"/>
        <v>0.44903581267217629</v>
      </c>
      <c r="DA289" s="11">
        <v>5</v>
      </c>
      <c r="DB289" s="12">
        <f t="shared" si="2609"/>
        <v>1.5337423312883436E-2</v>
      </c>
      <c r="DC289" s="13"/>
      <c r="DD289" s="11"/>
      <c r="DE289" s="25">
        <v>4758.181818181818</v>
      </c>
      <c r="DF289" s="38">
        <v>4829.2307692307695</v>
      </c>
      <c r="DG289" s="10"/>
      <c r="DH289" s="11"/>
      <c r="DI289" s="69">
        <f t="shared" si="2660"/>
        <v>724</v>
      </c>
      <c r="DJ289" s="69">
        <f t="shared" si="2661"/>
        <v>59</v>
      </c>
      <c r="DK289" s="11">
        <v>381</v>
      </c>
      <c r="DL289" s="12">
        <f t="shared" si="2610"/>
        <v>0.53867403314917128</v>
      </c>
      <c r="DM289" s="11">
        <v>9</v>
      </c>
      <c r="DN289" s="12">
        <f t="shared" si="2611"/>
        <v>2.3076923076923078E-2</v>
      </c>
      <c r="DO289" s="13"/>
      <c r="DP289" s="11"/>
      <c r="DQ289" s="25">
        <v>4950.5405405405409</v>
      </c>
      <c r="DR289" s="38">
        <v>5348.333333333333</v>
      </c>
      <c r="DS289" s="10"/>
      <c r="DT289" s="11"/>
      <c r="DU289" s="69">
        <f t="shared" si="2662"/>
        <v>816</v>
      </c>
      <c r="DV289" s="69">
        <f t="shared" si="2663"/>
        <v>66</v>
      </c>
      <c r="DW289" s="11">
        <v>332</v>
      </c>
      <c r="DX289" s="12">
        <f t="shared" si="2612"/>
        <v>0.4264705882352941</v>
      </c>
      <c r="DY289" s="11">
        <v>16</v>
      </c>
      <c r="DZ289" s="12">
        <f t="shared" si="2613"/>
        <v>4.5977011494252873E-2</v>
      </c>
      <c r="EA289" s="13"/>
      <c r="EB289" s="11"/>
      <c r="EC289" s="25">
        <v>4877.3469387755104</v>
      </c>
      <c r="ED289" s="38">
        <v>4566.9230769230771</v>
      </c>
      <c r="EE289" s="10"/>
      <c r="EF289" s="11"/>
      <c r="EG289" s="69">
        <f t="shared" si="2664"/>
        <v>838</v>
      </c>
      <c r="EH289" s="69">
        <f t="shared" si="2665"/>
        <v>66</v>
      </c>
      <c r="EI289" s="11">
        <v>374</v>
      </c>
      <c r="EJ289" s="12">
        <f t="shared" si="2614"/>
        <v>0.46420047732696895</v>
      </c>
      <c r="EK289" s="11">
        <v>15</v>
      </c>
      <c r="EL289" s="12">
        <f t="shared" si="2615"/>
        <v>3.8560411311053984E-2</v>
      </c>
      <c r="EM289" s="13"/>
      <c r="EN289" s="11"/>
      <c r="EO289" s="25">
        <v>4876.590909090909</v>
      </c>
      <c r="EP289" s="38">
        <v>5070.833333333333</v>
      </c>
      <c r="EQ289" s="10"/>
      <c r="ER289" s="11"/>
      <c r="ES289" s="69">
        <f t="shared" si="2666"/>
        <v>161</v>
      </c>
      <c r="ET289" s="69">
        <f t="shared" si="2667"/>
        <v>12</v>
      </c>
      <c r="EU289" s="11">
        <v>64</v>
      </c>
      <c r="EV289" s="12">
        <f t="shared" si="2616"/>
        <v>0.42236024844720499</v>
      </c>
      <c r="EW289" s="11">
        <v>4</v>
      </c>
      <c r="EX289" s="12">
        <f t="shared" si="2617"/>
        <v>5.8823529411764705E-2</v>
      </c>
      <c r="EY289" s="13"/>
      <c r="EZ289" s="11"/>
      <c r="FA289" s="25">
        <v>4952.3529411764703</v>
      </c>
      <c r="FB289" s="38">
        <v>4393.333333333333</v>
      </c>
      <c r="FC289" s="10"/>
      <c r="FD289" s="11"/>
      <c r="FE289" s="69">
        <f t="shared" si="2668"/>
        <v>844</v>
      </c>
      <c r="FF289" s="69">
        <f t="shared" si="2669"/>
        <v>68</v>
      </c>
      <c r="FG289" s="11">
        <v>412</v>
      </c>
      <c r="FH289" s="12">
        <f t="shared" si="2618"/>
        <v>0.49763033175355448</v>
      </c>
      <c r="FI289" s="11">
        <v>8</v>
      </c>
      <c r="FJ289" s="12">
        <f t="shared" si="2619"/>
        <v>1.9047619047619049E-2</v>
      </c>
      <c r="FK289" s="13"/>
      <c r="FL289" s="11"/>
      <c r="FM289" s="25">
        <v>5031.2820512820517</v>
      </c>
      <c r="FN289" s="38">
        <v>5368.4615384615381</v>
      </c>
      <c r="FO289" s="10"/>
      <c r="FP289" s="11"/>
      <c r="FQ289" s="69">
        <f t="shared" si="2670"/>
        <v>852</v>
      </c>
      <c r="FR289" s="69">
        <f t="shared" si="2671"/>
        <v>70</v>
      </c>
      <c r="FS289" s="11">
        <v>400</v>
      </c>
      <c r="FT289" s="12">
        <f t="shared" si="2620"/>
        <v>0.48826291079812206</v>
      </c>
      <c r="FU289" s="11">
        <v>16</v>
      </c>
      <c r="FV289" s="12">
        <f t="shared" si="2621"/>
        <v>3.8461538461538464E-2</v>
      </c>
      <c r="FW289" s="13"/>
      <c r="FX289" s="11"/>
      <c r="FY289" s="25">
        <v>5082.8571428571431</v>
      </c>
      <c r="FZ289" s="38">
        <v>4756.666666666667</v>
      </c>
      <c r="GA289" s="10"/>
      <c r="GB289" s="11"/>
      <c r="GC289" s="69">
        <f t="shared" si="2672"/>
        <v>868</v>
      </c>
      <c r="GD289" s="69">
        <f t="shared" si="2673"/>
        <v>70</v>
      </c>
      <c r="GE289" s="11">
        <v>403</v>
      </c>
      <c r="GF289" s="12">
        <f t="shared" si="2622"/>
        <v>0.48156682027649772</v>
      </c>
      <c r="GG289" s="11">
        <v>15</v>
      </c>
      <c r="GH289" s="12">
        <f t="shared" si="2623"/>
        <v>3.5885167464114832E-2</v>
      </c>
      <c r="GI289" s="13"/>
      <c r="GJ289" s="11"/>
      <c r="GK289" s="25">
        <v>4927.6744186046508</v>
      </c>
      <c r="GL289" s="38">
        <v>4974.166666666667</v>
      </c>
      <c r="GM289" s="10"/>
      <c r="GN289" s="11"/>
      <c r="GO289" s="69">
        <f t="shared" si="2674"/>
        <v>136</v>
      </c>
      <c r="GP289" s="69">
        <f t="shared" si="2675"/>
        <v>11</v>
      </c>
      <c r="GQ289" s="11">
        <v>47</v>
      </c>
      <c r="GR289" s="12">
        <f t="shared" si="2624"/>
        <v>0.38235294117647056</v>
      </c>
      <c r="GS289" s="11">
        <v>5</v>
      </c>
      <c r="GT289" s="12">
        <f t="shared" si="2625"/>
        <v>9.6153846153846159E-2</v>
      </c>
      <c r="GU289" s="13"/>
      <c r="GV289" s="11"/>
      <c r="GW289" s="25">
        <v>4475.3846153846152</v>
      </c>
      <c r="GX289" s="38">
        <v>4496.666666666667</v>
      </c>
      <c r="GY289" s="10"/>
      <c r="GZ289" s="11"/>
      <c r="HA289" s="69">
        <f t="shared" si="2676"/>
        <v>895</v>
      </c>
      <c r="HB289" s="69">
        <f t="shared" si="2677"/>
        <v>73</v>
      </c>
      <c r="HC289" s="11">
        <v>435</v>
      </c>
      <c r="HD289" s="12">
        <f t="shared" si="2626"/>
        <v>0.49832402234636869</v>
      </c>
      <c r="HE289" s="11">
        <v>11</v>
      </c>
      <c r="HF289" s="12">
        <f t="shared" si="2627"/>
        <v>2.4663677130044841E-2</v>
      </c>
      <c r="HG289" s="13"/>
      <c r="HH289" s="11"/>
      <c r="HI289" s="25">
        <v>5054.8717948717949</v>
      </c>
      <c r="HJ289" s="38">
        <v>5277.333333333333</v>
      </c>
      <c r="HK289" s="10">
        <f t="shared" si="2628"/>
        <v>2</v>
      </c>
      <c r="HL289" s="11">
        <f t="shared" si="2629"/>
        <v>1</v>
      </c>
      <c r="HM289" s="11">
        <f t="shared" si="2630"/>
        <v>11705</v>
      </c>
      <c r="HN289" s="11">
        <f t="shared" si="2631"/>
        <v>943</v>
      </c>
      <c r="HO289" s="11">
        <f t="shared" si="2632"/>
        <v>5602</v>
      </c>
      <c r="HP289" s="95">
        <f t="shared" si="2633"/>
        <v>0.47859888936351985</v>
      </c>
      <c r="HQ289" s="15">
        <f t="shared" si="2634"/>
        <v>170</v>
      </c>
      <c r="HR289" s="12">
        <f t="shared" si="2635"/>
        <v>3.0346304891110319E-2</v>
      </c>
      <c r="HS289" s="16">
        <v>67.599999999999994</v>
      </c>
      <c r="HT289" s="17">
        <v>5316</v>
      </c>
      <c r="HU289" s="16">
        <f t="shared" si="2636"/>
        <v>94.894680471260259</v>
      </c>
      <c r="HV289" s="23">
        <v>4921.2027491408935</v>
      </c>
      <c r="HW289" s="22">
        <v>4937.2777777777774</v>
      </c>
      <c r="HX289" s="73">
        <f t="shared" si="2637"/>
        <v>0.48982148449733792</v>
      </c>
      <c r="HY289" s="73">
        <f t="shared" si="2638"/>
        <v>0.47743391360412635</v>
      </c>
      <c r="HZ289" s="73">
        <f t="shared" si="2639"/>
        <v>0.46069951109439639</v>
      </c>
      <c r="IA289" s="73">
        <f t="shared" si="2640"/>
        <v>0.48418756815703379</v>
      </c>
    </row>
    <row r="290" spans="1:244" x14ac:dyDescent="0.25">
      <c r="A290" s="374"/>
      <c r="B290" s="41">
        <f t="shared" si="2641"/>
        <v>45164</v>
      </c>
      <c r="C290" s="10">
        <v>1</v>
      </c>
      <c r="D290" s="11">
        <v>2</v>
      </c>
      <c r="E290" s="69">
        <f t="shared" si="2642"/>
        <v>806</v>
      </c>
      <c r="F290" s="69">
        <f t="shared" si="2643"/>
        <v>62</v>
      </c>
      <c r="G290" s="11">
        <v>400</v>
      </c>
      <c r="H290" s="12">
        <f t="shared" si="2592"/>
        <v>0.51488833746898266</v>
      </c>
      <c r="I290" s="11">
        <v>15</v>
      </c>
      <c r="J290" s="12">
        <f t="shared" si="2593"/>
        <v>3.614457831325301E-2</v>
      </c>
      <c r="K290" s="13"/>
      <c r="L290" s="11"/>
      <c r="M290" s="39">
        <v>81.481481481481481</v>
      </c>
      <c r="N290" s="43">
        <v>100</v>
      </c>
      <c r="O290" s="10"/>
      <c r="P290" s="11">
        <v>3</v>
      </c>
      <c r="Q290" s="69">
        <f t="shared" si="2644"/>
        <v>744</v>
      </c>
      <c r="R290" s="69">
        <f t="shared" si="2645"/>
        <v>56</v>
      </c>
      <c r="S290" s="11">
        <v>331</v>
      </c>
      <c r="T290" s="12">
        <f t="shared" si="2594"/>
        <v>0.4731182795698925</v>
      </c>
      <c r="U290" s="11">
        <v>21</v>
      </c>
      <c r="V290" s="12">
        <f t="shared" si="2595"/>
        <v>5.9659090909090912E-2</v>
      </c>
      <c r="W290" s="13"/>
      <c r="X290" s="11"/>
      <c r="Y290" s="39">
        <v>74.074074074074076</v>
      </c>
      <c r="Z290" s="43">
        <v>100</v>
      </c>
      <c r="AA290" s="10"/>
      <c r="AB290" s="11"/>
      <c r="AC290" s="69">
        <f t="shared" si="2646"/>
        <v>152</v>
      </c>
      <c r="AD290" s="69">
        <f t="shared" si="2647"/>
        <v>11</v>
      </c>
      <c r="AE290" s="11">
        <v>65</v>
      </c>
      <c r="AF290" s="12">
        <f t="shared" si="2596"/>
        <v>0.47368421052631576</v>
      </c>
      <c r="AG290" s="11">
        <v>7</v>
      </c>
      <c r="AH290" s="12">
        <f t="shared" si="2597"/>
        <v>9.7222222222222224E-2</v>
      </c>
      <c r="AI290" s="13"/>
      <c r="AJ290" s="11"/>
      <c r="AK290" s="39">
        <v>81.818181818181813</v>
      </c>
      <c r="AL290" s="43">
        <v>100</v>
      </c>
      <c r="AM290" s="10"/>
      <c r="AN290" s="11">
        <v>3</v>
      </c>
      <c r="AO290" s="69">
        <f t="shared" si="2648"/>
        <v>747</v>
      </c>
      <c r="AP290" s="69">
        <f t="shared" si="2649"/>
        <v>58</v>
      </c>
      <c r="AQ290" s="11">
        <v>420</v>
      </c>
      <c r="AR290" s="12">
        <f t="shared" si="2598"/>
        <v>0.57161981258366801</v>
      </c>
      <c r="AS290" s="11">
        <v>7</v>
      </c>
      <c r="AT290" s="12">
        <f t="shared" si="2599"/>
        <v>1.6393442622950821E-2</v>
      </c>
      <c r="AU290" s="13"/>
      <c r="AV290" s="11"/>
      <c r="AW290" s="39">
        <v>81.081081081081081</v>
      </c>
      <c r="AX290" s="43">
        <v>100</v>
      </c>
      <c r="AY290" s="10"/>
      <c r="AZ290" s="11">
        <v>3</v>
      </c>
      <c r="BA290" s="69">
        <f t="shared" si="2650"/>
        <v>743</v>
      </c>
      <c r="BB290" s="69">
        <f t="shared" si="2651"/>
        <v>57</v>
      </c>
      <c r="BC290" s="11">
        <v>334</v>
      </c>
      <c r="BD290" s="12">
        <f t="shared" si="2600"/>
        <v>0.47510094212651416</v>
      </c>
      <c r="BE290" s="11">
        <v>19</v>
      </c>
      <c r="BF290" s="12">
        <f t="shared" si="2601"/>
        <v>5.3824362606232294E-2</v>
      </c>
      <c r="BG290" s="13"/>
      <c r="BH290" s="11"/>
      <c r="BI290" s="39">
        <v>78.94736842105263</v>
      </c>
      <c r="BJ290" s="43">
        <v>100</v>
      </c>
      <c r="BK290" s="10"/>
      <c r="BL290" s="11">
        <v>3</v>
      </c>
      <c r="BM290" s="69">
        <f t="shared" si="2652"/>
        <v>794</v>
      </c>
      <c r="BN290" s="69">
        <f t="shared" si="2653"/>
        <v>61</v>
      </c>
      <c r="BO290" s="11">
        <v>336</v>
      </c>
      <c r="BP290" s="12">
        <f t="shared" si="2602"/>
        <v>0.43702770780856426</v>
      </c>
      <c r="BQ290" s="11">
        <v>11</v>
      </c>
      <c r="BR290" s="12">
        <f t="shared" si="2603"/>
        <v>3.1700288184438041E-2</v>
      </c>
      <c r="BS290" s="13"/>
      <c r="BT290" s="11"/>
      <c r="BU290" s="39">
        <v>76.315789473684205</v>
      </c>
      <c r="BV290" s="43">
        <v>100</v>
      </c>
      <c r="BW290" s="10"/>
      <c r="BX290" s="11">
        <v>3</v>
      </c>
      <c r="BY290" s="69">
        <f t="shared" si="2654"/>
        <v>732</v>
      </c>
      <c r="BZ290" s="69">
        <f t="shared" si="2655"/>
        <v>57</v>
      </c>
      <c r="CA290" s="11">
        <v>309</v>
      </c>
      <c r="CB290" s="12">
        <f t="shared" si="2604"/>
        <v>0.4344262295081967</v>
      </c>
      <c r="CC290" s="11">
        <v>9</v>
      </c>
      <c r="CD290" s="12">
        <f t="shared" si="2605"/>
        <v>2.8301886792452831E-2</v>
      </c>
      <c r="CE290" s="13"/>
      <c r="CF290" s="11"/>
      <c r="CG290" s="39">
        <v>75.675675675675677</v>
      </c>
      <c r="CH290" s="43">
        <v>100</v>
      </c>
      <c r="CI290" s="10"/>
      <c r="CJ290" s="11"/>
      <c r="CK290" s="69">
        <f t="shared" si="2656"/>
        <v>126</v>
      </c>
      <c r="CL290" s="69">
        <f t="shared" si="2657"/>
        <v>10</v>
      </c>
      <c r="CM290" s="11">
        <v>42</v>
      </c>
      <c r="CN290" s="12">
        <f t="shared" si="2606"/>
        <v>0.33333333333333331</v>
      </c>
      <c r="CO290" s="11">
        <v>0</v>
      </c>
      <c r="CP290" s="12">
        <f t="shared" si="2607"/>
        <v>0</v>
      </c>
      <c r="CQ290" s="13"/>
      <c r="CR290" s="11"/>
      <c r="CS290" s="39">
        <v>45.454545454545453</v>
      </c>
      <c r="CT290" s="43">
        <v>100</v>
      </c>
      <c r="CU290" s="10"/>
      <c r="CV290" s="11">
        <v>3</v>
      </c>
      <c r="CW290" s="69">
        <f t="shared" si="2658"/>
        <v>726</v>
      </c>
      <c r="CX290" s="69">
        <f t="shared" si="2659"/>
        <v>56</v>
      </c>
      <c r="CY290" s="11">
        <v>316</v>
      </c>
      <c r="CZ290" s="12">
        <f t="shared" si="2608"/>
        <v>0.44352617079889806</v>
      </c>
      <c r="DA290" s="11">
        <v>6</v>
      </c>
      <c r="DB290" s="12">
        <f t="shared" si="2609"/>
        <v>1.8633540372670808E-2</v>
      </c>
      <c r="DC290" s="13"/>
      <c r="DD290" s="11"/>
      <c r="DE290" s="39">
        <v>84.848484848484844</v>
      </c>
      <c r="DF290" s="43">
        <v>100</v>
      </c>
      <c r="DG290" s="10"/>
      <c r="DH290" s="11">
        <v>3</v>
      </c>
      <c r="DI290" s="69">
        <f t="shared" si="2660"/>
        <v>724</v>
      </c>
      <c r="DJ290" s="69">
        <f t="shared" si="2661"/>
        <v>56</v>
      </c>
      <c r="DK290" s="11">
        <v>351</v>
      </c>
      <c r="DL290" s="12">
        <f t="shared" si="2610"/>
        <v>0.49033149171270718</v>
      </c>
      <c r="DM290" s="11">
        <v>4</v>
      </c>
      <c r="DN290" s="12">
        <f t="shared" si="2611"/>
        <v>1.1267605633802818E-2</v>
      </c>
      <c r="DO290" s="13"/>
      <c r="DP290" s="11"/>
      <c r="DQ290" s="39">
        <v>54.054054054054056</v>
      </c>
      <c r="DR290" s="43">
        <v>100</v>
      </c>
      <c r="DS290" s="10">
        <v>1</v>
      </c>
      <c r="DT290" s="11">
        <v>3</v>
      </c>
      <c r="DU290" s="69">
        <f t="shared" si="2662"/>
        <v>815</v>
      </c>
      <c r="DV290" s="69">
        <f t="shared" si="2663"/>
        <v>63</v>
      </c>
      <c r="DW290" s="11">
        <v>360</v>
      </c>
      <c r="DX290" s="12">
        <f t="shared" si="2612"/>
        <v>0.46134969325153374</v>
      </c>
      <c r="DY290" s="11">
        <v>16</v>
      </c>
      <c r="DZ290" s="12">
        <f t="shared" si="2613"/>
        <v>4.2553191489361701E-2</v>
      </c>
      <c r="EA290" s="13"/>
      <c r="EB290" s="11"/>
      <c r="EC290" s="39">
        <v>63.265306122448976</v>
      </c>
      <c r="ED290" s="43">
        <v>92.307692307692307</v>
      </c>
      <c r="EE290" s="10"/>
      <c r="EF290" s="11">
        <v>3</v>
      </c>
      <c r="EG290" s="69">
        <f t="shared" si="2664"/>
        <v>838</v>
      </c>
      <c r="EH290" s="69">
        <f t="shared" si="2665"/>
        <v>63</v>
      </c>
      <c r="EI290" s="11">
        <v>398</v>
      </c>
      <c r="EJ290" s="12">
        <f t="shared" si="2614"/>
        <v>0.4880668257756563</v>
      </c>
      <c r="EK290" s="11">
        <v>11</v>
      </c>
      <c r="EL290" s="12">
        <f t="shared" si="2615"/>
        <v>2.6894865525672371E-2</v>
      </c>
      <c r="EM290" s="13"/>
      <c r="EN290" s="11"/>
      <c r="EO290" s="39">
        <v>75</v>
      </c>
      <c r="EP290" s="43">
        <v>100</v>
      </c>
      <c r="EQ290" s="10"/>
      <c r="ER290" s="11"/>
      <c r="ES290" s="69">
        <f t="shared" si="2666"/>
        <v>161</v>
      </c>
      <c r="ET290" s="69">
        <f t="shared" si="2667"/>
        <v>12</v>
      </c>
      <c r="EU290" s="11">
        <v>71</v>
      </c>
      <c r="EV290" s="12">
        <f t="shared" si="2616"/>
        <v>0.45962732919254656</v>
      </c>
      <c r="EW290" s="11">
        <v>3</v>
      </c>
      <c r="EX290" s="12">
        <f t="shared" si="2617"/>
        <v>4.0540540540540543E-2</v>
      </c>
      <c r="EY290" s="13"/>
      <c r="EZ290" s="11"/>
      <c r="FA290" s="39">
        <v>76.470588235294116</v>
      </c>
      <c r="FB290" s="43">
        <v>100</v>
      </c>
      <c r="FC290" s="10"/>
      <c r="FD290" s="11">
        <v>3</v>
      </c>
      <c r="FE290" s="69">
        <f t="shared" si="2668"/>
        <v>844</v>
      </c>
      <c r="FF290" s="69">
        <f t="shared" si="2669"/>
        <v>65</v>
      </c>
      <c r="FG290" s="11">
        <v>428</v>
      </c>
      <c r="FH290" s="12">
        <f t="shared" si="2618"/>
        <v>0.51895734597156395</v>
      </c>
      <c r="FI290" s="11">
        <v>10</v>
      </c>
      <c r="FJ290" s="12">
        <f t="shared" si="2619"/>
        <v>2.2831050228310501E-2</v>
      </c>
      <c r="FK290" s="13"/>
      <c r="FL290" s="11"/>
      <c r="FM290" s="39">
        <v>79.487179487179489</v>
      </c>
      <c r="FN290" s="43">
        <v>100</v>
      </c>
      <c r="FO290" s="10"/>
      <c r="FP290" s="11">
        <v>4</v>
      </c>
      <c r="FQ290" s="69">
        <f t="shared" si="2670"/>
        <v>852</v>
      </c>
      <c r="FR290" s="69">
        <f t="shared" si="2671"/>
        <v>66</v>
      </c>
      <c r="FS290" s="11">
        <v>409</v>
      </c>
      <c r="FT290" s="12">
        <f t="shared" si="2620"/>
        <v>0.49530516431924881</v>
      </c>
      <c r="FU290" s="11">
        <v>13</v>
      </c>
      <c r="FV290" s="12">
        <f t="shared" si="2621"/>
        <v>3.0805687203791468E-2</v>
      </c>
      <c r="FW290" s="13"/>
      <c r="FX290" s="11"/>
      <c r="FY290" s="39">
        <v>85.714285714285708</v>
      </c>
      <c r="FZ290" s="43">
        <v>100</v>
      </c>
      <c r="GA290" s="10"/>
      <c r="GB290" s="11">
        <v>3</v>
      </c>
      <c r="GC290" s="69">
        <f t="shared" si="2672"/>
        <v>868</v>
      </c>
      <c r="GD290" s="69">
        <f t="shared" si="2673"/>
        <v>67</v>
      </c>
      <c r="GE290" s="11">
        <v>401</v>
      </c>
      <c r="GF290" s="12">
        <f t="shared" si="2622"/>
        <v>0.47580645161290325</v>
      </c>
      <c r="GG290" s="11">
        <v>12</v>
      </c>
      <c r="GH290" s="12">
        <f t="shared" si="2623"/>
        <v>2.9055690072639227E-2</v>
      </c>
      <c r="GI290" s="13"/>
      <c r="GJ290" s="11"/>
      <c r="GK290" s="39">
        <v>69.767441860465112</v>
      </c>
      <c r="GL290" s="43">
        <v>100</v>
      </c>
      <c r="GM290" s="10">
        <v>1</v>
      </c>
      <c r="GN290" s="11">
        <v>1</v>
      </c>
      <c r="GO290" s="69">
        <f t="shared" si="2674"/>
        <v>135</v>
      </c>
      <c r="GP290" s="69">
        <f t="shared" si="2675"/>
        <v>10</v>
      </c>
      <c r="GQ290" s="11">
        <v>42</v>
      </c>
      <c r="GR290" s="12">
        <f t="shared" si="2624"/>
        <v>0.34814814814814815</v>
      </c>
      <c r="GS290" s="11">
        <v>5</v>
      </c>
      <c r="GT290" s="12">
        <f t="shared" si="2625"/>
        <v>0.10638297872340426</v>
      </c>
      <c r="GU290" s="13"/>
      <c r="GV290" s="11"/>
      <c r="GW290" s="39">
        <v>61.53846153846154</v>
      </c>
      <c r="GX290" s="43">
        <v>100</v>
      </c>
      <c r="GY290" s="10">
        <v>1</v>
      </c>
      <c r="GZ290" s="11">
        <v>4</v>
      </c>
      <c r="HA290" s="69">
        <f t="shared" si="2676"/>
        <v>894</v>
      </c>
      <c r="HB290" s="69">
        <f t="shared" si="2677"/>
        <v>69</v>
      </c>
      <c r="HC290" s="11">
        <v>430</v>
      </c>
      <c r="HD290" s="12">
        <f t="shared" si="2626"/>
        <v>0.48881431767337807</v>
      </c>
      <c r="HE290" s="11">
        <v>7</v>
      </c>
      <c r="HF290" s="12">
        <f t="shared" si="2627"/>
        <v>1.6018306636155607E-2</v>
      </c>
      <c r="HG290" s="13"/>
      <c r="HH290" s="11"/>
      <c r="HI290" s="39">
        <v>74.358974358974365</v>
      </c>
      <c r="HJ290" s="43">
        <v>100</v>
      </c>
      <c r="HK290" s="10">
        <f t="shared" si="2628"/>
        <v>4</v>
      </c>
      <c r="HL290" s="11">
        <f t="shared" si="2629"/>
        <v>44</v>
      </c>
      <c r="HM290" s="11">
        <f t="shared" si="2630"/>
        <v>11701</v>
      </c>
      <c r="HN290" s="11">
        <f t="shared" si="2631"/>
        <v>899</v>
      </c>
      <c r="HO290" s="11">
        <f t="shared" si="2632"/>
        <v>5619</v>
      </c>
      <c r="HP290" s="95">
        <f t="shared" si="2633"/>
        <v>0.48021536620801641</v>
      </c>
      <c r="HQ290" s="15">
        <f t="shared" si="2634"/>
        <v>176</v>
      </c>
      <c r="HR290" s="12">
        <f t="shared" si="2635"/>
        <v>3.1322299341519845E-2</v>
      </c>
      <c r="HS290" s="16">
        <v>68.099999999999994</v>
      </c>
      <c r="HT290" s="17">
        <v>5317</v>
      </c>
      <c r="HU290" s="16">
        <f t="shared" si="2636"/>
        <v>94.62537818117103</v>
      </c>
      <c r="HV290" s="23">
        <v>72.164948453608247</v>
      </c>
      <c r="HW290" s="22">
        <v>83.333333333333329</v>
      </c>
      <c r="HX290" s="73">
        <f t="shared" si="2637"/>
        <v>0.5072055137844611</v>
      </c>
      <c r="HY290" s="73">
        <f t="shared" si="2638"/>
        <v>0.44616376531270147</v>
      </c>
      <c r="HZ290" s="73">
        <f t="shared" si="2639"/>
        <v>0.48796087283671935</v>
      </c>
      <c r="IA290" s="73">
        <f t="shared" si="2640"/>
        <v>0.47981084030556564</v>
      </c>
      <c r="IF290" s="85">
        <f>IF291/IF292</f>
        <v>1.5639662183296842E-3</v>
      </c>
      <c r="IG290" s="85">
        <f>IG291/IG292</f>
        <v>2.8929604628736743E-3</v>
      </c>
      <c r="IH290" s="85">
        <f>IH291/IH292</f>
        <v>1.1273957158962795E-3</v>
      </c>
      <c r="II290" s="85">
        <f>II291/II292</f>
        <v>3.6245016310257339E-3</v>
      </c>
      <c r="IJ290" s="88" t="s">
        <v>90</v>
      </c>
    </row>
    <row r="291" spans="1:244" ht="19.5" thickBot="1" x14ac:dyDescent="0.3">
      <c r="A291" s="374"/>
      <c r="B291" s="42"/>
      <c r="C291" s="26">
        <f>SUM(C284:C290)</f>
        <v>2</v>
      </c>
      <c r="D291" s="27">
        <f>SUM(D284:D290)</f>
        <v>2</v>
      </c>
      <c r="E291" s="27"/>
      <c r="F291" s="27"/>
      <c r="G291" s="27">
        <f>SUM(G284:G290)</f>
        <v>2684</v>
      </c>
      <c r="H291" s="28">
        <f>((G291+I291)/7)/E290</f>
        <v>0.49237858915278265</v>
      </c>
      <c r="I291" s="27">
        <f>SUM(I284:I290)</f>
        <v>94</v>
      </c>
      <c r="J291" s="28">
        <f>(I291/(I291+G291))</f>
        <v>3.3837293016558675E-2</v>
      </c>
      <c r="K291" s="27"/>
      <c r="L291" s="27"/>
      <c r="M291" s="29">
        <f>M289/M288*100-100</f>
        <v>13.52880658436213</v>
      </c>
      <c r="N291" s="67">
        <f>N289/N288*100-100</f>
        <v>0.439560439560438</v>
      </c>
      <c r="O291" s="26">
        <f>SUM(O284:O290)</f>
        <v>1</v>
      </c>
      <c r="P291" s="27">
        <f>SUM(P284:P290)</f>
        <v>4</v>
      </c>
      <c r="Q291" s="27"/>
      <c r="R291" s="27"/>
      <c r="S291" s="27">
        <f>SUM(S284:S290)</f>
        <v>2429</v>
      </c>
      <c r="T291" s="28">
        <f>((S291+U291)/7)/Q290</f>
        <v>0.48329493087557601</v>
      </c>
      <c r="U291" s="27">
        <f>SUM(U284:U290)</f>
        <v>88</v>
      </c>
      <c r="V291" s="28">
        <f>(U291/(U291+S291))</f>
        <v>3.4962256654747718E-2</v>
      </c>
      <c r="W291" s="27"/>
      <c r="X291" s="27"/>
      <c r="Y291" s="29">
        <f>Y289/Y288*100-100</f>
        <v>13.44307270233196</v>
      </c>
      <c r="Z291" s="67">
        <f>Z289/Z288*100-100</f>
        <v>9.0309690309690325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462</v>
      </c>
      <c r="AF291" s="28">
        <f>((AE291+AG291)/7)/AC290</f>
        <v>0.45394736842105265</v>
      </c>
      <c r="AG291" s="27">
        <f>SUM(AG284:AG290)</f>
        <v>21</v>
      </c>
      <c r="AH291" s="28">
        <f>(AG291/(AG291+AE291))</f>
        <v>4.3478260869565216E-2</v>
      </c>
      <c r="AI291" s="27"/>
      <c r="AJ291" s="27"/>
      <c r="AK291" s="29">
        <f>AK289/AK288*100-100</f>
        <v>13.699494949494962</v>
      </c>
      <c r="AL291" s="67">
        <f>AL289/AL288*100-100</f>
        <v>-3.8827838827838974</v>
      </c>
      <c r="AM291" s="26">
        <f>SUM(AM284:AM290)</f>
        <v>1</v>
      </c>
      <c r="AN291" s="27">
        <f>SUM(AN284:AN290)</f>
        <v>3</v>
      </c>
      <c r="AO291" s="27"/>
      <c r="AP291" s="27"/>
      <c r="AQ291" s="27">
        <f>SUM(AQ284:AQ290)</f>
        <v>2528</v>
      </c>
      <c r="AR291" s="28">
        <f>((AQ291+AS291)/7)/AO290</f>
        <v>0.49818320902658253</v>
      </c>
      <c r="AS291" s="27">
        <f>SUM(AS284:AS290)</f>
        <v>77</v>
      </c>
      <c r="AT291" s="28">
        <f>(AS291/(AS291+AQ291))</f>
        <v>2.9558541266794625E-2</v>
      </c>
      <c r="AU291" s="27"/>
      <c r="AV291" s="27"/>
      <c r="AW291" s="29">
        <f>AW289/AW288*100-100</f>
        <v>12.331081081081081</v>
      </c>
      <c r="AX291" s="67">
        <f>AX289/AX288*100-100</f>
        <v>12.487512487512475</v>
      </c>
      <c r="AY291" s="26">
        <f>SUM(AY284:AY290)</f>
        <v>0</v>
      </c>
      <c r="AZ291" s="27">
        <f>SUM(AZ284:AZ290)</f>
        <v>3</v>
      </c>
      <c r="BA291" s="27"/>
      <c r="BB291" s="27"/>
      <c r="BC291" s="27">
        <f>SUM(BC284:BC290)</f>
        <v>2494</v>
      </c>
      <c r="BD291" s="28">
        <f>((BC291+BE291)/7)/BA290</f>
        <v>0.49336666025764275</v>
      </c>
      <c r="BE291" s="27">
        <f>SUM(BE284:BE290)</f>
        <v>72</v>
      </c>
      <c r="BF291" s="28">
        <f>(BE291/(BE291+BC291))</f>
        <v>2.8059236165237724E-2</v>
      </c>
      <c r="BG291" s="27"/>
      <c r="BH291" s="27"/>
      <c r="BI291" s="29">
        <f>BI289/BI288*100-100</f>
        <v>17.08698830409358</v>
      </c>
      <c r="BJ291" s="67">
        <f>BJ289/BJ288*100-100</f>
        <v>15.404595404595398</v>
      </c>
      <c r="BK291" s="26">
        <f>SUM(BK284:BK290)</f>
        <v>4</v>
      </c>
      <c r="BL291" s="27">
        <f>SUM(BL284:BL290)</f>
        <v>3</v>
      </c>
      <c r="BM291" s="27"/>
      <c r="BN291" s="27"/>
      <c r="BO291" s="27">
        <f>SUM(BO284:BO290)</f>
        <v>2439</v>
      </c>
      <c r="BP291" s="28">
        <f>((BO291+BQ291)/7)/BM290</f>
        <v>0.45142137459517812</v>
      </c>
      <c r="BQ291" s="27">
        <f>SUM(BQ284:BQ290)</f>
        <v>70</v>
      </c>
      <c r="BR291" s="28">
        <f>(BQ291/(BQ291+BO291))</f>
        <v>2.7899561578318056E-2</v>
      </c>
      <c r="BS291" s="27"/>
      <c r="BT291" s="27"/>
      <c r="BU291" s="29">
        <f>BU289/BU288*100-100</f>
        <v>13.40155945419103</v>
      </c>
      <c r="BV291" s="67">
        <f>BV289/BV288*100-100</f>
        <v>8.7912087912073389E-2</v>
      </c>
      <c r="BW291" s="26">
        <f>SUM(BW284:BW290)</f>
        <v>3</v>
      </c>
      <c r="BX291" s="27">
        <f>SUM(BX284:BX290)</f>
        <v>3</v>
      </c>
      <c r="BY291" s="27"/>
      <c r="BZ291" s="27"/>
      <c r="CA291" s="27">
        <f>SUM(CA284:CA290)</f>
        <v>2291</v>
      </c>
      <c r="CB291" s="28">
        <f>((CA291+CC291)/7)/BY290</f>
        <v>0.45999219359875099</v>
      </c>
      <c r="CC291" s="27">
        <f>SUM(CC284:CC290)</f>
        <v>66</v>
      </c>
      <c r="CD291" s="28">
        <f>(CC291/(CC291+CA291))</f>
        <v>2.8001697072549851E-2</v>
      </c>
      <c r="CE291" s="27"/>
      <c r="CF291" s="27"/>
      <c r="CG291" s="29">
        <f>CG289/CG288*100-100</f>
        <v>11.411411411411422</v>
      </c>
      <c r="CH291" s="67">
        <f>CH289/CH288*100-100</f>
        <v>7.5091575091575322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328</v>
      </c>
      <c r="CN291" s="28">
        <f>((CM291+CO291)/7)/CK290</f>
        <v>0.38095238095238093</v>
      </c>
      <c r="CO291" s="27">
        <f>SUM(CO284:CO290)</f>
        <v>8</v>
      </c>
      <c r="CP291" s="28">
        <f>(CO291/(CO291+CM291))</f>
        <v>2.3809523809523808E-2</v>
      </c>
      <c r="CQ291" s="27"/>
      <c r="CR291" s="27"/>
      <c r="CS291" s="29">
        <f>CS289/CS288*100-100</f>
        <v>14.730639730639723</v>
      </c>
      <c r="CT291" s="67">
        <f>CT289/CT288*100-100</f>
        <v>-5.6410256410256494</v>
      </c>
      <c r="CU291" s="26">
        <f>SUM(CU284:CU290)</f>
        <v>1</v>
      </c>
      <c r="CV291" s="27">
        <f>SUM(CV284:CV290)</f>
        <v>3</v>
      </c>
      <c r="CW291" s="27"/>
      <c r="CX291" s="27"/>
      <c r="CY291" s="27">
        <f>SUM(CY284:CY290)</f>
        <v>2298</v>
      </c>
      <c r="CZ291" s="28">
        <f>((CY291+DA291)/7)/CW290</f>
        <v>0.46123573396300666</v>
      </c>
      <c r="DA291" s="27">
        <f>SUM(DA284:DA290)</f>
        <v>46</v>
      </c>
      <c r="DB291" s="28">
        <f>(DA291/(DA291+CY291))</f>
        <v>1.9624573378839591E-2</v>
      </c>
      <c r="DC291" s="27"/>
      <c r="DD291" s="27"/>
      <c r="DE291" s="29">
        <f>DE289/DE288*100-100</f>
        <v>10.143097643097647</v>
      </c>
      <c r="DF291" s="67">
        <f>DF289/DF288*100-100</f>
        <v>6.1369399830938391</v>
      </c>
      <c r="DG291" s="26">
        <f>SUM(DG284:DG290)</f>
        <v>1</v>
      </c>
      <c r="DH291" s="27">
        <f>SUM(DH284:DH290)</f>
        <v>3</v>
      </c>
      <c r="DI291" s="27"/>
      <c r="DJ291" s="27"/>
      <c r="DK291" s="27">
        <f>SUM(DK284:DK290)</f>
        <v>2496</v>
      </c>
      <c r="DL291" s="28">
        <f>((DK291+DM291)/7)/DI290</f>
        <v>0.50374901341752176</v>
      </c>
      <c r="DM291" s="27">
        <f>SUM(DM284:DM290)</f>
        <v>57</v>
      </c>
      <c r="DN291" s="28">
        <f>(DM291/(DM291+DK291))</f>
        <v>2.2326674500587545E-2</v>
      </c>
      <c r="DO291" s="27"/>
      <c r="DP291" s="27"/>
      <c r="DQ291" s="29">
        <f>DQ289/DQ288*100-100</f>
        <v>14.595845845845858</v>
      </c>
      <c r="DR291" s="67">
        <f>DR289/DR288*100-100</f>
        <v>17.545787545787547</v>
      </c>
      <c r="DS291" s="26">
        <f>SUM(DS284:DS290)</f>
        <v>1</v>
      </c>
      <c r="DT291" s="27">
        <f>SUM(DT284:DT290)</f>
        <v>3</v>
      </c>
      <c r="DU291" s="27"/>
      <c r="DV291" s="27"/>
      <c r="DW291" s="27">
        <f>SUM(DW284:DW290)</f>
        <v>2473</v>
      </c>
      <c r="DX291" s="28">
        <f>((DW291+DY291)/7)/DU290</f>
        <v>0.45626643295354946</v>
      </c>
      <c r="DY291" s="27">
        <f>SUM(DY284:DY290)</f>
        <v>130</v>
      </c>
      <c r="DZ291" s="28">
        <f>(DY291/(DY291+DW291))</f>
        <v>4.9942374183634265E-2</v>
      </c>
      <c r="EA291" s="27"/>
      <c r="EB291" s="27"/>
      <c r="EC291" s="29">
        <f>EC289/EC288*100-100</f>
        <v>12.901549508692383</v>
      </c>
      <c r="ED291" s="67">
        <f>ED289/ED288*100-100</f>
        <v>0.37193575655113875</v>
      </c>
      <c r="EE291" s="26">
        <f>SUM(EE284:EE290)</f>
        <v>1</v>
      </c>
      <c r="EF291" s="27">
        <f>SUM(EF284:EF290)</f>
        <v>3</v>
      </c>
      <c r="EG291" s="27"/>
      <c r="EH291" s="27"/>
      <c r="EI291" s="27">
        <f>SUM(EI284:EI290)</f>
        <v>2705</v>
      </c>
      <c r="EJ291" s="28">
        <f>((EI291+EK291)/7)/EG290</f>
        <v>0.48056597340606888</v>
      </c>
      <c r="EK291" s="27">
        <f>SUM(EK284:EK290)</f>
        <v>114</v>
      </c>
      <c r="EL291" s="28">
        <f>(EK291/(EK291+EI291))</f>
        <v>4.0439872295140122E-2</v>
      </c>
      <c r="EM291" s="27"/>
      <c r="EN291" s="27"/>
      <c r="EO291" s="29">
        <f>EO289/EO288*100-100</f>
        <v>12.884048821548816</v>
      </c>
      <c r="EP291" s="67">
        <f>EP289/EP288*100-100</f>
        <v>11.446886446886452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428</v>
      </c>
      <c r="EV291" s="28">
        <f>((EU291+EW291)/7)/ES290</f>
        <v>0.39840283939662818</v>
      </c>
      <c r="EW291" s="27">
        <f>SUM(EW284:EW290)</f>
        <v>21</v>
      </c>
      <c r="EX291" s="28">
        <f>(EW291/(EW291+EU291))</f>
        <v>4.6770601336302897E-2</v>
      </c>
      <c r="EY291" s="27"/>
      <c r="EZ291" s="27"/>
      <c r="FA291" s="29">
        <f>FA289/FA288*100-100</f>
        <v>14.637799564270139</v>
      </c>
      <c r="FB291" s="67">
        <f>FB289/FB288*100-100</f>
        <v>-3.4432234432234594</v>
      </c>
      <c r="FC291" s="26">
        <f>SUM(FC284:FC290)</f>
        <v>1</v>
      </c>
      <c r="FD291" s="27">
        <f>SUM(FD284:FD290)</f>
        <v>3</v>
      </c>
      <c r="FE291" s="27"/>
      <c r="FF291" s="27"/>
      <c r="FG291" s="27">
        <f>SUM(FG284:FG290)</f>
        <v>2936</v>
      </c>
      <c r="FH291" s="28">
        <f>((FG291+FI291)/7)/FE290</f>
        <v>0.50880162491536896</v>
      </c>
      <c r="FI291" s="27">
        <f>SUM(FI284:FI290)</f>
        <v>70</v>
      </c>
      <c r="FJ291" s="28">
        <f>(FI291/(FI291+FG291))</f>
        <v>2.3286759813705923E-2</v>
      </c>
      <c r="FK291" s="27"/>
      <c r="FL291" s="27"/>
      <c r="FM291" s="29">
        <f>FM289/FM288*100-100</f>
        <v>16.464862298195641</v>
      </c>
      <c r="FN291" s="67">
        <f>FN289/FN288*100-100</f>
        <v>17.988165680473372</v>
      </c>
      <c r="FO291" s="26">
        <f>SUM(FO284:FO290)</f>
        <v>6</v>
      </c>
      <c r="FP291" s="27">
        <f>SUM(FP284:FP290)</f>
        <v>4</v>
      </c>
      <c r="FQ291" s="27"/>
      <c r="FR291" s="27"/>
      <c r="FS291" s="27">
        <f>SUM(FS284:FS290)</f>
        <v>2754</v>
      </c>
      <c r="FT291" s="28">
        <f>((FS291+FU291)/7)/FQ290</f>
        <v>0.48390342052313884</v>
      </c>
      <c r="FU291" s="27">
        <f>SUM(FU284:FU290)</f>
        <v>132</v>
      </c>
      <c r="FV291" s="28">
        <f>(FU291/(FU291+FS291))</f>
        <v>4.5738045738045741E-2</v>
      </c>
      <c r="FW291" s="27"/>
      <c r="FX291" s="27"/>
      <c r="FY291" s="29">
        <f>FY289/FY288*100-100</f>
        <v>17.658730158730165</v>
      </c>
      <c r="FZ291" s="67">
        <f>FZ289/FZ288*100-100</f>
        <v>4.5421245421245544</v>
      </c>
      <c r="GA291" s="26">
        <f>SUM(GA284:GA290)</f>
        <v>0</v>
      </c>
      <c r="GB291" s="27">
        <f>SUM(GB284:GB290)</f>
        <v>4</v>
      </c>
      <c r="GC291" s="27"/>
      <c r="GD291" s="27"/>
      <c r="GE291" s="27">
        <f>SUM(GE284:GE290)</f>
        <v>2823</v>
      </c>
      <c r="GF291" s="28">
        <f>((GE291+GG291)/7)/GC290</f>
        <v>0.48304805793285055</v>
      </c>
      <c r="GG291" s="27">
        <f>SUM(GG284:GG290)</f>
        <v>112</v>
      </c>
      <c r="GH291" s="28">
        <f>(GG291/(GG291+GE291))</f>
        <v>3.8160136286201025E-2</v>
      </c>
      <c r="GI291" s="27"/>
      <c r="GJ291" s="27"/>
      <c r="GK291" s="29">
        <f>GK289/GK288*100-100</f>
        <v>14.066537467700257</v>
      </c>
      <c r="GL291" s="67">
        <f>GL289/GL288*100-100</f>
        <v>9.3223443223443354</v>
      </c>
      <c r="GM291" s="26">
        <f>SUM(GM284:GM290)</f>
        <v>2</v>
      </c>
      <c r="GN291" s="27">
        <f>SUM(GN284:GN290)</f>
        <v>1</v>
      </c>
      <c r="GO291" s="27"/>
      <c r="GP291" s="27"/>
      <c r="GQ291" s="27">
        <f>SUM(GQ284:GQ290)</f>
        <v>320</v>
      </c>
      <c r="GR291" s="28">
        <f>((GQ291+GS291)/7)/GO290</f>
        <v>0.38201058201058202</v>
      </c>
      <c r="GS291" s="27">
        <f>SUM(GS284:GS290)</f>
        <v>41</v>
      </c>
      <c r="GT291" s="28">
        <f>(GS291/(GS291+GQ291))</f>
        <v>0.11357340720221606</v>
      </c>
      <c r="GU291" s="27"/>
      <c r="GV291" s="27"/>
      <c r="GW291" s="29">
        <f>GW289/GW288*100-100</f>
        <v>3.5968660968660942</v>
      </c>
      <c r="GX291" s="67">
        <f>GX289/GX288*100-100</f>
        <v>-1.172161172161168</v>
      </c>
      <c r="GY291" s="26">
        <f>SUM(GY284:GY290)</f>
        <v>2</v>
      </c>
      <c r="GZ291" s="27">
        <f>SUM(GZ284:GZ290)</f>
        <v>4</v>
      </c>
      <c r="HA291" s="27"/>
      <c r="HB291" s="27"/>
      <c r="HC291" s="27">
        <f>SUM(HC284:HC290)</f>
        <v>3057</v>
      </c>
      <c r="HD291" s="28">
        <f>((HC291+HE291)/7)/HA290</f>
        <v>0.50351550015979551</v>
      </c>
      <c r="HE291" s="27">
        <f>SUM(HE284:HE290)</f>
        <v>94</v>
      </c>
      <c r="HF291" s="28">
        <f>(HE291/(HE291+HC291))</f>
        <v>2.9831799428752775E-2</v>
      </c>
      <c r="HG291" s="27"/>
      <c r="HH291" s="27"/>
      <c r="HI291" s="29">
        <f>HI289/HI288*100-100</f>
        <v>17.010921177587846</v>
      </c>
      <c r="HJ291" s="67">
        <f>HJ289/HJ288*100-100</f>
        <v>15.985347985347985</v>
      </c>
      <c r="HK291" s="26">
        <f t="shared" si="2628"/>
        <v>27</v>
      </c>
      <c r="HL291" s="27">
        <f t="shared" si="2629"/>
        <v>46</v>
      </c>
      <c r="HM291" s="27">
        <f t="shared" si="2630"/>
        <v>0</v>
      </c>
      <c r="HN291" s="27">
        <f t="shared" si="2631"/>
        <v>0</v>
      </c>
      <c r="HO291" s="27">
        <f t="shared" si="2632"/>
        <v>39258</v>
      </c>
      <c r="HP291" s="96">
        <f>+((HO291)/HM290)/7</f>
        <v>0.47929969355488539</v>
      </c>
      <c r="HQ291" s="62">
        <f t="shared" si="2634"/>
        <v>1313</v>
      </c>
      <c r="HR291" s="52">
        <f t="shared" si="2635"/>
        <v>3.3445412400020379E-2</v>
      </c>
      <c r="HS291" s="53">
        <f>SUM(HS284:HS290)/7</f>
        <v>67.614285714285728</v>
      </c>
      <c r="HT291" s="54">
        <f>SUM(HT284:HT290)</f>
        <v>37116</v>
      </c>
      <c r="HU291" s="53">
        <f>AVERAGE(HU284:HU290)</f>
        <v>94.543694712969412</v>
      </c>
      <c r="HV291" s="63">
        <f>HV289/HV288*100-100</f>
        <v>13.91673030418734</v>
      </c>
      <c r="HW291" s="67">
        <f>HW289/HW288*100-100</f>
        <v>8.5115995115994991</v>
      </c>
      <c r="HX291" s="73">
        <f>SUM(G291,I291,S291,U291,AE291,AG291,AQ291,AS291,BC291,BE291)/7/SUM(E290,Q290,AC290,AO290,BA290)</f>
        <v>0.49001969208736124</v>
      </c>
      <c r="HY291" s="73">
        <f>SUM(BO291,BQ291,CA291,CC291,CM291,CO291,CY291,DA291,DK291,DM291)/7/SUM(BM290,BY290,CK290,CW290,DI290)</f>
        <v>0.4650916459427098</v>
      </c>
      <c r="HZ291" s="73">
        <f>SUM(DW291,DY291,EI291,EK291,EU291,EW291,FG291,FI291)/7/SUM(DU290,EG290,ES290,FE290)</f>
        <v>0.47710415994840372</v>
      </c>
      <c r="IA291" s="73">
        <f>SUM(FS291,FU291,GE291,GG291,GQ291,GS291,HC291,HE291)/7/SUM(FQ290,GC290,GO290,HA290)</f>
        <v>0.48500753520760792</v>
      </c>
      <c r="IB291" s="84">
        <f>SUM(I291,U291,AG291,AS291,BE291)/SUM(G291,I291,S291,U291,AE291,AG291,AQ291,AS291,BC291,BE291)</f>
        <v>3.2149054708192529E-2</v>
      </c>
      <c r="IC291" s="84">
        <f>SUM(BQ291,CC291,CO291,DA291,DM291)/SUM(BO291,BQ291,CA291,CC291,CM291,CO291,CY291,DA291,DK291,DM291)</f>
        <v>2.4457867115555997E-2</v>
      </c>
      <c r="ID291" s="84">
        <f>SUM(DY291,EK291,EW291,FI291)/SUM(DW291,DY291,EI291,EK291,EU291,EW291,FG291,FI291)</f>
        <v>3.7737974540948516E-2</v>
      </c>
      <c r="IE291" s="84">
        <f>SUM(FU291,GG291,GS291,HE291)/SUM(FS291,FU291,GE291,GG291,GQ291,GS291,HC291,HE291)</f>
        <v>4.060859316404157E-2</v>
      </c>
      <c r="IF291" s="86">
        <f>SUM(C291,O291,AA291,AM291,AY291)</f>
        <v>5</v>
      </c>
      <c r="IG291" s="86">
        <f>SUM(BK291,BW291,CI291,CU291,DG291)</f>
        <v>9</v>
      </c>
      <c r="IH291" s="86">
        <f>SUM(DS291,EE291,EQ291,FC291)</f>
        <v>3</v>
      </c>
      <c r="II291" s="86">
        <f>SUM(FO291,GA291,GM291,GY291)</f>
        <v>10</v>
      </c>
      <c r="IJ291" s="88" t="s">
        <v>89</v>
      </c>
    </row>
    <row r="292" spans="1:244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HK291/HM284</f>
        <v>2.3037542662116043E-3</v>
      </c>
      <c r="HL292" s="66">
        <f>HL291/HN284</f>
        <v>4.8625792811839326E-2</v>
      </c>
      <c r="HM292" s="45"/>
      <c r="HN292" s="45"/>
      <c r="HO292" s="45"/>
      <c r="HP292" s="98"/>
      <c r="HQ292" s="45"/>
      <c r="HR292" s="45"/>
      <c r="HS292" s="45"/>
      <c r="HT292" s="55"/>
      <c r="HU292" s="45"/>
      <c r="HV292" s="45"/>
      <c r="HW292" s="46"/>
      <c r="HY292" s="72"/>
      <c r="HZ292" s="72"/>
      <c r="IA292" s="72"/>
      <c r="IF292" s="86">
        <f>SUM(E281,Q281,AC281,AO281,BA281)</f>
        <v>3197</v>
      </c>
      <c r="IG292" s="86">
        <f>SUM(BM281,BY281,CK281,CW281,DI281)</f>
        <v>3111</v>
      </c>
      <c r="IH292" s="86">
        <f>SUM(DU281,EG281,ES281,FE281)</f>
        <v>2661</v>
      </c>
      <c r="II292" s="86">
        <f>SUM(FQ281,GC281,GO281,HA281)</f>
        <v>2759</v>
      </c>
      <c r="IJ292" s="88" t="s">
        <v>84</v>
      </c>
    </row>
    <row r="293" spans="1:244" x14ac:dyDescent="0.25">
      <c r="A293" s="373">
        <v>57</v>
      </c>
      <c r="B293" s="40">
        <f>B290+1</f>
        <v>45165</v>
      </c>
      <c r="C293" s="33"/>
      <c r="D293" s="34"/>
      <c r="E293" s="34">
        <f>E290-C293</f>
        <v>806</v>
      </c>
      <c r="F293" s="34">
        <f>F290-D293</f>
        <v>62</v>
      </c>
      <c r="G293" s="34">
        <v>357</v>
      </c>
      <c r="H293" s="35">
        <f t="shared" ref="H293:H299" si="2678">((G293+I293)/E293)</f>
        <v>0.45037220843672454</v>
      </c>
      <c r="I293" s="34">
        <v>6</v>
      </c>
      <c r="J293" s="35">
        <f t="shared" ref="J293:J299" si="2679">I293/(G293+I293)</f>
        <v>1.6528925619834711E-2</v>
      </c>
      <c r="K293" s="36"/>
      <c r="L293" s="34"/>
      <c r="M293" s="34"/>
      <c r="N293" s="37"/>
      <c r="O293" s="33"/>
      <c r="P293" s="34"/>
      <c r="Q293" s="34">
        <f>Q290-O293</f>
        <v>744</v>
      </c>
      <c r="R293" s="34">
        <f>R290-P293</f>
        <v>56</v>
      </c>
      <c r="S293" s="34">
        <v>334</v>
      </c>
      <c r="T293" s="35">
        <f t="shared" ref="T293:T299" si="2680">((S293+U293)/Q293)</f>
        <v>0.46236559139784944</v>
      </c>
      <c r="U293" s="34">
        <v>10</v>
      </c>
      <c r="V293" s="35">
        <f t="shared" ref="V293:V299" si="2681">U293/(S293+U293)</f>
        <v>2.9069767441860465E-2</v>
      </c>
      <c r="W293" s="36"/>
      <c r="X293" s="34"/>
      <c r="Y293" s="34"/>
      <c r="Z293" s="37"/>
      <c r="AA293" s="33"/>
      <c r="AB293" s="34"/>
      <c r="AC293" s="34">
        <f>AC290-AA293</f>
        <v>152</v>
      </c>
      <c r="AD293" s="34">
        <f>AD290-AB293</f>
        <v>11</v>
      </c>
      <c r="AE293" s="34">
        <v>68</v>
      </c>
      <c r="AF293" s="35">
        <f t="shared" ref="AF293:AF299" si="2682">((AE293+AG293)/AC293)</f>
        <v>0.46710526315789475</v>
      </c>
      <c r="AG293" s="34">
        <v>3</v>
      </c>
      <c r="AH293" s="35">
        <f t="shared" ref="AH293:AH299" si="2683">AG293/(AE293+AG293)</f>
        <v>4.2253521126760563E-2</v>
      </c>
      <c r="AI293" s="36"/>
      <c r="AJ293" s="34"/>
      <c r="AK293" s="34"/>
      <c r="AL293" s="37"/>
      <c r="AM293" s="33"/>
      <c r="AN293" s="34"/>
      <c r="AO293" s="34">
        <f>AO290-AM293</f>
        <v>747</v>
      </c>
      <c r="AP293" s="34">
        <f>AP290-AN293</f>
        <v>58</v>
      </c>
      <c r="AQ293" s="34">
        <v>351</v>
      </c>
      <c r="AR293" s="35">
        <f t="shared" ref="AR293:AR299" si="2684">((AQ293+AS293)/AO293)</f>
        <v>0.4859437751004016</v>
      </c>
      <c r="AS293" s="34">
        <v>12</v>
      </c>
      <c r="AT293" s="35">
        <f t="shared" ref="AT293:AT299" si="2685">AS293/(AQ293+AS293)</f>
        <v>3.3057851239669422E-2</v>
      </c>
      <c r="AU293" s="36"/>
      <c r="AV293" s="34"/>
      <c r="AW293" s="34"/>
      <c r="AX293" s="37"/>
      <c r="AY293" s="33"/>
      <c r="AZ293" s="34"/>
      <c r="BA293" s="34">
        <f>BA290-AY293</f>
        <v>743</v>
      </c>
      <c r="BB293" s="34">
        <f>BB290-AZ293</f>
        <v>57</v>
      </c>
      <c r="BC293" s="34">
        <v>344</v>
      </c>
      <c r="BD293" s="35">
        <f t="shared" ref="BD293:BD299" si="2686">((BC293+BE293)/BA293)</f>
        <v>0.477792732166891</v>
      </c>
      <c r="BE293" s="34">
        <v>11</v>
      </c>
      <c r="BF293" s="35">
        <f t="shared" ref="BF293:BF299" si="2687">BE293/(BC293+BE293)</f>
        <v>3.0985915492957747E-2</v>
      </c>
      <c r="BG293" s="36"/>
      <c r="BH293" s="34"/>
      <c r="BI293" s="34"/>
      <c r="BJ293" s="37"/>
      <c r="BK293" s="33"/>
      <c r="BL293" s="34"/>
      <c r="BM293" s="34">
        <f>BM290-BK293</f>
        <v>794</v>
      </c>
      <c r="BN293" s="34">
        <f>BN290-BL293</f>
        <v>61</v>
      </c>
      <c r="BO293" s="34">
        <v>322</v>
      </c>
      <c r="BP293" s="35">
        <f t="shared" ref="BP293:BP299" si="2688">((BO293+BQ293)/BM293)</f>
        <v>0.42191435768261965</v>
      </c>
      <c r="BQ293" s="34">
        <v>13</v>
      </c>
      <c r="BR293" s="35">
        <f t="shared" ref="BR293:BR299" si="2689">BQ293/(BO293+BQ293)</f>
        <v>3.880597014925373E-2</v>
      </c>
      <c r="BS293" s="36"/>
      <c r="BT293" s="34"/>
      <c r="BU293" s="34"/>
      <c r="BV293" s="37"/>
      <c r="BW293" s="33"/>
      <c r="BX293" s="34"/>
      <c r="BY293" s="34">
        <f>BY290-BW293</f>
        <v>732</v>
      </c>
      <c r="BZ293" s="34">
        <f>BZ290-BX293</f>
        <v>57</v>
      </c>
      <c r="CA293" s="34">
        <v>315</v>
      </c>
      <c r="CB293" s="35">
        <f t="shared" ref="CB293:CB299" si="2690">((CA293+CC293)/BY293)</f>
        <v>0.43989071038251365</v>
      </c>
      <c r="CC293" s="34">
        <v>7</v>
      </c>
      <c r="CD293" s="35">
        <f t="shared" ref="CD293:CD299" si="2691">CC293/(CA293+CC293)</f>
        <v>2.1739130434782608E-2</v>
      </c>
      <c r="CE293" s="36"/>
      <c r="CF293" s="34"/>
      <c r="CG293" s="34"/>
      <c r="CH293" s="37"/>
      <c r="CI293" s="33"/>
      <c r="CJ293" s="34"/>
      <c r="CK293" s="34">
        <f>CK290-CI293</f>
        <v>126</v>
      </c>
      <c r="CL293" s="34">
        <f>CL290-CJ293</f>
        <v>10</v>
      </c>
      <c r="CM293" s="34">
        <v>40</v>
      </c>
      <c r="CN293" s="35">
        <f t="shared" ref="CN293:CN299" si="2692">((CM293+CO293)/CK293)</f>
        <v>0.34126984126984128</v>
      </c>
      <c r="CO293" s="34">
        <v>3</v>
      </c>
      <c r="CP293" s="35">
        <f t="shared" ref="CP293:CP299" si="2693">CO293/(CM293+CO293)</f>
        <v>6.9767441860465115E-2</v>
      </c>
      <c r="CQ293" s="36"/>
      <c r="CR293" s="34"/>
      <c r="CS293" s="34"/>
      <c r="CT293" s="37"/>
      <c r="CU293" s="33"/>
      <c r="CV293" s="34"/>
      <c r="CW293" s="34">
        <f>CW290-CU293</f>
        <v>726</v>
      </c>
      <c r="CX293" s="34">
        <f>CX290-CV293</f>
        <v>56</v>
      </c>
      <c r="CY293" s="34">
        <v>292</v>
      </c>
      <c r="CZ293" s="35">
        <f t="shared" ref="CZ293:CZ299" si="2694">((CY293+DA293)/CW293)</f>
        <v>0.41597796143250687</v>
      </c>
      <c r="DA293" s="34">
        <v>10</v>
      </c>
      <c r="DB293" s="35">
        <f t="shared" ref="DB293:DB299" si="2695">DA293/(CY293+DA293)</f>
        <v>3.3112582781456956E-2</v>
      </c>
      <c r="DC293" s="36"/>
      <c r="DD293" s="34"/>
      <c r="DE293" s="34"/>
      <c r="DF293" s="37"/>
      <c r="DG293" s="33"/>
      <c r="DH293" s="34"/>
      <c r="DI293" s="34">
        <f>DI290-DG293</f>
        <v>724</v>
      </c>
      <c r="DJ293" s="34">
        <f>DJ290-DH293</f>
        <v>56</v>
      </c>
      <c r="DK293" s="34">
        <v>346</v>
      </c>
      <c r="DL293" s="35">
        <f t="shared" ref="DL293:DL299" si="2696">((DK293+DM293)/DI293)</f>
        <v>0.4889502762430939</v>
      </c>
      <c r="DM293" s="34">
        <v>8</v>
      </c>
      <c r="DN293" s="35">
        <f t="shared" ref="DN293:DN299" si="2697">DM293/(DK293+DM293)</f>
        <v>2.2598870056497175E-2</v>
      </c>
      <c r="DO293" s="36"/>
      <c r="DP293" s="34"/>
      <c r="DQ293" s="34"/>
      <c r="DR293" s="37"/>
      <c r="DS293" s="33">
        <v>1</v>
      </c>
      <c r="DT293" s="34"/>
      <c r="DU293" s="34">
        <f>DU290-DS293</f>
        <v>814</v>
      </c>
      <c r="DV293" s="34">
        <f>DV290-DT293</f>
        <v>63</v>
      </c>
      <c r="DW293" s="34">
        <v>336</v>
      </c>
      <c r="DX293" s="35">
        <f t="shared" ref="DX293:DX299" si="2698">((DW293+DY293)/DU293)</f>
        <v>0.42997542997542998</v>
      </c>
      <c r="DY293" s="34">
        <v>14</v>
      </c>
      <c r="DZ293" s="35">
        <f t="shared" ref="DZ293:DZ299" si="2699">DY293/(DW293+DY293)</f>
        <v>0.04</v>
      </c>
      <c r="EA293" s="36"/>
      <c r="EB293" s="34"/>
      <c r="EC293" s="34"/>
      <c r="ED293" s="37"/>
      <c r="EE293" s="33"/>
      <c r="EF293" s="34"/>
      <c r="EG293" s="34">
        <f>EG290-EE293</f>
        <v>838</v>
      </c>
      <c r="EH293" s="34">
        <f>EH290-EF293</f>
        <v>63</v>
      </c>
      <c r="EI293" s="34">
        <v>353</v>
      </c>
      <c r="EJ293" s="35">
        <f t="shared" ref="EJ293:EJ299" si="2700">((EI293+EK293)/EG293)</f>
        <v>0.43675417661097854</v>
      </c>
      <c r="EK293" s="34">
        <v>13</v>
      </c>
      <c r="EL293" s="35">
        <f t="shared" ref="EL293:EL299" si="2701">EK293/(EI293+EK293)</f>
        <v>3.5519125683060107E-2</v>
      </c>
      <c r="EM293" s="36"/>
      <c r="EN293" s="34"/>
      <c r="EO293" s="34"/>
      <c r="EP293" s="37"/>
      <c r="EQ293" s="33"/>
      <c r="ER293" s="34"/>
      <c r="ES293" s="34">
        <f>ES290-EQ293</f>
        <v>161</v>
      </c>
      <c r="ET293" s="34">
        <f>ET290-ER293</f>
        <v>12</v>
      </c>
      <c r="EU293" s="34">
        <v>70</v>
      </c>
      <c r="EV293" s="35">
        <f t="shared" ref="EV293:EV299" si="2702">((EU293+EW293)/ES293)</f>
        <v>0.45962732919254656</v>
      </c>
      <c r="EW293" s="34">
        <v>4</v>
      </c>
      <c r="EX293" s="35">
        <f t="shared" ref="EX293:EX299" si="2703">EW293/(EU293+EW293)</f>
        <v>5.4054054054054057E-2</v>
      </c>
      <c r="EY293" s="36"/>
      <c r="EZ293" s="34"/>
      <c r="FA293" s="34"/>
      <c r="FB293" s="37"/>
      <c r="FC293" s="33">
        <v>1</v>
      </c>
      <c r="FD293" s="34"/>
      <c r="FE293" s="34">
        <f>FE290-FC293</f>
        <v>843</v>
      </c>
      <c r="FF293" s="34">
        <f>FF290-FD293</f>
        <v>65</v>
      </c>
      <c r="FG293" s="34">
        <v>377</v>
      </c>
      <c r="FH293" s="35">
        <f t="shared" ref="FH293:FH299" si="2704">((FG293+FI293)/FE293)</f>
        <v>0.46144721233689207</v>
      </c>
      <c r="FI293" s="34">
        <v>12</v>
      </c>
      <c r="FJ293" s="35">
        <f t="shared" ref="FJ293:FJ299" si="2705">FI293/(FG293+FI293)</f>
        <v>3.0848329048843187E-2</v>
      </c>
      <c r="FK293" s="36"/>
      <c r="FL293" s="34"/>
      <c r="FM293" s="34"/>
      <c r="FN293" s="37"/>
      <c r="FO293" s="33"/>
      <c r="FP293" s="34"/>
      <c r="FQ293" s="34">
        <f>FQ290-FO293</f>
        <v>852</v>
      </c>
      <c r="FR293" s="34">
        <f>FR290-FP293</f>
        <v>66</v>
      </c>
      <c r="FS293" s="34">
        <v>341</v>
      </c>
      <c r="FT293" s="35">
        <f t="shared" ref="FT293:FT299" si="2706">((FS293+FU293)/FQ293)</f>
        <v>0.42957746478873238</v>
      </c>
      <c r="FU293" s="34">
        <v>25</v>
      </c>
      <c r="FV293" s="35">
        <f t="shared" ref="FV293:FV299" si="2707">FU293/(FS293+FU293)</f>
        <v>6.8306010928961755E-2</v>
      </c>
      <c r="FW293" s="36"/>
      <c r="FX293" s="34"/>
      <c r="FY293" s="34"/>
      <c r="FZ293" s="37"/>
      <c r="GA293" s="33"/>
      <c r="GB293" s="34"/>
      <c r="GC293" s="34">
        <f>GC290-GA293</f>
        <v>868</v>
      </c>
      <c r="GD293" s="34">
        <f>GD290-GB293</f>
        <v>67</v>
      </c>
      <c r="GE293" s="34">
        <v>397</v>
      </c>
      <c r="GF293" s="35">
        <f t="shared" ref="GF293:GF299" si="2708">((GE293+GG293)/GC293)</f>
        <v>0.47580645161290325</v>
      </c>
      <c r="GG293" s="34">
        <v>16</v>
      </c>
      <c r="GH293" s="35">
        <f t="shared" ref="GH293:GH299" si="2709">GG293/(GE293+GG293)</f>
        <v>3.8740920096852302E-2</v>
      </c>
      <c r="GI293" s="36"/>
      <c r="GJ293" s="34"/>
      <c r="GK293" s="34"/>
      <c r="GL293" s="37"/>
      <c r="GM293" s="33"/>
      <c r="GN293" s="34"/>
      <c r="GO293" s="34">
        <f>GO290-GM293</f>
        <v>135</v>
      </c>
      <c r="GP293" s="34">
        <f>GP290-GN293</f>
        <v>10</v>
      </c>
      <c r="GQ293" s="34">
        <v>44</v>
      </c>
      <c r="GR293" s="35">
        <f t="shared" ref="GR293:GR299" si="2710">((GQ293+GS293)/GO293)</f>
        <v>0.34814814814814815</v>
      </c>
      <c r="GS293" s="34">
        <v>3</v>
      </c>
      <c r="GT293" s="35">
        <f t="shared" ref="GT293:GT299" si="2711">GS293/(GQ293+GS293)</f>
        <v>6.3829787234042548E-2</v>
      </c>
      <c r="GU293" s="36"/>
      <c r="GV293" s="34"/>
      <c r="GW293" s="34"/>
      <c r="GX293" s="37"/>
      <c r="GY293" s="33">
        <v>1</v>
      </c>
      <c r="GZ293" s="34"/>
      <c r="HA293" s="34">
        <f>HA290-GY293</f>
        <v>893</v>
      </c>
      <c r="HB293" s="34">
        <f>HB290-GZ293</f>
        <v>69</v>
      </c>
      <c r="HC293" s="34">
        <v>414</v>
      </c>
      <c r="HD293" s="35">
        <f t="shared" ref="HD293:HD299" si="2712">((HC293+HE293)/HA293)</f>
        <v>0.47592385218365063</v>
      </c>
      <c r="HE293" s="34">
        <v>11</v>
      </c>
      <c r="HF293" s="35">
        <f t="shared" ref="HF293:HF299" si="2713">HE293/(HC293+HE293)</f>
        <v>2.5882352941176471E-2</v>
      </c>
      <c r="HG293" s="36"/>
      <c r="HH293" s="34"/>
      <c r="HI293" s="34"/>
      <c r="HJ293" s="37"/>
      <c r="HK293" s="33">
        <f t="shared" ref="HK293:HK300" si="2714">+C293+O293+AA293+AM293+AY293+BK293+BW293+CI293+CU293+DG293+DS293+EE293+EQ293+FC293+FO293+GA293+GM293+GY293</f>
        <v>3</v>
      </c>
      <c r="HL293" s="34">
        <f t="shared" ref="HL293:HL300" si="2715">+D293+P293+AB293+AN293+AZ293+BL293+BX293+CJ293+CV293+DH293+DT293+EF293+ER293+FD293+FP293+GB293+GN293+GZ293</f>
        <v>0</v>
      </c>
      <c r="HM293" s="34">
        <f t="shared" ref="HM293:HM300" si="2716">+E293+Q293+AC293+AO293+BA293+BM293+BY293+CK293+CW293+DI293+DU293+EG293+ES293+FE293+FQ293+GC293+GO293+HA293</f>
        <v>11698</v>
      </c>
      <c r="HN293" s="34">
        <f t="shared" ref="HN293:HN300" si="2717">+F293+R293+AD293+AP293+BB293+BN293+BZ293+CL293+CX293+DJ293+DV293+EH293+ET293+FF293+FR293+GD293+GP293+HB293</f>
        <v>899</v>
      </c>
      <c r="HO293" s="34">
        <f t="shared" ref="HO293:HO300" si="2718">+G293+S293+AE293+AQ293+BC293+BO293+CA293+CM293+CY293+DK293+DW293+EI293+EU293+FG293+FS293+GE293+GQ293+HC293+I293+U293+AG293+AS293+BE293+BQ293+CC293+CO293+DA293+DM293+DY293+EK293+EW293+FI293+FU293+GG293+GS293+HE293</f>
        <v>5282</v>
      </c>
      <c r="HP293" s="94">
        <f t="shared" ref="HP293:HP299" si="2719">+(HO293)/HM293</f>
        <v>0.4515301760984784</v>
      </c>
      <c r="HQ293" s="48">
        <f t="shared" ref="HQ293:HQ300" si="2720">+I293+U293+AG293+AS293+BE293+BQ293+CC293+CO293+DA293+DM293+DY293+EK293+EW293+FI293+FU293+GG293+GS293+HE293</f>
        <v>181</v>
      </c>
      <c r="HR293" s="35">
        <f t="shared" ref="HR293:HR300" si="2721">+(HQ293/(HO293))</f>
        <v>3.426732298371829E-2</v>
      </c>
      <c r="HS293" s="49">
        <v>68</v>
      </c>
      <c r="HT293" s="50">
        <v>5018</v>
      </c>
      <c r="HU293" s="49">
        <f t="shared" ref="HU293:HU299" si="2722">+HT293/HO293*100</f>
        <v>95.001893222264286</v>
      </c>
      <c r="HV293" s="48"/>
      <c r="HW293" s="37"/>
      <c r="HX293" s="73">
        <f t="shared" ref="HX293:HX298" si="2723">SUM(G293,I293,S293,U293,AE293,AG293,AQ293,AS293,BC293,BE293)/SUM(E293,Q293,AC293,AO293,BA293)</f>
        <v>0.46867167919799496</v>
      </c>
      <c r="HY293" s="73">
        <f t="shared" ref="HY293:HY299" si="2724">SUM(BO293,BQ293,CA293,CC293,CM293,CO293,CY293,DA293,DK293,DM293)/SUM(BM293,BY293,CK293,CW293,DI293)</f>
        <v>0.43713733075435202</v>
      </c>
      <c r="HZ293" s="73">
        <f t="shared" ref="HZ293:HZ299" si="2725">SUM(DW293,DY293,EI293,EK293,EU293,EW293,FG293,FI293)/SUM(DU293,EG293,ES293,FE293)</f>
        <v>0.44390060240963858</v>
      </c>
      <c r="IA293" s="73">
        <f t="shared" ref="IA293:IA299" si="2726">SUM(FS293,FU293,GE293,GG293,GQ293,GS293,HC293,HE293)/SUM(FQ293,GC293,GO293,HA293)</f>
        <v>0.45524017467248906</v>
      </c>
    </row>
    <row r="294" spans="1:244" x14ac:dyDescent="0.25">
      <c r="A294" s="374"/>
      <c r="B294" s="41">
        <f t="shared" ref="B294:B299" si="2727">+B293+1</f>
        <v>45166</v>
      </c>
      <c r="C294" s="10">
        <v>1</v>
      </c>
      <c r="D294" s="11"/>
      <c r="E294" s="69">
        <f t="shared" ref="E294:E299" si="2728">E293-C294</f>
        <v>805</v>
      </c>
      <c r="F294" s="69">
        <f t="shared" ref="F294:F299" si="2729">F293-D294</f>
        <v>62</v>
      </c>
      <c r="G294" s="11">
        <v>371</v>
      </c>
      <c r="H294" s="12">
        <f t="shared" si="2678"/>
        <v>0.48322981366459627</v>
      </c>
      <c r="I294" s="11">
        <v>18</v>
      </c>
      <c r="J294" s="12">
        <f t="shared" si="2679"/>
        <v>4.6272493573264781E-2</v>
      </c>
      <c r="K294" s="13"/>
      <c r="L294" s="11"/>
      <c r="M294" s="11"/>
      <c r="N294" s="14"/>
      <c r="O294" s="10"/>
      <c r="P294" s="11"/>
      <c r="Q294" s="69">
        <f t="shared" ref="Q294:Q299" si="2730">Q293-O294</f>
        <v>744</v>
      </c>
      <c r="R294" s="69">
        <f t="shared" ref="R294:R299" si="2731">R293-P294</f>
        <v>56</v>
      </c>
      <c r="S294" s="11">
        <v>352</v>
      </c>
      <c r="T294" s="12">
        <f t="shared" si="2680"/>
        <v>0.48655913978494625</v>
      </c>
      <c r="U294" s="11">
        <v>10</v>
      </c>
      <c r="V294" s="12">
        <f t="shared" si="2681"/>
        <v>2.7624309392265192E-2</v>
      </c>
      <c r="W294" s="13"/>
      <c r="X294" s="11"/>
      <c r="Y294" s="11"/>
      <c r="Z294" s="14"/>
      <c r="AA294" s="10"/>
      <c r="AB294" s="11"/>
      <c r="AC294" s="69">
        <f t="shared" ref="AC294:AC299" si="2732">AC293-AA294</f>
        <v>152</v>
      </c>
      <c r="AD294" s="69">
        <f t="shared" ref="AD294:AD299" si="2733">AD293-AB294</f>
        <v>11</v>
      </c>
      <c r="AE294" s="11">
        <v>71</v>
      </c>
      <c r="AF294" s="12">
        <f t="shared" si="2682"/>
        <v>0.5</v>
      </c>
      <c r="AG294" s="11">
        <v>5</v>
      </c>
      <c r="AH294" s="12">
        <f t="shared" si="2683"/>
        <v>6.5789473684210523E-2</v>
      </c>
      <c r="AI294" s="13"/>
      <c r="AJ294" s="11"/>
      <c r="AK294" s="11"/>
      <c r="AL294" s="14"/>
      <c r="AM294" s="10"/>
      <c r="AN294" s="11"/>
      <c r="AO294" s="69">
        <f t="shared" ref="AO294:AO299" si="2734">AO293-AM294</f>
        <v>747</v>
      </c>
      <c r="AP294" s="69">
        <f t="shared" ref="AP294:AP299" si="2735">AP293-AN294</f>
        <v>58</v>
      </c>
      <c r="AQ294" s="11">
        <v>343</v>
      </c>
      <c r="AR294" s="12">
        <f t="shared" si="2684"/>
        <v>0.47657295850066933</v>
      </c>
      <c r="AS294" s="11">
        <v>13</v>
      </c>
      <c r="AT294" s="12">
        <f t="shared" si="2685"/>
        <v>3.6516853932584269E-2</v>
      </c>
      <c r="AU294" s="13"/>
      <c r="AV294" s="11"/>
      <c r="AW294" s="11"/>
      <c r="AX294" s="14"/>
      <c r="AY294" s="10"/>
      <c r="AZ294" s="11"/>
      <c r="BA294" s="69">
        <f t="shared" ref="BA294:BA299" si="2736">BA293-AY294</f>
        <v>743</v>
      </c>
      <c r="BB294" s="69">
        <f t="shared" ref="BB294:BB299" si="2737">BB293-AZ294</f>
        <v>57</v>
      </c>
      <c r="BC294" s="11">
        <v>351</v>
      </c>
      <c r="BD294" s="12">
        <f t="shared" si="2686"/>
        <v>0.49932705248990578</v>
      </c>
      <c r="BE294" s="11">
        <v>20</v>
      </c>
      <c r="BF294" s="12">
        <f t="shared" si="2687"/>
        <v>5.3908355795148251E-2</v>
      </c>
      <c r="BG294" s="13"/>
      <c r="BH294" s="11"/>
      <c r="BI294" s="11"/>
      <c r="BJ294" s="14"/>
      <c r="BK294" s="10">
        <v>1</v>
      </c>
      <c r="BL294" s="11"/>
      <c r="BM294" s="69">
        <f t="shared" ref="BM294:BM299" si="2738">BM293-BK294</f>
        <v>793</v>
      </c>
      <c r="BN294" s="69">
        <f t="shared" ref="BN294:BN299" si="2739">BN293-BL294</f>
        <v>61</v>
      </c>
      <c r="BO294" s="11">
        <v>335</v>
      </c>
      <c r="BP294" s="12">
        <f t="shared" si="2688"/>
        <v>0.44766708701134933</v>
      </c>
      <c r="BQ294" s="11">
        <v>20</v>
      </c>
      <c r="BR294" s="12">
        <f t="shared" si="2689"/>
        <v>5.6338028169014086E-2</v>
      </c>
      <c r="BS294" s="13"/>
      <c r="BT294" s="11"/>
      <c r="BU294" s="11"/>
      <c r="BV294" s="14"/>
      <c r="BW294" s="10"/>
      <c r="BX294" s="11"/>
      <c r="BY294" s="69">
        <f t="shared" ref="BY294:BY299" si="2740">BY293-BW294</f>
        <v>732</v>
      </c>
      <c r="BZ294" s="69">
        <f t="shared" ref="BZ294:BZ299" si="2741">BZ293-BX294</f>
        <v>57</v>
      </c>
      <c r="CA294" s="11">
        <v>324</v>
      </c>
      <c r="CB294" s="12">
        <f t="shared" si="2690"/>
        <v>0.4603825136612022</v>
      </c>
      <c r="CC294" s="11">
        <v>13</v>
      </c>
      <c r="CD294" s="12">
        <f t="shared" si="2691"/>
        <v>3.857566765578635E-2</v>
      </c>
      <c r="CE294" s="13"/>
      <c r="CF294" s="11"/>
      <c r="CG294" s="11"/>
      <c r="CH294" s="14"/>
      <c r="CI294" s="10"/>
      <c r="CJ294" s="11"/>
      <c r="CK294" s="69">
        <f t="shared" ref="CK294:CK299" si="2742">CK293-CI294</f>
        <v>126</v>
      </c>
      <c r="CL294" s="69">
        <f t="shared" ref="CL294:CL299" si="2743">CL293-CJ294</f>
        <v>10</v>
      </c>
      <c r="CM294" s="11">
        <v>40</v>
      </c>
      <c r="CN294" s="12">
        <f t="shared" si="2692"/>
        <v>0.35714285714285715</v>
      </c>
      <c r="CO294" s="11">
        <v>5</v>
      </c>
      <c r="CP294" s="12">
        <f t="shared" si="2693"/>
        <v>0.1111111111111111</v>
      </c>
      <c r="CQ294" s="13"/>
      <c r="CR294" s="11"/>
      <c r="CS294" s="11"/>
      <c r="CT294" s="14"/>
      <c r="CU294" s="10"/>
      <c r="CV294" s="11"/>
      <c r="CW294" s="69">
        <f t="shared" ref="CW294:CW299" si="2744">CW293-CU294</f>
        <v>726</v>
      </c>
      <c r="CX294" s="69">
        <f t="shared" ref="CX294:CX299" si="2745">CX293-CV294</f>
        <v>56</v>
      </c>
      <c r="CY294" s="11">
        <v>297</v>
      </c>
      <c r="CZ294" s="12">
        <f t="shared" si="2694"/>
        <v>0.42975206611570249</v>
      </c>
      <c r="DA294" s="11">
        <v>15</v>
      </c>
      <c r="DB294" s="12">
        <f t="shared" si="2695"/>
        <v>4.807692307692308E-2</v>
      </c>
      <c r="DC294" s="13"/>
      <c r="DD294" s="11"/>
      <c r="DE294" s="11"/>
      <c r="DF294" s="14"/>
      <c r="DG294" s="10"/>
      <c r="DH294" s="11"/>
      <c r="DI294" s="69">
        <f t="shared" ref="DI294:DI299" si="2746">DI293-DG294</f>
        <v>724</v>
      </c>
      <c r="DJ294" s="69">
        <f t="shared" ref="DJ294:DJ299" si="2747">DJ293-DH294</f>
        <v>56</v>
      </c>
      <c r="DK294" s="11">
        <v>329</v>
      </c>
      <c r="DL294" s="12">
        <f t="shared" si="2696"/>
        <v>0.46685082872928174</v>
      </c>
      <c r="DM294" s="11">
        <v>9</v>
      </c>
      <c r="DN294" s="12">
        <f t="shared" si="2697"/>
        <v>2.6627218934911243E-2</v>
      </c>
      <c r="DO294" s="13"/>
      <c r="DP294" s="11"/>
      <c r="DQ294" s="11"/>
      <c r="DR294" s="14"/>
      <c r="DS294" s="10"/>
      <c r="DT294" s="11"/>
      <c r="DU294" s="69">
        <f t="shared" ref="DU294:DU299" si="2748">DU293-DS294</f>
        <v>814</v>
      </c>
      <c r="DV294" s="69">
        <f t="shared" ref="DV294:DV299" si="2749">DV293-DT294</f>
        <v>63</v>
      </c>
      <c r="DW294" s="11">
        <v>365</v>
      </c>
      <c r="DX294" s="12">
        <f t="shared" si="2698"/>
        <v>0.48402948402948404</v>
      </c>
      <c r="DY294" s="11">
        <v>29</v>
      </c>
      <c r="DZ294" s="12">
        <f t="shared" si="2699"/>
        <v>7.3604060913705582E-2</v>
      </c>
      <c r="EA294" s="13"/>
      <c r="EB294" s="11"/>
      <c r="EC294" s="11"/>
      <c r="ED294" s="14"/>
      <c r="EE294" s="10"/>
      <c r="EF294" s="11"/>
      <c r="EG294" s="69">
        <f t="shared" ref="EG294:EG299" si="2750">EG293-EE294</f>
        <v>838</v>
      </c>
      <c r="EH294" s="69">
        <f t="shared" ref="EH294:EH299" si="2751">EH293-EF294</f>
        <v>63</v>
      </c>
      <c r="EI294" s="11">
        <v>416</v>
      </c>
      <c r="EJ294" s="12">
        <f t="shared" si="2700"/>
        <v>0.51670644391408116</v>
      </c>
      <c r="EK294" s="11">
        <v>17</v>
      </c>
      <c r="EL294" s="12">
        <f t="shared" si="2701"/>
        <v>3.9260969976905313E-2</v>
      </c>
      <c r="EM294" s="13"/>
      <c r="EN294" s="11"/>
      <c r="EO294" s="11"/>
      <c r="EP294" s="14"/>
      <c r="EQ294" s="10">
        <v>1</v>
      </c>
      <c r="ER294" s="11"/>
      <c r="ES294" s="69">
        <f t="shared" ref="ES294:ES299" si="2752">ES293-EQ294</f>
        <v>160</v>
      </c>
      <c r="ET294" s="69">
        <f t="shared" ref="ET294:ET299" si="2753">ET293-ER294</f>
        <v>12</v>
      </c>
      <c r="EU294" s="11">
        <v>87</v>
      </c>
      <c r="EV294" s="12">
        <f t="shared" si="2702"/>
        <v>0.5625</v>
      </c>
      <c r="EW294" s="11">
        <v>3</v>
      </c>
      <c r="EX294" s="12">
        <f t="shared" si="2703"/>
        <v>3.3333333333333333E-2</v>
      </c>
      <c r="EY294" s="13"/>
      <c r="EZ294" s="11"/>
      <c r="FA294" s="11"/>
      <c r="FB294" s="14"/>
      <c r="FC294" s="10"/>
      <c r="FD294" s="11"/>
      <c r="FE294" s="69">
        <f t="shared" ref="FE294:FE299" si="2754">FE293-FC294</f>
        <v>843</v>
      </c>
      <c r="FF294" s="69">
        <f t="shared" ref="FF294:FF299" si="2755">FF293-FD294</f>
        <v>65</v>
      </c>
      <c r="FG294" s="11">
        <v>427</v>
      </c>
      <c r="FH294" s="12">
        <f t="shared" si="2704"/>
        <v>0.52194543297746143</v>
      </c>
      <c r="FI294" s="11">
        <v>13</v>
      </c>
      <c r="FJ294" s="12">
        <f t="shared" si="2705"/>
        <v>2.9545454545454545E-2</v>
      </c>
      <c r="FK294" s="13"/>
      <c r="FL294" s="11"/>
      <c r="FM294" s="11"/>
      <c r="FN294" s="14"/>
      <c r="FO294" s="10">
        <v>1</v>
      </c>
      <c r="FP294" s="11"/>
      <c r="FQ294" s="69">
        <f t="shared" ref="FQ294:FQ299" si="2756">FQ293-FO294</f>
        <v>851</v>
      </c>
      <c r="FR294" s="69">
        <f t="shared" ref="FR294:FR299" si="2757">FR293-FP294</f>
        <v>66</v>
      </c>
      <c r="FS294" s="11">
        <v>395</v>
      </c>
      <c r="FT294" s="12">
        <f t="shared" si="2706"/>
        <v>0.47943595769682729</v>
      </c>
      <c r="FU294" s="11">
        <v>13</v>
      </c>
      <c r="FV294" s="12">
        <f t="shared" si="2707"/>
        <v>3.1862745098039214E-2</v>
      </c>
      <c r="FW294" s="13"/>
      <c r="FX294" s="11"/>
      <c r="FY294" s="11"/>
      <c r="FZ294" s="14"/>
      <c r="GA294" s="10"/>
      <c r="GB294" s="11"/>
      <c r="GC294" s="69">
        <f t="shared" ref="GC294:GC299" si="2758">GC293-GA294</f>
        <v>868</v>
      </c>
      <c r="GD294" s="69">
        <f t="shared" ref="GD294:GD299" si="2759">GD293-GB294</f>
        <v>67</v>
      </c>
      <c r="GE294" s="11">
        <v>393</v>
      </c>
      <c r="GF294" s="12">
        <f t="shared" si="2708"/>
        <v>0.46658986175115208</v>
      </c>
      <c r="GG294" s="11">
        <v>12</v>
      </c>
      <c r="GH294" s="12">
        <f t="shared" si="2709"/>
        <v>2.9629629629629631E-2</v>
      </c>
      <c r="GI294" s="13"/>
      <c r="GJ294" s="11"/>
      <c r="GK294" s="11"/>
      <c r="GL294" s="14"/>
      <c r="GM294" s="10"/>
      <c r="GN294" s="11"/>
      <c r="GO294" s="69">
        <f t="shared" ref="GO294:GO299" si="2760">GO293-GM294</f>
        <v>135</v>
      </c>
      <c r="GP294" s="69">
        <f t="shared" ref="GP294:GP299" si="2761">GP293-GN294</f>
        <v>10</v>
      </c>
      <c r="GQ294" s="11">
        <v>52</v>
      </c>
      <c r="GR294" s="12">
        <f t="shared" si="2710"/>
        <v>0.40740740740740738</v>
      </c>
      <c r="GS294" s="11">
        <v>3</v>
      </c>
      <c r="GT294" s="12">
        <f t="shared" si="2711"/>
        <v>5.4545454545454543E-2</v>
      </c>
      <c r="GU294" s="13"/>
      <c r="GV294" s="11"/>
      <c r="GW294" s="11"/>
      <c r="GX294" s="14"/>
      <c r="GY294" s="10"/>
      <c r="GZ294" s="11"/>
      <c r="HA294" s="69">
        <f t="shared" ref="HA294:HA299" si="2762">HA293-GY294</f>
        <v>893</v>
      </c>
      <c r="HB294" s="69">
        <f t="shared" ref="HB294:HB299" si="2763">HB293-GZ294</f>
        <v>69</v>
      </c>
      <c r="HC294" s="11">
        <v>418</v>
      </c>
      <c r="HD294" s="12">
        <f t="shared" si="2712"/>
        <v>0.48264277715565512</v>
      </c>
      <c r="HE294" s="11">
        <v>13</v>
      </c>
      <c r="HF294" s="12">
        <f t="shared" si="2713"/>
        <v>3.0162412993039442E-2</v>
      </c>
      <c r="HG294" s="13"/>
      <c r="HH294" s="11"/>
      <c r="HI294" s="11"/>
      <c r="HJ294" s="14"/>
      <c r="HK294" s="10">
        <f t="shared" si="2714"/>
        <v>4</v>
      </c>
      <c r="HL294" s="11">
        <f t="shared" si="2715"/>
        <v>0</v>
      </c>
      <c r="HM294" s="11">
        <f t="shared" si="2716"/>
        <v>11694</v>
      </c>
      <c r="HN294" s="11">
        <f t="shared" si="2717"/>
        <v>899</v>
      </c>
      <c r="HO294" s="11">
        <f t="shared" si="2718"/>
        <v>5597</v>
      </c>
      <c r="HP294" s="95">
        <f t="shared" si="2719"/>
        <v>0.47862151530699504</v>
      </c>
      <c r="HQ294" s="15">
        <f t="shared" si="2720"/>
        <v>231</v>
      </c>
      <c r="HR294" s="12">
        <f t="shared" si="2721"/>
        <v>4.1272110058960157E-2</v>
      </c>
      <c r="HS294" s="16">
        <v>67.7</v>
      </c>
      <c r="HT294" s="17">
        <v>5242</v>
      </c>
      <c r="HU294" s="16">
        <f t="shared" si="2722"/>
        <v>93.657316419510451</v>
      </c>
      <c r="HV294" s="15"/>
      <c r="HW294" s="14"/>
      <c r="HX294" s="73">
        <f t="shared" si="2723"/>
        <v>0.48699467251645251</v>
      </c>
      <c r="HY294" s="73">
        <f t="shared" si="2724"/>
        <v>0.44727507255723958</v>
      </c>
      <c r="HZ294" s="73">
        <f t="shared" si="2725"/>
        <v>0.51111111111111107</v>
      </c>
      <c r="IA294" s="73">
        <f t="shared" si="2726"/>
        <v>0.47287950491445213</v>
      </c>
    </row>
    <row r="295" spans="1:244" x14ac:dyDescent="0.25">
      <c r="A295" s="374"/>
      <c r="B295" s="41">
        <f t="shared" si="2727"/>
        <v>45167</v>
      </c>
      <c r="C295" s="10"/>
      <c r="D295" s="11"/>
      <c r="E295" s="69">
        <f t="shared" si="2728"/>
        <v>805</v>
      </c>
      <c r="F295" s="69">
        <f t="shared" si="2729"/>
        <v>62</v>
      </c>
      <c r="G295" s="11">
        <v>391</v>
      </c>
      <c r="H295" s="12">
        <f t="shared" si="2678"/>
        <v>0.5043478260869565</v>
      </c>
      <c r="I295" s="11">
        <v>15</v>
      </c>
      <c r="J295" s="12">
        <f t="shared" si="2679"/>
        <v>3.6945812807881777E-2</v>
      </c>
      <c r="K295" s="13"/>
      <c r="L295" s="11"/>
      <c r="M295" s="11"/>
      <c r="N295" s="14"/>
      <c r="O295" s="10">
        <v>2</v>
      </c>
      <c r="P295" s="11"/>
      <c r="Q295" s="69">
        <f t="shared" si="2730"/>
        <v>742</v>
      </c>
      <c r="R295" s="69">
        <f t="shared" si="2731"/>
        <v>56</v>
      </c>
      <c r="S295" s="11">
        <v>336</v>
      </c>
      <c r="T295" s="12">
        <f t="shared" si="2680"/>
        <v>0.46900269541778977</v>
      </c>
      <c r="U295" s="11">
        <v>12</v>
      </c>
      <c r="V295" s="12">
        <f t="shared" si="2681"/>
        <v>3.4482758620689655E-2</v>
      </c>
      <c r="W295" s="13"/>
      <c r="X295" s="11"/>
      <c r="Y295" s="11"/>
      <c r="Z295" s="14"/>
      <c r="AA295" s="10"/>
      <c r="AB295" s="11"/>
      <c r="AC295" s="69">
        <f t="shared" si="2732"/>
        <v>152</v>
      </c>
      <c r="AD295" s="69">
        <f t="shared" si="2733"/>
        <v>11</v>
      </c>
      <c r="AE295" s="11">
        <v>70</v>
      </c>
      <c r="AF295" s="12">
        <f t="shared" si="2682"/>
        <v>0.48684210526315791</v>
      </c>
      <c r="AG295" s="11">
        <v>4</v>
      </c>
      <c r="AH295" s="12">
        <f t="shared" si="2683"/>
        <v>5.4054054054054057E-2</v>
      </c>
      <c r="AI295" s="13"/>
      <c r="AJ295" s="11"/>
      <c r="AK295" s="11"/>
      <c r="AL295" s="14"/>
      <c r="AM295" s="10"/>
      <c r="AN295" s="11"/>
      <c r="AO295" s="69">
        <f t="shared" si="2734"/>
        <v>747</v>
      </c>
      <c r="AP295" s="69">
        <f t="shared" si="2735"/>
        <v>58</v>
      </c>
      <c r="AQ295" s="11">
        <v>366</v>
      </c>
      <c r="AR295" s="12">
        <f t="shared" si="2684"/>
        <v>0.50200803212851408</v>
      </c>
      <c r="AS295" s="11">
        <v>9</v>
      </c>
      <c r="AT295" s="12">
        <f t="shared" si="2685"/>
        <v>2.4E-2</v>
      </c>
      <c r="AU295" s="13"/>
      <c r="AV295" s="11"/>
      <c r="AW295" s="11"/>
      <c r="AX295" s="14"/>
      <c r="AY295" s="10"/>
      <c r="AZ295" s="11"/>
      <c r="BA295" s="69">
        <f t="shared" si="2736"/>
        <v>743</v>
      </c>
      <c r="BB295" s="69">
        <f t="shared" si="2737"/>
        <v>57</v>
      </c>
      <c r="BC295" s="11">
        <v>334</v>
      </c>
      <c r="BD295" s="12">
        <f t="shared" si="2686"/>
        <v>0.46298788694481829</v>
      </c>
      <c r="BE295" s="11">
        <v>10</v>
      </c>
      <c r="BF295" s="12">
        <f t="shared" si="2687"/>
        <v>2.9069767441860465E-2</v>
      </c>
      <c r="BG295" s="13"/>
      <c r="BH295" s="11"/>
      <c r="BI295" s="11"/>
      <c r="BJ295" s="14"/>
      <c r="BK295" s="10"/>
      <c r="BL295" s="11"/>
      <c r="BM295" s="69">
        <f t="shared" si="2738"/>
        <v>793</v>
      </c>
      <c r="BN295" s="69">
        <f t="shared" si="2739"/>
        <v>61</v>
      </c>
      <c r="BO295" s="11">
        <v>336</v>
      </c>
      <c r="BP295" s="12">
        <f t="shared" si="2688"/>
        <v>0.43127364438839849</v>
      </c>
      <c r="BQ295" s="11">
        <v>6</v>
      </c>
      <c r="BR295" s="12">
        <f t="shared" si="2689"/>
        <v>1.7543859649122806E-2</v>
      </c>
      <c r="BS295" s="13"/>
      <c r="BT295" s="11"/>
      <c r="BU295" s="11"/>
      <c r="BV295" s="14"/>
      <c r="BW295" s="10"/>
      <c r="BX295" s="11"/>
      <c r="BY295" s="69">
        <f t="shared" si="2740"/>
        <v>732</v>
      </c>
      <c r="BZ295" s="69">
        <f t="shared" si="2741"/>
        <v>57</v>
      </c>
      <c r="CA295" s="11">
        <v>321</v>
      </c>
      <c r="CB295" s="12">
        <f t="shared" si="2690"/>
        <v>0.45628415300546449</v>
      </c>
      <c r="CC295" s="11">
        <v>13</v>
      </c>
      <c r="CD295" s="12">
        <f t="shared" si="2691"/>
        <v>3.8922155688622756E-2</v>
      </c>
      <c r="CE295" s="13"/>
      <c r="CF295" s="11"/>
      <c r="CG295" s="11"/>
      <c r="CH295" s="14"/>
      <c r="CI295" s="10"/>
      <c r="CJ295" s="11"/>
      <c r="CK295" s="69">
        <f t="shared" si="2742"/>
        <v>126</v>
      </c>
      <c r="CL295" s="69">
        <f t="shared" si="2743"/>
        <v>10</v>
      </c>
      <c r="CM295" s="11">
        <v>49</v>
      </c>
      <c r="CN295" s="12">
        <f t="shared" si="2692"/>
        <v>0.3968253968253968</v>
      </c>
      <c r="CO295" s="11">
        <v>1</v>
      </c>
      <c r="CP295" s="12">
        <f t="shared" si="2693"/>
        <v>0.02</v>
      </c>
      <c r="CQ295" s="13"/>
      <c r="CR295" s="11"/>
      <c r="CS295" s="11"/>
      <c r="CT295" s="14"/>
      <c r="CU295" s="10"/>
      <c r="CV295" s="11"/>
      <c r="CW295" s="69">
        <f t="shared" si="2744"/>
        <v>726</v>
      </c>
      <c r="CX295" s="69">
        <f t="shared" si="2745"/>
        <v>56</v>
      </c>
      <c r="CY295" s="11">
        <v>342</v>
      </c>
      <c r="CZ295" s="12">
        <f t="shared" si="2694"/>
        <v>0.4807162534435262</v>
      </c>
      <c r="DA295" s="11">
        <v>7</v>
      </c>
      <c r="DB295" s="12">
        <f t="shared" si="2695"/>
        <v>2.0057306590257881E-2</v>
      </c>
      <c r="DC295" s="13"/>
      <c r="DD295" s="11"/>
      <c r="DE295" s="11"/>
      <c r="DF295" s="14"/>
      <c r="DG295" s="10">
        <v>1</v>
      </c>
      <c r="DH295" s="11"/>
      <c r="DI295" s="69">
        <f t="shared" si="2746"/>
        <v>723</v>
      </c>
      <c r="DJ295" s="69">
        <f t="shared" si="2747"/>
        <v>56</v>
      </c>
      <c r="DK295" s="11">
        <v>364</v>
      </c>
      <c r="DL295" s="12">
        <f t="shared" si="2696"/>
        <v>0.52282157676348551</v>
      </c>
      <c r="DM295" s="11">
        <v>14</v>
      </c>
      <c r="DN295" s="12">
        <f t="shared" si="2697"/>
        <v>3.7037037037037035E-2</v>
      </c>
      <c r="DO295" s="13"/>
      <c r="DP295" s="11"/>
      <c r="DQ295" s="11"/>
      <c r="DR295" s="14"/>
      <c r="DS295" s="10">
        <v>1</v>
      </c>
      <c r="DT295" s="11"/>
      <c r="DU295" s="69">
        <f t="shared" si="2748"/>
        <v>813</v>
      </c>
      <c r="DV295" s="69">
        <f t="shared" si="2749"/>
        <v>63</v>
      </c>
      <c r="DW295" s="11">
        <v>339</v>
      </c>
      <c r="DX295" s="12">
        <f t="shared" si="2698"/>
        <v>0.44280442804428044</v>
      </c>
      <c r="DY295" s="11">
        <v>21</v>
      </c>
      <c r="DZ295" s="12">
        <f t="shared" si="2699"/>
        <v>5.8333333333333334E-2</v>
      </c>
      <c r="EA295" s="13"/>
      <c r="EB295" s="11"/>
      <c r="EC295" s="11"/>
      <c r="ED295" s="14"/>
      <c r="EE295" s="10"/>
      <c r="EF295" s="11"/>
      <c r="EG295" s="69">
        <f t="shared" si="2750"/>
        <v>838</v>
      </c>
      <c r="EH295" s="69">
        <f t="shared" si="2751"/>
        <v>63</v>
      </c>
      <c r="EI295" s="11">
        <v>368</v>
      </c>
      <c r="EJ295" s="12">
        <f t="shared" si="2700"/>
        <v>0.45584725536992843</v>
      </c>
      <c r="EK295" s="11">
        <v>14</v>
      </c>
      <c r="EL295" s="12">
        <f t="shared" si="2701"/>
        <v>3.6649214659685861E-2</v>
      </c>
      <c r="EM295" s="13"/>
      <c r="EN295" s="11"/>
      <c r="EO295" s="11"/>
      <c r="EP295" s="14"/>
      <c r="EQ295" s="10"/>
      <c r="ER295" s="11"/>
      <c r="ES295" s="69">
        <f t="shared" si="2752"/>
        <v>160</v>
      </c>
      <c r="ET295" s="69">
        <f t="shared" si="2753"/>
        <v>12</v>
      </c>
      <c r="EU295" s="11">
        <v>70</v>
      </c>
      <c r="EV295" s="12">
        <f t="shared" si="2702"/>
        <v>0.48125000000000001</v>
      </c>
      <c r="EW295" s="11">
        <v>7</v>
      </c>
      <c r="EX295" s="12">
        <f t="shared" si="2703"/>
        <v>9.0909090909090912E-2</v>
      </c>
      <c r="EY295" s="13"/>
      <c r="EZ295" s="11"/>
      <c r="FA295" s="11"/>
      <c r="FB295" s="14"/>
      <c r="FC295" s="10">
        <v>1</v>
      </c>
      <c r="FD295" s="11"/>
      <c r="FE295" s="69">
        <f t="shared" si="2754"/>
        <v>842</v>
      </c>
      <c r="FF295" s="69">
        <f t="shared" si="2755"/>
        <v>65</v>
      </c>
      <c r="FG295" s="11">
        <v>388</v>
      </c>
      <c r="FH295" s="12">
        <f t="shared" si="2704"/>
        <v>0.47624703087885983</v>
      </c>
      <c r="FI295" s="11">
        <v>13</v>
      </c>
      <c r="FJ295" s="12">
        <f t="shared" si="2705"/>
        <v>3.2418952618453865E-2</v>
      </c>
      <c r="FK295" s="13"/>
      <c r="FL295" s="11"/>
      <c r="FM295" s="11"/>
      <c r="FN295" s="14"/>
      <c r="FO295" s="10"/>
      <c r="FP295" s="11"/>
      <c r="FQ295" s="69">
        <f t="shared" si="2756"/>
        <v>851</v>
      </c>
      <c r="FR295" s="69">
        <f t="shared" si="2757"/>
        <v>66</v>
      </c>
      <c r="FS295" s="11">
        <v>343</v>
      </c>
      <c r="FT295" s="12">
        <f t="shared" si="2706"/>
        <v>0.43713278495887192</v>
      </c>
      <c r="FU295" s="11">
        <v>29</v>
      </c>
      <c r="FV295" s="12">
        <f t="shared" si="2707"/>
        <v>7.7956989247311828E-2</v>
      </c>
      <c r="FW295" s="13"/>
      <c r="FX295" s="11"/>
      <c r="FY295" s="11"/>
      <c r="FZ295" s="14"/>
      <c r="GA295" s="10">
        <v>1</v>
      </c>
      <c r="GB295" s="11"/>
      <c r="GC295" s="69">
        <f t="shared" si="2758"/>
        <v>867</v>
      </c>
      <c r="GD295" s="69">
        <f t="shared" si="2759"/>
        <v>67</v>
      </c>
      <c r="GE295" s="11">
        <v>403</v>
      </c>
      <c r="GF295" s="12">
        <f t="shared" si="2708"/>
        <v>0.4855824682814302</v>
      </c>
      <c r="GG295" s="11">
        <v>18</v>
      </c>
      <c r="GH295" s="12">
        <f t="shared" si="2709"/>
        <v>4.2755344418052253E-2</v>
      </c>
      <c r="GI295" s="13"/>
      <c r="GJ295" s="11"/>
      <c r="GK295" s="11"/>
      <c r="GL295" s="14"/>
      <c r="GM295" s="10"/>
      <c r="GN295" s="11"/>
      <c r="GO295" s="69">
        <f t="shared" si="2760"/>
        <v>135</v>
      </c>
      <c r="GP295" s="69">
        <f t="shared" si="2761"/>
        <v>10</v>
      </c>
      <c r="GQ295" s="11">
        <v>57</v>
      </c>
      <c r="GR295" s="12">
        <f t="shared" si="2710"/>
        <v>0.44444444444444442</v>
      </c>
      <c r="GS295" s="11">
        <v>3</v>
      </c>
      <c r="GT295" s="12">
        <f t="shared" si="2711"/>
        <v>0.05</v>
      </c>
      <c r="GU295" s="13"/>
      <c r="GV295" s="11"/>
      <c r="GW295" s="11"/>
      <c r="GX295" s="14"/>
      <c r="GY295" s="10"/>
      <c r="GZ295" s="11"/>
      <c r="HA295" s="69">
        <f t="shared" si="2762"/>
        <v>893</v>
      </c>
      <c r="HB295" s="69">
        <f t="shared" si="2763"/>
        <v>69</v>
      </c>
      <c r="HC295" s="11">
        <v>395</v>
      </c>
      <c r="HD295" s="12">
        <f t="shared" si="2712"/>
        <v>0.46248600223964165</v>
      </c>
      <c r="HE295" s="11">
        <v>18</v>
      </c>
      <c r="HF295" s="12">
        <f t="shared" si="2713"/>
        <v>4.3583535108958835E-2</v>
      </c>
      <c r="HG295" s="13"/>
      <c r="HH295" s="11"/>
      <c r="HI295" s="11"/>
      <c r="HJ295" s="14"/>
      <c r="HK295" s="10">
        <f t="shared" si="2714"/>
        <v>6</v>
      </c>
      <c r="HL295" s="11">
        <f t="shared" si="2715"/>
        <v>0</v>
      </c>
      <c r="HM295" s="11">
        <f t="shared" si="2716"/>
        <v>11688</v>
      </c>
      <c r="HN295" s="11">
        <f t="shared" si="2717"/>
        <v>899</v>
      </c>
      <c r="HO295" s="11">
        <f t="shared" si="2718"/>
        <v>5486</v>
      </c>
      <c r="HP295" s="95">
        <f t="shared" si="2719"/>
        <v>0.4693702943189596</v>
      </c>
      <c r="HQ295" s="15">
        <f t="shared" si="2720"/>
        <v>214</v>
      </c>
      <c r="HR295" s="12">
        <f t="shared" si="2721"/>
        <v>3.9008384979948962E-2</v>
      </c>
      <c r="HS295" s="16">
        <v>67.8</v>
      </c>
      <c r="HT295" s="17">
        <v>5162</v>
      </c>
      <c r="HU295" s="16">
        <f t="shared" si="2722"/>
        <v>94.094057601166597</v>
      </c>
      <c r="HV295" s="15"/>
      <c r="HW295" s="14"/>
      <c r="HX295" s="73">
        <f t="shared" si="2723"/>
        <v>0.48510504860457826</v>
      </c>
      <c r="HY295" s="73">
        <f t="shared" si="2724"/>
        <v>0.46870967741935482</v>
      </c>
      <c r="HZ295" s="73">
        <f t="shared" si="2725"/>
        <v>0.45985676592536751</v>
      </c>
      <c r="IA295" s="73">
        <f t="shared" si="2726"/>
        <v>0.46103423160961399</v>
      </c>
    </row>
    <row r="296" spans="1:244" x14ac:dyDescent="0.25">
      <c r="A296" s="374"/>
      <c r="B296" s="41">
        <f t="shared" si="2727"/>
        <v>45168</v>
      </c>
      <c r="C296" s="10"/>
      <c r="D296" s="11"/>
      <c r="E296" s="69">
        <f t="shared" si="2728"/>
        <v>805</v>
      </c>
      <c r="F296" s="69">
        <f t="shared" si="2729"/>
        <v>62</v>
      </c>
      <c r="G296" s="11">
        <v>350</v>
      </c>
      <c r="H296" s="12">
        <f t="shared" si="2678"/>
        <v>0.453416149068323</v>
      </c>
      <c r="I296" s="11">
        <v>15</v>
      </c>
      <c r="J296" s="12">
        <f t="shared" si="2679"/>
        <v>4.1095890410958902E-2</v>
      </c>
      <c r="K296" s="11"/>
      <c r="L296" s="11"/>
      <c r="M296" s="18"/>
      <c r="N296" s="20"/>
      <c r="O296" s="10">
        <v>1</v>
      </c>
      <c r="P296" s="11"/>
      <c r="Q296" s="69">
        <f t="shared" si="2730"/>
        <v>741</v>
      </c>
      <c r="R296" s="69">
        <f t="shared" si="2731"/>
        <v>56</v>
      </c>
      <c r="S296" s="11">
        <v>344</v>
      </c>
      <c r="T296" s="12">
        <f t="shared" si="2680"/>
        <v>0.48313090418353577</v>
      </c>
      <c r="U296" s="11">
        <v>14</v>
      </c>
      <c r="V296" s="12">
        <f t="shared" si="2681"/>
        <v>3.9106145251396648E-2</v>
      </c>
      <c r="W296" s="11"/>
      <c r="X296" s="11"/>
      <c r="Y296" s="18"/>
      <c r="Z296" s="20"/>
      <c r="AA296" s="10"/>
      <c r="AB296" s="11"/>
      <c r="AC296" s="69">
        <f t="shared" si="2732"/>
        <v>152</v>
      </c>
      <c r="AD296" s="69">
        <f t="shared" si="2733"/>
        <v>11</v>
      </c>
      <c r="AE296" s="11">
        <v>63</v>
      </c>
      <c r="AF296" s="12">
        <f t="shared" si="2682"/>
        <v>0.41447368421052633</v>
      </c>
      <c r="AG296" s="11">
        <v>0</v>
      </c>
      <c r="AH296" s="12">
        <f t="shared" si="2683"/>
        <v>0</v>
      </c>
      <c r="AI296" s="11"/>
      <c r="AJ296" s="11"/>
      <c r="AK296" s="18"/>
      <c r="AL296" s="20"/>
      <c r="AM296" s="10"/>
      <c r="AN296" s="11"/>
      <c r="AO296" s="69">
        <f t="shared" si="2734"/>
        <v>747</v>
      </c>
      <c r="AP296" s="69">
        <f t="shared" si="2735"/>
        <v>58</v>
      </c>
      <c r="AQ296" s="11">
        <v>350</v>
      </c>
      <c r="AR296" s="12">
        <f t="shared" si="2684"/>
        <v>0.48728246318607765</v>
      </c>
      <c r="AS296" s="11">
        <v>14</v>
      </c>
      <c r="AT296" s="12">
        <f t="shared" si="2685"/>
        <v>3.8461538461538464E-2</v>
      </c>
      <c r="AU296" s="11"/>
      <c r="AV296" s="11"/>
      <c r="AW296" s="18"/>
      <c r="AX296" s="20"/>
      <c r="AY296" s="10"/>
      <c r="AZ296" s="11"/>
      <c r="BA296" s="69">
        <f t="shared" si="2736"/>
        <v>743</v>
      </c>
      <c r="BB296" s="69">
        <f t="shared" si="2737"/>
        <v>57</v>
      </c>
      <c r="BC296" s="11">
        <v>365</v>
      </c>
      <c r="BD296" s="12">
        <f t="shared" si="2686"/>
        <v>0.5074024226110363</v>
      </c>
      <c r="BE296" s="11">
        <v>12</v>
      </c>
      <c r="BF296" s="12">
        <f t="shared" si="2687"/>
        <v>3.1830238726790451E-2</v>
      </c>
      <c r="BG296" s="11"/>
      <c r="BH296" s="11"/>
      <c r="BI296" s="18"/>
      <c r="BJ296" s="20"/>
      <c r="BK296" s="10"/>
      <c r="BL296" s="11"/>
      <c r="BM296" s="69">
        <f t="shared" si="2738"/>
        <v>793</v>
      </c>
      <c r="BN296" s="69">
        <f t="shared" si="2739"/>
        <v>61</v>
      </c>
      <c r="BO296" s="11">
        <v>327</v>
      </c>
      <c r="BP296" s="12">
        <f t="shared" si="2688"/>
        <v>0.42622950819672129</v>
      </c>
      <c r="BQ296" s="11">
        <v>11</v>
      </c>
      <c r="BR296" s="12">
        <f t="shared" si="2689"/>
        <v>3.2544378698224852E-2</v>
      </c>
      <c r="BS296" s="11"/>
      <c r="BT296" s="11"/>
      <c r="BU296" s="18"/>
      <c r="BV296" s="20"/>
      <c r="BW296" s="10"/>
      <c r="BX296" s="11"/>
      <c r="BY296" s="69">
        <f t="shared" si="2740"/>
        <v>732</v>
      </c>
      <c r="BZ296" s="69">
        <f t="shared" si="2741"/>
        <v>57</v>
      </c>
      <c r="CA296" s="11">
        <v>294</v>
      </c>
      <c r="CB296" s="12">
        <f t="shared" si="2690"/>
        <v>0.41256830601092898</v>
      </c>
      <c r="CC296" s="11">
        <v>8</v>
      </c>
      <c r="CD296" s="12">
        <f t="shared" si="2691"/>
        <v>2.6490066225165563E-2</v>
      </c>
      <c r="CE296" s="11"/>
      <c r="CF296" s="11"/>
      <c r="CG296" s="18"/>
      <c r="CH296" s="20"/>
      <c r="CI296" s="10"/>
      <c r="CJ296" s="11"/>
      <c r="CK296" s="69">
        <f t="shared" si="2742"/>
        <v>126</v>
      </c>
      <c r="CL296" s="69">
        <f t="shared" si="2743"/>
        <v>10</v>
      </c>
      <c r="CM296" s="11">
        <v>44</v>
      </c>
      <c r="CN296" s="12">
        <f t="shared" si="2692"/>
        <v>0.37301587301587302</v>
      </c>
      <c r="CO296" s="11">
        <v>3</v>
      </c>
      <c r="CP296" s="12">
        <f t="shared" si="2693"/>
        <v>6.3829787234042548E-2</v>
      </c>
      <c r="CQ296" s="11"/>
      <c r="CR296" s="11"/>
      <c r="CS296" s="18"/>
      <c r="CT296" s="20"/>
      <c r="CU296" s="10"/>
      <c r="CV296" s="11"/>
      <c r="CW296" s="69">
        <f t="shared" si="2744"/>
        <v>726</v>
      </c>
      <c r="CX296" s="69">
        <f t="shared" si="2745"/>
        <v>56</v>
      </c>
      <c r="CY296" s="11">
        <v>264</v>
      </c>
      <c r="CZ296" s="12">
        <f t="shared" si="2694"/>
        <v>0.37741046831955921</v>
      </c>
      <c r="DA296" s="11">
        <v>10</v>
      </c>
      <c r="DB296" s="12">
        <f t="shared" si="2695"/>
        <v>3.6496350364963501E-2</v>
      </c>
      <c r="DC296" s="11"/>
      <c r="DD296" s="11"/>
      <c r="DE296" s="18"/>
      <c r="DF296" s="20"/>
      <c r="DG296" s="10">
        <v>1</v>
      </c>
      <c r="DH296" s="11"/>
      <c r="DI296" s="69">
        <f t="shared" si="2746"/>
        <v>722</v>
      </c>
      <c r="DJ296" s="69">
        <f t="shared" si="2747"/>
        <v>56</v>
      </c>
      <c r="DK296" s="11">
        <v>329</v>
      </c>
      <c r="DL296" s="12">
        <f t="shared" si="2696"/>
        <v>0.46537396121883656</v>
      </c>
      <c r="DM296" s="11">
        <v>7</v>
      </c>
      <c r="DN296" s="12">
        <f t="shared" si="2697"/>
        <v>2.0833333333333332E-2</v>
      </c>
      <c r="DO296" s="11"/>
      <c r="DP296" s="11"/>
      <c r="DQ296" s="18"/>
      <c r="DR296" s="20"/>
      <c r="DS296" s="10">
        <v>1</v>
      </c>
      <c r="DT296" s="11"/>
      <c r="DU296" s="69">
        <f t="shared" si="2748"/>
        <v>812</v>
      </c>
      <c r="DV296" s="69">
        <f t="shared" si="2749"/>
        <v>63</v>
      </c>
      <c r="DW296" s="11">
        <v>331</v>
      </c>
      <c r="DX296" s="12">
        <f t="shared" si="2698"/>
        <v>0.4211822660098522</v>
      </c>
      <c r="DY296" s="11">
        <v>11</v>
      </c>
      <c r="DZ296" s="12">
        <f t="shared" si="2699"/>
        <v>3.2163742690058478E-2</v>
      </c>
      <c r="EA296" s="11"/>
      <c r="EB296" s="11"/>
      <c r="EC296" s="18"/>
      <c r="ED296" s="20"/>
      <c r="EE296" s="10"/>
      <c r="EF296" s="11"/>
      <c r="EG296" s="69">
        <f t="shared" si="2750"/>
        <v>838</v>
      </c>
      <c r="EH296" s="69">
        <f t="shared" si="2751"/>
        <v>63</v>
      </c>
      <c r="EI296" s="11">
        <v>354</v>
      </c>
      <c r="EJ296" s="12">
        <f t="shared" si="2700"/>
        <v>0.43794749403341288</v>
      </c>
      <c r="EK296" s="11">
        <v>13</v>
      </c>
      <c r="EL296" s="12">
        <f t="shared" si="2701"/>
        <v>3.5422343324250684E-2</v>
      </c>
      <c r="EM296" s="11"/>
      <c r="EN296" s="11"/>
      <c r="EO296" s="18"/>
      <c r="EP296" s="20"/>
      <c r="EQ296" s="10"/>
      <c r="ER296" s="11"/>
      <c r="ES296" s="69">
        <f t="shared" si="2752"/>
        <v>160</v>
      </c>
      <c r="ET296" s="69">
        <f t="shared" si="2753"/>
        <v>12</v>
      </c>
      <c r="EU296" s="11">
        <v>73</v>
      </c>
      <c r="EV296" s="12">
        <f t="shared" si="2702"/>
        <v>0.5</v>
      </c>
      <c r="EW296" s="11">
        <v>7</v>
      </c>
      <c r="EX296" s="12">
        <f t="shared" si="2703"/>
        <v>8.7499999999999994E-2</v>
      </c>
      <c r="EY296" s="11"/>
      <c r="EZ296" s="11"/>
      <c r="FA296" s="18"/>
      <c r="FB296" s="20"/>
      <c r="FC296" s="10"/>
      <c r="FD296" s="11"/>
      <c r="FE296" s="69">
        <f t="shared" si="2754"/>
        <v>842</v>
      </c>
      <c r="FF296" s="69">
        <f t="shared" si="2755"/>
        <v>65</v>
      </c>
      <c r="FG296" s="11">
        <v>366</v>
      </c>
      <c r="FH296" s="12">
        <f t="shared" si="2704"/>
        <v>0.44893111638954869</v>
      </c>
      <c r="FI296" s="11">
        <v>12</v>
      </c>
      <c r="FJ296" s="12">
        <f t="shared" si="2705"/>
        <v>3.1746031746031744E-2</v>
      </c>
      <c r="FK296" s="11"/>
      <c r="FL296" s="11"/>
      <c r="FM296" s="18"/>
      <c r="FN296" s="20"/>
      <c r="FO296" s="10"/>
      <c r="FP296" s="11"/>
      <c r="FQ296" s="69">
        <f t="shared" si="2756"/>
        <v>851</v>
      </c>
      <c r="FR296" s="69">
        <f t="shared" si="2757"/>
        <v>66</v>
      </c>
      <c r="FS296" s="11">
        <v>350</v>
      </c>
      <c r="FT296" s="12">
        <f t="shared" si="2706"/>
        <v>0.43243243243243246</v>
      </c>
      <c r="FU296" s="11">
        <v>18</v>
      </c>
      <c r="FV296" s="12">
        <f t="shared" si="2707"/>
        <v>4.8913043478260872E-2</v>
      </c>
      <c r="FW296" s="11"/>
      <c r="FX296" s="11"/>
      <c r="FY296" s="18"/>
      <c r="FZ296" s="20"/>
      <c r="GA296" s="10">
        <v>1</v>
      </c>
      <c r="GB296" s="11"/>
      <c r="GC296" s="69">
        <f t="shared" si="2758"/>
        <v>866</v>
      </c>
      <c r="GD296" s="69">
        <f t="shared" si="2759"/>
        <v>67</v>
      </c>
      <c r="GE296" s="11">
        <v>361</v>
      </c>
      <c r="GF296" s="12">
        <f t="shared" si="2708"/>
        <v>0.43764434180138567</v>
      </c>
      <c r="GG296" s="11">
        <v>18</v>
      </c>
      <c r="GH296" s="12">
        <f t="shared" si="2709"/>
        <v>4.7493403693931395E-2</v>
      </c>
      <c r="GI296" s="11"/>
      <c r="GJ296" s="11"/>
      <c r="GK296" s="18"/>
      <c r="GL296" s="20"/>
      <c r="GM296" s="10"/>
      <c r="GN296" s="11"/>
      <c r="GO296" s="69">
        <f t="shared" si="2760"/>
        <v>135</v>
      </c>
      <c r="GP296" s="69">
        <f t="shared" si="2761"/>
        <v>10</v>
      </c>
      <c r="GQ296" s="11">
        <v>55</v>
      </c>
      <c r="GR296" s="12">
        <f t="shared" si="2710"/>
        <v>0.42962962962962964</v>
      </c>
      <c r="GS296" s="11">
        <v>3</v>
      </c>
      <c r="GT296" s="12">
        <f t="shared" si="2711"/>
        <v>5.1724137931034482E-2</v>
      </c>
      <c r="GU296" s="11"/>
      <c r="GV296" s="11"/>
      <c r="GW296" s="18"/>
      <c r="GX296" s="20"/>
      <c r="GY296" s="10"/>
      <c r="GZ296" s="11"/>
      <c r="HA296" s="69">
        <f t="shared" si="2762"/>
        <v>893</v>
      </c>
      <c r="HB296" s="69">
        <f t="shared" si="2763"/>
        <v>69</v>
      </c>
      <c r="HC296" s="11">
        <v>371</v>
      </c>
      <c r="HD296" s="12">
        <f t="shared" si="2712"/>
        <v>0.43225083986562152</v>
      </c>
      <c r="HE296" s="11">
        <v>15</v>
      </c>
      <c r="HF296" s="12">
        <f t="shared" si="2713"/>
        <v>3.8860103626943004E-2</v>
      </c>
      <c r="HG296" s="11"/>
      <c r="HH296" s="11"/>
      <c r="HI296" s="18"/>
      <c r="HJ296" s="20"/>
      <c r="HK296" s="10">
        <f t="shared" si="2714"/>
        <v>4</v>
      </c>
      <c r="HL296" s="11">
        <f t="shared" si="2715"/>
        <v>0</v>
      </c>
      <c r="HM296" s="11">
        <f t="shared" si="2716"/>
        <v>11684</v>
      </c>
      <c r="HN296" s="11">
        <f t="shared" si="2717"/>
        <v>899</v>
      </c>
      <c r="HO296" s="11">
        <f t="shared" si="2718"/>
        <v>5182</v>
      </c>
      <c r="HP296" s="95">
        <f t="shared" si="2719"/>
        <v>0.44351249572064361</v>
      </c>
      <c r="HQ296" s="15">
        <f t="shared" si="2720"/>
        <v>191</v>
      </c>
      <c r="HR296" s="12">
        <f t="shared" si="2721"/>
        <v>3.6858355847163259E-2</v>
      </c>
      <c r="HS296" s="16">
        <v>67.900000000000006</v>
      </c>
      <c r="HT296" s="17">
        <v>4853</v>
      </c>
      <c r="HU296" s="16">
        <f t="shared" si="2722"/>
        <v>93.651099961404867</v>
      </c>
      <c r="HV296" s="18"/>
      <c r="HW296" s="20"/>
      <c r="HX296" s="73">
        <f t="shared" si="2723"/>
        <v>0.4789836888331242</v>
      </c>
      <c r="HY296" s="73">
        <f t="shared" si="2724"/>
        <v>0.4185221039044853</v>
      </c>
      <c r="HZ296" s="73">
        <f t="shared" si="2725"/>
        <v>0.44004524886877827</v>
      </c>
      <c r="IA296" s="73">
        <f t="shared" si="2726"/>
        <v>0.43387978142076505</v>
      </c>
    </row>
    <row r="297" spans="1:244" x14ac:dyDescent="0.25">
      <c r="A297" s="374"/>
      <c r="B297" s="41">
        <f>+B296+1</f>
        <v>45169</v>
      </c>
      <c r="C297" s="10"/>
      <c r="D297" s="11"/>
      <c r="E297" s="69">
        <f t="shared" si="2728"/>
        <v>805</v>
      </c>
      <c r="F297" s="69">
        <f t="shared" si="2729"/>
        <v>62</v>
      </c>
      <c r="G297" s="11">
        <v>385</v>
      </c>
      <c r="H297" s="12">
        <f t="shared" si="2678"/>
        <v>0.49316770186335401</v>
      </c>
      <c r="I297" s="11">
        <v>12</v>
      </c>
      <c r="J297" s="12">
        <f t="shared" si="2679"/>
        <v>3.0226700251889168E-2</v>
      </c>
      <c r="K297" s="13"/>
      <c r="L297" s="13"/>
      <c r="M297" s="25"/>
      <c r="N297" s="38">
        <v>4565</v>
      </c>
      <c r="O297" s="10">
        <v>1</v>
      </c>
      <c r="P297" s="11"/>
      <c r="Q297" s="69">
        <f t="shared" si="2730"/>
        <v>740</v>
      </c>
      <c r="R297" s="69">
        <f t="shared" si="2731"/>
        <v>56</v>
      </c>
      <c r="S297" s="11">
        <v>318</v>
      </c>
      <c r="T297" s="12">
        <f t="shared" si="2680"/>
        <v>0.44729729729729728</v>
      </c>
      <c r="U297" s="11">
        <v>13</v>
      </c>
      <c r="V297" s="12">
        <f t="shared" si="2681"/>
        <v>3.9274924471299093E-2</v>
      </c>
      <c r="W297" s="13"/>
      <c r="X297" s="13"/>
      <c r="Y297" s="25"/>
      <c r="Z297" s="38">
        <v>4565</v>
      </c>
      <c r="AA297" s="10"/>
      <c r="AB297" s="11"/>
      <c r="AC297" s="69">
        <f t="shared" si="2732"/>
        <v>152</v>
      </c>
      <c r="AD297" s="69">
        <f t="shared" si="2733"/>
        <v>11</v>
      </c>
      <c r="AE297" s="11">
        <v>75</v>
      </c>
      <c r="AF297" s="12">
        <f t="shared" si="2682"/>
        <v>0.50657894736842102</v>
      </c>
      <c r="AG297" s="11">
        <v>2</v>
      </c>
      <c r="AH297" s="12">
        <f t="shared" si="2683"/>
        <v>2.5974025974025976E-2</v>
      </c>
      <c r="AI297" s="13"/>
      <c r="AJ297" s="13"/>
      <c r="AK297" s="25"/>
      <c r="AL297" s="38">
        <v>4565</v>
      </c>
      <c r="AM297" s="10"/>
      <c r="AN297" s="11">
        <v>1</v>
      </c>
      <c r="AO297" s="69">
        <f t="shared" si="2734"/>
        <v>747</v>
      </c>
      <c r="AP297" s="69">
        <f t="shared" si="2735"/>
        <v>57</v>
      </c>
      <c r="AQ297" s="11">
        <v>352</v>
      </c>
      <c r="AR297" s="12">
        <f t="shared" si="2684"/>
        <v>0.48192771084337349</v>
      </c>
      <c r="AS297" s="11">
        <v>8</v>
      </c>
      <c r="AT297" s="12">
        <f t="shared" si="2685"/>
        <v>2.2222222222222223E-2</v>
      </c>
      <c r="AU297" s="13"/>
      <c r="AV297" s="13"/>
      <c r="AW297" s="25"/>
      <c r="AX297" s="38">
        <v>4565</v>
      </c>
      <c r="AY297" s="10"/>
      <c r="AZ297" s="11"/>
      <c r="BA297" s="69">
        <f t="shared" si="2736"/>
        <v>743</v>
      </c>
      <c r="BB297" s="69">
        <f t="shared" si="2737"/>
        <v>57</v>
      </c>
      <c r="BC297" s="11">
        <v>339</v>
      </c>
      <c r="BD297" s="12">
        <f t="shared" si="2686"/>
        <v>0.47375504710632571</v>
      </c>
      <c r="BE297" s="11">
        <v>13</v>
      </c>
      <c r="BF297" s="12">
        <f t="shared" si="2687"/>
        <v>3.6931818181818184E-2</v>
      </c>
      <c r="BG297" s="13"/>
      <c r="BH297" s="13"/>
      <c r="BI297" s="25"/>
      <c r="BJ297" s="38">
        <v>4565</v>
      </c>
      <c r="BK297" s="10"/>
      <c r="BL297" s="11"/>
      <c r="BM297" s="69">
        <f t="shared" si="2738"/>
        <v>793</v>
      </c>
      <c r="BN297" s="69">
        <f t="shared" si="2739"/>
        <v>61</v>
      </c>
      <c r="BO297" s="11">
        <v>351</v>
      </c>
      <c r="BP297" s="12">
        <f t="shared" si="2688"/>
        <v>0.45397225725094575</v>
      </c>
      <c r="BQ297" s="11">
        <v>9</v>
      </c>
      <c r="BR297" s="12">
        <f t="shared" si="2689"/>
        <v>2.5000000000000001E-2</v>
      </c>
      <c r="BS297" s="13"/>
      <c r="BT297" s="13"/>
      <c r="BU297" s="25"/>
      <c r="BV297" s="38">
        <v>4565</v>
      </c>
      <c r="BW297" s="10"/>
      <c r="BX297" s="11"/>
      <c r="BY297" s="69">
        <f t="shared" si="2740"/>
        <v>732</v>
      </c>
      <c r="BZ297" s="69">
        <f t="shared" si="2741"/>
        <v>57</v>
      </c>
      <c r="CA297" s="11">
        <v>312</v>
      </c>
      <c r="CB297" s="12">
        <f t="shared" si="2690"/>
        <v>0.43852459016393441</v>
      </c>
      <c r="CC297" s="11">
        <v>9</v>
      </c>
      <c r="CD297" s="12">
        <f t="shared" si="2691"/>
        <v>2.8037383177570093E-2</v>
      </c>
      <c r="CE297" s="13"/>
      <c r="CF297" s="13"/>
      <c r="CG297" s="25"/>
      <c r="CH297" s="38">
        <v>4565</v>
      </c>
      <c r="CI297" s="10"/>
      <c r="CJ297" s="11"/>
      <c r="CK297" s="69">
        <f t="shared" si="2742"/>
        <v>126</v>
      </c>
      <c r="CL297" s="69">
        <f t="shared" si="2743"/>
        <v>10</v>
      </c>
      <c r="CM297" s="11">
        <v>44</v>
      </c>
      <c r="CN297" s="12">
        <f t="shared" si="2692"/>
        <v>0.35714285714285715</v>
      </c>
      <c r="CO297" s="11">
        <v>1</v>
      </c>
      <c r="CP297" s="12">
        <f t="shared" si="2693"/>
        <v>2.2222222222222223E-2</v>
      </c>
      <c r="CQ297" s="13"/>
      <c r="CR297" s="13"/>
      <c r="CS297" s="25"/>
      <c r="CT297" s="38">
        <v>4565</v>
      </c>
      <c r="CU297" s="10">
        <v>1</v>
      </c>
      <c r="CV297" s="11"/>
      <c r="CW297" s="69">
        <f t="shared" si="2744"/>
        <v>725</v>
      </c>
      <c r="CX297" s="69">
        <f t="shared" si="2745"/>
        <v>56</v>
      </c>
      <c r="CY297" s="11">
        <v>326</v>
      </c>
      <c r="CZ297" s="12">
        <f t="shared" si="2694"/>
        <v>0.46206896551724136</v>
      </c>
      <c r="DA297" s="11">
        <v>9</v>
      </c>
      <c r="DB297" s="12">
        <f t="shared" si="2695"/>
        <v>2.6865671641791045E-2</v>
      </c>
      <c r="DC297" s="13"/>
      <c r="DD297" s="13"/>
      <c r="DE297" s="25"/>
      <c r="DF297" s="38">
        <v>4565</v>
      </c>
      <c r="DG297" s="10">
        <v>2</v>
      </c>
      <c r="DH297" s="11"/>
      <c r="DI297" s="69">
        <f t="shared" si="2746"/>
        <v>720</v>
      </c>
      <c r="DJ297" s="69">
        <f t="shared" si="2747"/>
        <v>56</v>
      </c>
      <c r="DK297" s="11">
        <v>367</v>
      </c>
      <c r="DL297" s="12">
        <f t="shared" si="2696"/>
        <v>0.52500000000000002</v>
      </c>
      <c r="DM297" s="11">
        <v>11</v>
      </c>
      <c r="DN297" s="12">
        <f t="shared" si="2697"/>
        <v>2.9100529100529099E-2</v>
      </c>
      <c r="DO297" s="13"/>
      <c r="DP297" s="13"/>
      <c r="DQ297" s="25"/>
      <c r="DR297" s="38">
        <v>4565</v>
      </c>
      <c r="DS297" s="10">
        <v>1</v>
      </c>
      <c r="DT297" s="11"/>
      <c r="DU297" s="69">
        <f t="shared" si="2748"/>
        <v>811</v>
      </c>
      <c r="DV297" s="69">
        <f t="shared" si="2749"/>
        <v>63</v>
      </c>
      <c r="DW297" s="11">
        <v>338</v>
      </c>
      <c r="DX297" s="12">
        <f t="shared" si="2698"/>
        <v>0.43649815043156598</v>
      </c>
      <c r="DY297" s="11">
        <v>16</v>
      </c>
      <c r="DZ297" s="12">
        <f t="shared" si="2699"/>
        <v>4.519774011299435E-2</v>
      </c>
      <c r="EA297" s="13"/>
      <c r="EB297" s="13"/>
      <c r="EC297" s="25"/>
      <c r="ED297" s="38">
        <v>4565</v>
      </c>
      <c r="EE297" s="10"/>
      <c r="EF297" s="11"/>
      <c r="EG297" s="69">
        <f t="shared" si="2750"/>
        <v>838</v>
      </c>
      <c r="EH297" s="69">
        <f t="shared" si="2751"/>
        <v>63</v>
      </c>
      <c r="EI297" s="11">
        <v>362</v>
      </c>
      <c r="EJ297" s="12">
        <f t="shared" si="2700"/>
        <v>0.44391408114558473</v>
      </c>
      <c r="EK297" s="11">
        <v>10</v>
      </c>
      <c r="EL297" s="12">
        <f t="shared" si="2701"/>
        <v>2.6881720430107527E-2</v>
      </c>
      <c r="EM297" s="13"/>
      <c r="EN297" s="13"/>
      <c r="EO297" s="25"/>
      <c r="EP297" s="38">
        <v>4565</v>
      </c>
      <c r="EQ297" s="10"/>
      <c r="ER297" s="11"/>
      <c r="ES297" s="69">
        <f t="shared" si="2752"/>
        <v>160</v>
      </c>
      <c r="ET297" s="69">
        <f t="shared" si="2753"/>
        <v>12</v>
      </c>
      <c r="EU297" s="11">
        <v>63</v>
      </c>
      <c r="EV297" s="12">
        <f t="shared" si="2702"/>
        <v>0.41249999999999998</v>
      </c>
      <c r="EW297" s="11">
        <v>3</v>
      </c>
      <c r="EX297" s="12">
        <f t="shared" si="2703"/>
        <v>4.5454545454545456E-2</v>
      </c>
      <c r="EY297" s="13"/>
      <c r="EZ297" s="13"/>
      <c r="FA297" s="25"/>
      <c r="FB297" s="38">
        <v>4565</v>
      </c>
      <c r="FC297" s="10"/>
      <c r="FD297" s="11"/>
      <c r="FE297" s="69">
        <f t="shared" si="2754"/>
        <v>842</v>
      </c>
      <c r="FF297" s="69">
        <f t="shared" si="2755"/>
        <v>65</v>
      </c>
      <c r="FG297" s="11">
        <v>410</v>
      </c>
      <c r="FH297" s="12">
        <f t="shared" si="2704"/>
        <v>0.49881235154394299</v>
      </c>
      <c r="FI297" s="11">
        <v>10</v>
      </c>
      <c r="FJ297" s="12">
        <f t="shared" si="2705"/>
        <v>2.3809523809523808E-2</v>
      </c>
      <c r="FK297" s="13"/>
      <c r="FL297" s="13"/>
      <c r="FM297" s="25"/>
      <c r="FN297" s="38">
        <v>4565</v>
      </c>
      <c r="FO297" s="10">
        <v>1</v>
      </c>
      <c r="FP297" s="11"/>
      <c r="FQ297" s="69">
        <f t="shared" si="2756"/>
        <v>850</v>
      </c>
      <c r="FR297" s="69">
        <f t="shared" si="2757"/>
        <v>66</v>
      </c>
      <c r="FS297" s="11">
        <v>374</v>
      </c>
      <c r="FT297" s="12">
        <f t="shared" si="2706"/>
        <v>0.4611764705882353</v>
      </c>
      <c r="FU297" s="11">
        <v>18</v>
      </c>
      <c r="FV297" s="12">
        <f t="shared" si="2707"/>
        <v>4.5918367346938778E-2</v>
      </c>
      <c r="FW297" s="13"/>
      <c r="FX297" s="13"/>
      <c r="FY297" s="25"/>
      <c r="FZ297" s="38">
        <v>4565</v>
      </c>
      <c r="GA297" s="10"/>
      <c r="GB297" s="11"/>
      <c r="GC297" s="69">
        <f t="shared" si="2758"/>
        <v>866</v>
      </c>
      <c r="GD297" s="69">
        <f t="shared" si="2759"/>
        <v>67</v>
      </c>
      <c r="GE297" s="11">
        <v>412</v>
      </c>
      <c r="GF297" s="12">
        <f t="shared" si="2708"/>
        <v>0.49191685912240185</v>
      </c>
      <c r="GG297" s="11">
        <v>14</v>
      </c>
      <c r="GH297" s="12">
        <f t="shared" si="2709"/>
        <v>3.2863849765258218E-2</v>
      </c>
      <c r="GI297" s="13"/>
      <c r="GJ297" s="13"/>
      <c r="GK297" s="25"/>
      <c r="GL297" s="38">
        <v>4565</v>
      </c>
      <c r="GM297" s="10"/>
      <c r="GN297" s="11"/>
      <c r="GO297" s="69">
        <f t="shared" si="2760"/>
        <v>135</v>
      </c>
      <c r="GP297" s="69">
        <f t="shared" si="2761"/>
        <v>10</v>
      </c>
      <c r="GQ297" s="11">
        <v>56</v>
      </c>
      <c r="GR297" s="12">
        <f t="shared" si="2710"/>
        <v>0.43703703703703706</v>
      </c>
      <c r="GS297" s="11">
        <v>3</v>
      </c>
      <c r="GT297" s="12">
        <f t="shared" si="2711"/>
        <v>5.0847457627118647E-2</v>
      </c>
      <c r="GU297" s="13"/>
      <c r="GV297" s="13"/>
      <c r="GW297" s="25"/>
      <c r="GX297" s="38">
        <v>4565</v>
      </c>
      <c r="GY297" s="10"/>
      <c r="GZ297" s="11"/>
      <c r="HA297" s="69">
        <f t="shared" si="2762"/>
        <v>893</v>
      </c>
      <c r="HB297" s="69">
        <f t="shared" si="2763"/>
        <v>69</v>
      </c>
      <c r="HC297" s="11">
        <v>400</v>
      </c>
      <c r="HD297" s="12">
        <f t="shared" si="2712"/>
        <v>0.46584546472564392</v>
      </c>
      <c r="HE297" s="11">
        <v>16</v>
      </c>
      <c r="HF297" s="12">
        <f t="shared" si="2713"/>
        <v>3.8461538461538464E-2</v>
      </c>
      <c r="HG297" s="13"/>
      <c r="HH297" s="13"/>
      <c r="HI297" s="25"/>
      <c r="HJ297" s="38">
        <v>4565</v>
      </c>
      <c r="HK297" s="10">
        <f t="shared" si="2714"/>
        <v>6</v>
      </c>
      <c r="HL297" s="11">
        <f t="shared" si="2715"/>
        <v>1</v>
      </c>
      <c r="HM297" s="11">
        <f t="shared" si="2716"/>
        <v>11678</v>
      </c>
      <c r="HN297" s="11">
        <f t="shared" si="2717"/>
        <v>898</v>
      </c>
      <c r="HO297" s="11">
        <f t="shared" si="2718"/>
        <v>5461</v>
      </c>
      <c r="HP297" s="95">
        <f t="shared" si="2719"/>
        <v>0.46763144374036653</v>
      </c>
      <c r="HQ297" s="15">
        <f t="shared" si="2720"/>
        <v>177</v>
      </c>
      <c r="HR297" s="12">
        <f t="shared" si="2721"/>
        <v>3.2411646218641274E-2</v>
      </c>
      <c r="HS297" s="16">
        <v>67.7</v>
      </c>
      <c r="HT297" s="17">
        <v>5166</v>
      </c>
      <c r="HU297" s="16">
        <f t="shared" si="2722"/>
        <v>94.598058963559779</v>
      </c>
      <c r="HV297" s="23"/>
      <c r="HW297" s="22">
        <v>4565</v>
      </c>
      <c r="HX297" s="73">
        <f t="shared" si="2723"/>
        <v>0.4759962347034829</v>
      </c>
      <c r="HY297" s="73">
        <f t="shared" si="2724"/>
        <v>0.46479328165374678</v>
      </c>
      <c r="HZ297" s="73">
        <f t="shared" si="2725"/>
        <v>0.45718596755941154</v>
      </c>
      <c r="IA297" s="73">
        <f t="shared" si="2726"/>
        <v>0.47120991253644318</v>
      </c>
    </row>
    <row r="298" spans="1:244" x14ac:dyDescent="0.25">
      <c r="A298" s="374"/>
      <c r="B298" s="41">
        <f t="shared" si="2727"/>
        <v>45170</v>
      </c>
      <c r="C298" s="10"/>
      <c r="D298" s="11"/>
      <c r="E298" s="69">
        <f t="shared" si="2728"/>
        <v>805</v>
      </c>
      <c r="F298" s="69">
        <f t="shared" si="2729"/>
        <v>62</v>
      </c>
      <c r="G298" s="11">
        <v>392</v>
      </c>
      <c r="H298" s="12">
        <f t="shared" si="2678"/>
        <v>0.50186335403726712</v>
      </c>
      <c r="I298" s="11">
        <v>12</v>
      </c>
      <c r="J298" s="12">
        <f t="shared" si="2679"/>
        <v>2.9702970297029702E-2</v>
      </c>
      <c r="K298" s="13"/>
      <c r="L298" s="11"/>
      <c r="M298" s="25"/>
      <c r="N298" s="38">
        <v>4660</v>
      </c>
      <c r="O298" s="10"/>
      <c r="P298" s="11"/>
      <c r="Q298" s="69">
        <f t="shared" si="2730"/>
        <v>740</v>
      </c>
      <c r="R298" s="69">
        <f t="shared" si="2731"/>
        <v>56</v>
      </c>
      <c r="S298" s="11">
        <v>333</v>
      </c>
      <c r="T298" s="12">
        <f t="shared" si="2680"/>
        <v>0.4702702702702703</v>
      </c>
      <c r="U298" s="11">
        <v>15</v>
      </c>
      <c r="V298" s="12">
        <f t="shared" si="2681"/>
        <v>4.3103448275862072E-2</v>
      </c>
      <c r="W298" s="13"/>
      <c r="X298" s="11"/>
      <c r="Y298" s="25"/>
      <c r="Z298" s="38">
        <v>4960</v>
      </c>
      <c r="AA298" s="10"/>
      <c r="AB298" s="11"/>
      <c r="AC298" s="69">
        <f t="shared" si="2732"/>
        <v>152</v>
      </c>
      <c r="AD298" s="69">
        <f t="shared" si="2733"/>
        <v>11</v>
      </c>
      <c r="AE298" s="11">
        <v>67</v>
      </c>
      <c r="AF298" s="12">
        <f t="shared" si="2682"/>
        <v>0.46710526315789475</v>
      </c>
      <c r="AG298" s="11">
        <v>4</v>
      </c>
      <c r="AH298" s="12">
        <f t="shared" si="2683"/>
        <v>5.6338028169014086E-2</v>
      </c>
      <c r="AI298" s="13"/>
      <c r="AJ298" s="11"/>
      <c r="AK298" s="25"/>
      <c r="AL298" s="38">
        <v>4626.67</v>
      </c>
      <c r="AM298" s="10"/>
      <c r="AN298" s="11"/>
      <c r="AO298" s="69">
        <f t="shared" si="2734"/>
        <v>747</v>
      </c>
      <c r="AP298" s="69">
        <f t="shared" si="2735"/>
        <v>57</v>
      </c>
      <c r="AQ298" s="11">
        <v>288</v>
      </c>
      <c r="AR298" s="12">
        <f t="shared" si="2684"/>
        <v>0.39625167336010708</v>
      </c>
      <c r="AS298" s="11">
        <v>8</v>
      </c>
      <c r="AT298" s="12">
        <f t="shared" si="2685"/>
        <v>2.7027027027027029E-2</v>
      </c>
      <c r="AU298" s="13"/>
      <c r="AV298" s="11"/>
      <c r="AW298" s="25"/>
      <c r="AX298" s="38">
        <v>5216.92</v>
      </c>
      <c r="AY298" s="10"/>
      <c r="AZ298" s="11"/>
      <c r="BA298" s="69">
        <f t="shared" si="2736"/>
        <v>743</v>
      </c>
      <c r="BB298" s="69">
        <f t="shared" si="2737"/>
        <v>57</v>
      </c>
      <c r="BC298" s="11">
        <v>343</v>
      </c>
      <c r="BD298" s="12">
        <f t="shared" si="2686"/>
        <v>0.477792732166891</v>
      </c>
      <c r="BE298" s="11">
        <v>12</v>
      </c>
      <c r="BF298" s="12">
        <f t="shared" si="2687"/>
        <v>3.3802816901408447E-2</v>
      </c>
      <c r="BG298" s="13"/>
      <c r="BH298" s="11"/>
      <c r="BI298" s="25"/>
      <c r="BJ298" s="38">
        <v>5395.38</v>
      </c>
      <c r="BK298" s="10"/>
      <c r="BL298" s="11"/>
      <c r="BM298" s="69">
        <f t="shared" si="2738"/>
        <v>793</v>
      </c>
      <c r="BN298" s="69">
        <f t="shared" si="2739"/>
        <v>61</v>
      </c>
      <c r="BO298" s="11">
        <v>353</v>
      </c>
      <c r="BP298" s="12">
        <f t="shared" si="2688"/>
        <v>0.45523329129886508</v>
      </c>
      <c r="BQ298" s="11">
        <v>8</v>
      </c>
      <c r="BR298" s="12">
        <f t="shared" si="2689"/>
        <v>2.2160664819944598E-2</v>
      </c>
      <c r="BS298" s="13"/>
      <c r="BT298" s="11"/>
      <c r="BU298" s="25"/>
      <c r="BV298" s="38">
        <v>4591.54</v>
      </c>
      <c r="BW298" s="10"/>
      <c r="BX298" s="11"/>
      <c r="BY298" s="69">
        <f t="shared" si="2740"/>
        <v>732</v>
      </c>
      <c r="BZ298" s="69">
        <f t="shared" si="2741"/>
        <v>57</v>
      </c>
      <c r="CA298" s="11">
        <v>316</v>
      </c>
      <c r="CB298" s="12">
        <f t="shared" si="2690"/>
        <v>0.44945355191256831</v>
      </c>
      <c r="CC298" s="11">
        <v>13</v>
      </c>
      <c r="CD298" s="12">
        <f t="shared" si="2691"/>
        <v>3.9513677811550151E-2</v>
      </c>
      <c r="CE298" s="13"/>
      <c r="CF298" s="11"/>
      <c r="CG298" s="25"/>
      <c r="CH298" s="38">
        <v>5003.8500000000004</v>
      </c>
      <c r="CI298" s="10"/>
      <c r="CJ298" s="11"/>
      <c r="CK298" s="69">
        <f t="shared" si="2742"/>
        <v>126</v>
      </c>
      <c r="CL298" s="69">
        <f t="shared" si="2743"/>
        <v>10</v>
      </c>
      <c r="CM298" s="11">
        <v>39</v>
      </c>
      <c r="CN298" s="12">
        <f t="shared" si="2692"/>
        <v>0.34126984126984128</v>
      </c>
      <c r="CO298" s="11">
        <v>4</v>
      </c>
      <c r="CP298" s="12">
        <f t="shared" si="2693"/>
        <v>9.3023255813953487E-2</v>
      </c>
      <c r="CQ298" s="13"/>
      <c r="CR298" s="11"/>
      <c r="CS298" s="25"/>
      <c r="CT298" s="38">
        <v>4426.67</v>
      </c>
      <c r="CU298" s="10"/>
      <c r="CV298" s="11"/>
      <c r="CW298" s="69">
        <f t="shared" si="2744"/>
        <v>725</v>
      </c>
      <c r="CX298" s="69">
        <f t="shared" si="2745"/>
        <v>56</v>
      </c>
      <c r="CY298" s="11">
        <v>363</v>
      </c>
      <c r="CZ298" s="12">
        <f t="shared" si="2694"/>
        <v>0.51034482758620692</v>
      </c>
      <c r="DA298" s="11">
        <v>7</v>
      </c>
      <c r="DB298" s="12">
        <f t="shared" si="2695"/>
        <v>1.891891891891892E-2</v>
      </c>
      <c r="DC298" s="13"/>
      <c r="DD298" s="11"/>
      <c r="DE298" s="25"/>
      <c r="DF298" s="38">
        <v>4947.1400000000003</v>
      </c>
      <c r="DG298" s="10"/>
      <c r="DH298" s="11"/>
      <c r="DI298" s="69">
        <f t="shared" si="2746"/>
        <v>720</v>
      </c>
      <c r="DJ298" s="69">
        <f t="shared" si="2747"/>
        <v>56</v>
      </c>
      <c r="DK298" s="11">
        <v>338</v>
      </c>
      <c r="DL298" s="12">
        <f t="shared" si="2696"/>
        <v>0.4777777777777778</v>
      </c>
      <c r="DM298" s="11">
        <v>6</v>
      </c>
      <c r="DN298" s="12">
        <f t="shared" si="2697"/>
        <v>1.7441860465116279E-2</v>
      </c>
      <c r="DO298" s="13"/>
      <c r="DP298" s="11"/>
      <c r="DQ298" s="25"/>
      <c r="DR298" s="38">
        <v>5448.46</v>
      </c>
      <c r="DS298" s="10">
        <v>2</v>
      </c>
      <c r="DT298" s="11"/>
      <c r="DU298" s="69">
        <f t="shared" si="2748"/>
        <v>809</v>
      </c>
      <c r="DV298" s="69">
        <f t="shared" si="2749"/>
        <v>63</v>
      </c>
      <c r="DW298" s="11">
        <v>400</v>
      </c>
      <c r="DX298" s="12">
        <f t="shared" si="2698"/>
        <v>0.51174289245982696</v>
      </c>
      <c r="DY298" s="11">
        <v>14</v>
      </c>
      <c r="DZ298" s="12">
        <f t="shared" si="2699"/>
        <v>3.3816425120772944E-2</v>
      </c>
      <c r="EA298" s="13"/>
      <c r="EB298" s="11"/>
      <c r="EC298" s="25"/>
      <c r="ED298" s="38">
        <v>4890</v>
      </c>
      <c r="EE298" s="10"/>
      <c r="EF298" s="11"/>
      <c r="EG298" s="69">
        <f t="shared" si="2750"/>
        <v>838</v>
      </c>
      <c r="EH298" s="69">
        <f t="shared" si="2751"/>
        <v>63</v>
      </c>
      <c r="EI298" s="11">
        <v>376</v>
      </c>
      <c r="EJ298" s="12">
        <f t="shared" si="2700"/>
        <v>0.46897374701670647</v>
      </c>
      <c r="EK298" s="11">
        <v>17</v>
      </c>
      <c r="EL298" s="12">
        <f t="shared" si="2701"/>
        <v>4.3256997455470736E-2</v>
      </c>
      <c r="EM298" s="13"/>
      <c r="EN298" s="11"/>
      <c r="EO298" s="25"/>
      <c r="EP298" s="38">
        <v>5105</v>
      </c>
      <c r="EQ298" s="10"/>
      <c r="ER298" s="11"/>
      <c r="ES298" s="69">
        <f t="shared" si="2752"/>
        <v>160</v>
      </c>
      <c r="ET298" s="69">
        <f t="shared" si="2753"/>
        <v>12</v>
      </c>
      <c r="EU298" s="11">
        <v>75</v>
      </c>
      <c r="EV298" s="12">
        <f t="shared" si="2702"/>
        <v>0.49375000000000002</v>
      </c>
      <c r="EW298" s="11">
        <v>4</v>
      </c>
      <c r="EX298" s="12">
        <f t="shared" si="2703"/>
        <v>5.0632911392405063E-2</v>
      </c>
      <c r="EY298" s="13"/>
      <c r="EZ298" s="11"/>
      <c r="FA298" s="25"/>
      <c r="FB298" s="38">
        <v>4720</v>
      </c>
      <c r="FC298" s="10"/>
      <c r="FD298" s="11"/>
      <c r="FE298" s="69">
        <f t="shared" si="2754"/>
        <v>842</v>
      </c>
      <c r="FF298" s="69">
        <f t="shared" si="2755"/>
        <v>65</v>
      </c>
      <c r="FG298" s="11">
        <v>416</v>
      </c>
      <c r="FH298" s="12">
        <f t="shared" si="2704"/>
        <v>0.50831353919239908</v>
      </c>
      <c r="FI298" s="11">
        <v>12</v>
      </c>
      <c r="FJ298" s="12">
        <f t="shared" si="2705"/>
        <v>2.8037383177570093E-2</v>
      </c>
      <c r="FK298" s="13"/>
      <c r="FL298" s="11"/>
      <c r="FM298" s="25"/>
      <c r="FN298" s="38">
        <v>5416.2</v>
      </c>
      <c r="FO298" s="10"/>
      <c r="FP298" s="11"/>
      <c r="FQ298" s="69">
        <f t="shared" si="2756"/>
        <v>850</v>
      </c>
      <c r="FR298" s="69">
        <f t="shared" si="2757"/>
        <v>66</v>
      </c>
      <c r="FS298" s="11">
        <v>400</v>
      </c>
      <c r="FT298" s="12">
        <f t="shared" si="2706"/>
        <v>0.5</v>
      </c>
      <c r="FU298" s="11">
        <v>25</v>
      </c>
      <c r="FV298" s="12">
        <f t="shared" si="2707"/>
        <v>5.8823529411764705E-2</v>
      </c>
      <c r="FW298" s="13"/>
      <c r="FX298" s="11"/>
      <c r="FY298" s="25"/>
      <c r="FZ298" s="38">
        <v>4796.92</v>
      </c>
      <c r="GA298" s="10"/>
      <c r="GB298" s="11"/>
      <c r="GC298" s="69">
        <f t="shared" si="2758"/>
        <v>866</v>
      </c>
      <c r="GD298" s="69">
        <f t="shared" si="2759"/>
        <v>67</v>
      </c>
      <c r="GE298" s="11">
        <v>401</v>
      </c>
      <c r="GF298" s="12">
        <f t="shared" si="2708"/>
        <v>0.48267898383371827</v>
      </c>
      <c r="GG298" s="11">
        <v>17</v>
      </c>
      <c r="GH298" s="12">
        <f t="shared" si="2709"/>
        <v>4.0669856459330141E-2</v>
      </c>
      <c r="GI298" s="13"/>
      <c r="GJ298" s="11"/>
      <c r="GK298" s="25"/>
      <c r="GL298" s="38">
        <v>5018.5</v>
      </c>
      <c r="GM298" s="10"/>
      <c r="GN298" s="11"/>
      <c r="GO298" s="69">
        <f t="shared" si="2760"/>
        <v>135</v>
      </c>
      <c r="GP298" s="69">
        <f t="shared" si="2761"/>
        <v>10</v>
      </c>
      <c r="GQ298" s="11">
        <v>46</v>
      </c>
      <c r="GR298" s="12">
        <f t="shared" si="2710"/>
        <v>0.36296296296296299</v>
      </c>
      <c r="GS298" s="11">
        <v>3</v>
      </c>
      <c r="GT298" s="12">
        <f t="shared" si="2711"/>
        <v>6.1224489795918366E-2</v>
      </c>
      <c r="GU298" s="13"/>
      <c r="GV298" s="11"/>
      <c r="GW298" s="25"/>
      <c r="GX298" s="38">
        <v>4546.67</v>
      </c>
      <c r="GY298" s="10"/>
      <c r="GZ298" s="11"/>
      <c r="HA298" s="69">
        <f t="shared" si="2762"/>
        <v>893</v>
      </c>
      <c r="HB298" s="69">
        <f t="shared" si="2763"/>
        <v>69</v>
      </c>
      <c r="HC298" s="11">
        <v>429</v>
      </c>
      <c r="HD298" s="12">
        <f t="shared" si="2712"/>
        <v>0.49832026875699886</v>
      </c>
      <c r="HE298" s="11">
        <v>16</v>
      </c>
      <c r="HF298" s="12">
        <f t="shared" si="2713"/>
        <v>3.5955056179775284E-2</v>
      </c>
      <c r="HG298" s="13"/>
      <c r="HH298" s="11"/>
      <c r="HI298" s="25"/>
      <c r="HJ298" s="38">
        <v>5368.33</v>
      </c>
      <c r="HK298" s="10">
        <f t="shared" si="2714"/>
        <v>2</v>
      </c>
      <c r="HL298" s="11">
        <f t="shared" si="2715"/>
        <v>0</v>
      </c>
      <c r="HM298" s="11">
        <f t="shared" si="2716"/>
        <v>11676</v>
      </c>
      <c r="HN298" s="11">
        <f t="shared" si="2717"/>
        <v>898</v>
      </c>
      <c r="HO298" s="11">
        <f t="shared" si="2718"/>
        <v>5572</v>
      </c>
      <c r="HP298" s="95">
        <f t="shared" si="2719"/>
        <v>0.47721822541966424</v>
      </c>
      <c r="HQ298" s="15">
        <f t="shared" si="2720"/>
        <v>197</v>
      </c>
      <c r="HR298" s="12">
        <f t="shared" si="2721"/>
        <v>3.5355348169418523E-2</v>
      </c>
      <c r="HS298" s="16">
        <v>67.900000000000006</v>
      </c>
      <c r="HT298" s="17">
        <v>5241</v>
      </c>
      <c r="HU298" s="16">
        <f t="shared" si="2722"/>
        <v>94.059583632447954</v>
      </c>
      <c r="HV298" s="23"/>
      <c r="HW298" s="22">
        <v>5023.66</v>
      </c>
      <c r="HX298" s="73">
        <f t="shared" si="2723"/>
        <v>0.46250392218387198</v>
      </c>
      <c r="HY298" s="73">
        <f t="shared" si="2724"/>
        <v>0.46737726098191212</v>
      </c>
      <c r="HZ298" s="73">
        <f t="shared" si="2725"/>
        <v>0.49603624009060021</v>
      </c>
      <c r="IA298" s="73">
        <f t="shared" si="2726"/>
        <v>0.48724489795918369</v>
      </c>
    </row>
    <row r="299" spans="1:244" x14ac:dyDescent="0.25">
      <c r="A299" s="374"/>
      <c r="B299" s="41">
        <f t="shared" si="2727"/>
        <v>45171</v>
      </c>
      <c r="C299" s="10"/>
      <c r="D299" s="11"/>
      <c r="E299" s="69">
        <f t="shared" si="2728"/>
        <v>805</v>
      </c>
      <c r="F299" s="69">
        <f t="shared" si="2729"/>
        <v>62</v>
      </c>
      <c r="G299" s="11">
        <v>381</v>
      </c>
      <c r="H299" s="12">
        <f t="shared" si="2678"/>
        <v>0.48447204968944102</v>
      </c>
      <c r="I299" s="11">
        <v>9</v>
      </c>
      <c r="J299" s="12">
        <f t="shared" si="2679"/>
        <v>2.3076923076923078E-2</v>
      </c>
      <c r="K299" s="13"/>
      <c r="L299" s="11"/>
      <c r="M299" s="39"/>
      <c r="N299" s="43">
        <v>100</v>
      </c>
      <c r="O299" s="10"/>
      <c r="P299" s="11"/>
      <c r="Q299" s="69">
        <f t="shared" si="2730"/>
        <v>740</v>
      </c>
      <c r="R299" s="69">
        <f t="shared" si="2731"/>
        <v>56</v>
      </c>
      <c r="S299" s="11">
        <v>337</v>
      </c>
      <c r="T299" s="12">
        <f t="shared" si="2680"/>
        <v>0.47702702702702704</v>
      </c>
      <c r="U299" s="11">
        <v>16</v>
      </c>
      <c r="V299" s="12">
        <f t="shared" si="2681"/>
        <v>4.5325779036827198E-2</v>
      </c>
      <c r="W299" s="13"/>
      <c r="X299" s="11"/>
      <c r="Y299" s="39"/>
      <c r="Z299" s="43">
        <v>100</v>
      </c>
      <c r="AA299" s="10"/>
      <c r="AB299" s="11"/>
      <c r="AC299" s="69">
        <f t="shared" si="2732"/>
        <v>152</v>
      </c>
      <c r="AD299" s="69">
        <f t="shared" si="2733"/>
        <v>11</v>
      </c>
      <c r="AE299" s="11">
        <v>70</v>
      </c>
      <c r="AF299" s="12">
        <f t="shared" si="2682"/>
        <v>0.49342105263157893</v>
      </c>
      <c r="AG299" s="11">
        <v>5</v>
      </c>
      <c r="AH299" s="12">
        <f t="shared" si="2683"/>
        <v>6.6666666666666666E-2</v>
      </c>
      <c r="AI299" s="13"/>
      <c r="AJ299" s="11"/>
      <c r="AK299" s="39"/>
      <c r="AL299" s="43">
        <v>100</v>
      </c>
      <c r="AM299" s="10"/>
      <c r="AN299" s="11"/>
      <c r="AO299" s="69">
        <f t="shared" si="2734"/>
        <v>747</v>
      </c>
      <c r="AP299" s="69">
        <f t="shared" si="2735"/>
        <v>57</v>
      </c>
      <c r="AQ299" s="11">
        <v>359</v>
      </c>
      <c r="AR299" s="12">
        <f t="shared" si="2684"/>
        <v>0.50066934404283803</v>
      </c>
      <c r="AS299" s="11">
        <v>15</v>
      </c>
      <c r="AT299" s="12">
        <f t="shared" si="2685"/>
        <v>4.0106951871657755E-2</v>
      </c>
      <c r="AU299" s="13"/>
      <c r="AV299" s="11"/>
      <c r="AW299" s="39"/>
      <c r="AX299" s="43">
        <v>100</v>
      </c>
      <c r="AY299" s="10"/>
      <c r="AZ299" s="11"/>
      <c r="BA299" s="69">
        <f t="shared" si="2736"/>
        <v>743</v>
      </c>
      <c r="BB299" s="69">
        <f t="shared" si="2737"/>
        <v>57</v>
      </c>
      <c r="BC299" s="11">
        <v>324</v>
      </c>
      <c r="BD299" s="12">
        <f t="shared" si="2686"/>
        <v>0.45760430686406461</v>
      </c>
      <c r="BE299" s="11">
        <v>16</v>
      </c>
      <c r="BF299" s="12">
        <f t="shared" si="2687"/>
        <v>4.7058823529411764E-2</v>
      </c>
      <c r="BG299" s="13"/>
      <c r="BH299" s="11"/>
      <c r="BI299" s="39"/>
      <c r="BJ299" s="43">
        <v>100</v>
      </c>
      <c r="BK299" s="10"/>
      <c r="BL299" s="11"/>
      <c r="BM299" s="69">
        <f t="shared" si="2738"/>
        <v>793</v>
      </c>
      <c r="BN299" s="69">
        <f t="shared" si="2739"/>
        <v>61</v>
      </c>
      <c r="BO299" s="11">
        <v>345</v>
      </c>
      <c r="BP299" s="12">
        <f t="shared" si="2688"/>
        <v>0.44388398486759145</v>
      </c>
      <c r="BQ299" s="11">
        <v>7</v>
      </c>
      <c r="BR299" s="12">
        <f t="shared" si="2689"/>
        <v>1.9886363636363636E-2</v>
      </c>
      <c r="BS299" s="13"/>
      <c r="BT299" s="11"/>
      <c r="BU299" s="39"/>
      <c r="BV299" s="43">
        <v>100</v>
      </c>
      <c r="BW299" s="10">
        <v>1</v>
      </c>
      <c r="BX299" s="11"/>
      <c r="BY299" s="69">
        <f t="shared" si="2740"/>
        <v>731</v>
      </c>
      <c r="BZ299" s="69">
        <f t="shared" si="2741"/>
        <v>57</v>
      </c>
      <c r="CA299" s="11">
        <v>330</v>
      </c>
      <c r="CB299" s="12">
        <f t="shared" si="2690"/>
        <v>0.46101231190150477</v>
      </c>
      <c r="CC299" s="11">
        <v>7</v>
      </c>
      <c r="CD299" s="12">
        <f t="shared" si="2691"/>
        <v>2.0771513353115726E-2</v>
      </c>
      <c r="CE299" s="13"/>
      <c r="CF299" s="11"/>
      <c r="CG299" s="39"/>
      <c r="CH299" s="43">
        <v>100</v>
      </c>
      <c r="CI299" s="10"/>
      <c r="CJ299" s="11"/>
      <c r="CK299" s="69">
        <f t="shared" si="2742"/>
        <v>126</v>
      </c>
      <c r="CL299" s="69">
        <f t="shared" si="2743"/>
        <v>10</v>
      </c>
      <c r="CM299" s="11">
        <v>44</v>
      </c>
      <c r="CN299" s="12">
        <f t="shared" si="2692"/>
        <v>0.36507936507936506</v>
      </c>
      <c r="CO299" s="11">
        <v>2</v>
      </c>
      <c r="CP299" s="12">
        <f t="shared" si="2693"/>
        <v>4.3478260869565216E-2</v>
      </c>
      <c r="CQ299" s="13"/>
      <c r="CR299" s="11"/>
      <c r="CS299" s="39"/>
      <c r="CT299" s="43">
        <v>100</v>
      </c>
      <c r="CU299" s="10">
        <v>1</v>
      </c>
      <c r="CV299" s="11"/>
      <c r="CW299" s="69">
        <f t="shared" si="2744"/>
        <v>724</v>
      </c>
      <c r="CX299" s="69">
        <f t="shared" si="2745"/>
        <v>56</v>
      </c>
      <c r="CY299" s="11">
        <v>333</v>
      </c>
      <c r="CZ299" s="12">
        <f t="shared" si="2694"/>
        <v>0.47099447513812154</v>
      </c>
      <c r="DA299" s="11">
        <v>8</v>
      </c>
      <c r="DB299" s="12">
        <f t="shared" si="2695"/>
        <v>2.3460410557184751E-2</v>
      </c>
      <c r="DC299" s="13"/>
      <c r="DD299" s="11"/>
      <c r="DE299" s="39"/>
      <c r="DF299" s="43">
        <v>100</v>
      </c>
      <c r="DG299" s="10"/>
      <c r="DH299" s="11"/>
      <c r="DI299" s="69">
        <f t="shared" si="2746"/>
        <v>720</v>
      </c>
      <c r="DJ299" s="69">
        <f t="shared" si="2747"/>
        <v>56</v>
      </c>
      <c r="DK299" s="11">
        <v>327</v>
      </c>
      <c r="DL299" s="12">
        <f t="shared" si="2696"/>
        <v>0.46250000000000002</v>
      </c>
      <c r="DM299" s="11">
        <v>6</v>
      </c>
      <c r="DN299" s="12">
        <f t="shared" si="2697"/>
        <v>1.8018018018018018E-2</v>
      </c>
      <c r="DO299" s="13"/>
      <c r="DP299" s="11"/>
      <c r="DQ299" s="39"/>
      <c r="DR299" s="43">
        <v>100</v>
      </c>
      <c r="DS299" s="10">
        <v>1</v>
      </c>
      <c r="DT299" s="11"/>
      <c r="DU299" s="69">
        <f t="shared" si="2748"/>
        <v>808</v>
      </c>
      <c r="DV299" s="69">
        <f t="shared" si="2749"/>
        <v>63</v>
      </c>
      <c r="DW299" s="11">
        <v>371</v>
      </c>
      <c r="DX299" s="12">
        <f t="shared" si="2698"/>
        <v>0.47896039603960394</v>
      </c>
      <c r="DY299" s="11">
        <v>16</v>
      </c>
      <c r="DZ299" s="12">
        <f t="shared" si="2699"/>
        <v>4.1343669250645997E-2</v>
      </c>
      <c r="EA299" s="13"/>
      <c r="EB299" s="11"/>
      <c r="EC299" s="39"/>
      <c r="ED299" s="43">
        <v>100</v>
      </c>
      <c r="EE299" s="10">
        <v>1</v>
      </c>
      <c r="EF299" s="11"/>
      <c r="EG299" s="69">
        <f t="shared" si="2750"/>
        <v>837</v>
      </c>
      <c r="EH299" s="69">
        <f t="shared" si="2751"/>
        <v>63</v>
      </c>
      <c r="EI299" s="11">
        <v>387</v>
      </c>
      <c r="EJ299" s="12">
        <f t="shared" si="2700"/>
        <v>0.4838709677419355</v>
      </c>
      <c r="EK299" s="11">
        <v>18</v>
      </c>
      <c r="EL299" s="12">
        <f t="shared" si="2701"/>
        <v>4.4444444444444446E-2</v>
      </c>
      <c r="EM299" s="13"/>
      <c r="EN299" s="11"/>
      <c r="EO299" s="39"/>
      <c r="EP299" s="43">
        <v>100</v>
      </c>
      <c r="EQ299" s="10"/>
      <c r="ER299" s="11"/>
      <c r="ES299" s="69">
        <f t="shared" si="2752"/>
        <v>160</v>
      </c>
      <c r="ET299" s="69">
        <f t="shared" si="2753"/>
        <v>12</v>
      </c>
      <c r="EU299" s="11">
        <v>87</v>
      </c>
      <c r="EV299" s="12">
        <f t="shared" si="2702"/>
        <v>0.55625000000000002</v>
      </c>
      <c r="EW299" s="11">
        <v>2</v>
      </c>
      <c r="EX299" s="12">
        <f t="shared" si="2703"/>
        <v>2.247191011235955E-2</v>
      </c>
      <c r="EY299" s="13"/>
      <c r="EZ299" s="11"/>
      <c r="FA299" s="39"/>
      <c r="FB299" s="43">
        <v>100</v>
      </c>
      <c r="FC299" s="10"/>
      <c r="FD299" s="11"/>
      <c r="FE299" s="69">
        <f t="shared" si="2754"/>
        <v>842</v>
      </c>
      <c r="FF299" s="69">
        <f t="shared" si="2755"/>
        <v>65</v>
      </c>
      <c r="FG299" s="11">
        <v>427</v>
      </c>
      <c r="FH299" s="12">
        <f t="shared" si="2704"/>
        <v>0.53444180522565321</v>
      </c>
      <c r="FI299" s="11">
        <v>23</v>
      </c>
      <c r="FJ299" s="12">
        <f t="shared" si="2705"/>
        <v>5.1111111111111114E-2</v>
      </c>
      <c r="FK299" s="13"/>
      <c r="FL299" s="11"/>
      <c r="FM299" s="39"/>
      <c r="FN299" s="43">
        <v>100</v>
      </c>
      <c r="FO299" s="10"/>
      <c r="FP299" s="11"/>
      <c r="FQ299" s="69">
        <f t="shared" si="2756"/>
        <v>850</v>
      </c>
      <c r="FR299" s="69">
        <f t="shared" si="2757"/>
        <v>66</v>
      </c>
      <c r="FS299" s="11">
        <v>339</v>
      </c>
      <c r="FT299" s="12">
        <f t="shared" si="2706"/>
        <v>0.41529411764705881</v>
      </c>
      <c r="FU299" s="11">
        <v>14</v>
      </c>
      <c r="FV299" s="12">
        <f t="shared" si="2707"/>
        <v>3.9660056657223795E-2</v>
      </c>
      <c r="FW299" s="13"/>
      <c r="FX299" s="11"/>
      <c r="FY299" s="39"/>
      <c r="FZ299" s="43">
        <v>100</v>
      </c>
      <c r="GA299" s="10">
        <v>1</v>
      </c>
      <c r="GB299" s="11"/>
      <c r="GC299" s="69">
        <f t="shared" si="2758"/>
        <v>865</v>
      </c>
      <c r="GD299" s="69">
        <f t="shared" si="2759"/>
        <v>67</v>
      </c>
      <c r="GE299" s="11">
        <v>376</v>
      </c>
      <c r="GF299" s="12">
        <f t="shared" si="2708"/>
        <v>0.44971098265895953</v>
      </c>
      <c r="GG299" s="11">
        <v>13</v>
      </c>
      <c r="GH299" s="12">
        <f t="shared" si="2709"/>
        <v>3.3419023136246784E-2</v>
      </c>
      <c r="GI299" s="13"/>
      <c r="GJ299" s="11"/>
      <c r="GK299" s="39"/>
      <c r="GL299" s="43">
        <v>100</v>
      </c>
      <c r="GM299" s="10">
        <v>1</v>
      </c>
      <c r="GN299" s="11"/>
      <c r="GO299" s="69">
        <f t="shared" si="2760"/>
        <v>134</v>
      </c>
      <c r="GP299" s="69">
        <f t="shared" si="2761"/>
        <v>10</v>
      </c>
      <c r="GQ299" s="11">
        <v>49</v>
      </c>
      <c r="GR299" s="12">
        <f t="shared" si="2710"/>
        <v>0.38059701492537312</v>
      </c>
      <c r="GS299" s="11">
        <v>2</v>
      </c>
      <c r="GT299" s="12">
        <f t="shared" si="2711"/>
        <v>3.9215686274509803E-2</v>
      </c>
      <c r="GU299" s="13"/>
      <c r="GV299" s="11"/>
      <c r="GW299" s="39"/>
      <c r="GX299" s="43">
        <v>100</v>
      </c>
      <c r="GY299" s="10"/>
      <c r="GZ299" s="11"/>
      <c r="HA299" s="69">
        <f t="shared" si="2762"/>
        <v>893</v>
      </c>
      <c r="HB299" s="69">
        <f t="shared" si="2763"/>
        <v>69</v>
      </c>
      <c r="HC299" s="11">
        <v>452</v>
      </c>
      <c r="HD299" s="12">
        <f t="shared" si="2712"/>
        <v>0.51959686450167974</v>
      </c>
      <c r="HE299" s="11">
        <v>12</v>
      </c>
      <c r="HF299" s="12">
        <f t="shared" si="2713"/>
        <v>2.5862068965517241E-2</v>
      </c>
      <c r="HG299" s="13"/>
      <c r="HH299" s="11"/>
      <c r="HI299" s="39"/>
      <c r="HJ299" s="43">
        <v>100</v>
      </c>
      <c r="HK299" s="10">
        <f t="shared" si="2714"/>
        <v>6</v>
      </c>
      <c r="HL299" s="11">
        <f t="shared" si="2715"/>
        <v>0</v>
      </c>
      <c r="HM299" s="11">
        <f t="shared" si="2716"/>
        <v>11670</v>
      </c>
      <c r="HN299" s="11">
        <f t="shared" si="2717"/>
        <v>898</v>
      </c>
      <c r="HO299" s="11">
        <f t="shared" si="2718"/>
        <v>5529</v>
      </c>
      <c r="HP299" s="95">
        <f t="shared" si="2719"/>
        <v>0.47377892030848329</v>
      </c>
      <c r="HQ299" s="15">
        <f t="shared" si="2720"/>
        <v>191</v>
      </c>
      <c r="HR299" s="12">
        <f t="shared" si="2721"/>
        <v>3.4545125700850061E-2</v>
      </c>
      <c r="HS299" s="16">
        <v>68.5</v>
      </c>
      <c r="HT299" s="17">
        <v>5227</v>
      </c>
      <c r="HU299" s="16">
        <f t="shared" si="2722"/>
        <v>94.53789111955146</v>
      </c>
      <c r="HV299" s="23"/>
      <c r="HW299" s="22">
        <v>83.51</v>
      </c>
      <c r="HX299" s="73">
        <f>SUM(G299,I299,S299,U299,AE299,AG299,AQ299,AS299,BC299,BE299)/SUM(E299,Q299,AC299,AO299,BA299)</f>
        <v>0.48070285534985879</v>
      </c>
      <c r="HY299" s="73">
        <f t="shared" si="2724"/>
        <v>0.45539754363283774</v>
      </c>
      <c r="HZ299" s="73">
        <f t="shared" si="2725"/>
        <v>0.50283339629769552</v>
      </c>
      <c r="IA299" s="73">
        <f t="shared" si="2726"/>
        <v>0.45842450765864334</v>
      </c>
      <c r="IF299" s="85">
        <f>IF300/IF301</f>
        <v>1.5664160401002505E-3</v>
      </c>
      <c r="IG299" s="85">
        <f>IG300/IG301</f>
        <v>2.5789813023855577E-3</v>
      </c>
      <c r="IH299" s="85">
        <f>IH300/IH301</f>
        <v>4.1384499623777276E-3</v>
      </c>
      <c r="II299" s="85">
        <f>II300/II301</f>
        <v>2.5463805020007274E-3</v>
      </c>
      <c r="IJ299" s="88" t="s">
        <v>90</v>
      </c>
    </row>
    <row r="300" spans="1:244" ht="19.5" thickBot="1" x14ac:dyDescent="0.3">
      <c r="A300" s="374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2627</v>
      </c>
      <c r="H300" s="28">
        <f>((G300+I300)/7)/E299</f>
        <v>0.48163265306122449</v>
      </c>
      <c r="I300" s="27">
        <f>SUM(I293:I299)</f>
        <v>87</v>
      </c>
      <c r="J300" s="28">
        <f>(I300/(I300+G300))</f>
        <v>3.2056005895357405E-2</v>
      </c>
      <c r="K300" s="27"/>
      <c r="L300" s="27"/>
      <c r="M300" s="29" t="e">
        <f>M298/M297*100-100</f>
        <v>#DIV/0!</v>
      </c>
      <c r="N300" s="67">
        <f>N298/N297*100-100</f>
        <v>2.0810514786418395</v>
      </c>
      <c r="O300" s="26">
        <f>SUM(O293:O299)</f>
        <v>4</v>
      </c>
      <c r="P300" s="27">
        <f>SUM(P293:P299)</f>
        <v>0</v>
      </c>
      <c r="Q300" s="27"/>
      <c r="R300" s="27"/>
      <c r="S300" s="27">
        <f>SUM(S293:S299)</f>
        <v>2354</v>
      </c>
      <c r="T300" s="28">
        <f>((S300+U300)/7)/Q299</f>
        <v>0.47181467181467185</v>
      </c>
      <c r="U300" s="27">
        <f>SUM(U293:U299)</f>
        <v>90</v>
      </c>
      <c r="V300" s="28">
        <f>(U300/(U300+S300))</f>
        <v>3.6824877250409165E-2</v>
      </c>
      <c r="W300" s="27"/>
      <c r="X300" s="27"/>
      <c r="Y300" s="29" t="e">
        <f>Y298/Y297*100-100</f>
        <v>#DIV/0!</v>
      </c>
      <c r="Z300" s="67">
        <f>Z298/Z297*100-100</f>
        <v>8.6527929901423875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484</v>
      </c>
      <c r="AF300" s="28">
        <f>((AE300+AG300)/7)/AC299</f>
        <v>0.47650375939849626</v>
      </c>
      <c r="AG300" s="27">
        <f>SUM(AG293:AG299)</f>
        <v>23</v>
      </c>
      <c r="AH300" s="28">
        <f>(AG300/(AG300+AE300))</f>
        <v>4.5364891518737675E-2</v>
      </c>
      <c r="AI300" s="27"/>
      <c r="AJ300" s="27"/>
      <c r="AK300" s="29" t="e">
        <f>AK298/AK297*100-100</f>
        <v>#DIV/0!</v>
      </c>
      <c r="AL300" s="67">
        <f>AL298/AL297*100-100</f>
        <v>1.3509309967141263</v>
      </c>
      <c r="AM300" s="26">
        <f>SUM(AM293:AM299)</f>
        <v>0</v>
      </c>
      <c r="AN300" s="27">
        <f>SUM(AN293:AN299)</f>
        <v>1</v>
      </c>
      <c r="AO300" s="27"/>
      <c r="AP300" s="27"/>
      <c r="AQ300" s="27">
        <f>SUM(AQ293:AQ299)</f>
        <v>2409</v>
      </c>
      <c r="AR300" s="28">
        <f>((AQ300+AS300)/7)/AO299</f>
        <v>0.47580799388028305</v>
      </c>
      <c r="AS300" s="27">
        <f>SUM(AS293:AS299)</f>
        <v>79</v>
      </c>
      <c r="AT300" s="28">
        <f>(AS300/(AS300+AQ300))</f>
        <v>3.1752411575562703E-2</v>
      </c>
      <c r="AU300" s="27"/>
      <c r="AV300" s="27"/>
      <c r="AW300" s="29" t="e">
        <f>AW298/AW297*100-100</f>
        <v>#DIV/0!</v>
      </c>
      <c r="AX300" s="67">
        <f>AX298/AX297*100-100</f>
        <v>14.280832420591466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2400</v>
      </c>
      <c r="BD300" s="28">
        <f>((BC300+BE300)/7)/BA299</f>
        <v>0.47952316862141897</v>
      </c>
      <c r="BE300" s="27">
        <f>SUM(BE293:BE299)</f>
        <v>94</v>
      </c>
      <c r="BF300" s="28">
        <f>(BE300/(BE300+BC300))</f>
        <v>3.7690457097032878E-2</v>
      </c>
      <c r="BG300" s="27"/>
      <c r="BH300" s="27"/>
      <c r="BI300" s="29" t="e">
        <f>BI298/BI297*100-100</f>
        <v>#DIV/0!</v>
      </c>
      <c r="BJ300" s="67">
        <f>BJ298/BJ297*100-100</f>
        <v>18.190142387732749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2369</v>
      </c>
      <c r="BP300" s="28">
        <f>((BO300+BQ300)/7)/BM299</f>
        <v>0.44010088272383352</v>
      </c>
      <c r="BQ300" s="27">
        <f>SUM(BQ293:BQ299)</f>
        <v>74</v>
      </c>
      <c r="BR300" s="28">
        <f>(BQ300/(BQ300+BO300))</f>
        <v>3.029062627916496E-2</v>
      </c>
      <c r="BS300" s="27"/>
      <c r="BT300" s="27"/>
      <c r="BU300" s="29" t="e">
        <f>BU298/BU297*100-100</f>
        <v>#DIV/0!</v>
      </c>
      <c r="BV300" s="67">
        <f>BV298/BV297*100-100</f>
        <v>0.5813800657174113</v>
      </c>
      <c r="BW300" s="26">
        <f>SUM(BW293:BW299)</f>
        <v>1</v>
      </c>
      <c r="BX300" s="27">
        <f>SUM(BX293:BX299)</f>
        <v>0</v>
      </c>
      <c r="BY300" s="27"/>
      <c r="BZ300" s="27"/>
      <c r="CA300" s="27">
        <f>SUM(CA293:CA299)</f>
        <v>2212</v>
      </c>
      <c r="CB300" s="28">
        <f>((CA300+CC300)/7)/BY299</f>
        <v>0.44596443228454175</v>
      </c>
      <c r="CC300" s="27">
        <f>SUM(CC293:CC299)</f>
        <v>70</v>
      </c>
      <c r="CD300" s="28">
        <f>(CC300/(CC300+CA300))</f>
        <v>3.0674846625766871E-2</v>
      </c>
      <c r="CE300" s="27"/>
      <c r="CF300" s="27"/>
      <c r="CG300" s="29" t="e">
        <f>CG298/CG297*100-100</f>
        <v>#DIV/0!</v>
      </c>
      <c r="CH300" s="67">
        <f>CH298/CH297*100-100</f>
        <v>9.6133625410733856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300</v>
      </c>
      <c r="CN300" s="28">
        <f>((CM300+CO300)/7)/CK299</f>
        <v>0.36167800453514737</v>
      </c>
      <c r="CO300" s="27">
        <f>SUM(CO293:CO299)</f>
        <v>19</v>
      </c>
      <c r="CP300" s="28">
        <f>(CO300/(CO300+CM300))</f>
        <v>5.9561128526645767E-2</v>
      </c>
      <c r="CQ300" s="27"/>
      <c r="CR300" s="27"/>
      <c r="CS300" s="29" t="e">
        <f>CS298/CS297*100-100</f>
        <v>#DIV/0!</v>
      </c>
      <c r="CT300" s="67">
        <f>CT298/CT297*100-100</f>
        <v>-3.0302300109529057</v>
      </c>
      <c r="CU300" s="26">
        <f>SUM(CU293:CU299)</f>
        <v>2</v>
      </c>
      <c r="CV300" s="27">
        <f>SUM(CV293:CV299)</f>
        <v>0</v>
      </c>
      <c r="CW300" s="27"/>
      <c r="CX300" s="27"/>
      <c r="CY300" s="27">
        <f>SUM(CY293:CY299)</f>
        <v>2217</v>
      </c>
      <c r="CZ300" s="28">
        <f>((CY300+DA300)/7)/CW299</f>
        <v>0.45047355958958174</v>
      </c>
      <c r="DA300" s="27">
        <f>SUM(DA293:DA299)</f>
        <v>66</v>
      </c>
      <c r="DB300" s="28">
        <f>(DA300/(DA300+CY300))</f>
        <v>2.8909329829172142E-2</v>
      </c>
      <c r="DC300" s="27"/>
      <c r="DD300" s="27"/>
      <c r="DE300" s="29" t="e">
        <f>DE298/DE297*100-100</f>
        <v>#DIV/0!</v>
      </c>
      <c r="DF300" s="67">
        <f>DF298/DF297*100-100</f>
        <v>8.3710843373494157</v>
      </c>
      <c r="DG300" s="26">
        <f>SUM(DG293:DG299)</f>
        <v>4</v>
      </c>
      <c r="DH300" s="27">
        <f>SUM(DH293:DH299)</f>
        <v>0</v>
      </c>
      <c r="DI300" s="27"/>
      <c r="DJ300" s="27"/>
      <c r="DK300" s="27">
        <f>SUM(DK293:DK299)</f>
        <v>2400</v>
      </c>
      <c r="DL300" s="28">
        <f>((DK300+DM300)/7)/DI299</f>
        <v>0.48829365079365078</v>
      </c>
      <c r="DM300" s="27">
        <f>SUM(DM293:DM299)</f>
        <v>61</v>
      </c>
      <c r="DN300" s="28">
        <f>(DM300/(DM300+DK300))</f>
        <v>2.4786672084518489E-2</v>
      </c>
      <c r="DO300" s="27"/>
      <c r="DP300" s="27"/>
      <c r="DQ300" s="29" t="e">
        <f>DQ298/DQ297*100-100</f>
        <v>#DIV/0!</v>
      </c>
      <c r="DR300" s="67">
        <f>DR298/DR297*100-100</f>
        <v>19.352902519167571</v>
      </c>
      <c r="DS300" s="26">
        <f>SUM(DS293:DS299)</f>
        <v>7</v>
      </c>
      <c r="DT300" s="27">
        <f>SUM(DT293:DT299)</f>
        <v>0</v>
      </c>
      <c r="DU300" s="27"/>
      <c r="DV300" s="27"/>
      <c r="DW300" s="27">
        <f>SUM(DW293:DW299)</f>
        <v>2480</v>
      </c>
      <c r="DX300" s="28">
        <f>((DW300+DY300)/7)/DU299</f>
        <v>0.45986562942008485</v>
      </c>
      <c r="DY300" s="27">
        <f>SUM(DY293:DY299)</f>
        <v>121</v>
      </c>
      <c r="DZ300" s="28">
        <f>(DY300/(DY300+DW300))</f>
        <v>4.6520569011918492E-2</v>
      </c>
      <c r="EA300" s="27"/>
      <c r="EB300" s="27"/>
      <c r="EC300" s="29" t="e">
        <f>EC298/EC297*100-100</f>
        <v>#DIV/0!</v>
      </c>
      <c r="ED300" s="67">
        <f>ED298/ED297*100-100</f>
        <v>7.1193866374589305</v>
      </c>
      <c r="EE300" s="26">
        <f>SUM(EE293:EE299)</f>
        <v>1</v>
      </c>
      <c r="EF300" s="27">
        <f>SUM(EF293:EF299)</f>
        <v>0</v>
      </c>
      <c r="EG300" s="27"/>
      <c r="EH300" s="27"/>
      <c r="EI300" s="27">
        <f>SUM(EI293:EI299)</f>
        <v>2616</v>
      </c>
      <c r="EJ300" s="28">
        <f>((EI300+EK300)/7)/EG299</f>
        <v>0.46390168970814133</v>
      </c>
      <c r="EK300" s="27">
        <f>SUM(EK293:EK299)</f>
        <v>102</v>
      </c>
      <c r="EL300" s="28">
        <f>(EK300/(EK300+EI300))</f>
        <v>3.7527593818984545E-2</v>
      </c>
      <c r="EM300" s="27"/>
      <c r="EN300" s="27"/>
      <c r="EO300" s="29" t="e">
        <f>EO298/EO297*100-100</f>
        <v>#DIV/0!</v>
      </c>
      <c r="EP300" s="67">
        <f>EP298/EP297*100-100</f>
        <v>11.829134720700992</v>
      </c>
      <c r="EQ300" s="26">
        <f>SUM(EQ293:EQ299)</f>
        <v>1</v>
      </c>
      <c r="ER300" s="27">
        <f>SUM(ER293:ER299)</f>
        <v>0</v>
      </c>
      <c r="ES300" s="27"/>
      <c r="ET300" s="27"/>
      <c r="EU300" s="27">
        <f>SUM(EU293:EU299)</f>
        <v>525</v>
      </c>
      <c r="EV300" s="28">
        <f>((EU300+EW300)/7)/ES299</f>
        <v>0.4955357142857143</v>
      </c>
      <c r="EW300" s="27">
        <f>SUM(EW293:EW299)</f>
        <v>30</v>
      </c>
      <c r="EX300" s="28">
        <f>(EW300/(EW300+EU300))</f>
        <v>5.4054054054054057E-2</v>
      </c>
      <c r="EY300" s="27"/>
      <c r="EZ300" s="27"/>
      <c r="FA300" s="29" t="e">
        <f>FA298/FA297*100-100</f>
        <v>#DIV/0!</v>
      </c>
      <c r="FB300" s="67">
        <f>FB298/FB297*100-100</f>
        <v>3.3953997809419434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2811</v>
      </c>
      <c r="FH300" s="28">
        <f>((FG300+FI300)/7)/FE299</f>
        <v>0.493043773328809</v>
      </c>
      <c r="FI300" s="27">
        <f>SUM(FI293:FI299)</f>
        <v>95</v>
      </c>
      <c r="FJ300" s="28">
        <f>(FI300/(FI300+FG300))</f>
        <v>3.269098417068135E-2</v>
      </c>
      <c r="FK300" s="27"/>
      <c r="FL300" s="27"/>
      <c r="FM300" s="29" t="e">
        <f>FM298/FM297*100-100</f>
        <v>#DIV/0!</v>
      </c>
      <c r="FN300" s="67">
        <f>FN298/FN297*100-100</f>
        <v>18.646221248630894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2542</v>
      </c>
      <c r="FT300" s="28">
        <f>((FS300+FU300)/7)/FQ299</f>
        <v>0.45109243697478996</v>
      </c>
      <c r="FU300" s="27">
        <f>SUM(FU293:FU299)</f>
        <v>142</v>
      </c>
      <c r="FV300" s="28">
        <f>(FU300/(FU300+FS300))</f>
        <v>5.290611028315946E-2</v>
      </c>
      <c r="FW300" s="27"/>
      <c r="FX300" s="27"/>
      <c r="FY300" s="29" t="e">
        <f>FY298/FY297*100-100</f>
        <v>#DIV/0!</v>
      </c>
      <c r="FZ300" s="67">
        <f>FZ298/FZ297*100-100</f>
        <v>5.0803943044906958</v>
      </c>
      <c r="GA300" s="26">
        <f>SUM(GA293:GA299)</f>
        <v>3</v>
      </c>
      <c r="GB300" s="27">
        <f>SUM(GB293:GB299)</f>
        <v>0</v>
      </c>
      <c r="GC300" s="27"/>
      <c r="GD300" s="27"/>
      <c r="GE300" s="27">
        <f>SUM(GE293:GE299)</f>
        <v>2743</v>
      </c>
      <c r="GF300" s="28">
        <f>((GE300+GG300)/7)/GC299</f>
        <v>0.47085053674649047</v>
      </c>
      <c r="GG300" s="27">
        <f>SUM(GG293:GG299)</f>
        <v>108</v>
      </c>
      <c r="GH300" s="28">
        <f>(GG300/(GG300+GE300))</f>
        <v>3.7881445106980008E-2</v>
      </c>
      <c r="GI300" s="27"/>
      <c r="GJ300" s="27"/>
      <c r="GK300" s="29" t="e">
        <f>GK298/GK297*100-100</f>
        <v>#DIV/0!</v>
      </c>
      <c r="GL300" s="67">
        <f>GL298/GL297*100-100</f>
        <v>9.9342825848849969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359</v>
      </c>
      <c r="GR300" s="28">
        <f>((GQ300+GS300)/7)/GO299</f>
        <v>0.40405117270788915</v>
      </c>
      <c r="GS300" s="27">
        <f>SUM(GS293:GS299)</f>
        <v>20</v>
      </c>
      <c r="GT300" s="28">
        <f>(GS300/(GS300+GQ300))</f>
        <v>5.2770448548812667E-2</v>
      </c>
      <c r="GU300" s="27"/>
      <c r="GV300" s="27"/>
      <c r="GW300" s="29" t="e">
        <f>GW298/GW297*100-100</f>
        <v>#DIV/0!</v>
      </c>
      <c r="GX300" s="67">
        <f>GX298/GX297*100-100</f>
        <v>-0.40153340635268364</v>
      </c>
      <c r="GY300" s="26">
        <f>SUM(GY293:GY299)</f>
        <v>1</v>
      </c>
      <c r="GZ300" s="27">
        <f>SUM(GZ293:GZ299)</f>
        <v>0</v>
      </c>
      <c r="HA300" s="27"/>
      <c r="HB300" s="27"/>
      <c r="HC300" s="27">
        <f>SUM(HC293:HC299)</f>
        <v>2879</v>
      </c>
      <c r="HD300" s="28">
        <f>((HC300+HE300)/7)/HA299</f>
        <v>0.47672372420412734</v>
      </c>
      <c r="HE300" s="27">
        <f>SUM(HE293:HE299)</f>
        <v>101</v>
      </c>
      <c r="HF300" s="28">
        <f>(HE300/(HE300+HC300))</f>
        <v>3.3892617449664431E-2</v>
      </c>
      <c r="HG300" s="27"/>
      <c r="HH300" s="27"/>
      <c r="HI300" s="29" t="e">
        <f>HI298/HI297*100-100</f>
        <v>#DIV/0!</v>
      </c>
      <c r="HJ300" s="67">
        <f>HJ298/HJ297*100-100</f>
        <v>17.597590361445796</v>
      </c>
      <c r="HK300" s="26">
        <f t="shared" si="2714"/>
        <v>31</v>
      </c>
      <c r="HL300" s="27">
        <f t="shared" si="2715"/>
        <v>1</v>
      </c>
      <c r="HM300" s="27">
        <f t="shared" si="2716"/>
        <v>0</v>
      </c>
      <c r="HN300" s="27">
        <f t="shared" si="2717"/>
        <v>0</v>
      </c>
      <c r="HO300" s="27">
        <f t="shared" si="2718"/>
        <v>38109</v>
      </c>
      <c r="HP300" s="96">
        <f>+((HO300)/HM299)/7</f>
        <v>0.46650752846125598</v>
      </c>
      <c r="HQ300" s="62">
        <f t="shared" si="2720"/>
        <v>1382</v>
      </c>
      <c r="HR300" s="52">
        <f t="shared" si="2721"/>
        <v>3.6264399485685793E-2</v>
      </c>
      <c r="HS300" s="53">
        <f>SUM(HS293:HS299)/7</f>
        <v>67.928571428571431</v>
      </c>
      <c r="HT300" s="54">
        <f>SUM(HT293:HT299)</f>
        <v>35909</v>
      </c>
      <c r="HU300" s="53">
        <f>AVERAGE(HU293:HU299)</f>
        <v>94.228557274272177</v>
      </c>
      <c r="HV300" s="63" t="e">
        <f>HV298/HV297*100-100</f>
        <v>#DIV/0!</v>
      </c>
      <c r="HW300" s="67">
        <f>HW298/HW297*100-100</f>
        <v>10.047316538882797</v>
      </c>
      <c r="HX300" s="73">
        <f>SUM(G300,I300,S300,U300,AE300,AG300,AQ300,AS300,BC300,BE300)/7/SUM(E299,Q299,AC299,AO299,BA299)</f>
        <v>0.47725133354251648</v>
      </c>
      <c r="HY300" s="73">
        <f>SUM(BO300,BQ300,CA300,CC300,CM300,CO300,CY300,DA300,DK300,DM300)/7/SUM(BM299,BY299,CK299,CW299,DI299)</f>
        <v>0.45193462000184687</v>
      </c>
      <c r="HZ300" s="73">
        <f>SUM(DW300,DY300,EI300,EK300,EU300,EW300,FG300,FI300)/7/SUM(DU299,EG299,ES299,FE299)</f>
        <v>0.47385179988126719</v>
      </c>
      <c r="IA300" s="73">
        <f>SUM(FS300,FU300,GE300,GG300,GQ300,GS300,HC300,HE300)/7/SUM(FQ299,GC299,GO299,HA299)</f>
        <v>0.46337397103261441</v>
      </c>
      <c r="IB300" s="84">
        <f>SUM(I300,U300,AG300,AS300,BE300)/SUM(G300,I300,S300,U300,AE300,AG300,AQ300,AS300,BC300,BE300)</f>
        <v>3.5033342725650417E-2</v>
      </c>
      <c r="IC300" s="84">
        <f>SUM(BQ300,CC300,CO300,DA300,DM300)/SUM(BO300,BQ300,CA300,CC300,CM300,CO300,CY300,DA300,DK300,DM300)</f>
        <v>2.9628116060482223E-2</v>
      </c>
      <c r="ID300" s="84">
        <f>SUM(DY300,EK300,EW300,FI300)/SUM(DW300,DY300,EI300,EK300,EU300,EW300,FG300,FI300)</f>
        <v>3.9635535307517088E-2</v>
      </c>
      <c r="IE300" s="84">
        <f>SUM(FU300,GG300,GS300,HE300)/SUM(FS300,FU300,GE300,GG300,GQ300,GS300,HC300,HE300)</f>
        <v>4.1713514729030808E-2</v>
      </c>
      <c r="IF300" s="86">
        <f>SUM(C300,O300,AA300,AM300,AY300)</f>
        <v>5</v>
      </c>
      <c r="IG300" s="86">
        <f>SUM(BK300,BW300,CI300,CU300,DG300)</f>
        <v>8</v>
      </c>
      <c r="IH300" s="86">
        <f>SUM(DS300,EE300,EQ300,FC300)</f>
        <v>11</v>
      </c>
      <c r="II300" s="86">
        <f>SUM(FO300,GA300,GM300,GY300)</f>
        <v>7</v>
      </c>
      <c r="IJ300" s="88" t="s">
        <v>89</v>
      </c>
    </row>
    <row r="301" spans="1:244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HK300/HM293</f>
        <v>2.6500256454094718E-3</v>
      </c>
      <c r="HL301" s="66">
        <f>HL300/HN293</f>
        <v>1.1123470522803114E-3</v>
      </c>
      <c r="HM301" s="45"/>
      <c r="HN301" s="45"/>
      <c r="HO301" s="45"/>
      <c r="HP301" s="98"/>
      <c r="HQ301" s="45"/>
      <c r="HR301" s="45"/>
      <c r="HS301" s="45"/>
      <c r="HT301" s="55"/>
      <c r="HU301" s="45"/>
      <c r="HV301" s="45"/>
      <c r="HW301" s="46"/>
      <c r="HY301" s="72"/>
      <c r="HZ301" s="72"/>
      <c r="IA301" s="72"/>
      <c r="IF301" s="86">
        <f>SUM(E290,Q290,AC290,AO290,BA290)</f>
        <v>3192</v>
      </c>
      <c r="IG301" s="86">
        <f>SUM(BM290,BY290,CK290,CW290,DI290)</f>
        <v>3102</v>
      </c>
      <c r="IH301" s="86">
        <f>SUM(DU290,EG290,ES290,FE290)</f>
        <v>2658</v>
      </c>
      <c r="II301" s="86">
        <f>SUM(FQ290,GC290,GO290,HA290)</f>
        <v>2749</v>
      </c>
      <c r="IJ301" s="88" t="s">
        <v>84</v>
      </c>
    </row>
    <row r="302" spans="1:244" x14ac:dyDescent="0.25">
      <c r="A302" s="373">
        <v>58</v>
      </c>
      <c r="B302" s="68">
        <f>B299+1</f>
        <v>45172</v>
      </c>
      <c r="C302" s="33"/>
      <c r="D302" s="34"/>
      <c r="E302" s="34">
        <f>E299-C302</f>
        <v>805</v>
      </c>
      <c r="F302" s="34">
        <f>F299-D302</f>
        <v>62</v>
      </c>
      <c r="G302" s="34">
        <v>358</v>
      </c>
      <c r="H302" s="35">
        <f t="shared" ref="H302:H308" si="2764">((G302+I302)/E302)</f>
        <v>0.46956521739130436</v>
      </c>
      <c r="I302" s="34">
        <v>20</v>
      </c>
      <c r="J302" s="35">
        <f t="shared" ref="J302:J308" si="2765">I302/(G302+I302)</f>
        <v>5.2910052910052907E-2</v>
      </c>
      <c r="K302" s="36"/>
      <c r="L302" s="34"/>
      <c r="M302" s="34"/>
      <c r="N302" s="37"/>
      <c r="O302" s="33"/>
      <c r="P302" s="34"/>
      <c r="Q302" s="34">
        <f>Q299-O302</f>
        <v>740</v>
      </c>
      <c r="R302" s="34">
        <f>R299-P302</f>
        <v>56</v>
      </c>
      <c r="S302" s="34">
        <v>331</v>
      </c>
      <c r="T302" s="35">
        <f t="shared" ref="T302:T308" si="2766">((S302+U302)/Q302)</f>
        <v>0.4635135135135135</v>
      </c>
      <c r="U302" s="34">
        <v>12</v>
      </c>
      <c r="V302" s="35">
        <f t="shared" ref="V302:V308" si="2767">U302/(S302+U302)</f>
        <v>3.4985422740524783E-2</v>
      </c>
      <c r="W302" s="36"/>
      <c r="X302" s="34"/>
      <c r="Y302" s="34"/>
      <c r="Z302" s="37"/>
      <c r="AA302" s="33"/>
      <c r="AB302" s="34"/>
      <c r="AC302" s="34">
        <f>AC299-AA302</f>
        <v>152</v>
      </c>
      <c r="AD302" s="34">
        <f>AD299-AB302</f>
        <v>11</v>
      </c>
      <c r="AE302" s="34">
        <v>73</v>
      </c>
      <c r="AF302" s="35">
        <f t="shared" ref="AF302:AF308" si="2768">((AE302+AG302)/AC302)</f>
        <v>0.5</v>
      </c>
      <c r="AG302" s="34">
        <v>3</v>
      </c>
      <c r="AH302" s="35">
        <f t="shared" ref="AH302:AH308" si="2769">AG302/(AE302+AG302)</f>
        <v>3.9473684210526314E-2</v>
      </c>
      <c r="AI302" s="36"/>
      <c r="AJ302" s="34"/>
      <c r="AK302" s="34"/>
      <c r="AL302" s="37"/>
      <c r="AM302" s="33"/>
      <c r="AN302" s="34"/>
      <c r="AO302" s="34">
        <f>AO299-AM302</f>
        <v>747</v>
      </c>
      <c r="AP302" s="34">
        <f>AP299-AN302</f>
        <v>57</v>
      </c>
      <c r="AQ302" s="34">
        <v>326</v>
      </c>
      <c r="AR302" s="35">
        <f t="shared" ref="AR302:AR308" si="2770">((AQ302+AS302)/AO302)</f>
        <v>0.44712182061579653</v>
      </c>
      <c r="AS302" s="34">
        <v>8</v>
      </c>
      <c r="AT302" s="35">
        <f t="shared" ref="AT302:AT308" si="2771">AS302/(AQ302+AS302)</f>
        <v>2.3952095808383235E-2</v>
      </c>
      <c r="AU302" s="36"/>
      <c r="AV302" s="34"/>
      <c r="AW302" s="34"/>
      <c r="AX302" s="37"/>
      <c r="AY302" s="33"/>
      <c r="AZ302" s="34"/>
      <c r="BA302" s="34">
        <f>BA299-AY302</f>
        <v>743</v>
      </c>
      <c r="BB302" s="34">
        <f>BB299-AZ302</f>
        <v>57</v>
      </c>
      <c r="BC302" s="34">
        <v>348</v>
      </c>
      <c r="BD302" s="35">
        <f t="shared" ref="BD302:BD308" si="2772">((BC302+BE302)/BA302)</f>
        <v>0.48452220726783313</v>
      </c>
      <c r="BE302" s="34">
        <v>12</v>
      </c>
      <c r="BF302" s="35">
        <f t="shared" ref="BF302:BF308" si="2773">BE302/(BC302+BE302)</f>
        <v>3.3333333333333333E-2</v>
      </c>
      <c r="BG302" s="36"/>
      <c r="BH302" s="34"/>
      <c r="BI302" s="34"/>
      <c r="BJ302" s="37"/>
      <c r="BK302" s="33"/>
      <c r="BL302" s="34"/>
      <c r="BM302" s="34">
        <f>BM299-BK302</f>
        <v>793</v>
      </c>
      <c r="BN302" s="34">
        <f>BN299-BL302</f>
        <v>61</v>
      </c>
      <c r="BO302" s="34">
        <v>371</v>
      </c>
      <c r="BP302" s="35">
        <f t="shared" ref="BP302:BP308" si="2774">((BO302+BQ302)/BM302)</f>
        <v>0.47793190416141235</v>
      </c>
      <c r="BQ302" s="34">
        <v>8</v>
      </c>
      <c r="BR302" s="35">
        <f t="shared" ref="BR302:BR308" si="2775">BQ302/(BO302+BQ302)</f>
        <v>2.1108179419525065E-2</v>
      </c>
      <c r="BS302" s="36"/>
      <c r="BT302" s="34"/>
      <c r="BU302" s="34"/>
      <c r="BV302" s="37"/>
      <c r="BW302" s="33"/>
      <c r="BX302" s="34"/>
      <c r="BY302" s="34">
        <f>BY299-BW302</f>
        <v>731</v>
      </c>
      <c r="BZ302" s="34">
        <f>BZ299-BX302</f>
        <v>57</v>
      </c>
      <c r="CA302" s="34">
        <v>334</v>
      </c>
      <c r="CB302" s="35">
        <f t="shared" ref="CB302:CB308" si="2776">((CA302+CC302)/BY302)</f>
        <v>0.4692202462380301</v>
      </c>
      <c r="CC302" s="34">
        <v>9</v>
      </c>
      <c r="CD302" s="35">
        <f t="shared" ref="CD302:CD308" si="2777">CC302/(CA302+CC302)</f>
        <v>2.6239067055393587E-2</v>
      </c>
      <c r="CE302" s="36"/>
      <c r="CF302" s="34"/>
      <c r="CG302" s="34"/>
      <c r="CH302" s="37"/>
      <c r="CI302" s="33"/>
      <c r="CJ302" s="34"/>
      <c r="CK302" s="34">
        <f>CK299-CI302</f>
        <v>126</v>
      </c>
      <c r="CL302" s="34">
        <f>CL299-CJ302</f>
        <v>10</v>
      </c>
      <c r="CM302" s="34">
        <v>53</v>
      </c>
      <c r="CN302" s="35">
        <f t="shared" ref="CN302:CN308" si="2778">((CM302+CO302)/CK302)</f>
        <v>0.42857142857142855</v>
      </c>
      <c r="CO302" s="34">
        <v>1</v>
      </c>
      <c r="CP302" s="35">
        <f t="shared" ref="CP302:CP308" si="2779">CO302/(CM302+CO302)</f>
        <v>1.8518518518518517E-2</v>
      </c>
      <c r="CQ302" s="36"/>
      <c r="CR302" s="34"/>
      <c r="CS302" s="34"/>
      <c r="CT302" s="37"/>
      <c r="CU302" s="33"/>
      <c r="CV302" s="34"/>
      <c r="CW302" s="34">
        <f>CW299-CU302</f>
        <v>724</v>
      </c>
      <c r="CX302" s="34">
        <f>CX299-CV302</f>
        <v>56</v>
      </c>
      <c r="CY302" s="34">
        <v>327</v>
      </c>
      <c r="CZ302" s="35">
        <f t="shared" ref="CZ302:CZ308" si="2780">((CY302+DA302)/CW302)</f>
        <v>0.45994475138121549</v>
      </c>
      <c r="DA302" s="34">
        <v>6</v>
      </c>
      <c r="DB302" s="35">
        <f t="shared" ref="DB302:DB308" si="2781">DA302/(CY302+DA302)</f>
        <v>1.8018018018018018E-2</v>
      </c>
      <c r="DC302" s="36"/>
      <c r="DD302" s="34"/>
      <c r="DE302" s="34"/>
      <c r="DF302" s="37"/>
      <c r="DG302" s="33"/>
      <c r="DH302" s="34"/>
      <c r="DI302" s="34">
        <f>DI299-DG302</f>
        <v>720</v>
      </c>
      <c r="DJ302" s="34">
        <f>DJ299-DH302</f>
        <v>56</v>
      </c>
      <c r="DK302" s="34">
        <v>392</v>
      </c>
      <c r="DL302" s="35">
        <f t="shared" ref="DL302:DL308" si="2782">((DK302+DM302)/DI302)</f>
        <v>0.55277777777777781</v>
      </c>
      <c r="DM302" s="34">
        <v>6</v>
      </c>
      <c r="DN302" s="35">
        <f t="shared" ref="DN302:DN308" si="2783">DM302/(DK302+DM302)</f>
        <v>1.507537688442211E-2</v>
      </c>
      <c r="DO302" s="36"/>
      <c r="DP302" s="34"/>
      <c r="DQ302" s="34"/>
      <c r="DR302" s="37"/>
      <c r="DS302" s="33"/>
      <c r="DT302" s="34"/>
      <c r="DU302" s="34">
        <f>DU299-DS302</f>
        <v>808</v>
      </c>
      <c r="DV302" s="34">
        <f>DV299-DT302</f>
        <v>63</v>
      </c>
      <c r="DW302" s="34">
        <v>357</v>
      </c>
      <c r="DX302" s="35">
        <f t="shared" ref="DX302:DX308" si="2784">((DW302+DY302)/DU302)</f>
        <v>0.45173267326732675</v>
      </c>
      <c r="DY302" s="34">
        <v>8</v>
      </c>
      <c r="DZ302" s="35">
        <f t="shared" ref="DZ302:DZ308" si="2785">DY302/(DW302+DY302)</f>
        <v>2.1917808219178082E-2</v>
      </c>
      <c r="EA302" s="36"/>
      <c r="EB302" s="34"/>
      <c r="EC302" s="34"/>
      <c r="ED302" s="37"/>
      <c r="EE302" s="33"/>
      <c r="EF302" s="34"/>
      <c r="EG302" s="34">
        <f>EG299-EE302</f>
        <v>837</v>
      </c>
      <c r="EH302" s="34">
        <f>EH299-EF302</f>
        <v>63</v>
      </c>
      <c r="EI302" s="34">
        <v>365</v>
      </c>
      <c r="EJ302" s="35">
        <f t="shared" ref="EJ302:EJ308" si="2786">((EI302+EK302)/EG302)</f>
        <v>0.44802867383512546</v>
      </c>
      <c r="EK302" s="34">
        <v>10</v>
      </c>
      <c r="EL302" s="35">
        <f t="shared" ref="EL302:EL308" si="2787">EK302/(EI302+EK302)</f>
        <v>2.6666666666666668E-2</v>
      </c>
      <c r="EM302" s="36"/>
      <c r="EN302" s="34"/>
      <c r="EO302" s="34"/>
      <c r="EP302" s="37"/>
      <c r="EQ302" s="33"/>
      <c r="ER302" s="34"/>
      <c r="ES302" s="34">
        <f>ES299-EQ302</f>
        <v>160</v>
      </c>
      <c r="ET302" s="34">
        <f>ET299-ER302</f>
        <v>12</v>
      </c>
      <c r="EU302" s="34">
        <v>64</v>
      </c>
      <c r="EV302" s="35">
        <f t="shared" ref="EV302:EV308" si="2788">((EU302+EW302)/ES302)</f>
        <v>0.4</v>
      </c>
      <c r="EW302" s="34">
        <v>0</v>
      </c>
      <c r="EX302" s="35">
        <f t="shared" ref="EX302:EX308" si="2789">EW302/(EU302+EW302)</f>
        <v>0</v>
      </c>
      <c r="EY302" s="36"/>
      <c r="EZ302" s="34"/>
      <c r="FA302" s="34"/>
      <c r="FB302" s="37"/>
      <c r="FC302" s="33">
        <v>1</v>
      </c>
      <c r="FD302" s="34"/>
      <c r="FE302" s="34">
        <f>FE299-FC302</f>
        <v>841</v>
      </c>
      <c r="FF302" s="34">
        <f>FF299-FD302</f>
        <v>65</v>
      </c>
      <c r="FG302" s="34">
        <v>407</v>
      </c>
      <c r="FH302" s="35">
        <f t="shared" ref="FH302:FH308" si="2790">((FG302+FI302)/FE302)</f>
        <v>0.51129607609988115</v>
      </c>
      <c r="FI302" s="34">
        <v>23</v>
      </c>
      <c r="FJ302" s="35">
        <f t="shared" ref="FJ302:FJ308" si="2791">FI302/(FG302+FI302)</f>
        <v>5.3488372093023255E-2</v>
      </c>
      <c r="FK302" s="36"/>
      <c r="FL302" s="34"/>
      <c r="FM302" s="34"/>
      <c r="FN302" s="37"/>
      <c r="FO302" s="33"/>
      <c r="FP302" s="34"/>
      <c r="FQ302" s="34">
        <f>FQ299-FO302</f>
        <v>850</v>
      </c>
      <c r="FR302" s="34">
        <f>FR299-FP302</f>
        <v>66</v>
      </c>
      <c r="FS302" s="34">
        <v>377</v>
      </c>
      <c r="FT302" s="35">
        <f t="shared" ref="FT302:FT308" si="2792">((FS302+FU302)/FQ302)</f>
        <v>0.45529411764705885</v>
      </c>
      <c r="FU302" s="34">
        <v>10</v>
      </c>
      <c r="FV302" s="35">
        <f t="shared" ref="FV302:FV308" si="2793">FU302/(FS302+FU302)</f>
        <v>2.5839793281653745E-2</v>
      </c>
      <c r="FW302" s="36"/>
      <c r="FX302" s="34"/>
      <c r="FY302" s="34"/>
      <c r="FZ302" s="37"/>
      <c r="GA302" s="33"/>
      <c r="GB302" s="34"/>
      <c r="GC302" s="34">
        <f>GC299-GA302</f>
        <v>865</v>
      </c>
      <c r="GD302" s="34">
        <f>GD299-GB302</f>
        <v>67</v>
      </c>
      <c r="GE302" s="34">
        <v>360</v>
      </c>
      <c r="GF302" s="35">
        <f t="shared" ref="GF302:GF308" si="2794">((GE302+GG302)/GC302)</f>
        <v>0.423121387283237</v>
      </c>
      <c r="GG302" s="34">
        <v>6</v>
      </c>
      <c r="GH302" s="35">
        <f t="shared" ref="GH302:GH308" si="2795">GG302/(GE302+GG302)</f>
        <v>1.6393442622950821E-2</v>
      </c>
      <c r="GI302" s="36"/>
      <c r="GJ302" s="34"/>
      <c r="GK302" s="34"/>
      <c r="GL302" s="37"/>
      <c r="GM302" s="33"/>
      <c r="GN302" s="34"/>
      <c r="GO302" s="34">
        <f>GO299-GM302</f>
        <v>134</v>
      </c>
      <c r="GP302" s="34">
        <f>GP299-GN302</f>
        <v>10</v>
      </c>
      <c r="GQ302" s="34">
        <v>46</v>
      </c>
      <c r="GR302" s="35">
        <f t="shared" ref="GR302:GR308" si="2796">((GQ302+GS302)/GO302)</f>
        <v>0.36567164179104478</v>
      </c>
      <c r="GS302" s="34">
        <v>3</v>
      </c>
      <c r="GT302" s="35">
        <f t="shared" ref="GT302:GT308" si="2797">GS302/(GQ302+GS302)</f>
        <v>6.1224489795918366E-2</v>
      </c>
      <c r="GU302" s="36"/>
      <c r="GV302" s="34"/>
      <c r="GW302" s="34"/>
      <c r="GX302" s="37"/>
      <c r="GY302" s="33"/>
      <c r="GZ302" s="34"/>
      <c r="HA302" s="34">
        <f>HA299-GY302</f>
        <v>893</v>
      </c>
      <c r="HB302" s="34">
        <f>HB299-GZ302</f>
        <v>69</v>
      </c>
      <c r="HC302" s="34">
        <v>412</v>
      </c>
      <c r="HD302" s="35">
        <f t="shared" ref="HD302:HD308" si="2798">((HC302+HE302)/HA302)</f>
        <v>0.47704367301231804</v>
      </c>
      <c r="HE302" s="34">
        <v>14</v>
      </c>
      <c r="HF302" s="35">
        <f t="shared" ref="HF302:HF308" si="2799">HE302/(HC302+HE302)</f>
        <v>3.2863849765258218E-2</v>
      </c>
      <c r="HG302" s="36"/>
      <c r="HH302" s="34"/>
      <c r="HI302" s="34"/>
      <c r="HJ302" s="37"/>
      <c r="HK302" s="33">
        <f t="shared" ref="HK302:HK309" si="2800">+C302+O302+AA302+AM302+AY302+BK302+BW302+CI302+CU302+DG302+DS302+EE302+EQ302+FC302+FO302+GA302+GM302+GY302</f>
        <v>1</v>
      </c>
      <c r="HL302" s="34">
        <f t="shared" ref="HL302:HL309" si="2801">+D302+P302+AB302+AN302+AZ302+BL302+BX302+CJ302+CV302+DH302+DT302+EF302+ER302+FD302+FP302+GB302+GN302+GZ302</f>
        <v>0</v>
      </c>
      <c r="HM302" s="34">
        <f t="shared" ref="HM302:HM309" si="2802">+E302+Q302+AC302+AO302+BA302+BM302+BY302+CK302+CW302+DI302+DU302+EG302+ES302+FE302+FQ302+GC302+GO302+HA302</f>
        <v>11669</v>
      </c>
      <c r="HN302" s="34">
        <f t="shared" ref="HN302:HN309" si="2803">+F302+R302+AD302+AP302+BB302+BN302+BZ302+CL302+CX302+DJ302+DV302+EH302+ET302+FF302+FR302+GD302+GP302+HB302</f>
        <v>898</v>
      </c>
      <c r="HO302" s="34">
        <f t="shared" ref="HO302:HO309" si="2804">+G302+S302+AE302+AQ302+BC302+BO302+CA302+CM302+CY302+DK302+DW302+EI302+EU302+FG302+FS302+GE302+GQ302+HC302+I302+U302+AG302+AS302+BE302+BQ302+CC302+CO302+DA302+DM302+DY302+EK302+EW302+FI302+FU302+GG302+GS302+HE302</f>
        <v>5460</v>
      </c>
      <c r="HP302" s="94">
        <f t="shared" ref="HP302:HP308" si="2805">+(HO302)/HM302</f>
        <v>0.46790641871625677</v>
      </c>
      <c r="HQ302" s="48">
        <f t="shared" ref="HQ302:HQ309" si="2806">+I302+U302+AG302+AS302+BE302+BQ302+CC302+CO302+DA302+DM302+DY302+EK302+EW302+FI302+FU302+GG302+GS302+HE302</f>
        <v>159</v>
      </c>
      <c r="HR302" s="35">
        <f t="shared" ref="HR302:HR309" si="2807">+(HQ302/(HO302))</f>
        <v>2.9120879120879122E-2</v>
      </c>
      <c r="HS302" s="49">
        <v>68.599999999999994</v>
      </c>
      <c r="HT302" s="50">
        <v>5223</v>
      </c>
      <c r="HU302" s="49">
        <f t="shared" ref="HU302:HU308" si="2808">+HT302/HO302*100</f>
        <v>95.659340659340657</v>
      </c>
      <c r="HV302" s="48"/>
      <c r="HW302" s="37"/>
      <c r="HX302" s="73">
        <f t="shared" ref="HX302:HX308" si="2809">SUM(G302,I302,S302,U302,AE302,AG302,AQ302,AS302,BC302,BE302)/SUM(E302,Q302,AC302,AO302,BA302)</f>
        <v>0.46783809224976469</v>
      </c>
      <c r="HY302" s="73">
        <f t="shared" ref="HY302:HY308" si="2810">SUM(BO302,BQ302,CA302,CC302,CM302,CO302,CY302,DA302,DK302,DM302)/SUM(BM302,BY302,CK302,CW302,DI302)</f>
        <v>0.48707175177763412</v>
      </c>
      <c r="HZ302" s="73">
        <f t="shared" ref="HZ302:HZ308" si="2811">SUM(DW302,DY302,EI302,EK302,EU302,EW302,FG302,FI302)/SUM(DU302,EG302,ES302,FE302)</f>
        <v>0.46636432350718066</v>
      </c>
      <c r="IA302" s="73">
        <f t="shared" ref="IA302:IA308" si="2812">SUM(FS302,FU302,GE302,GG302,GQ302,GS302,HC302,HE302)/SUM(FQ302,GC302,GO302,HA302)</f>
        <v>0.44784828592268416</v>
      </c>
    </row>
    <row r="303" spans="1:244" x14ac:dyDescent="0.25">
      <c r="A303" s="374"/>
      <c r="B303" s="41">
        <f t="shared" ref="B303:B308" si="2813">+B302+1</f>
        <v>45173</v>
      </c>
      <c r="C303" s="10"/>
      <c r="D303" s="11"/>
      <c r="E303" s="69">
        <f t="shared" ref="E303:E308" si="2814">E302-C303</f>
        <v>805</v>
      </c>
      <c r="F303" s="69">
        <f t="shared" ref="F303:F308" si="2815">F302-D303</f>
        <v>62</v>
      </c>
      <c r="G303" s="11">
        <v>347</v>
      </c>
      <c r="H303" s="12">
        <f t="shared" si="2764"/>
        <v>0.44223602484472052</v>
      </c>
      <c r="I303" s="11">
        <v>9</v>
      </c>
      <c r="J303" s="12">
        <f t="shared" si="2765"/>
        <v>2.5280898876404494E-2</v>
      </c>
      <c r="K303" s="13"/>
      <c r="L303" s="11"/>
      <c r="M303" s="11"/>
      <c r="N303" s="14"/>
      <c r="O303" s="10"/>
      <c r="P303" s="11"/>
      <c r="Q303" s="69">
        <f t="shared" ref="Q303:Q308" si="2816">Q302-O303</f>
        <v>740</v>
      </c>
      <c r="R303" s="69">
        <f t="shared" ref="R303:R308" si="2817">R302-P303</f>
        <v>56</v>
      </c>
      <c r="S303" s="11">
        <v>326</v>
      </c>
      <c r="T303" s="12">
        <f t="shared" si="2766"/>
        <v>0.46486486486486489</v>
      </c>
      <c r="U303" s="11">
        <v>18</v>
      </c>
      <c r="V303" s="12">
        <f t="shared" si="2767"/>
        <v>5.232558139534884E-2</v>
      </c>
      <c r="W303" s="13"/>
      <c r="X303" s="11"/>
      <c r="Y303" s="11"/>
      <c r="Z303" s="14"/>
      <c r="AA303" s="10"/>
      <c r="AB303" s="11"/>
      <c r="AC303" s="69">
        <f t="shared" ref="AC303:AC308" si="2818">AC302-AA303</f>
        <v>152</v>
      </c>
      <c r="AD303" s="69">
        <f t="shared" ref="AD303:AD308" si="2819">AD302-AB303</f>
        <v>11</v>
      </c>
      <c r="AE303" s="11">
        <v>67</v>
      </c>
      <c r="AF303" s="12">
        <f t="shared" si="2768"/>
        <v>0.45394736842105265</v>
      </c>
      <c r="AG303" s="11">
        <v>2</v>
      </c>
      <c r="AH303" s="12">
        <f t="shared" si="2769"/>
        <v>2.8985507246376812E-2</v>
      </c>
      <c r="AI303" s="13"/>
      <c r="AJ303" s="11"/>
      <c r="AK303" s="11"/>
      <c r="AL303" s="14"/>
      <c r="AM303" s="10"/>
      <c r="AN303" s="11"/>
      <c r="AO303" s="69">
        <f t="shared" ref="AO303:AO308" si="2820">AO302-AM303</f>
        <v>747</v>
      </c>
      <c r="AP303" s="69">
        <f t="shared" ref="AP303:AP308" si="2821">AP302-AN303</f>
        <v>57</v>
      </c>
      <c r="AQ303" s="11">
        <v>325</v>
      </c>
      <c r="AR303" s="12">
        <f t="shared" si="2770"/>
        <v>0.44846050870147258</v>
      </c>
      <c r="AS303" s="11">
        <v>10</v>
      </c>
      <c r="AT303" s="12">
        <f t="shared" si="2771"/>
        <v>2.9850746268656716E-2</v>
      </c>
      <c r="AU303" s="13"/>
      <c r="AV303" s="11"/>
      <c r="AW303" s="11"/>
      <c r="AX303" s="14"/>
      <c r="AY303" s="10">
        <v>1</v>
      </c>
      <c r="AZ303" s="11"/>
      <c r="BA303" s="69">
        <f t="shared" ref="BA303:BA308" si="2822">BA302-AY303</f>
        <v>742</v>
      </c>
      <c r="BB303" s="69">
        <f t="shared" ref="BB303:BB308" si="2823">BB302-AZ303</f>
        <v>57</v>
      </c>
      <c r="BC303" s="11">
        <v>328</v>
      </c>
      <c r="BD303" s="12">
        <f t="shared" si="2772"/>
        <v>0.47304582210242585</v>
      </c>
      <c r="BE303" s="11">
        <v>23</v>
      </c>
      <c r="BF303" s="12">
        <f t="shared" si="2773"/>
        <v>6.5527065527065526E-2</v>
      </c>
      <c r="BG303" s="13"/>
      <c r="BH303" s="11"/>
      <c r="BI303" s="11"/>
      <c r="BJ303" s="14"/>
      <c r="BK303" s="10"/>
      <c r="BL303" s="11"/>
      <c r="BM303" s="69">
        <f t="shared" ref="BM303:BM308" si="2824">BM302-BK303</f>
        <v>793</v>
      </c>
      <c r="BN303" s="69">
        <f t="shared" ref="BN303:BN308" si="2825">BN302-BL303</f>
        <v>61</v>
      </c>
      <c r="BO303" s="11">
        <v>342</v>
      </c>
      <c r="BP303" s="12">
        <f t="shared" si="2774"/>
        <v>0.44136191677175285</v>
      </c>
      <c r="BQ303" s="11">
        <v>8</v>
      </c>
      <c r="BR303" s="12">
        <f t="shared" si="2775"/>
        <v>2.2857142857142857E-2</v>
      </c>
      <c r="BS303" s="13"/>
      <c r="BT303" s="11"/>
      <c r="BU303" s="11"/>
      <c r="BV303" s="14"/>
      <c r="BW303" s="10"/>
      <c r="BX303" s="11"/>
      <c r="BY303" s="69">
        <f t="shared" ref="BY303:BY308" si="2826">BY302-BW303</f>
        <v>731</v>
      </c>
      <c r="BZ303" s="69">
        <f t="shared" ref="BZ303:BZ308" si="2827">BZ302-BX303</f>
        <v>57</v>
      </c>
      <c r="CA303" s="11">
        <v>329</v>
      </c>
      <c r="CB303" s="12">
        <f t="shared" si="2776"/>
        <v>0.45554035567715456</v>
      </c>
      <c r="CC303" s="11">
        <v>4</v>
      </c>
      <c r="CD303" s="12">
        <f t="shared" si="2777"/>
        <v>1.2012012012012012E-2</v>
      </c>
      <c r="CE303" s="13"/>
      <c r="CF303" s="11"/>
      <c r="CG303" s="11"/>
      <c r="CH303" s="14"/>
      <c r="CI303" s="10"/>
      <c r="CJ303" s="11"/>
      <c r="CK303" s="69">
        <f t="shared" ref="CK303:CK308" si="2828">CK302-CI303</f>
        <v>126</v>
      </c>
      <c r="CL303" s="69">
        <f t="shared" ref="CL303:CL308" si="2829">CL302-CJ303</f>
        <v>10</v>
      </c>
      <c r="CM303" s="11">
        <v>40</v>
      </c>
      <c r="CN303" s="12">
        <f t="shared" si="2778"/>
        <v>0.31746031746031744</v>
      </c>
      <c r="CO303" s="11">
        <v>0</v>
      </c>
      <c r="CP303" s="12">
        <f t="shared" si="2779"/>
        <v>0</v>
      </c>
      <c r="CQ303" s="13"/>
      <c r="CR303" s="11"/>
      <c r="CS303" s="11"/>
      <c r="CT303" s="14"/>
      <c r="CU303" s="10"/>
      <c r="CV303" s="11"/>
      <c r="CW303" s="69">
        <f t="shared" ref="CW303:CW308" si="2830">CW302-CU303</f>
        <v>724</v>
      </c>
      <c r="CX303" s="69">
        <f t="shared" ref="CX303:CX308" si="2831">CX302-CV303</f>
        <v>56</v>
      </c>
      <c r="CY303" s="11">
        <v>317</v>
      </c>
      <c r="CZ303" s="12">
        <f t="shared" si="2780"/>
        <v>0.44889502762430938</v>
      </c>
      <c r="DA303" s="11">
        <v>8</v>
      </c>
      <c r="DB303" s="12">
        <f t="shared" si="2781"/>
        <v>2.4615384615384615E-2</v>
      </c>
      <c r="DC303" s="13"/>
      <c r="DD303" s="11"/>
      <c r="DE303" s="11"/>
      <c r="DF303" s="14"/>
      <c r="DG303" s="10">
        <v>1</v>
      </c>
      <c r="DH303" s="11"/>
      <c r="DI303" s="69">
        <f t="shared" ref="DI303:DI308" si="2832">DI302-DG303</f>
        <v>719</v>
      </c>
      <c r="DJ303" s="69">
        <f t="shared" ref="DJ303:DJ308" si="2833">DJ302-DH303</f>
        <v>56</v>
      </c>
      <c r="DK303" s="11">
        <v>341</v>
      </c>
      <c r="DL303" s="12">
        <f t="shared" si="2782"/>
        <v>0.48261474269819193</v>
      </c>
      <c r="DM303" s="11">
        <v>6</v>
      </c>
      <c r="DN303" s="12">
        <f t="shared" si="2783"/>
        <v>1.7291066282420751E-2</v>
      </c>
      <c r="DO303" s="13"/>
      <c r="DP303" s="11"/>
      <c r="DQ303" s="11"/>
      <c r="DR303" s="14"/>
      <c r="DS303" s="10"/>
      <c r="DT303" s="11"/>
      <c r="DU303" s="69">
        <f t="shared" ref="DU303:DU308" si="2834">DU302-DS303</f>
        <v>808</v>
      </c>
      <c r="DV303" s="69">
        <f t="shared" ref="DV303:DV308" si="2835">DV302-DT303</f>
        <v>63</v>
      </c>
      <c r="DW303" s="11">
        <v>362</v>
      </c>
      <c r="DX303" s="12">
        <f t="shared" si="2784"/>
        <v>0.46782178217821785</v>
      </c>
      <c r="DY303" s="11">
        <v>16</v>
      </c>
      <c r="DZ303" s="12">
        <f t="shared" si="2785"/>
        <v>4.2328042328042326E-2</v>
      </c>
      <c r="EA303" s="13"/>
      <c r="EB303" s="11"/>
      <c r="EC303" s="11"/>
      <c r="ED303" s="14"/>
      <c r="EE303" s="10"/>
      <c r="EF303" s="11"/>
      <c r="EG303" s="69">
        <f t="shared" ref="EG303:EG308" si="2836">EG302-EE303</f>
        <v>837</v>
      </c>
      <c r="EH303" s="69">
        <f t="shared" ref="EH303:EH308" si="2837">EH302-EF303</f>
        <v>63</v>
      </c>
      <c r="EI303" s="11">
        <v>365</v>
      </c>
      <c r="EJ303" s="12">
        <f t="shared" si="2786"/>
        <v>0.45519713261648748</v>
      </c>
      <c r="EK303" s="11">
        <v>16</v>
      </c>
      <c r="EL303" s="12">
        <f t="shared" si="2787"/>
        <v>4.1994750656167978E-2</v>
      </c>
      <c r="EM303" s="13"/>
      <c r="EN303" s="11"/>
      <c r="EO303" s="11"/>
      <c r="EP303" s="14"/>
      <c r="EQ303" s="10"/>
      <c r="ER303" s="11"/>
      <c r="ES303" s="69">
        <f t="shared" ref="ES303:ES308" si="2838">ES302-EQ303</f>
        <v>160</v>
      </c>
      <c r="ET303" s="69">
        <f t="shared" ref="ET303:ET308" si="2839">ET302-ER303</f>
        <v>12</v>
      </c>
      <c r="EU303" s="11">
        <v>79</v>
      </c>
      <c r="EV303" s="12">
        <f t="shared" si="2788"/>
        <v>0.51875000000000004</v>
      </c>
      <c r="EW303" s="11">
        <v>4</v>
      </c>
      <c r="EX303" s="12">
        <f t="shared" si="2789"/>
        <v>4.8192771084337352E-2</v>
      </c>
      <c r="EY303" s="13"/>
      <c r="EZ303" s="11"/>
      <c r="FA303" s="11"/>
      <c r="FB303" s="14"/>
      <c r="FC303" s="10"/>
      <c r="FD303" s="11"/>
      <c r="FE303" s="69">
        <f t="shared" ref="FE303:FE308" si="2840">FE302-FC303</f>
        <v>841</v>
      </c>
      <c r="FF303" s="69">
        <f t="shared" ref="FF303:FF308" si="2841">FF302-FD303</f>
        <v>65</v>
      </c>
      <c r="FG303" s="11">
        <v>429</v>
      </c>
      <c r="FH303" s="12">
        <f t="shared" si="2790"/>
        <v>0.52318668252080858</v>
      </c>
      <c r="FI303" s="11">
        <v>11</v>
      </c>
      <c r="FJ303" s="12">
        <f t="shared" si="2791"/>
        <v>2.5000000000000001E-2</v>
      </c>
      <c r="FK303" s="13"/>
      <c r="FL303" s="11"/>
      <c r="FM303" s="11"/>
      <c r="FN303" s="14"/>
      <c r="FO303" s="10">
        <v>1</v>
      </c>
      <c r="FP303" s="11"/>
      <c r="FQ303" s="69">
        <f t="shared" ref="FQ303:FQ308" si="2842">FQ302-FO303</f>
        <v>849</v>
      </c>
      <c r="FR303" s="69">
        <f t="shared" ref="FR303:FR308" si="2843">FR302-FP303</f>
        <v>66</v>
      </c>
      <c r="FS303" s="11">
        <v>372</v>
      </c>
      <c r="FT303" s="12">
        <f t="shared" si="2792"/>
        <v>0.45936395759717313</v>
      </c>
      <c r="FU303" s="11">
        <v>18</v>
      </c>
      <c r="FV303" s="12">
        <f t="shared" si="2793"/>
        <v>4.6153846153846156E-2</v>
      </c>
      <c r="FW303" s="13"/>
      <c r="FX303" s="11"/>
      <c r="FY303" s="11"/>
      <c r="FZ303" s="14"/>
      <c r="GA303" s="10"/>
      <c r="GB303" s="11"/>
      <c r="GC303" s="69">
        <f t="shared" ref="GC303:GC308" si="2844">GC302-GA303</f>
        <v>865</v>
      </c>
      <c r="GD303" s="69">
        <f t="shared" ref="GD303:GD308" si="2845">GD302-GB303</f>
        <v>67</v>
      </c>
      <c r="GE303" s="11">
        <v>398</v>
      </c>
      <c r="GF303" s="12">
        <f t="shared" si="2794"/>
        <v>0.47976878612716761</v>
      </c>
      <c r="GG303" s="11">
        <v>17</v>
      </c>
      <c r="GH303" s="12">
        <f t="shared" si="2795"/>
        <v>4.0963855421686748E-2</v>
      </c>
      <c r="GI303" s="13"/>
      <c r="GJ303" s="11"/>
      <c r="GK303" s="11"/>
      <c r="GL303" s="14"/>
      <c r="GM303" s="10"/>
      <c r="GN303" s="11"/>
      <c r="GO303" s="69">
        <f t="shared" ref="GO303:GO308" si="2846">GO302-GM303</f>
        <v>134</v>
      </c>
      <c r="GP303" s="69">
        <f t="shared" ref="GP303:GP308" si="2847">GP302-GN303</f>
        <v>10</v>
      </c>
      <c r="GQ303" s="11">
        <v>46</v>
      </c>
      <c r="GR303" s="12">
        <f t="shared" si="2796"/>
        <v>0.35074626865671643</v>
      </c>
      <c r="GS303" s="11">
        <v>1</v>
      </c>
      <c r="GT303" s="12">
        <f t="shared" si="2797"/>
        <v>2.1276595744680851E-2</v>
      </c>
      <c r="GU303" s="13"/>
      <c r="GV303" s="11"/>
      <c r="GW303" s="11"/>
      <c r="GX303" s="14"/>
      <c r="GY303" s="10"/>
      <c r="GZ303" s="11"/>
      <c r="HA303" s="69">
        <f t="shared" ref="HA303:HA308" si="2848">HA302-GY303</f>
        <v>893</v>
      </c>
      <c r="HB303" s="69">
        <f t="shared" ref="HB303:HB308" si="2849">HB302-GZ303</f>
        <v>69</v>
      </c>
      <c r="HC303" s="11">
        <v>412</v>
      </c>
      <c r="HD303" s="12">
        <f t="shared" si="2798"/>
        <v>0.47704367301231804</v>
      </c>
      <c r="HE303" s="11">
        <v>14</v>
      </c>
      <c r="HF303" s="12">
        <f t="shared" si="2799"/>
        <v>3.2863849765258218E-2</v>
      </c>
      <c r="HG303" s="13"/>
      <c r="HH303" s="11"/>
      <c r="HI303" s="11"/>
      <c r="HJ303" s="14"/>
      <c r="HK303" s="10">
        <f t="shared" si="2800"/>
        <v>3</v>
      </c>
      <c r="HL303" s="11">
        <f t="shared" si="2801"/>
        <v>0</v>
      </c>
      <c r="HM303" s="11">
        <f t="shared" si="2802"/>
        <v>11666</v>
      </c>
      <c r="HN303" s="11">
        <f t="shared" si="2803"/>
        <v>898</v>
      </c>
      <c r="HO303" s="11">
        <f t="shared" si="2804"/>
        <v>5410</v>
      </c>
      <c r="HP303" s="95">
        <f t="shared" si="2805"/>
        <v>0.46374078518772499</v>
      </c>
      <c r="HQ303" s="15">
        <f t="shared" si="2806"/>
        <v>185</v>
      </c>
      <c r="HR303" s="12">
        <f t="shared" si="2807"/>
        <v>3.4195933456561925E-2</v>
      </c>
      <c r="HS303" s="16">
        <v>68.2</v>
      </c>
      <c r="HT303" s="17">
        <v>5121</v>
      </c>
      <c r="HU303" s="16">
        <f t="shared" si="2808"/>
        <v>94.658040665434385</v>
      </c>
      <c r="HV303" s="15"/>
      <c r="HW303" s="14"/>
      <c r="HX303" s="73">
        <f t="shared" si="2809"/>
        <v>0.45668549905838041</v>
      </c>
      <c r="HY303" s="73">
        <f t="shared" si="2810"/>
        <v>0.45101842870999032</v>
      </c>
      <c r="HZ303" s="73">
        <f t="shared" si="2811"/>
        <v>0.48450491307634164</v>
      </c>
      <c r="IA303" s="73">
        <f t="shared" si="2812"/>
        <v>0.46625319226559647</v>
      </c>
    </row>
    <row r="304" spans="1:244" x14ac:dyDescent="0.25">
      <c r="A304" s="374"/>
      <c r="B304" s="41">
        <f t="shared" si="2813"/>
        <v>45174</v>
      </c>
      <c r="C304" s="10"/>
      <c r="D304" s="11"/>
      <c r="E304" s="69">
        <f t="shared" si="2814"/>
        <v>805</v>
      </c>
      <c r="F304" s="69">
        <f t="shared" si="2815"/>
        <v>62</v>
      </c>
      <c r="G304" s="11">
        <v>372</v>
      </c>
      <c r="H304" s="12">
        <f t="shared" si="2764"/>
        <v>0.47701863354037266</v>
      </c>
      <c r="I304" s="11">
        <v>12</v>
      </c>
      <c r="J304" s="12">
        <f t="shared" si="2765"/>
        <v>3.125E-2</v>
      </c>
      <c r="K304" s="13"/>
      <c r="L304" s="11"/>
      <c r="M304" s="11"/>
      <c r="N304" s="14"/>
      <c r="O304" s="10">
        <v>1</v>
      </c>
      <c r="P304" s="11"/>
      <c r="Q304" s="69">
        <f t="shared" si="2816"/>
        <v>739</v>
      </c>
      <c r="R304" s="69">
        <f t="shared" si="2817"/>
        <v>56</v>
      </c>
      <c r="S304" s="11">
        <v>325</v>
      </c>
      <c r="T304" s="12">
        <f t="shared" si="2766"/>
        <v>0.45331529093369416</v>
      </c>
      <c r="U304" s="11">
        <v>10</v>
      </c>
      <c r="V304" s="12">
        <f t="shared" si="2767"/>
        <v>2.9850746268656716E-2</v>
      </c>
      <c r="W304" s="13"/>
      <c r="X304" s="11"/>
      <c r="Y304" s="11"/>
      <c r="Z304" s="14"/>
      <c r="AA304" s="10"/>
      <c r="AB304" s="11"/>
      <c r="AC304" s="69">
        <f t="shared" si="2818"/>
        <v>152</v>
      </c>
      <c r="AD304" s="69">
        <f t="shared" si="2819"/>
        <v>11</v>
      </c>
      <c r="AE304" s="11">
        <v>65</v>
      </c>
      <c r="AF304" s="12">
        <f t="shared" si="2768"/>
        <v>0.45394736842105265</v>
      </c>
      <c r="AG304" s="11">
        <v>4</v>
      </c>
      <c r="AH304" s="12">
        <f t="shared" si="2769"/>
        <v>5.7971014492753624E-2</v>
      </c>
      <c r="AI304" s="13"/>
      <c r="AJ304" s="11"/>
      <c r="AK304" s="11"/>
      <c r="AL304" s="14"/>
      <c r="AM304" s="10"/>
      <c r="AN304" s="11"/>
      <c r="AO304" s="69">
        <f t="shared" si="2820"/>
        <v>747</v>
      </c>
      <c r="AP304" s="69">
        <f t="shared" si="2821"/>
        <v>57</v>
      </c>
      <c r="AQ304" s="11">
        <v>353</v>
      </c>
      <c r="AR304" s="12">
        <f t="shared" si="2770"/>
        <v>0.48460508701472554</v>
      </c>
      <c r="AS304" s="11">
        <v>9</v>
      </c>
      <c r="AT304" s="12">
        <f t="shared" si="2771"/>
        <v>2.4861878453038673E-2</v>
      </c>
      <c r="AU304" s="13"/>
      <c r="AV304" s="11"/>
      <c r="AW304" s="11"/>
      <c r="AX304" s="14"/>
      <c r="AY304" s="10"/>
      <c r="AZ304" s="11"/>
      <c r="BA304" s="69">
        <f t="shared" si="2822"/>
        <v>742</v>
      </c>
      <c r="BB304" s="69">
        <f t="shared" si="2823"/>
        <v>57</v>
      </c>
      <c r="BC304" s="11">
        <v>333</v>
      </c>
      <c r="BD304" s="12">
        <f t="shared" si="2772"/>
        <v>0.46361185983827491</v>
      </c>
      <c r="BE304" s="11">
        <v>11</v>
      </c>
      <c r="BF304" s="12">
        <f t="shared" si="2773"/>
        <v>3.1976744186046513E-2</v>
      </c>
      <c r="BG304" s="13"/>
      <c r="BH304" s="11"/>
      <c r="BI304" s="11"/>
      <c r="BJ304" s="14"/>
      <c r="BK304" s="10"/>
      <c r="BL304" s="11"/>
      <c r="BM304" s="69">
        <f t="shared" si="2824"/>
        <v>793</v>
      </c>
      <c r="BN304" s="69">
        <f t="shared" si="2825"/>
        <v>61</v>
      </c>
      <c r="BO304" s="11">
        <v>331</v>
      </c>
      <c r="BP304" s="12">
        <f t="shared" si="2774"/>
        <v>0.43127364438839849</v>
      </c>
      <c r="BQ304" s="11">
        <v>11</v>
      </c>
      <c r="BR304" s="12">
        <f t="shared" si="2775"/>
        <v>3.2163742690058478E-2</v>
      </c>
      <c r="BS304" s="13"/>
      <c r="BT304" s="11"/>
      <c r="BU304" s="11"/>
      <c r="BV304" s="14"/>
      <c r="BW304" s="10"/>
      <c r="BX304" s="11"/>
      <c r="BY304" s="69">
        <f t="shared" si="2826"/>
        <v>731</v>
      </c>
      <c r="BZ304" s="69">
        <f t="shared" si="2827"/>
        <v>57</v>
      </c>
      <c r="CA304" s="11">
        <v>309</v>
      </c>
      <c r="CB304" s="12">
        <f t="shared" si="2776"/>
        <v>0.44733242134062928</v>
      </c>
      <c r="CC304" s="11">
        <v>18</v>
      </c>
      <c r="CD304" s="12">
        <f t="shared" si="2777"/>
        <v>5.5045871559633031E-2</v>
      </c>
      <c r="CE304" s="13"/>
      <c r="CF304" s="11"/>
      <c r="CG304" s="11"/>
      <c r="CH304" s="14"/>
      <c r="CI304" s="10"/>
      <c r="CJ304" s="11"/>
      <c r="CK304" s="69">
        <f t="shared" si="2828"/>
        <v>126</v>
      </c>
      <c r="CL304" s="69">
        <f t="shared" si="2829"/>
        <v>10</v>
      </c>
      <c r="CM304" s="11">
        <v>42</v>
      </c>
      <c r="CN304" s="12">
        <f t="shared" si="2778"/>
        <v>0.36507936507936506</v>
      </c>
      <c r="CO304" s="11">
        <v>4</v>
      </c>
      <c r="CP304" s="12">
        <f t="shared" si="2779"/>
        <v>8.6956521739130432E-2</v>
      </c>
      <c r="CQ304" s="13"/>
      <c r="CR304" s="11"/>
      <c r="CS304" s="11"/>
      <c r="CT304" s="14"/>
      <c r="CU304" s="10"/>
      <c r="CV304" s="11"/>
      <c r="CW304" s="69">
        <f t="shared" si="2830"/>
        <v>724</v>
      </c>
      <c r="CX304" s="69">
        <f t="shared" si="2831"/>
        <v>56</v>
      </c>
      <c r="CY304" s="11">
        <v>322</v>
      </c>
      <c r="CZ304" s="12">
        <f t="shared" si="2780"/>
        <v>0.46132596685082872</v>
      </c>
      <c r="DA304" s="11">
        <v>12</v>
      </c>
      <c r="DB304" s="12">
        <f t="shared" si="2781"/>
        <v>3.5928143712574849E-2</v>
      </c>
      <c r="DC304" s="13"/>
      <c r="DD304" s="11"/>
      <c r="DE304" s="11"/>
      <c r="DF304" s="14"/>
      <c r="DG304" s="10"/>
      <c r="DH304" s="11"/>
      <c r="DI304" s="69">
        <f t="shared" si="2832"/>
        <v>719</v>
      </c>
      <c r="DJ304" s="69">
        <f t="shared" si="2833"/>
        <v>56</v>
      </c>
      <c r="DK304" s="11">
        <v>345</v>
      </c>
      <c r="DL304" s="12">
        <f t="shared" si="2782"/>
        <v>0.5076495132127955</v>
      </c>
      <c r="DM304" s="11">
        <v>20</v>
      </c>
      <c r="DN304" s="12">
        <f t="shared" si="2783"/>
        <v>5.4794520547945202E-2</v>
      </c>
      <c r="DO304" s="13"/>
      <c r="DP304" s="11"/>
      <c r="DQ304" s="11"/>
      <c r="DR304" s="14"/>
      <c r="DS304" s="10"/>
      <c r="DT304" s="11"/>
      <c r="DU304" s="69">
        <f t="shared" si="2834"/>
        <v>808</v>
      </c>
      <c r="DV304" s="69">
        <f t="shared" si="2835"/>
        <v>63</v>
      </c>
      <c r="DW304" s="11">
        <v>338</v>
      </c>
      <c r="DX304" s="12">
        <f t="shared" si="2784"/>
        <v>0.4344059405940594</v>
      </c>
      <c r="DY304" s="11">
        <v>13</v>
      </c>
      <c r="DZ304" s="12">
        <f t="shared" si="2785"/>
        <v>3.7037037037037035E-2</v>
      </c>
      <c r="EA304" s="13"/>
      <c r="EB304" s="11"/>
      <c r="EC304" s="11"/>
      <c r="ED304" s="14"/>
      <c r="EE304" s="10"/>
      <c r="EF304" s="11"/>
      <c r="EG304" s="69">
        <f t="shared" si="2836"/>
        <v>837</v>
      </c>
      <c r="EH304" s="69">
        <f t="shared" si="2837"/>
        <v>63</v>
      </c>
      <c r="EI304" s="11">
        <v>371</v>
      </c>
      <c r="EJ304" s="12">
        <f t="shared" si="2786"/>
        <v>0.46475507765830348</v>
      </c>
      <c r="EK304" s="11">
        <v>18</v>
      </c>
      <c r="EL304" s="12">
        <f t="shared" si="2787"/>
        <v>4.6272493573264781E-2</v>
      </c>
      <c r="EM304" s="13"/>
      <c r="EN304" s="11"/>
      <c r="EO304" s="11"/>
      <c r="EP304" s="14"/>
      <c r="EQ304" s="10"/>
      <c r="ER304" s="11"/>
      <c r="ES304" s="69">
        <f t="shared" si="2838"/>
        <v>160</v>
      </c>
      <c r="ET304" s="69">
        <f t="shared" si="2839"/>
        <v>12</v>
      </c>
      <c r="EU304" s="11">
        <v>74</v>
      </c>
      <c r="EV304" s="12">
        <f t="shared" si="2788"/>
        <v>0.46875</v>
      </c>
      <c r="EW304" s="11">
        <v>1</v>
      </c>
      <c r="EX304" s="12">
        <f t="shared" si="2789"/>
        <v>1.3333333333333334E-2</v>
      </c>
      <c r="EY304" s="13"/>
      <c r="EZ304" s="11"/>
      <c r="FA304" s="11"/>
      <c r="FB304" s="14"/>
      <c r="FC304" s="10"/>
      <c r="FD304" s="11"/>
      <c r="FE304" s="69">
        <f t="shared" si="2840"/>
        <v>841</v>
      </c>
      <c r="FF304" s="69">
        <f t="shared" si="2841"/>
        <v>65</v>
      </c>
      <c r="FG304" s="11">
        <v>389</v>
      </c>
      <c r="FH304" s="12">
        <f t="shared" si="2790"/>
        <v>0.47205707491082044</v>
      </c>
      <c r="FI304" s="11">
        <v>8</v>
      </c>
      <c r="FJ304" s="12">
        <f t="shared" si="2791"/>
        <v>2.0151133501259445E-2</v>
      </c>
      <c r="FK304" s="13"/>
      <c r="FL304" s="11"/>
      <c r="FM304" s="11"/>
      <c r="FN304" s="14"/>
      <c r="FO304" s="10">
        <v>1</v>
      </c>
      <c r="FP304" s="11"/>
      <c r="FQ304" s="69">
        <f t="shared" si="2842"/>
        <v>848</v>
      </c>
      <c r="FR304" s="69">
        <f t="shared" si="2843"/>
        <v>66</v>
      </c>
      <c r="FS304" s="11">
        <v>351</v>
      </c>
      <c r="FT304" s="12">
        <f t="shared" si="2792"/>
        <v>0.43396226415094341</v>
      </c>
      <c r="FU304" s="11">
        <v>17</v>
      </c>
      <c r="FV304" s="12">
        <f t="shared" si="2793"/>
        <v>4.619565217391304E-2</v>
      </c>
      <c r="FW304" s="13"/>
      <c r="FX304" s="11"/>
      <c r="FY304" s="11"/>
      <c r="FZ304" s="14"/>
      <c r="GA304" s="10"/>
      <c r="GB304" s="11"/>
      <c r="GC304" s="69">
        <f t="shared" si="2844"/>
        <v>865</v>
      </c>
      <c r="GD304" s="69">
        <f t="shared" si="2845"/>
        <v>67</v>
      </c>
      <c r="GE304" s="11">
        <v>386</v>
      </c>
      <c r="GF304" s="12">
        <f t="shared" si="2794"/>
        <v>0.45664739884393063</v>
      </c>
      <c r="GG304" s="11">
        <v>9</v>
      </c>
      <c r="GH304" s="12">
        <f t="shared" si="2795"/>
        <v>2.2784810126582278E-2</v>
      </c>
      <c r="GI304" s="13"/>
      <c r="GJ304" s="11"/>
      <c r="GK304" s="11"/>
      <c r="GL304" s="14"/>
      <c r="GM304" s="10">
        <v>1</v>
      </c>
      <c r="GN304" s="11"/>
      <c r="GO304" s="69">
        <f t="shared" si="2846"/>
        <v>133</v>
      </c>
      <c r="GP304" s="69">
        <f t="shared" si="2847"/>
        <v>10</v>
      </c>
      <c r="GQ304" s="11">
        <v>50</v>
      </c>
      <c r="GR304" s="12">
        <f t="shared" si="2796"/>
        <v>0.40601503759398494</v>
      </c>
      <c r="GS304" s="11">
        <v>4</v>
      </c>
      <c r="GT304" s="12">
        <f t="shared" si="2797"/>
        <v>7.407407407407407E-2</v>
      </c>
      <c r="GU304" s="13"/>
      <c r="GV304" s="11"/>
      <c r="GW304" s="11"/>
      <c r="GX304" s="14"/>
      <c r="GY304" s="10"/>
      <c r="GZ304" s="11"/>
      <c r="HA304" s="69">
        <f t="shared" si="2848"/>
        <v>893</v>
      </c>
      <c r="HB304" s="69">
        <f t="shared" si="2849"/>
        <v>69</v>
      </c>
      <c r="HC304" s="11">
        <v>423</v>
      </c>
      <c r="HD304" s="12">
        <f t="shared" si="2798"/>
        <v>0.49160134378499443</v>
      </c>
      <c r="HE304" s="11">
        <v>16</v>
      </c>
      <c r="HF304" s="12">
        <f t="shared" si="2799"/>
        <v>3.644646924829157E-2</v>
      </c>
      <c r="HG304" s="13"/>
      <c r="HH304" s="11"/>
      <c r="HI304" s="11"/>
      <c r="HJ304" s="14"/>
      <c r="HK304" s="10">
        <f t="shared" si="2800"/>
        <v>3</v>
      </c>
      <c r="HL304" s="11">
        <f t="shared" si="2801"/>
        <v>0</v>
      </c>
      <c r="HM304" s="11">
        <f t="shared" si="2802"/>
        <v>11663</v>
      </c>
      <c r="HN304" s="11">
        <f t="shared" si="2803"/>
        <v>898</v>
      </c>
      <c r="HO304" s="11">
        <f t="shared" si="2804"/>
        <v>5376</v>
      </c>
      <c r="HP304" s="95">
        <f t="shared" si="2805"/>
        <v>0.46094486838720738</v>
      </c>
      <c r="HQ304" s="15">
        <f t="shared" si="2806"/>
        <v>197</v>
      </c>
      <c r="HR304" s="12">
        <f t="shared" si="2807"/>
        <v>3.664434523809524E-2</v>
      </c>
      <c r="HS304" s="16">
        <v>68.2</v>
      </c>
      <c r="HT304" s="17">
        <v>5090</v>
      </c>
      <c r="HU304" s="16">
        <f t="shared" si="2808"/>
        <v>94.680059523809518</v>
      </c>
      <c r="HV304" s="15"/>
      <c r="HW304" s="14"/>
      <c r="HX304" s="73">
        <f t="shared" si="2809"/>
        <v>0.46907378335949762</v>
      </c>
      <c r="HY304" s="73">
        <f t="shared" si="2810"/>
        <v>0.45716133204009052</v>
      </c>
      <c r="HZ304" s="73">
        <f t="shared" si="2811"/>
        <v>0.45804988662131518</v>
      </c>
      <c r="IA304" s="73">
        <f t="shared" si="2812"/>
        <v>0.45856151880248264</v>
      </c>
    </row>
    <row r="305" spans="1:244" x14ac:dyDescent="0.25">
      <c r="A305" s="374"/>
      <c r="B305" s="41">
        <f t="shared" si="2813"/>
        <v>45175</v>
      </c>
      <c r="C305" s="10"/>
      <c r="D305" s="11"/>
      <c r="E305" s="69">
        <f t="shared" si="2814"/>
        <v>805</v>
      </c>
      <c r="F305" s="69">
        <f t="shared" si="2815"/>
        <v>62</v>
      </c>
      <c r="G305" s="11">
        <v>360</v>
      </c>
      <c r="H305" s="12">
        <f t="shared" si="2764"/>
        <v>0.45962732919254656</v>
      </c>
      <c r="I305" s="11">
        <v>10</v>
      </c>
      <c r="J305" s="12">
        <f t="shared" si="2765"/>
        <v>2.7027027027027029E-2</v>
      </c>
      <c r="K305" s="11"/>
      <c r="L305" s="11"/>
      <c r="M305" s="18"/>
      <c r="N305" s="20"/>
      <c r="O305" s="10"/>
      <c r="P305" s="11"/>
      <c r="Q305" s="69">
        <f t="shared" si="2816"/>
        <v>739</v>
      </c>
      <c r="R305" s="69">
        <f t="shared" si="2817"/>
        <v>56</v>
      </c>
      <c r="S305" s="11">
        <v>335</v>
      </c>
      <c r="T305" s="12">
        <f t="shared" si="2766"/>
        <v>0.469553450608931</v>
      </c>
      <c r="U305" s="11">
        <v>12</v>
      </c>
      <c r="V305" s="12">
        <f t="shared" si="2767"/>
        <v>3.4582132564841501E-2</v>
      </c>
      <c r="W305" s="11"/>
      <c r="X305" s="11"/>
      <c r="Y305" s="18"/>
      <c r="Z305" s="20"/>
      <c r="AA305" s="10"/>
      <c r="AB305" s="11"/>
      <c r="AC305" s="69">
        <f t="shared" si="2818"/>
        <v>152</v>
      </c>
      <c r="AD305" s="69">
        <f t="shared" si="2819"/>
        <v>11</v>
      </c>
      <c r="AE305" s="11">
        <v>72</v>
      </c>
      <c r="AF305" s="12">
        <f t="shared" si="2768"/>
        <v>0.48684210526315791</v>
      </c>
      <c r="AG305" s="11">
        <v>2</v>
      </c>
      <c r="AH305" s="12">
        <f t="shared" si="2769"/>
        <v>2.7027027027027029E-2</v>
      </c>
      <c r="AI305" s="11"/>
      <c r="AJ305" s="11"/>
      <c r="AK305" s="18"/>
      <c r="AL305" s="20"/>
      <c r="AM305" s="10"/>
      <c r="AN305" s="11"/>
      <c r="AO305" s="69">
        <f t="shared" si="2820"/>
        <v>747</v>
      </c>
      <c r="AP305" s="69">
        <f t="shared" si="2821"/>
        <v>57</v>
      </c>
      <c r="AQ305" s="11">
        <v>326</v>
      </c>
      <c r="AR305" s="12">
        <f t="shared" si="2770"/>
        <v>0.44444444444444442</v>
      </c>
      <c r="AS305" s="11">
        <v>6</v>
      </c>
      <c r="AT305" s="12">
        <f t="shared" si="2771"/>
        <v>1.8072289156626505E-2</v>
      </c>
      <c r="AU305" s="11"/>
      <c r="AV305" s="11"/>
      <c r="AW305" s="18"/>
      <c r="AX305" s="20"/>
      <c r="AY305" s="10"/>
      <c r="AZ305" s="11"/>
      <c r="BA305" s="69">
        <f t="shared" si="2822"/>
        <v>742</v>
      </c>
      <c r="BB305" s="69">
        <f t="shared" si="2823"/>
        <v>57</v>
      </c>
      <c r="BC305" s="11">
        <v>331</v>
      </c>
      <c r="BD305" s="12">
        <f t="shared" si="2772"/>
        <v>0.46091644204851751</v>
      </c>
      <c r="BE305" s="11">
        <v>11</v>
      </c>
      <c r="BF305" s="12">
        <f t="shared" si="2773"/>
        <v>3.2163742690058478E-2</v>
      </c>
      <c r="BG305" s="11"/>
      <c r="BH305" s="11"/>
      <c r="BI305" s="18"/>
      <c r="BJ305" s="20"/>
      <c r="BK305" s="10"/>
      <c r="BL305" s="11"/>
      <c r="BM305" s="69">
        <f t="shared" si="2824"/>
        <v>793</v>
      </c>
      <c r="BN305" s="69">
        <f t="shared" si="2825"/>
        <v>61</v>
      </c>
      <c r="BO305" s="11">
        <v>322</v>
      </c>
      <c r="BP305" s="12">
        <f t="shared" si="2774"/>
        <v>0.41488020176544765</v>
      </c>
      <c r="BQ305" s="11">
        <v>7</v>
      </c>
      <c r="BR305" s="12">
        <f t="shared" si="2775"/>
        <v>2.1276595744680851E-2</v>
      </c>
      <c r="BS305" s="11"/>
      <c r="BT305" s="11"/>
      <c r="BU305" s="18"/>
      <c r="BV305" s="20"/>
      <c r="BW305" s="10">
        <v>1</v>
      </c>
      <c r="BX305" s="11"/>
      <c r="BY305" s="69">
        <f t="shared" si="2826"/>
        <v>730</v>
      </c>
      <c r="BZ305" s="69">
        <f t="shared" si="2827"/>
        <v>57</v>
      </c>
      <c r="CA305" s="11">
        <v>298</v>
      </c>
      <c r="CB305" s="12">
        <f t="shared" si="2776"/>
        <v>0.42465753424657532</v>
      </c>
      <c r="CC305" s="11">
        <v>12</v>
      </c>
      <c r="CD305" s="12">
        <f t="shared" si="2777"/>
        <v>3.870967741935484E-2</v>
      </c>
      <c r="CE305" s="11"/>
      <c r="CF305" s="11"/>
      <c r="CG305" s="18"/>
      <c r="CH305" s="20"/>
      <c r="CI305" s="10">
        <v>1</v>
      </c>
      <c r="CJ305" s="11"/>
      <c r="CK305" s="69">
        <f t="shared" si="2828"/>
        <v>125</v>
      </c>
      <c r="CL305" s="69">
        <f t="shared" si="2829"/>
        <v>10</v>
      </c>
      <c r="CM305" s="11">
        <v>46</v>
      </c>
      <c r="CN305" s="12">
        <f t="shared" si="2778"/>
        <v>0.376</v>
      </c>
      <c r="CO305" s="11">
        <v>1</v>
      </c>
      <c r="CP305" s="12">
        <f t="shared" si="2779"/>
        <v>2.1276595744680851E-2</v>
      </c>
      <c r="CQ305" s="11"/>
      <c r="CR305" s="11"/>
      <c r="CS305" s="18"/>
      <c r="CT305" s="20"/>
      <c r="CU305" s="10"/>
      <c r="CV305" s="11"/>
      <c r="CW305" s="69">
        <f t="shared" si="2830"/>
        <v>724</v>
      </c>
      <c r="CX305" s="69">
        <f t="shared" si="2831"/>
        <v>56</v>
      </c>
      <c r="CY305" s="11">
        <v>332</v>
      </c>
      <c r="CZ305" s="12">
        <f t="shared" si="2780"/>
        <v>0.46823204419889503</v>
      </c>
      <c r="DA305" s="11">
        <v>7</v>
      </c>
      <c r="DB305" s="12">
        <f t="shared" si="2781"/>
        <v>2.0648967551622419E-2</v>
      </c>
      <c r="DC305" s="11"/>
      <c r="DD305" s="11"/>
      <c r="DE305" s="18"/>
      <c r="DF305" s="20"/>
      <c r="DG305" s="10"/>
      <c r="DH305" s="11"/>
      <c r="DI305" s="69">
        <f t="shared" si="2832"/>
        <v>719</v>
      </c>
      <c r="DJ305" s="69">
        <f t="shared" si="2833"/>
        <v>56</v>
      </c>
      <c r="DK305" s="11">
        <v>332</v>
      </c>
      <c r="DL305" s="12">
        <f t="shared" si="2782"/>
        <v>0.47148817802503479</v>
      </c>
      <c r="DM305" s="11">
        <v>7</v>
      </c>
      <c r="DN305" s="12">
        <f t="shared" si="2783"/>
        <v>2.0648967551622419E-2</v>
      </c>
      <c r="DO305" s="11"/>
      <c r="DP305" s="11"/>
      <c r="DQ305" s="18"/>
      <c r="DR305" s="20"/>
      <c r="DS305" s="10"/>
      <c r="DT305" s="11"/>
      <c r="DU305" s="69">
        <f t="shared" si="2834"/>
        <v>808</v>
      </c>
      <c r="DV305" s="69">
        <f t="shared" si="2835"/>
        <v>63</v>
      </c>
      <c r="DW305" s="11">
        <v>358</v>
      </c>
      <c r="DX305" s="12">
        <f t="shared" si="2784"/>
        <v>0.4777227722772277</v>
      </c>
      <c r="DY305" s="11">
        <v>28</v>
      </c>
      <c r="DZ305" s="12">
        <f t="shared" si="2785"/>
        <v>7.2538860103626937E-2</v>
      </c>
      <c r="EA305" s="11"/>
      <c r="EB305" s="11"/>
      <c r="EC305" s="18"/>
      <c r="ED305" s="20"/>
      <c r="EE305" s="10">
        <v>1</v>
      </c>
      <c r="EF305" s="11"/>
      <c r="EG305" s="69">
        <f t="shared" si="2836"/>
        <v>836</v>
      </c>
      <c r="EH305" s="69">
        <f t="shared" si="2837"/>
        <v>63</v>
      </c>
      <c r="EI305" s="11">
        <v>370</v>
      </c>
      <c r="EJ305" s="12">
        <f t="shared" si="2786"/>
        <v>0.46650717703349281</v>
      </c>
      <c r="EK305" s="11">
        <v>20</v>
      </c>
      <c r="EL305" s="12">
        <f t="shared" si="2787"/>
        <v>5.128205128205128E-2</v>
      </c>
      <c r="EM305" s="11"/>
      <c r="EN305" s="11"/>
      <c r="EO305" s="18"/>
      <c r="EP305" s="20"/>
      <c r="EQ305" s="10">
        <v>1</v>
      </c>
      <c r="ER305" s="11"/>
      <c r="ES305" s="69">
        <f t="shared" si="2838"/>
        <v>159</v>
      </c>
      <c r="ET305" s="69">
        <f t="shared" si="2839"/>
        <v>12</v>
      </c>
      <c r="EU305" s="11">
        <v>67</v>
      </c>
      <c r="EV305" s="12">
        <f t="shared" si="2788"/>
        <v>0.44654088050314467</v>
      </c>
      <c r="EW305" s="11">
        <v>4</v>
      </c>
      <c r="EX305" s="12">
        <f t="shared" si="2789"/>
        <v>5.6338028169014086E-2</v>
      </c>
      <c r="EY305" s="11"/>
      <c r="EZ305" s="11"/>
      <c r="FA305" s="18"/>
      <c r="FB305" s="20"/>
      <c r="FC305" s="10"/>
      <c r="FD305" s="11"/>
      <c r="FE305" s="69">
        <f t="shared" si="2840"/>
        <v>841</v>
      </c>
      <c r="FF305" s="69">
        <f t="shared" si="2841"/>
        <v>65</v>
      </c>
      <c r="FG305" s="11">
        <v>405</v>
      </c>
      <c r="FH305" s="12">
        <f t="shared" si="2790"/>
        <v>0.50535077288941732</v>
      </c>
      <c r="FI305" s="11">
        <v>20</v>
      </c>
      <c r="FJ305" s="12">
        <f t="shared" si="2791"/>
        <v>4.7058823529411764E-2</v>
      </c>
      <c r="FK305" s="11"/>
      <c r="FL305" s="11"/>
      <c r="FM305" s="18"/>
      <c r="FN305" s="20"/>
      <c r="FO305" s="10">
        <v>1</v>
      </c>
      <c r="FP305" s="11"/>
      <c r="FQ305" s="69">
        <f t="shared" si="2842"/>
        <v>847</v>
      </c>
      <c r="FR305" s="69">
        <f t="shared" si="2843"/>
        <v>66</v>
      </c>
      <c r="FS305" s="11">
        <v>383</v>
      </c>
      <c r="FT305" s="12">
        <f t="shared" si="2792"/>
        <v>0.47343565525383707</v>
      </c>
      <c r="FU305" s="11">
        <v>18</v>
      </c>
      <c r="FV305" s="12">
        <f t="shared" si="2793"/>
        <v>4.488778054862843E-2</v>
      </c>
      <c r="FW305" s="11"/>
      <c r="FX305" s="11"/>
      <c r="FY305" s="18"/>
      <c r="FZ305" s="20"/>
      <c r="GA305" s="10"/>
      <c r="GB305" s="11"/>
      <c r="GC305" s="69">
        <f t="shared" si="2844"/>
        <v>865</v>
      </c>
      <c r="GD305" s="69">
        <f t="shared" si="2845"/>
        <v>67</v>
      </c>
      <c r="GE305" s="11">
        <v>393</v>
      </c>
      <c r="GF305" s="12">
        <f t="shared" si="2794"/>
        <v>0.47052023121387282</v>
      </c>
      <c r="GG305" s="11">
        <v>14</v>
      </c>
      <c r="GH305" s="12">
        <f t="shared" si="2795"/>
        <v>3.4398034398034398E-2</v>
      </c>
      <c r="GI305" s="11"/>
      <c r="GJ305" s="11"/>
      <c r="GK305" s="18"/>
      <c r="GL305" s="20"/>
      <c r="GM305" s="10"/>
      <c r="GN305" s="11"/>
      <c r="GO305" s="69">
        <f t="shared" si="2846"/>
        <v>133</v>
      </c>
      <c r="GP305" s="69">
        <f t="shared" si="2847"/>
        <v>10</v>
      </c>
      <c r="GQ305" s="11">
        <v>54</v>
      </c>
      <c r="GR305" s="12">
        <f t="shared" si="2796"/>
        <v>0.41353383458646614</v>
      </c>
      <c r="GS305" s="11">
        <v>1</v>
      </c>
      <c r="GT305" s="12">
        <f t="shared" si="2797"/>
        <v>1.8181818181818181E-2</v>
      </c>
      <c r="GU305" s="11"/>
      <c r="GV305" s="11"/>
      <c r="GW305" s="18"/>
      <c r="GX305" s="20"/>
      <c r="GY305" s="10"/>
      <c r="GZ305" s="11"/>
      <c r="HA305" s="69">
        <f t="shared" si="2848"/>
        <v>893</v>
      </c>
      <c r="HB305" s="69">
        <f t="shared" si="2849"/>
        <v>69</v>
      </c>
      <c r="HC305" s="11">
        <v>412</v>
      </c>
      <c r="HD305" s="12">
        <f t="shared" si="2798"/>
        <v>0.48488241881298993</v>
      </c>
      <c r="HE305" s="11">
        <v>21</v>
      </c>
      <c r="HF305" s="12">
        <f t="shared" si="2799"/>
        <v>4.8498845265588918E-2</v>
      </c>
      <c r="HG305" s="11"/>
      <c r="HH305" s="11"/>
      <c r="HI305" s="18"/>
      <c r="HJ305" s="20"/>
      <c r="HK305" s="10">
        <f t="shared" si="2800"/>
        <v>5</v>
      </c>
      <c r="HL305" s="11">
        <f t="shared" si="2801"/>
        <v>0</v>
      </c>
      <c r="HM305" s="11">
        <f t="shared" si="2802"/>
        <v>11658</v>
      </c>
      <c r="HN305" s="11">
        <f t="shared" si="2803"/>
        <v>898</v>
      </c>
      <c r="HO305" s="11">
        <f t="shared" si="2804"/>
        <v>5397</v>
      </c>
      <c r="HP305" s="95">
        <f t="shared" si="2805"/>
        <v>0.46294390118373652</v>
      </c>
      <c r="HQ305" s="15">
        <f t="shared" si="2806"/>
        <v>201</v>
      </c>
      <c r="HR305" s="12">
        <f t="shared" si="2807"/>
        <v>3.7242912729294052E-2</v>
      </c>
      <c r="HS305" s="16">
        <v>68</v>
      </c>
      <c r="HT305" s="17">
        <v>5080</v>
      </c>
      <c r="HU305" s="16">
        <f t="shared" si="2808"/>
        <v>94.126366499907348</v>
      </c>
      <c r="HV305" s="18"/>
      <c r="HW305" s="20"/>
      <c r="HX305" s="73">
        <f t="shared" si="2809"/>
        <v>0.4599686028257457</v>
      </c>
      <c r="HY305" s="73">
        <f t="shared" si="2810"/>
        <v>0.44128113879003561</v>
      </c>
      <c r="HZ305" s="73">
        <f t="shared" si="2811"/>
        <v>0.48108925869894098</v>
      </c>
      <c r="IA305" s="73">
        <f t="shared" si="2812"/>
        <v>0.47333820306793278</v>
      </c>
    </row>
    <row r="306" spans="1:244" x14ac:dyDescent="0.25">
      <c r="A306" s="374"/>
      <c r="B306" s="41">
        <f>+B305+1</f>
        <v>45176</v>
      </c>
      <c r="C306" s="10"/>
      <c r="D306" s="11"/>
      <c r="E306" s="69">
        <f t="shared" si="2814"/>
        <v>805</v>
      </c>
      <c r="F306" s="69">
        <f t="shared" si="2815"/>
        <v>62</v>
      </c>
      <c r="G306" s="11">
        <v>397</v>
      </c>
      <c r="H306" s="12">
        <f t="shared" si="2764"/>
        <v>0.50931677018633537</v>
      </c>
      <c r="I306" s="11">
        <v>13</v>
      </c>
      <c r="J306" s="12">
        <f t="shared" si="2765"/>
        <v>3.1707317073170732E-2</v>
      </c>
      <c r="K306" s="13"/>
      <c r="L306" s="13"/>
      <c r="M306" s="25">
        <v>4356</v>
      </c>
      <c r="N306" s="38">
        <v>4580</v>
      </c>
      <c r="O306" s="10">
        <v>1</v>
      </c>
      <c r="P306" s="11"/>
      <c r="Q306" s="69">
        <f t="shared" si="2816"/>
        <v>738</v>
      </c>
      <c r="R306" s="69">
        <f t="shared" si="2817"/>
        <v>56</v>
      </c>
      <c r="S306" s="11">
        <v>318</v>
      </c>
      <c r="T306" s="12">
        <f t="shared" si="2766"/>
        <v>0.44850948509485095</v>
      </c>
      <c r="U306" s="11">
        <v>13</v>
      </c>
      <c r="V306" s="12">
        <f t="shared" si="2767"/>
        <v>3.9274924471299093E-2</v>
      </c>
      <c r="W306" s="13"/>
      <c r="X306" s="13"/>
      <c r="Y306" s="25">
        <v>4356</v>
      </c>
      <c r="Z306" s="38">
        <v>4580</v>
      </c>
      <c r="AA306" s="10"/>
      <c r="AB306" s="11"/>
      <c r="AC306" s="69">
        <f t="shared" si="2818"/>
        <v>152</v>
      </c>
      <c r="AD306" s="69">
        <f t="shared" si="2819"/>
        <v>11</v>
      </c>
      <c r="AE306" s="11">
        <v>73</v>
      </c>
      <c r="AF306" s="12">
        <f t="shared" si="2768"/>
        <v>0.5</v>
      </c>
      <c r="AG306" s="11">
        <v>3</v>
      </c>
      <c r="AH306" s="12">
        <f t="shared" si="2769"/>
        <v>3.9473684210526314E-2</v>
      </c>
      <c r="AI306" s="13"/>
      <c r="AJ306" s="13"/>
      <c r="AK306" s="25">
        <v>4356</v>
      </c>
      <c r="AL306" s="38">
        <v>4580</v>
      </c>
      <c r="AM306" s="10"/>
      <c r="AN306" s="11"/>
      <c r="AO306" s="69">
        <f t="shared" si="2820"/>
        <v>747</v>
      </c>
      <c r="AP306" s="69">
        <f t="shared" si="2821"/>
        <v>57</v>
      </c>
      <c r="AQ306" s="11">
        <v>350</v>
      </c>
      <c r="AR306" s="12">
        <f t="shared" si="2770"/>
        <v>0.47925033467202144</v>
      </c>
      <c r="AS306" s="11">
        <v>8</v>
      </c>
      <c r="AT306" s="12">
        <f t="shared" si="2771"/>
        <v>2.23463687150838E-2</v>
      </c>
      <c r="AU306" s="13"/>
      <c r="AV306" s="13"/>
      <c r="AW306" s="25">
        <v>4356</v>
      </c>
      <c r="AX306" s="38">
        <v>4580</v>
      </c>
      <c r="AY306" s="10"/>
      <c r="AZ306" s="11"/>
      <c r="BA306" s="69">
        <f t="shared" si="2822"/>
        <v>742</v>
      </c>
      <c r="BB306" s="69">
        <f t="shared" si="2823"/>
        <v>57</v>
      </c>
      <c r="BC306" s="11">
        <v>325</v>
      </c>
      <c r="BD306" s="12">
        <f t="shared" si="2772"/>
        <v>0.45417789757412397</v>
      </c>
      <c r="BE306" s="11">
        <v>12</v>
      </c>
      <c r="BF306" s="12">
        <f t="shared" si="2773"/>
        <v>3.5608308605341248E-2</v>
      </c>
      <c r="BG306" s="13"/>
      <c r="BH306" s="13"/>
      <c r="BI306" s="25">
        <v>4356</v>
      </c>
      <c r="BJ306" s="38">
        <v>4580</v>
      </c>
      <c r="BK306" s="10"/>
      <c r="BL306" s="11"/>
      <c r="BM306" s="69">
        <f t="shared" si="2824"/>
        <v>793</v>
      </c>
      <c r="BN306" s="69">
        <f t="shared" si="2825"/>
        <v>61</v>
      </c>
      <c r="BO306" s="11">
        <v>378</v>
      </c>
      <c r="BP306" s="12">
        <f t="shared" si="2774"/>
        <v>0.49684741488020179</v>
      </c>
      <c r="BQ306" s="11">
        <v>16</v>
      </c>
      <c r="BR306" s="12">
        <f t="shared" si="2775"/>
        <v>4.060913705583756E-2</v>
      </c>
      <c r="BS306" s="13"/>
      <c r="BT306" s="13"/>
      <c r="BU306" s="25">
        <v>4356</v>
      </c>
      <c r="BV306" s="38">
        <v>4580</v>
      </c>
      <c r="BW306" s="10"/>
      <c r="BX306" s="11"/>
      <c r="BY306" s="69">
        <f t="shared" si="2826"/>
        <v>730</v>
      </c>
      <c r="BZ306" s="69">
        <f t="shared" si="2827"/>
        <v>57</v>
      </c>
      <c r="CA306" s="11">
        <v>349</v>
      </c>
      <c r="CB306" s="12">
        <f t="shared" si="2776"/>
        <v>0.48493150684931507</v>
      </c>
      <c r="CC306" s="11">
        <v>5</v>
      </c>
      <c r="CD306" s="12">
        <f t="shared" si="2777"/>
        <v>1.4124293785310734E-2</v>
      </c>
      <c r="CE306" s="13"/>
      <c r="CF306" s="13"/>
      <c r="CG306" s="25">
        <v>4356</v>
      </c>
      <c r="CH306" s="38">
        <v>4580</v>
      </c>
      <c r="CI306" s="10"/>
      <c r="CJ306" s="11"/>
      <c r="CK306" s="69">
        <f t="shared" si="2828"/>
        <v>125</v>
      </c>
      <c r="CL306" s="69">
        <f t="shared" si="2829"/>
        <v>10</v>
      </c>
      <c r="CM306" s="11">
        <v>51</v>
      </c>
      <c r="CN306" s="12">
        <f t="shared" si="2778"/>
        <v>0.41599999999999998</v>
      </c>
      <c r="CO306" s="11">
        <v>1</v>
      </c>
      <c r="CP306" s="12">
        <f t="shared" si="2779"/>
        <v>1.9230769230769232E-2</v>
      </c>
      <c r="CQ306" s="13"/>
      <c r="CR306" s="13"/>
      <c r="CS306" s="25">
        <v>4356</v>
      </c>
      <c r="CT306" s="38">
        <v>4580</v>
      </c>
      <c r="CU306" s="10">
        <v>1</v>
      </c>
      <c r="CV306" s="11"/>
      <c r="CW306" s="69">
        <f t="shared" si="2830"/>
        <v>723</v>
      </c>
      <c r="CX306" s="69">
        <f t="shared" si="2831"/>
        <v>56</v>
      </c>
      <c r="CY306" s="11">
        <v>319</v>
      </c>
      <c r="CZ306" s="12">
        <f t="shared" si="2780"/>
        <v>0.44951590594744123</v>
      </c>
      <c r="DA306" s="11">
        <v>6</v>
      </c>
      <c r="DB306" s="12">
        <f t="shared" si="2781"/>
        <v>1.8461538461538463E-2</v>
      </c>
      <c r="DC306" s="13"/>
      <c r="DD306" s="13"/>
      <c r="DE306" s="25">
        <v>4356</v>
      </c>
      <c r="DF306" s="38">
        <v>4580</v>
      </c>
      <c r="DG306" s="10"/>
      <c r="DH306" s="11"/>
      <c r="DI306" s="69">
        <f t="shared" si="2832"/>
        <v>719</v>
      </c>
      <c r="DJ306" s="69">
        <f t="shared" si="2833"/>
        <v>56</v>
      </c>
      <c r="DK306" s="11">
        <v>351</v>
      </c>
      <c r="DL306" s="12">
        <f t="shared" si="2782"/>
        <v>0.50347705146036159</v>
      </c>
      <c r="DM306" s="11">
        <v>11</v>
      </c>
      <c r="DN306" s="12">
        <f t="shared" si="2783"/>
        <v>3.0386740331491711E-2</v>
      </c>
      <c r="DO306" s="13"/>
      <c r="DP306" s="13"/>
      <c r="DQ306" s="25">
        <v>4356</v>
      </c>
      <c r="DR306" s="38">
        <v>4580</v>
      </c>
      <c r="DS306" s="10"/>
      <c r="DT306" s="11"/>
      <c r="DU306" s="69">
        <f t="shared" si="2834"/>
        <v>808</v>
      </c>
      <c r="DV306" s="69">
        <f t="shared" si="2835"/>
        <v>63</v>
      </c>
      <c r="DW306" s="11">
        <v>362</v>
      </c>
      <c r="DX306" s="12">
        <f t="shared" si="2784"/>
        <v>0.46534653465346537</v>
      </c>
      <c r="DY306" s="11">
        <v>14</v>
      </c>
      <c r="DZ306" s="12">
        <f t="shared" si="2785"/>
        <v>3.7234042553191488E-2</v>
      </c>
      <c r="EA306" s="13"/>
      <c r="EB306" s="13"/>
      <c r="EC306" s="25">
        <v>4356</v>
      </c>
      <c r="ED306" s="38">
        <v>4580</v>
      </c>
      <c r="EE306" s="10"/>
      <c r="EF306" s="11"/>
      <c r="EG306" s="69">
        <f t="shared" si="2836"/>
        <v>836</v>
      </c>
      <c r="EH306" s="69">
        <f t="shared" si="2837"/>
        <v>63</v>
      </c>
      <c r="EI306" s="11">
        <v>367</v>
      </c>
      <c r="EJ306" s="12">
        <f t="shared" si="2786"/>
        <v>0.458133971291866</v>
      </c>
      <c r="EK306" s="11">
        <v>16</v>
      </c>
      <c r="EL306" s="12">
        <f t="shared" si="2787"/>
        <v>4.1775456919060053E-2</v>
      </c>
      <c r="EM306" s="13"/>
      <c r="EN306" s="13"/>
      <c r="EO306" s="25">
        <v>4356</v>
      </c>
      <c r="EP306" s="38">
        <v>4580</v>
      </c>
      <c r="EQ306" s="10"/>
      <c r="ER306" s="11"/>
      <c r="ES306" s="69">
        <f t="shared" si="2838"/>
        <v>159</v>
      </c>
      <c r="ET306" s="69">
        <f t="shared" si="2839"/>
        <v>12</v>
      </c>
      <c r="EU306" s="11">
        <v>68</v>
      </c>
      <c r="EV306" s="12">
        <f t="shared" si="2788"/>
        <v>0.45283018867924529</v>
      </c>
      <c r="EW306" s="11">
        <v>4</v>
      </c>
      <c r="EX306" s="12">
        <f t="shared" si="2789"/>
        <v>5.5555555555555552E-2</v>
      </c>
      <c r="EY306" s="13"/>
      <c r="EZ306" s="13"/>
      <c r="FA306" s="25">
        <v>4356</v>
      </c>
      <c r="FB306" s="38">
        <v>4580</v>
      </c>
      <c r="FC306" s="10"/>
      <c r="FD306" s="11"/>
      <c r="FE306" s="69">
        <f t="shared" si="2840"/>
        <v>841</v>
      </c>
      <c r="FF306" s="69">
        <f t="shared" si="2841"/>
        <v>65</v>
      </c>
      <c r="FG306" s="11">
        <v>358</v>
      </c>
      <c r="FH306" s="12">
        <f t="shared" si="2790"/>
        <v>0.44233055885850181</v>
      </c>
      <c r="FI306" s="11">
        <v>14</v>
      </c>
      <c r="FJ306" s="12">
        <f t="shared" si="2791"/>
        <v>3.7634408602150539E-2</v>
      </c>
      <c r="FK306" s="13"/>
      <c r="FL306" s="13"/>
      <c r="FM306" s="25">
        <v>4356</v>
      </c>
      <c r="FN306" s="38">
        <v>4580</v>
      </c>
      <c r="FO306" s="10">
        <v>1</v>
      </c>
      <c r="FP306" s="11"/>
      <c r="FQ306" s="69">
        <f t="shared" si="2842"/>
        <v>846</v>
      </c>
      <c r="FR306" s="69">
        <f t="shared" si="2843"/>
        <v>66</v>
      </c>
      <c r="FS306" s="11">
        <v>358</v>
      </c>
      <c r="FT306" s="12">
        <f t="shared" si="2792"/>
        <v>0.43735224586288418</v>
      </c>
      <c r="FU306" s="11">
        <v>12</v>
      </c>
      <c r="FV306" s="12">
        <f t="shared" si="2793"/>
        <v>3.2432432432432434E-2</v>
      </c>
      <c r="FW306" s="13"/>
      <c r="FX306" s="13"/>
      <c r="FY306" s="25">
        <v>4356</v>
      </c>
      <c r="FZ306" s="38">
        <v>4580</v>
      </c>
      <c r="GA306" s="10"/>
      <c r="GB306" s="11"/>
      <c r="GC306" s="69">
        <f t="shared" si="2844"/>
        <v>865</v>
      </c>
      <c r="GD306" s="69">
        <f t="shared" si="2845"/>
        <v>67</v>
      </c>
      <c r="GE306" s="11">
        <v>382</v>
      </c>
      <c r="GF306" s="12">
        <f t="shared" si="2794"/>
        <v>0.44971098265895953</v>
      </c>
      <c r="GG306" s="11">
        <v>7</v>
      </c>
      <c r="GH306" s="12">
        <f t="shared" si="2795"/>
        <v>1.7994858611825194E-2</v>
      </c>
      <c r="GI306" s="13"/>
      <c r="GJ306" s="13"/>
      <c r="GK306" s="25">
        <v>4356</v>
      </c>
      <c r="GL306" s="38">
        <v>4580</v>
      </c>
      <c r="GM306" s="10"/>
      <c r="GN306" s="11"/>
      <c r="GO306" s="69">
        <f t="shared" si="2846"/>
        <v>133</v>
      </c>
      <c r="GP306" s="69">
        <f t="shared" si="2847"/>
        <v>10</v>
      </c>
      <c r="GQ306" s="11">
        <v>48</v>
      </c>
      <c r="GR306" s="12">
        <f t="shared" si="2796"/>
        <v>0.40601503759398494</v>
      </c>
      <c r="GS306" s="11">
        <v>6</v>
      </c>
      <c r="GT306" s="12">
        <f t="shared" si="2797"/>
        <v>0.1111111111111111</v>
      </c>
      <c r="GU306" s="13"/>
      <c r="GV306" s="13"/>
      <c r="GW306" s="25">
        <v>4356</v>
      </c>
      <c r="GX306" s="38">
        <v>4580</v>
      </c>
      <c r="GY306" s="10"/>
      <c r="GZ306" s="11"/>
      <c r="HA306" s="69">
        <f t="shared" si="2848"/>
        <v>893</v>
      </c>
      <c r="HB306" s="69">
        <f t="shared" si="2849"/>
        <v>69</v>
      </c>
      <c r="HC306" s="11">
        <v>406</v>
      </c>
      <c r="HD306" s="12">
        <f t="shared" si="2798"/>
        <v>0.47816349384098544</v>
      </c>
      <c r="HE306" s="11">
        <v>21</v>
      </c>
      <c r="HF306" s="12">
        <f t="shared" si="2799"/>
        <v>4.9180327868852458E-2</v>
      </c>
      <c r="HG306" s="13"/>
      <c r="HH306" s="13"/>
      <c r="HI306" s="25">
        <v>4356</v>
      </c>
      <c r="HJ306" s="38">
        <v>4580</v>
      </c>
      <c r="HK306" s="10">
        <f t="shared" si="2800"/>
        <v>3</v>
      </c>
      <c r="HL306" s="11">
        <f t="shared" si="2801"/>
        <v>0</v>
      </c>
      <c r="HM306" s="11">
        <f t="shared" si="2802"/>
        <v>11655</v>
      </c>
      <c r="HN306" s="11">
        <f t="shared" si="2803"/>
        <v>898</v>
      </c>
      <c r="HO306" s="11">
        <f t="shared" si="2804"/>
        <v>5442</v>
      </c>
      <c r="HP306" s="95">
        <f t="shared" si="2805"/>
        <v>0.46692406692406691</v>
      </c>
      <c r="HQ306" s="15">
        <f t="shared" si="2806"/>
        <v>182</v>
      </c>
      <c r="HR306" s="12">
        <f t="shared" si="2807"/>
        <v>3.3443586916574786E-2</v>
      </c>
      <c r="HS306" s="16">
        <v>68</v>
      </c>
      <c r="HT306" s="17">
        <v>5155</v>
      </c>
      <c r="HU306" s="16">
        <f t="shared" si="2808"/>
        <v>94.726203601617058</v>
      </c>
      <c r="HV306" s="23">
        <v>4356</v>
      </c>
      <c r="HW306" s="22">
        <v>4580</v>
      </c>
      <c r="HX306" s="73">
        <f t="shared" si="2809"/>
        <v>0.47487437185929648</v>
      </c>
      <c r="HY306" s="73">
        <f t="shared" si="2810"/>
        <v>0.48122977346278317</v>
      </c>
      <c r="HZ306" s="73">
        <f t="shared" si="2811"/>
        <v>0.45499243570347958</v>
      </c>
      <c r="IA306" s="73">
        <f t="shared" si="2812"/>
        <v>0.45305078553160394</v>
      </c>
    </row>
    <row r="307" spans="1:244" x14ac:dyDescent="0.25">
      <c r="A307" s="374"/>
      <c r="B307" s="41">
        <f t="shared" si="2813"/>
        <v>45177</v>
      </c>
      <c r="C307" s="10"/>
      <c r="D307" s="11"/>
      <c r="E307" s="69">
        <f t="shared" si="2814"/>
        <v>805</v>
      </c>
      <c r="F307" s="69">
        <f t="shared" si="2815"/>
        <v>62</v>
      </c>
      <c r="G307" s="11">
        <v>383</v>
      </c>
      <c r="H307" s="12">
        <f t="shared" si="2764"/>
        <v>0.49316770186335401</v>
      </c>
      <c r="I307" s="11">
        <v>14</v>
      </c>
      <c r="J307" s="12">
        <f t="shared" si="2765"/>
        <v>3.5264483627204031E-2</v>
      </c>
      <c r="K307" s="13"/>
      <c r="L307" s="11"/>
      <c r="M307" s="25">
        <v>4948.333333333333</v>
      </c>
      <c r="N307" s="38">
        <v>4792.3076923076924</v>
      </c>
      <c r="O307" s="10"/>
      <c r="P307" s="11"/>
      <c r="Q307" s="69">
        <f t="shared" si="2816"/>
        <v>738</v>
      </c>
      <c r="R307" s="69">
        <f t="shared" si="2817"/>
        <v>56</v>
      </c>
      <c r="S307" s="11">
        <v>322</v>
      </c>
      <c r="T307" s="12">
        <f t="shared" si="2766"/>
        <v>0.45121951219512196</v>
      </c>
      <c r="U307" s="11">
        <v>11</v>
      </c>
      <c r="V307" s="12">
        <f t="shared" si="2767"/>
        <v>3.3033033033033031E-2</v>
      </c>
      <c r="W307" s="13"/>
      <c r="X307" s="11"/>
      <c r="Y307" s="25">
        <v>4885.6756756756758</v>
      </c>
      <c r="Z307" s="38">
        <v>5030</v>
      </c>
      <c r="AA307" s="10"/>
      <c r="AB307" s="11"/>
      <c r="AC307" s="69">
        <f t="shared" si="2818"/>
        <v>152</v>
      </c>
      <c r="AD307" s="69">
        <f t="shared" si="2819"/>
        <v>11</v>
      </c>
      <c r="AE307" s="11">
        <v>78</v>
      </c>
      <c r="AF307" s="12">
        <f t="shared" si="2768"/>
        <v>0.53947368421052633</v>
      </c>
      <c r="AG307" s="11">
        <v>4</v>
      </c>
      <c r="AH307" s="12">
        <f t="shared" si="2769"/>
        <v>4.878048780487805E-2</v>
      </c>
      <c r="AI307" s="13"/>
      <c r="AJ307" s="11"/>
      <c r="AK307" s="25">
        <v>4816</v>
      </c>
      <c r="AL307" s="38">
        <v>4328</v>
      </c>
      <c r="AM307" s="10"/>
      <c r="AN307" s="11"/>
      <c r="AO307" s="69">
        <f t="shared" si="2820"/>
        <v>747</v>
      </c>
      <c r="AP307" s="69">
        <f t="shared" si="2821"/>
        <v>57</v>
      </c>
      <c r="AQ307" s="11">
        <v>350</v>
      </c>
      <c r="AR307" s="12">
        <f t="shared" si="2770"/>
        <v>0.47925033467202144</v>
      </c>
      <c r="AS307" s="11">
        <v>8</v>
      </c>
      <c r="AT307" s="12">
        <f t="shared" si="2771"/>
        <v>2.23463687150838E-2</v>
      </c>
      <c r="AU307" s="13"/>
      <c r="AV307" s="11"/>
      <c r="AW307" s="25">
        <v>4841.1111111111113</v>
      </c>
      <c r="AX307" s="38">
        <v>5334.545454545455</v>
      </c>
      <c r="AY307" s="10"/>
      <c r="AZ307" s="11"/>
      <c r="BA307" s="69">
        <f t="shared" si="2822"/>
        <v>742</v>
      </c>
      <c r="BB307" s="69">
        <f t="shared" si="2823"/>
        <v>57</v>
      </c>
      <c r="BC307" s="11">
        <v>342</v>
      </c>
      <c r="BD307" s="12">
        <f t="shared" si="2772"/>
        <v>0.47304582210242585</v>
      </c>
      <c r="BE307" s="11">
        <v>9</v>
      </c>
      <c r="BF307" s="12">
        <f t="shared" si="2773"/>
        <v>2.564102564102564E-2</v>
      </c>
      <c r="BG307" s="13"/>
      <c r="BH307" s="11"/>
      <c r="BI307" s="25">
        <v>5048.3870967741932</v>
      </c>
      <c r="BJ307" s="38">
        <v>5360</v>
      </c>
      <c r="BK307" s="10"/>
      <c r="BL307" s="11"/>
      <c r="BM307" s="69">
        <f t="shared" si="2824"/>
        <v>793</v>
      </c>
      <c r="BN307" s="69">
        <f t="shared" si="2825"/>
        <v>61</v>
      </c>
      <c r="BO307" s="11">
        <v>333</v>
      </c>
      <c r="BP307" s="12">
        <f t="shared" si="2774"/>
        <v>0.43127364438839849</v>
      </c>
      <c r="BQ307" s="11">
        <v>9</v>
      </c>
      <c r="BR307" s="12">
        <f t="shared" si="2775"/>
        <v>2.6315789473684209E-2</v>
      </c>
      <c r="BS307" s="13"/>
      <c r="BT307" s="11"/>
      <c r="BU307" s="25">
        <v>4862.75</v>
      </c>
      <c r="BV307" s="38">
        <v>4703.0769230769229</v>
      </c>
      <c r="BW307" s="10"/>
      <c r="BX307" s="11"/>
      <c r="BY307" s="69">
        <f t="shared" si="2826"/>
        <v>730</v>
      </c>
      <c r="BZ307" s="69">
        <f t="shared" si="2827"/>
        <v>57</v>
      </c>
      <c r="CA307" s="11">
        <v>317</v>
      </c>
      <c r="CB307" s="12">
        <f t="shared" si="2776"/>
        <v>0.4452054794520548</v>
      </c>
      <c r="CC307" s="11">
        <v>8</v>
      </c>
      <c r="CD307" s="12">
        <f t="shared" si="2777"/>
        <v>2.4615384615384615E-2</v>
      </c>
      <c r="CE307" s="13"/>
      <c r="CF307" s="11"/>
      <c r="CG307" s="25">
        <v>4920.5405405405409</v>
      </c>
      <c r="CH307" s="38">
        <v>5049.166666666667</v>
      </c>
      <c r="CI307" s="10"/>
      <c r="CJ307" s="11"/>
      <c r="CK307" s="69">
        <f t="shared" si="2828"/>
        <v>125</v>
      </c>
      <c r="CL307" s="69">
        <f t="shared" si="2829"/>
        <v>10</v>
      </c>
      <c r="CM307" s="11">
        <v>38</v>
      </c>
      <c r="CN307" s="12">
        <f t="shared" si="2778"/>
        <v>0.30399999999999999</v>
      </c>
      <c r="CO307" s="11">
        <v>0</v>
      </c>
      <c r="CP307" s="12">
        <f t="shared" si="2779"/>
        <v>0</v>
      </c>
      <c r="CQ307" s="13"/>
      <c r="CR307" s="11"/>
      <c r="CS307" s="25">
        <v>4827.1428571428569</v>
      </c>
      <c r="CT307" s="38">
        <v>4515</v>
      </c>
      <c r="CU307" s="10">
        <v>1</v>
      </c>
      <c r="CV307" s="11"/>
      <c r="CW307" s="69">
        <f t="shared" si="2830"/>
        <v>722</v>
      </c>
      <c r="CX307" s="69">
        <f t="shared" si="2831"/>
        <v>56</v>
      </c>
      <c r="CY307" s="11">
        <v>330</v>
      </c>
      <c r="CZ307" s="12">
        <f t="shared" si="2780"/>
        <v>0.46260387811634351</v>
      </c>
      <c r="DA307" s="11">
        <v>4</v>
      </c>
      <c r="DB307" s="12">
        <f t="shared" si="2781"/>
        <v>1.1976047904191617E-2</v>
      </c>
      <c r="DC307" s="13"/>
      <c r="DD307" s="11"/>
      <c r="DE307" s="25">
        <v>4917.0731707317073</v>
      </c>
      <c r="DF307" s="38">
        <v>4914.166666666667</v>
      </c>
      <c r="DG307" s="10"/>
      <c r="DH307" s="11"/>
      <c r="DI307" s="69">
        <f t="shared" si="2832"/>
        <v>719</v>
      </c>
      <c r="DJ307" s="69">
        <f t="shared" si="2833"/>
        <v>56</v>
      </c>
      <c r="DK307" s="11">
        <v>354</v>
      </c>
      <c r="DL307" s="12">
        <f t="shared" si="2782"/>
        <v>0.50347705146036159</v>
      </c>
      <c r="DM307" s="11">
        <v>8</v>
      </c>
      <c r="DN307" s="12">
        <f t="shared" si="2783"/>
        <v>2.2099447513812154E-2</v>
      </c>
      <c r="DO307" s="13"/>
      <c r="DP307" s="11"/>
      <c r="DQ307" s="25">
        <v>4934.166666666667</v>
      </c>
      <c r="DR307" s="38">
        <v>5601.818181818182</v>
      </c>
      <c r="DS307" s="10"/>
      <c r="DT307" s="11"/>
      <c r="DU307" s="69">
        <f t="shared" si="2834"/>
        <v>808</v>
      </c>
      <c r="DV307" s="69">
        <f t="shared" si="2835"/>
        <v>63</v>
      </c>
      <c r="DW307" s="11">
        <v>354</v>
      </c>
      <c r="DX307" s="12">
        <f t="shared" si="2784"/>
        <v>0.4566831683168317</v>
      </c>
      <c r="DY307" s="11">
        <v>15</v>
      </c>
      <c r="DZ307" s="12">
        <f t="shared" si="2785"/>
        <v>4.065040650406504E-2</v>
      </c>
      <c r="EA307" s="13"/>
      <c r="EB307" s="11"/>
      <c r="EC307" s="25">
        <v>4711.5</v>
      </c>
      <c r="ED307" s="38">
        <v>4950</v>
      </c>
      <c r="EE307" s="10"/>
      <c r="EF307" s="11"/>
      <c r="EG307" s="69">
        <f t="shared" si="2836"/>
        <v>836</v>
      </c>
      <c r="EH307" s="69">
        <f t="shared" si="2837"/>
        <v>63</v>
      </c>
      <c r="EI307" s="11">
        <v>369</v>
      </c>
      <c r="EJ307" s="12">
        <f t="shared" si="2786"/>
        <v>0.46411483253588515</v>
      </c>
      <c r="EK307" s="11">
        <v>19</v>
      </c>
      <c r="EL307" s="12">
        <f t="shared" si="2787"/>
        <v>4.8969072164948453E-2</v>
      </c>
      <c r="EM307" s="13"/>
      <c r="EN307" s="11"/>
      <c r="EO307" s="25">
        <v>4878.478260869565</v>
      </c>
      <c r="EP307" s="38">
        <v>5222.5</v>
      </c>
      <c r="EQ307" s="10">
        <v>2</v>
      </c>
      <c r="ER307" s="11"/>
      <c r="ES307" s="69">
        <f t="shared" si="2838"/>
        <v>157</v>
      </c>
      <c r="ET307" s="69">
        <f t="shared" si="2839"/>
        <v>12</v>
      </c>
      <c r="EU307" s="11">
        <v>66</v>
      </c>
      <c r="EV307" s="12">
        <f t="shared" si="2788"/>
        <v>0.43312101910828027</v>
      </c>
      <c r="EW307" s="11">
        <v>2</v>
      </c>
      <c r="EX307" s="12">
        <f t="shared" si="2789"/>
        <v>2.9411764705882353E-2</v>
      </c>
      <c r="EY307" s="13"/>
      <c r="EZ307" s="11"/>
      <c r="FA307" s="25">
        <v>4535.833333333333</v>
      </c>
      <c r="FB307" s="38">
        <v>4626.666666666667</v>
      </c>
      <c r="FC307" s="10"/>
      <c r="FD307" s="11"/>
      <c r="FE307" s="69">
        <f t="shared" si="2840"/>
        <v>841</v>
      </c>
      <c r="FF307" s="69">
        <f t="shared" si="2841"/>
        <v>65</v>
      </c>
      <c r="FG307" s="11">
        <v>425</v>
      </c>
      <c r="FH307" s="12">
        <f t="shared" si="2790"/>
        <v>0.52437574316290125</v>
      </c>
      <c r="FI307" s="11">
        <v>16</v>
      </c>
      <c r="FJ307" s="12">
        <f t="shared" si="2791"/>
        <v>3.6281179138321996E-2</v>
      </c>
      <c r="FK307" s="13"/>
      <c r="FL307" s="11"/>
      <c r="FM307" s="25">
        <v>4962</v>
      </c>
      <c r="FN307" s="38">
        <v>5465.3846153846152</v>
      </c>
      <c r="FO307" s="10"/>
      <c r="FP307" s="11"/>
      <c r="FQ307" s="69">
        <f t="shared" si="2842"/>
        <v>846</v>
      </c>
      <c r="FR307" s="69">
        <f t="shared" si="2843"/>
        <v>66</v>
      </c>
      <c r="FS307" s="11">
        <v>358</v>
      </c>
      <c r="FT307" s="12">
        <f t="shared" si="2792"/>
        <v>0.44089834515366433</v>
      </c>
      <c r="FU307" s="11">
        <v>15</v>
      </c>
      <c r="FV307" s="12">
        <f t="shared" si="2793"/>
        <v>4.0214477211796246E-2</v>
      </c>
      <c r="FW307" s="13"/>
      <c r="FX307" s="11"/>
      <c r="FY307" s="25">
        <v>5087.826086956522</v>
      </c>
      <c r="FZ307" s="38">
        <v>4877.1428571428569</v>
      </c>
      <c r="GA307" s="10"/>
      <c r="GB307" s="11"/>
      <c r="GC307" s="69">
        <f t="shared" si="2844"/>
        <v>865</v>
      </c>
      <c r="GD307" s="69">
        <f t="shared" si="2845"/>
        <v>67</v>
      </c>
      <c r="GE307" s="11">
        <v>398</v>
      </c>
      <c r="GF307" s="12">
        <f t="shared" si="2794"/>
        <v>0.47976878612716761</v>
      </c>
      <c r="GG307" s="11">
        <v>17</v>
      </c>
      <c r="GH307" s="12">
        <f t="shared" si="2795"/>
        <v>4.0963855421686748E-2</v>
      </c>
      <c r="GI307" s="13"/>
      <c r="GJ307" s="11"/>
      <c r="GK307" s="25">
        <v>4958.409090909091</v>
      </c>
      <c r="GL307" s="38">
        <v>5136.666666666667</v>
      </c>
      <c r="GM307" s="10"/>
      <c r="GN307" s="11"/>
      <c r="GO307" s="69">
        <f t="shared" si="2846"/>
        <v>133</v>
      </c>
      <c r="GP307" s="69">
        <f t="shared" si="2847"/>
        <v>10</v>
      </c>
      <c r="GQ307" s="11">
        <v>60</v>
      </c>
      <c r="GR307" s="12">
        <f t="shared" si="2796"/>
        <v>0.48120300751879697</v>
      </c>
      <c r="GS307" s="11">
        <v>4</v>
      </c>
      <c r="GT307" s="12">
        <f t="shared" si="2797"/>
        <v>6.25E-2</v>
      </c>
      <c r="GU307" s="13"/>
      <c r="GV307" s="11"/>
      <c r="GW307" s="25">
        <v>4527.5</v>
      </c>
      <c r="GX307" s="38">
        <v>4563.333333333333</v>
      </c>
      <c r="GY307" s="10"/>
      <c r="GZ307" s="11"/>
      <c r="HA307" s="69">
        <f t="shared" si="2848"/>
        <v>893</v>
      </c>
      <c r="HB307" s="69">
        <f t="shared" si="2849"/>
        <v>69</v>
      </c>
      <c r="HC307" s="11">
        <v>414</v>
      </c>
      <c r="HD307" s="12">
        <f t="shared" si="2798"/>
        <v>0.48152295632698766</v>
      </c>
      <c r="HE307" s="11">
        <v>16</v>
      </c>
      <c r="HF307" s="12">
        <f t="shared" si="2799"/>
        <v>3.7209302325581395E-2</v>
      </c>
      <c r="HG307" s="13"/>
      <c r="HH307" s="11"/>
      <c r="HI307" s="25">
        <v>5034.8888888888887</v>
      </c>
      <c r="HJ307" s="38">
        <v>5383.333333333333</v>
      </c>
      <c r="HK307" s="10">
        <f t="shared" si="2800"/>
        <v>3</v>
      </c>
      <c r="HL307" s="11">
        <f t="shared" si="2801"/>
        <v>0</v>
      </c>
      <c r="HM307" s="11">
        <f t="shared" si="2802"/>
        <v>11652</v>
      </c>
      <c r="HN307" s="11">
        <f t="shared" si="2803"/>
        <v>898</v>
      </c>
      <c r="HO307" s="11">
        <f t="shared" si="2804"/>
        <v>5470</v>
      </c>
      <c r="HP307" s="95">
        <f t="shared" si="2805"/>
        <v>0.46944730518365946</v>
      </c>
      <c r="HQ307" s="15">
        <f t="shared" si="2806"/>
        <v>179</v>
      </c>
      <c r="HR307" s="12">
        <f t="shared" si="2807"/>
        <v>3.2723948811700182E-2</v>
      </c>
      <c r="HS307" s="16">
        <v>68.099999999999994</v>
      </c>
      <c r="HT307" s="17">
        <v>5172</v>
      </c>
      <c r="HU307" s="16">
        <f t="shared" si="2808"/>
        <v>94.552102376599635</v>
      </c>
      <c r="HV307" s="23">
        <v>4910.3826955074874</v>
      </c>
      <c r="HW307" s="22">
        <v>5072.2631578947367</v>
      </c>
      <c r="HX307" s="73">
        <f t="shared" si="2809"/>
        <v>0.47770100502512564</v>
      </c>
      <c r="HY307" s="73">
        <f t="shared" si="2810"/>
        <v>0.45354483651667205</v>
      </c>
      <c r="HZ307" s="73">
        <f t="shared" si="2811"/>
        <v>0.47918243754731266</v>
      </c>
      <c r="IA307" s="73">
        <f t="shared" si="2812"/>
        <v>0.46839605407380341</v>
      </c>
    </row>
    <row r="308" spans="1:244" x14ac:dyDescent="0.25">
      <c r="A308" s="374"/>
      <c r="B308" s="41">
        <f t="shared" si="2813"/>
        <v>45178</v>
      </c>
      <c r="C308" s="10"/>
      <c r="D308" s="11"/>
      <c r="E308" s="69">
        <f t="shared" si="2814"/>
        <v>805</v>
      </c>
      <c r="F308" s="69">
        <f t="shared" si="2815"/>
        <v>62</v>
      </c>
      <c r="G308" s="11">
        <v>351</v>
      </c>
      <c r="H308" s="12">
        <f t="shared" si="2764"/>
        <v>0.45838509316770187</v>
      </c>
      <c r="I308" s="11">
        <v>18</v>
      </c>
      <c r="J308" s="12">
        <f t="shared" si="2765"/>
        <v>4.878048780487805E-2</v>
      </c>
      <c r="K308" s="13"/>
      <c r="L308" s="11"/>
      <c r="M308" s="39">
        <v>66.666666666666671</v>
      </c>
      <c r="N308" s="43">
        <v>100</v>
      </c>
      <c r="O308" s="10"/>
      <c r="P308" s="11"/>
      <c r="Q308" s="69">
        <f t="shared" si="2816"/>
        <v>738</v>
      </c>
      <c r="R308" s="69">
        <f t="shared" si="2817"/>
        <v>56</v>
      </c>
      <c r="S308" s="11">
        <v>352</v>
      </c>
      <c r="T308" s="12">
        <f t="shared" si="2766"/>
        <v>0.49728997289972898</v>
      </c>
      <c r="U308" s="11">
        <v>15</v>
      </c>
      <c r="V308" s="12">
        <f t="shared" si="2767"/>
        <v>4.0871934604904632E-2</v>
      </c>
      <c r="W308" s="13"/>
      <c r="X308" s="11"/>
      <c r="Y308" s="39">
        <v>70.270270270270274</v>
      </c>
      <c r="Z308" s="43">
        <v>100</v>
      </c>
      <c r="AA308" s="10"/>
      <c r="AB308" s="11"/>
      <c r="AC308" s="69">
        <f t="shared" si="2818"/>
        <v>152</v>
      </c>
      <c r="AD308" s="69">
        <f t="shared" si="2819"/>
        <v>11</v>
      </c>
      <c r="AE308" s="11">
        <v>68</v>
      </c>
      <c r="AF308" s="12">
        <f t="shared" si="2768"/>
        <v>0.46710526315789475</v>
      </c>
      <c r="AG308" s="11">
        <v>3</v>
      </c>
      <c r="AH308" s="12">
        <f t="shared" si="2769"/>
        <v>4.2253521126760563E-2</v>
      </c>
      <c r="AI308" s="13"/>
      <c r="AJ308" s="11"/>
      <c r="AK308" s="39">
        <v>50</v>
      </c>
      <c r="AL308" s="43">
        <v>100</v>
      </c>
      <c r="AM308" s="10"/>
      <c r="AN308" s="11"/>
      <c r="AO308" s="69">
        <f t="shared" si="2820"/>
        <v>747</v>
      </c>
      <c r="AP308" s="69">
        <f t="shared" si="2821"/>
        <v>57</v>
      </c>
      <c r="AQ308" s="11">
        <v>361</v>
      </c>
      <c r="AR308" s="12">
        <f t="shared" si="2770"/>
        <v>0.49531459170013387</v>
      </c>
      <c r="AS308" s="11">
        <v>9</v>
      </c>
      <c r="AT308" s="12">
        <f t="shared" si="2771"/>
        <v>2.4324324324324326E-2</v>
      </c>
      <c r="AU308" s="13"/>
      <c r="AV308" s="11"/>
      <c r="AW308" s="39">
        <v>72.222222222222229</v>
      </c>
      <c r="AX308" s="43">
        <v>100</v>
      </c>
      <c r="AY308" s="10"/>
      <c r="AZ308" s="11"/>
      <c r="BA308" s="69">
        <f t="shared" si="2822"/>
        <v>742</v>
      </c>
      <c r="BB308" s="69">
        <f t="shared" si="2823"/>
        <v>57</v>
      </c>
      <c r="BC308" s="11">
        <v>307</v>
      </c>
      <c r="BD308" s="12">
        <f t="shared" si="2772"/>
        <v>0.43126684636118601</v>
      </c>
      <c r="BE308" s="11">
        <v>13</v>
      </c>
      <c r="BF308" s="12">
        <f t="shared" si="2773"/>
        <v>4.0625000000000001E-2</v>
      </c>
      <c r="BG308" s="13"/>
      <c r="BH308" s="11"/>
      <c r="BI308" s="39">
        <v>67.741935483870961</v>
      </c>
      <c r="BJ308" s="43">
        <v>100</v>
      </c>
      <c r="BK308" s="10"/>
      <c r="BL308" s="11"/>
      <c r="BM308" s="69">
        <f t="shared" si="2824"/>
        <v>793</v>
      </c>
      <c r="BN308" s="69">
        <f t="shared" si="2825"/>
        <v>61</v>
      </c>
      <c r="BO308" s="11">
        <v>337</v>
      </c>
      <c r="BP308" s="12">
        <f t="shared" si="2774"/>
        <v>0.44388398486759145</v>
      </c>
      <c r="BQ308" s="11">
        <v>15</v>
      </c>
      <c r="BR308" s="12">
        <f t="shared" si="2775"/>
        <v>4.261363636363636E-2</v>
      </c>
      <c r="BS308" s="13"/>
      <c r="BT308" s="11"/>
      <c r="BU308" s="39">
        <v>82.5</v>
      </c>
      <c r="BV308" s="43">
        <v>100</v>
      </c>
      <c r="BW308" s="10"/>
      <c r="BX308" s="11"/>
      <c r="BY308" s="69">
        <f t="shared" si="2826"/>
        <v>730</v>
      </c>
      <c r="BZ308" s="69">
        <f t="shared" si="2827"/>
        <v>57</v>
      </c>
      <c r="CA308" s="11">
        <v>308</v>
      </c>
      <c r="CB308" s="12">
        <f t="shared" si="2776"/>
        <v>0.43835616438356162</v>
      </c>
      <c r="CC308" s="11">
        <v>12</v>
      </c>
      <c r="CD308" s="12">
        <f t="shared" si="2777"/>
        <v>3.7499999999999999E-2</v>
      </c>
      <c r="CE308" s="13"/>
      <c r="CF308" s="11"/>
      <c r="CG308" s="39">
        <v>86.486486486486484</v>
      </c>
      <c r="CH308" s="43">
        <v>100</v>
      </c>
      <c r="CI308" s="10"/>
      <c r="CJ308" s="11"/>
      <c r="CK308" s="69">
        <f t="shared" si="2828"/>
        <v>125</v>
      </c>
      <c r="CL308" s="69">
        <f t="shared" si="2829"/>
        <v>10</v>
      </c>
      <c r="CM308" s="11">
        <v>56</v>
      </c>
      <c r="CN308" s="12">
        <f t="shared" si="2778"/>
        <v>0.51200000000000001</v>
      </c>
      <c r="CO308" s="11">
        <v>8</v>
      </c>
      <c r="CP308" s="12">
        <f t="shared" si="2779"/>
        <v>0.125</v>
      </c>
      <c r="CQ308" s="13"/>
      <c r="CR308" s="11"/>
      <c r="CS308" s="39">
        <v>42.857142857142854</v>
      </c>
      <c r="CT308" s="43">
        <v>100</v>
      </c>
      <c r="CU308" s="10"/>
      <c r="CV308" s="11"/>
      <c r="CW308" s="69">
        <f t="shared" si="2830"/>
        <v>722</v>
      </c>
      <c r="CX308" s="69">
        <f t="shared" si="2831"/>
        <v>56</v>
      </c>
      <c r="CY308" s="11">
        <v>291</v>
      </c>
      <c r="CZ308" s="12">
        <f t="shared" si="2780"/>
        <v>0.42243767313019392</v>
      </c>
      <c r="DA308" s="11">
        <v>14</v>
      </c>
      <c r="DB308" s="12">
        <f t="shared" si="2781"/>
        <v>4.5901639344262293E-2</v>
      </c>
      <c r="DC308" s="13"/>
      <c r="DD308" s="11"/>
      <c r="DE308" s="39">
        <v>78.048780487804876</v>
      </c>
      <c r="DF308" s="43">
        <v>100</v>
      </c>
      <c r="DG308" s="10"/>
      <c r="DH308" s="11"/>
      <c r="DI308" s="69">
        <f t="shared" si="2832"/>
        <v>719</v>
      </c>
      <c r="DJ308" s="69">
        <f t="shared" si="2833"/>
        <v>56</v>
      </c>
      <c r="DK308" s="11">
        <v>323</v>
      </c>
      <c r="DL308" s="12">
        <f t="shared" si="2782"/>
        <v>0.46870653685674546</v>
      </c>
      <c r="DM308" s="11">
        <v>14</v>
      </c>
      <c r="DN308" s="12">
        <f t="shared" si="2783"/>
        <v>4.1543026706231452E-2</v>
      </c>
      <c r="DO308" s="13"/>
      <c r="DP308" s="11"/>
      <c r="DQ308" s="39">
        <v>91.666666666666671</v>
      </c>
      <c r="DR308" s="43">
        <v>100</v>
      </c>
      <c r="DS308" s="10"/>
      <c r="DT308" s="11"/>
      <c r="DU308" s="69">
        <f t="shared" si="2834"/>
        <v>808</v>
      </c>
      <c r="DV308" s="69">
        <f t="shared" si="2835"/>
        <v>63</v>
      </c>
      <c r="DW308" s="11">
        <v>354</v>
      </c>
      <c r="DX308" s="12">
        <f t="shared" si="2784"/>
        <v>0.46410891089108913</v>
      </c>
      <c r="DY308" s="11">
        <v>21</v>
      </c>
      <c r="DZ308" s="12">
        <f t="shared" si="2785"/>
        <v>5.6000000000000001E-2</v>
      </c>
      <c r="EA308" s="13"/>
      <c r="EB308" s="11"/>
      <c r="EC308" s="39">
        <v>82.5</v>
      </c>
      <c r="ED308" s="43">
        <v>100</v>
      </c>
      <c r="EE308" s="10"/>
      <c r="EF308" s="11"/>
      <c r="EG308" s="69">
        <f t="shared" si="2836"/>
        <v>836</v>
      </c>
      <c r="EH308" s="69">
        <f t="shared" si="2837"/>
        <v>63</v>
      </c>
      <c r="EI308" s="11">
        <v>379</v>
      </c>
      <c r="EJ308" s="12">
        <f t="shared" si="2786"/>
        <v>0.47488038277511962</v>
      </c>
      <c r="EK308" s="11">
        <v>18</v>
      </c>
      <c r="EL308" s="12">
        <f t="shared" si="2787"/>
        <v>4.534005037783375E-2</v>
      </c>
      <c r="EM308" s="13"/>
      <c r="EN308" s="11"/>
      <c r="EO308" s="39">
        <v>71.739130434782609</v>
      </c>
      <c r="EP308" s="43">
        <v>100</v>
      </c>
      <c r="EQ308" s="10"/>
      <c r="ER308" s="11"/>
      <c r="ES308" s="69">
        <f t="shared" si="2838"/>
        <v>157</v>
      </c>
      <c r="ET308" s="69">
        <f t="shared" si="2839"/>
        <v>12</v>
      </c>
      <c r="EU308" s="11">
        <v>66</v>
      </c>
      <c r="EV308" s="12">
        <f t="shared" si="2788"/>
        <v>0.43312101910828027</v>
      </c>
      <c r="EW308" s="11">
        <v>2</v>
      </c>
      <c r="EX308" s="12">
        <f t="shared" si="2789"/>
        <v>2.9411764705882353E-2</v>
      </c>
      <c r="EY308" s="13"/>
      <c r="EZ308" s="11"/>
      <c r="FA308" s="39">
        <v>41.666666666666664</v>
      </c>
      <c r="FB308" s="43">
        <v>100</v>
      </c>
      <c r="FC308" s="10"/>
      <c r="FD308" s="11"/>
      <c r="FE308" s="69">
        <f t="shared" si="2840"/>
        <v>841</v>
      </c>
      <c r="FF308" s="69">
        <f t="shared" si="2841"/>
        <v>65</v>
      </c>
      <c r="FG308" s="11">
        <v>379</v>
      </c>
      <c r="FH308" s="12">
        <f t="shared" si="2790"/>
        <v>0.46373365041617121</v>
      </c>
      <c r="FI308" s="11">
        <v>11</v>
      </c>
      <c r="FJ308" s="12">
        <f t="shared" si="2791"/>
        <v>2.8205128205128206E-2</v>
      </c>
      <c r="FK308" s="13"/>
      <c r="FL308" s="11"/>
      <c r="FM308" s="39">
        <v>75.555555555555557</v>
      </c>
      <c r="FN308" s="43">
        <v>100</v>
      </c>
      <c r="FO308" s="10"/>
      <c r="FP308" s="11"/>
      <c r="FQ308" s="69">
        <f t="shared" si="2842"/>
        <v>846</v>
      </c>
      <c r="FR308" s="69">
        <f t="shared" si="2843"/>
        <v>66</v>
      </c>
      <c r="FS308" s="11">
        <v>377</v>
      </c>
      <c r="FT308" s="12">
        <f t="shared" si="2792"/>
        <v>0.46335697399527187</v>
      </c>
      <c r="FU308" s="11">
        <v>15</v>
      </c>
      <c r="FV308" s="12">
        <f t="shared" si="2793"/>
        <v>3.826530612244898E-2</v>
      </c>
      <c r="FW308" s="13"/>
      <c r="FX308" s="11"/>
      <c r="FY308" s="39">
        <v>82.608695652173907</v>
      </c>
      <c r="FZ308" s="43">
        <v>100</v>
      </c>
      <c r="GA308" s="10"/>
      <c r="GB308" s="11"/>
      <c r="GC308" s="69">
        <f t="shared" si="2844"/>
        <v>865</v>
      </c>
      <c r="GD308" s="69">
        <f t="shared" si="2845"/>
        <v>67</v>
      </c>
      <c r="GE308" s="11">
        <v>386</v>
      </c>
      <c r="GF308" s="12">
        <f t="shared" si="2794"/>
        <v>0.46820809248554912</v>
      </c>
      <c r="GG308" s="11">
        <v>19</v>
      </c>
      <c r="GH308" s="12">
        <f t="shared" si="2795"/>
        <v>4.6913580246913583E-2</v>
      </c>
      <c r="GI308" s="13"/>
      <c r="GJ308" s="11"/>
      <c r="GK308" s="39">
        <v>86.36363636363636</v>
      </c>
      <c r="GL308" s="43">
        <v>100</v>
      </c>
      <c r="GM308" s="10"/>
      <c r="GN308" s="11"/>
      <c r="GO308" s="69">
        <f t="shared" si="2846"/>
        <v>133</v>
      </c>
      <c r="GP308" s="69">
        <f t="shared" si="2847"/>
        <v>10</v>
      </c>
      <c r="GQ308" s="11">
        <v>54</v>
      </c>
      <c r="GR308" s="12">
        <f t="shared" si="2796"/>
        <v>0.41353383458646614</v>
      </c>
      <c r="GS308" s="11">
        <v>1</v>
      </c>
      <c r="GT308" s="12">
        <f t="shared" si="2797"/>
        <v>1.8181818181818181E-2</v>
      </c>
      <c r="GU308" s="13"/>
      <c r="GV308" s="11"/>
      <c r="GW308" s="39">
        <v>66.666666666666671</v>
      </c>
      <c r="GX308" s="43">
        <v>100</v>
      </c>
      <c r="GY308" s="10"/>
      <c r="GZ308" s="11"/>
      <c r="HA308" s="69">
        <f t="shared" si="2848"/>
        <v>893</v>
      </c>
      <c r="HB308" s="69">
        <f t="shared" si="2849"/>
        <v>69</v>
      </c>
      <c r="HC308" s="11">
        <v>418</v>
      </c>
      <c r="HD308" s="12">
        <f t="shared" si="2798"/>
        <v>0.48600223964165734</v>
      </c>
      <c r="HE308" s="11">
        <v>16</v>
      </c>
      <c r="HF308" s="12">
        <f t="shared" si="2799"/>
        <v>3.6866359447004608E-2</v>
      </c>
      <c r="HG308" s="13"/>
      <c r="HH308" s="11"/>
      <c r="HI308" s="39">
        <v>82.222222222222229</v>
      </c>
      <c r="HJ308" s="43">
        <v>100</v>
      </c>
      <c r="HK308" s="10">
        <f t="shared" si="2800"/>
        <v>0</v>
      </c>
      <c r="HL308" s="11">
        <f t="shared" si="2801"/>
        <v>0</v>
      </c>
      <c r="HM308" s="11">
        <f t="shared" si="2802"/>
        <v>11652</v>
      </c>
      <c r="HN308" s="11">
        <f t="shared" si="2803"/>
        <v>898</v>
      </c>
      <c r="HO308" s="11">
        <f t="shared" si="2804"/>
        <v>5391</v>
      </c>
      <c r="HP308" s="95">
        <f t="shared" si="2805"/>
        <v>0.46266735324407826</v>
      </c>
      <c r="HQ308" s="15">
        <f t="shared" si="2806"/>
        <v>224</v>
      </c>
      <c r="HR308" s="12">
        <f t="shared" si="2807"/>
        <v>4.1550732702652568E-2</v>
      </c>
      <c r="HS308" s="16">
        <v>67.900000000000006</v>
      </c>
      <c r="HT308" s="17">
        <v>5053</v>
      </c>
      <c r="HU308" s="16">
        <f t="shared" si="2808"/>
        <v>93.7302912261176</v>
      </c>
      <c r="HV308" s="23">
        <v>74.043261231281193</v>
      </c>
      <c r="HW308" s="22">
        <v>83.684210526315795</v>
      </c>
      <c r="HX308" s="73">
        <f t="shared" si="2809"/>
        <v>0.47016331658291455</v>
      </c>
      <c r="HY308" s="73">
        <f t="shared" si="2810"/>
        <v>0.44609906118484949</v>
      </c>
      <c r="HZ308" s="73">
        <f t="shared" si="2811"/>
        <v>0.46555639666919002</v>
      </c>
      <c r="IA308" s="73">
        <f t="shared" si="2812"/>
        <v>0.46985750822067957</v>
      </c>
      <c r="IF308" s="85">
        <f>IF309/IF310</f>
        <v>9.4132412927518041E-4</v>
      </c>
      <c r="IG308" s="85">
        <f>IG309/IG310</f>
        <v>1.6160310277957336E-3</v>
      </c>
      <c r="IH308" s="85">
        <f>IH309/IH310</f>
        <v>1.8889308651303363E-3</v>
      </c>
      <c r="II308" s="85">
        <f>II309/II310</f>
        <v>1.8234865061998542E-3</v>
      </c>
      <c r="IJ308" s="88" t="s">
        <v>90</v>
      </c>
    </row>
    <row r="309" spans="1:244" ht="19.5" thickBot="1" x14ac:dyDescent="0.3">
      <c r="A309" s="374"/>
      <c r="B309" s="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2568</v>
      </c>
      <c r="H309" s="28">
        <f>((G309+I309)/7)/E308</f>
        <v>0.47275953859804787</v>
      </c>
      <c r="I309" s="27">
        <f>SUM(I302:I308)</f>
        <v>96</v>
      </c>
      <c r="J309" s="28">
        <f>(I309/(I309+G309))</f>
        <v>3.6036036036036036E-2</v>
      </c>
      <c r="K309" s="27"/>
      <c r="L309" s="27"/>
      <c r="M309" s="29">
        <f>M307/M306*100-100</f>
        <v>13.59810223446587</v>
      </c>
      <c r="N309" s="67">
        <f>N307/N306*100-100</f>
        <v>4.6355391333557208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2309</v>
      </c>
      <c r="T309" s="28">
        <f>((S309+U309)/7)/Q308</f>
        <v>0.46457607433217185</v>
      </c>
      <c r="U309" s="27">
        <f>SUM(U302:U308)</f>
        <v>91</v>
      </c>
      <c r="V309" s="28">
        <f>(U309/(U309+S309))</f>
        <v>3.7916666666666668E-2</v>
      </c>
      <c r="W309" s="27"/>
      <c r="X309" s="27"/>
      <c r="Y309" s="29">
        <f>Y307/Y306*100-100</f>
        <v>12.159680341498529</v>
      </c>
      <c r="Z309" s="67">
        <f>Z307/Z306*100-100</f>
        <v>9.8253275109170204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496</v>
      </c>
      <c r="AF309" s="28">
        <f>((AE309+AG309)/7)/AC308</f>
        <v>0.48590225563909778</v>
      </c>
      <c r="AG309" s="27">
        <f>SUM(AG302:AG308)</f>
        <v>21</v>
      </c>
      <c r="AH309" s="28">
        <f>(AG309/(AG309+AE309))</f>
        <v>4.0618955512572531E-2</v>
      </c>
      <c r="AI309" s="27"/>
      <c r="AJ309" s="27"/>
      <c r="AK309" s="29">
        <f>AK307/AK306*100-100</f>
        <v>10.560146923783293</v>
      </c>
      <c r="AL309" s="67">
        <f>AL307/AL306*100-100</f>
        <v>-5.5021834061135309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2391</v>
      </c>
      <c r="AR309" s="28">
        <f>((AQ309+AS309)/7)/AO308</f>
        <v>0.46834958883151651</v>
      </c>
      <c r="AS309" s="27">
        <f>SUM(AS302:AS308)</f>
        <v>58</v>
      </c>
      <c r="AT309" s="28">
        <f>(AS309/(AS309+AQ309))</f>
        <v>2.3683135973866884E-2</v>
      </c>
      <c r="AU309" s="27"/>
      <c r="AV309" s="27"/>
      <c r="AW309" s="29">
        <f>AW307/AW306*100-100</f>
        <v>11.136618712376304</v>
      </c>
      <c r="AX309" s="67">
        <f>AX307/AX306*100-100</f>
        <v>16.474791583961903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2314</v>
      </c>
      <c r="BD309" s="28">
        <f>((BC309+BE309)/7)/BA308</f>
        <v>0.46303427031189831</v>
      </c>
      <c r="BE309" s="27">
        <f>SUM(BE302:BE308)</f>
        <v>91</v>
      </c>
      <c r="BF309" s="28">
        <f>(BE309/(BE309+BC309))</f>
        <v>3.783783783783784E-2</v>
      </c>
      <c r="BG309" s="27"/>
      <c r="BH309" s="27"/>
      <c r="BI309" s="29">
        <f>BI307/BI306*100-100</f>
        <v>15.895020587102678</v>
      </c>
      <c r="BJ309" s="67">
        <f>BJ307/BJ306*100-100</f>
        <v>17.030567685589531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2414</v>
      </c>
      <c r="BP309" s="28">
        <f>((BO309+BQ309)/7)/BM308</f>
        <v>0.4482075301747433</v>
      </c>
      <c r="BQ309" s="27">
        <f>SUM(BQ302:BQ308)</f>
        <v>74</v>
      </c>
      <c r="BR309" s="28">
        <f>(BQ309/(BQ309+BO309))</f>
        <v>2.9742765273311898E-2</v>
      </c>
      <c r="BS309" s="27"/>
      <c r="BT309" s="27"/>
      <c r="BU309" s="29">
        <f>BU307/BU306*100-100</f>
        <v>11.633379247015625</v>
      </c>
      <c r="BV309" s="67">
        <f>BV307/BV306*100-100</f>
        <v>2.6872690628149059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2244</v>
      </c>
      <c r="CB309" s="28">
        <f>((CA309+CC309)/7)/BY308</f>
        <v>0.45244618395303327</v>
      </c>
      <c r="CC309" s="27">
        <f>SUM(CC302:CC308)</f>
        <v>68</v>
      </c>
      <c r="CD309" s="28">
        <f>(CC309/(CC309+CA309))</f>
        <v>2.9411764705882353E-2</v>
      </c>
      <c r="CE309" s="27"/>
      <c r="CF309" s="27"/>
      <c r="CG309" s="29">
        <f>CG307/CG306*100-100</f>
        <v>12.960067505522062</v>
      </c>
      <c r="CH309" s="67">
        <f>CH307/CH306*100-100</f>
        <v>10.243813682678322</v>
      </c>
      <c r="CI309" s="26">
        <f>SUM(CI302:CI308)</f>
        <v>1</v>
      </c>
      <c r="CJ309" s="27">
        <f>SUM(CJ302:CJ308)</f>
        <v>0</v>
      </c>
      <c r="CK309" s="27"/>
      <c r="CL309" s="27"/>
      <c r="CM309" s="27">
        <f>SUM(CM302:CM308)</f>
        <v>326</v>
      </c>
      <c r="CN309" s="28">
        <f>((CM309+CO309)/7)/CK308</f>
        <v>0.38971428571428574</v>
      </c>
      <c r="CO309" s="27">
        <f>SUM(CO302:CO308)</f>
        <v>15</v>
      </c>
      <c r="CP309" s="28">
        <f>(CO309/(CO309+CM309))</f>
        <v>4.398826979472141E-2</v>
      </c>
      <c r="CQ309" s="27"/>
      <c r="CR309" s="27"/>
      <c r="CS309" s="29">
        <f>CS307/CS306*100-100</f>
        <v>10.815951725042638</v>
      </c>
      <c r="CT309" s="67">
        <f>CT307/CT306*100-100</f>
        <v>-1.4192139737991312</v>
      </c>
      <c r="CU309" s="26">
        <f>SUM(CU302:CU308)</f>
        <v>2</v>
      </c>
      <c r="CV309" s="27">
        <f>SUM(CV302:CV308)</f>
        <v>0</v>
      </c>
      <c r="CW309" s="27"/>
      <c r="CX309" s="27"/>
      <c r="CY309" s="27">
        <f>SUM(CY302:CY308)</f>
        <v>2238</v>
      </c>
      <c r="CZ309" s="28">
        <f>((CY309+DA309)/7)/CW308</f>
        <v>0.45409576573011473</v>
      </c>
      <c r="DA309" s="27">
        <f>SUM(DA302:DA308)</f>
        <v>57</v>
      </c>
      <c r="DB309" s="28">
        <f>(DA309/(DA309+CY309))</f>
        <v>2.4836601307189541E-2</v>
      </c>
      <c r="DC309" s="27"/>
      <c r="DD309" s="27"/>
      <c r="DE309" s="29">
        <f>DE307/DE306*100-100</f>
        <v>12.88046764765167</v>
      </c>
      <c r="DF309" s="67">
        <f>DF307/DF306*100-100</f>
        <v>7.2962154294032189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2438</v>
      </c>
      <c r="DL309" s="28">
        <f>((DK309+DM309)/7)/DI308</f>
        <v>0.49870852374329422</v>
      </c>
      <c r="DM309" s="27">
        <f>SUM(DM302:DM308)</f>
        <v>72</v>
      </c>
      <c r="DN309" s="28">
        <f>(DM309/(DM309+DK309))</f>
        <v>2.8685258964143426E-2</v>
      </c>
      <c r="DO309" s="27"/>
      <c r="DP309" s="27"/>
      <c r="DQ309" s="29">
        <f>DQ307/DQ306*100-100</f>
        <v>13.27288031833487</v>
      </c>
      <c r="DR309" s="67">
        <f>DR307/DR306*100-100</f>
        <v>22.310440651052005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2485</v>
      </c>
      <c r="DX309" s="28">
        <f>((DW309+DY309)/7)/DU308</f>
        <v>0.45968882602545968</v>
      </c>
      <c r="DY309" s="27">
        <f>SUM(DY302:DY308)</f>
        <v>115</v>
      </c>
      <c r="DZ309" s="28">
        <f>(DY309/(DY309+DW309))</f>
        <v>4.4230769230769233E-2</v>
      </c>
      <c r="EA309" s="27"/>
      <c r="EB309" s="27"/>
      <c r="EC309" s="29">
        <f>EC307/EC306*100-100</f>
        <v>8.1611570247933827</v>
      </c>
      <c r="ED309" s="67">
        <f>ED307/ED306*100-100</f>
        <v>8.0786026200873238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2586</v>
      </c>
      <c r="EJ309" s="28">
        <f>((EI309+EK309)/7)/EG308</f>
        <v>0.46189336978810663</v>
      </c>
      <c r="EK309" s="27">
        <f>SUM(EK302:EK308)</f>
        <v>117</v>
      </c>
      <c r="EL309" s="28">
        <f>(EK309/(EK309+EI309))</f>
        <v>4.3285238623751388E-2</v>
      </c>
      <c r="EM309" s="27"/>
      <c r="EN309" s="27"/>
      <c r="EO309" s="29">
        <f>EO307/EO306*100-100</f>
        <v>11.994450433185605</v>
      </c>
      <c r="EP309" s="67">
        <f>EP307/EP306*100-100</f>
        <v>14.028384279475986</v>
      </c>
      <c r="EQ309" s="26">
        <f>SUM(EQ302:EQ308)</f>
        <v>3</v>
      </c>
      <c r="ER309" s="27">
        <f>SUM(ER302:ER308)</f>
        <v>0</v>
      </c>
      <c r="ES309" s="27"/>
      <c r="ET309" s="27"/>
      <c r="EU309" s="27">
        <f>SUM(EU302:EU308)</f>
        <v>484</v>
      </c>
      <c r="EV309" s="28">
        <f>((EU309+EW309)/7)/ES308</f>
        <v>0.45586897179253866</v>
      </c>
      <c r="EW309" s="27">
        <f>SUM(EW302:EW308)</f>
        <v>17</v>
      </c>
      <c r="EX309" s="28">
        <f>(EW309/(EW309+EU309))</f>
        <v>3.3932135728542916E-2</v>
      </c>
      <c r="EY309" s="27"/>
      <c r="EZ309" s="27"/>
      <c r="FA309" s="29">
        <f>FA307/FA306*100-100</f>
        <v>4.1284052647689009</v>
      </c>
      <c r="FB309" s="67">
        <f>FB307/FB306*100-100</f>
        <v>1.0189228529839909</v>
      </c>
      <c r="FC309" s="26">
        <f>SUM(FC302:FC308)</f>
        <v>1</v>
      </c>
      <c r="FD309" s="27">
        <f>SUM(FD302:FD308)</f>
        <v>0</v>
      </c>
      <c r="FE309" s="27"/>
      <c r="FF309" s="27"/>
      <c r="FG309" s="27">
        <f>SUM(FG302:FG308)</f>
        <v>2792</v>
      </c>
      <c r="FH309" s="28">
        <f>((FG309+FI309)/7)/FE308</f>
        <v>0.49176150840835736</v>
      </c>
      <c r="FI309" s="27">
        <f>SUM(FI302:FI308)</f>
        <v>103</v>
      </c>
      <c r="FJ309" s="28">
        <f>(FI309/(FI309+FG309))</f>
        <v>3.5578583765112262E-2</v>
      </c>
      <c r="FK309" s="27"/>
      <c r="FL309" s="27"/>
      <c r="FM309" s="29">
        <f>FM307/FM306*100-100</f>
        <v>13.911845730027551</v>
      </c>
      <c r="FN309" s="67">
        <f>FN307/FN306*100-100</f>
        <v>19.331541820624793</v>
      </c>
      <c r="FO309" s="26">
        <f>SUM(FO302:FO308)</f>
        <v>4</v>
      </c>
      <c r="FP309" s="27">
        <f>SUM(FP302:FP308)</f>
        <v>0</v>
      </c>
      <c r="FQ309" s="27"/>
      <c r="FR309" s="27"/>
      <c r="FS309" s="27">
        <f>SUM(FS302:FS308)</f>
        <v>2576</v>
      </c>
      <c r="FT309" s="28">
        <f>((FS309+FU309)/7)/FQ308</f>
        <v>0.45271867612293143</v>
      </c>
      <c r="FU309" s="27">
        <f>SUM(FU302:FU308)</f>
        <v>105</v>
      </c>
      <c r="FV309" s="28">
        <f>(FU309/(FU309+FS309))</f>
        <v>3.91644908616188E-2</v>
      </c>
      <c r="FW309" s="27"/>
      <c r="FX309" s="27"/>
      <c r="FY309" s="29">
        <f>FY307/FY306*100-100</f>
        <v>16.80041521938756</v>
      </c>
      <c r="FZ309" s="67">
        <f>FZ307/FZ306*100-100</f>
        <v>6.4878353087959937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2703</v>
      </c>
      <c r="GF309" s="28">
        <f>((GE309+GG309)/7)/GC308</f>
        <v>0.46110652353426917</v>
      </c>
      <c r="GG309" s="27">
        <f>SUM(GG302:GG308)</f>
        <v>89</v>
      </c>
      <c r="GH309" s="28">
        <f>(GG309/(GG309+GE309))</f>
        <v>3.1876790830945557E-2</v>
      </c>
      <c r="GI309" s="27"/>
      <c r="GJ309" s="27"/>
      <c r="GK309" s="29">
        <f>GK307/GK306*100-100</f>
        <v>13.829409800484171</v>
      </c>
      <c r="GL309" s="67">
        <f>GL307/GL306*100-100</f>
        <v>12.154294032023301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358</v>
      </c>
      <c r="GR309" s="28">
        <f>((GQ309+GS309)/7)/GO308</f>
        <v>0.40601503759398494</v>
      </c>
      <c r="GS309" s="27">
        <f>SUM(GS302:GS308)</f>
        <v>20</v>
      </c>
      <c r="GT309" s="28">
        <f>(GS309/(GS309+GQ309))</f>
        <v>5.2910052910052907E-2</v>
      </c>
      <c r="GU309" s="27"/>
      <c r="GV309" s="27"/>
      <c r="GW309" s="29">
        <f>GW307/GW306*100-100</f>
        <v>3.9370982552800768</v>
      </c>
      <c r="GX309" s="67">
        <f>GX307/GX306*100-100</f>
        <v>-0.36390101892285998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2897</v>
      </c>
      <c r="HD309" s="28">
        <f>((HC309+HE309)/7)/HA308</f>
        <v>0.48232282834746443</v>
      </c>
      <c r="HE309" s="27">
        <f>SUM(HE302:HE308)</f>
        <v>118</v>
      </c>
      <c r="HF309" s="28">
        <f>(HE309/(HE309+HC309))</f>
        <v>3.9137645107794362E-2</v>
      </c>
      <c r="HG309" s="27"/>
      <c r="HH309" s="27"/>
      <c r="HI309" s="29">
        <f>HI307/HI306*100-100</f>
        <v>15.585144373023169</v>
      </c>
      <c r="HJ309" s="67">
        <f>HJ307/HJ306*100-100</f>
        <v>17.540029112081498</v>
      </c>
      <c r="HK309" s="26">
        <f t="shared" si="2800"/>
        <v>18</v>
      </c>
      <c r="HL309" s="27">
        <f t="shared" si="2801"/>
        <v>0</v>
      </c>
      <c r="HM309" s="27">
        <f t="shared" si="2802"/>
        <v>0</v>
      </c>
      <c r="HN309" s="27">
        <f t="shared" si="2803"/>
        <v>0</v>
      </c>
      <c r="HO309" s="27">
        <f t="shared" si="2804"/>
        <v>37946</v>
      </c>
      <c r="HP309" s="96">
        <f>+((HO309)/HM308)/7</f>
        <v>0.46522975822666862</v>
      </c>
      <c r="HQ309" s="62">
        <f t="shared" si="2806"/>
        <v>1327</v>
      </c>
      <c r="HR309" s="52">
        <f t="shared" si="2807"/>
        <v>3.4970747904917512E-2</v>
      </c>
      <c r="HS309" s="53">
        <f>SUM(HS302:HS308)/7</f>
        <v>68.142857142857139</v>
      </c>
      <c r="HT309" s="54">
        <f>SUM(HT302:HT308)</f>
        <v>35894</v>
      </c>
      <c r="HU309" s="53">
        <f>AVERAGE(HU302:HU308)</f>
        <v>94.590343507546592</v>
      </c>
      <c r="HV309" s="63">
        <f>HV307/HV306*100-100</f>
        <v>12.726875470787121</v>
      </c>
      <c r="HW309" s="67">
        <f>HW307/HW306*100-100</f>
        <v>10.748103884164564</v>
      </c>
      <c r="HX309" s="73">
        <f>SUM(G309,I309,S309,U309,AE309,AG309,AQ309,AS309,BC309,BE309)/7/SUM(E308,Q308,AC308,AO308,BA308)</f>
        <v>0.46818916008614503</v>
      </c>
      <c r="HY309" s="73">
        <f>SUM(BO309,BQ309,CA309,CC309,CM309,CO309,CY309,DA309,DK309,DM309)/7/SUM(BM308,BY308,CK308,CW308,DI308)</f>
        <v>0.45997317670998472</v>
      </c>
      <c r="HZ309" s="73">
        <f>SUM(DW309,DY309,EI309,EK309,EU309,EW309,FG309,FI309)/7/SUM(DU308,EG308,ES308,FE308)</f>
        <v>0.47036876824916191</v>
      </c>
      <c r="IA309" s="73">
        <f>SUM(FS309,FU309,GE309,GG309,GQ309,GS309,HC309,HE309)/7/SUM(FQ308,GC308,GO308,HA308)</f>
        <v>0.46275901665013836</v>
      </c>
      <c r="IB309" s="84">
        <f>SUM(I309,U309,AG309,AS309,BE309)/SUM(G309,I309,S309,U309,AE309,AG309,AQ309,AS309,BC309,BE309)</f>
        <v>3.4211787254432198E-2</v>
      </c>
      <c r="IC309" s="84">
        <f>SUM(BQ309,CC309,CO309,DA309,DM309)/SUM(BO309,BQ309,CA309,CC309,CM309,CO309,CY309,DA309,DK309,DM309)</f>
        <v>2.8755278503921174E-2</v>
      </c>
      <c r="ID309" s="84">
        <f>SUM(DY309,EK309,EW309,FI309)/SUM(DW309,DY309,EI309,EK309,EU309,EW309,FG309,FI309)</f>
        <v>4.0464421197838829E-2</v>
      </c>
      <c r="IE309" s="84">
        <f>SUM(FU309,GG309,GS309,HE309)/SUM(FS309,FU309,GE309,GG309,GQ309,GS309,HC309,HE309)</f>
        <v>3.7446424543198735E-2</v>
      </c>
      <c r="IF309" s="86">
        <f>SUM(C309,O309,AA309,AM309,AY309)</f>
        <v>3</v>
      </c>
      <c r="IG309" s="86">
        <f>SUM(BK309,BW309,CI309,CU309,DG309)</f>
        <v>5</v>
      </c>
      <c r="IH309" s="86">
        <f>SUM(DS309,EE309,EQ309,FC309)</f>
        <v>5</v>
      </c>
      <c r="II309" s="86">
        <f>SUM(FO309,GA309,GM309,GY309)</f>
        <v>5</v>
      </c>
      <c r="IJ309" s="88" t="s">
        <v>89</v>
      </c>
    </row>
    <row r="310" spans="1:244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HK309/HM302</f>
        <v>1.5425486331305167E-3</v>
      </c>
      <c r="HL310" s="66">
        <f>HL309/HN302</f>
        <v>0</v>
      </c>
      <c r="HM310" s="45"/>
      <c r="HN310" s="45"/>
      <c r="HO310" s="45"/>
      <c r="HP310" s="98"/>
      <c r="HQ310" s="45"/>
      <c r="HR310" s="45"/>
      <c r="HS310" s="45"/>
      <c r="HT310" s="55"/>
      <c r="HU310" s="45"/>
      <c r="HV310" s="45"/>
      <c r="HW310" s="46"/>
      <c r="HY310" s="72"/>
      <c r="HZ310" s="72"/>
      <c r="IA310" s="72"/>
      <c r="IF310" s="86">
        <f>SUM(E299,Q299,AC299,AO299,BA299)</f>
        <v>3187</v>
      </c>
      <c r="IG310" s="86">
        <f>SUM(BM299,BY299,CK299,CW299,DI299)</f>
        <v>3094</v>
      </c>
      <c r="IH310" s="86">
        <f>SUM(DU299,EG299,ES299,FE299)</f>
        <v>2647</v>
      </c>
      <c r="II310" s="86">
        <f>SUM(FQ299,GC299,GO299,HA299)</f>
        <v>2742</v>
      </c>
      <c r="IJ310" s="88" t="s">
        <v>84</v>
      </c>
    </row>
    <row r="311" spans="1:244" x14ac:dyDescent="0.25">
      <c r="A311" s="373">
        <v>59</v>
      </c>
      <c r="B311" s="68">
        <f>B308+1</f>
        <v>45179</v>
      </c>
      <c r="C311" s="33"/>
      <c r="D311" s="34"/>
      <c r="E311" s="34">
        <f>E308-C311</f>
        <v>805</v>
      </c>
      <c r="F311" s="34">
        <f>F308-D311</f>
        <v>62</v>
      </c>
      <c r="G311" s="34">
        <v>366</v>
      </c>
      <c r="H311" s="35">
        <f t="shared" ref="H311:H317" si="2850">((G311+I311)/E311)</f>
        <v>0.47329192546583854</v>
      </c>
      <c r="I311" s="34">
        <v>15</v>
      </c>
      <c r="J311" s="35">
        <f t="shared" ref="J311:J317" si="2851">I311/(G311+I311)</f>
        <v>3.937007874015748E-2</v>
      </c>
      <c r="K311" s="36"/>
      <c r="L311" s="34"/>
      <c r="M311" s="34"/>
      <c r="N311" s="37"/>
      <c r="O311" s="33">
        <v>1</v>
      </c>
      <c r="P311" s="34"/>
      <c r="Q311" s="34">
        <f>Q308-O311</f>
        <v>737</v>
      </c>
      <c r="R311" s="34">
        <f>R308-P311</f>
        <v>56</v>
      </c>
      <c r="S311" s="34">
        <v>317</v>
      </c>
      <c r="T311" s="35">
        <f t="shared" ref="T311:T317" si="2852">((S311+U311)/Q311)</f>
        <v>0.44776119402985076</v>
      </c>
      <c r="U311" s="34">
        <v>13</v>
      </c>
      <c r="V311" s="35">
        <f t="shared" ref="V311:V317" si="2853">U311/(S311+U311)</f>
        <v>3.9393939393939391E-2</v>
      </c>
      <c r="W311" s="36"/>
      <c r="X311" s="34"/>
      <c r="Y311" s="34"/>
      <c r="Z311" s="37"/>
      <c r="AA311" s="33"/>
      <c r="AB311" s="34"/>
      <c r="AC311" s="34">
        <f>AC308-AA311</f>
        <v>152</v>
      </c>
      <c r="AD311" s="34">
        <f>AD308-AB311</f>
        <v>11</v>
      </c>
      <c r="AE311" s="34">
        <v>48</v>
      </c>
      <c r="AF311" s="35">
        <f t="shared" ref="AF311:AF317" si="2854">((AE311+AG311)/AC311)</f>
        <v>0.34868421052631576</v>
      </c>
      <c r="AG311" s="34">
        <v>5</v>
      </c>
      <c r="AH311" s="35">
        <f t="shared" ref="AH311:AH317" si="2855">AG311/(AE311+AG311)</f>
        <v>9.4339622641509441E-2</v>
      </c>
      <c r="AI311" s="36"/>
      <c r="AJ311" s="34"/>
      <c r="AK311" s="34"/>
      <c r="AL311" s="37"/>
      <c r="AM311" s="33"/>
      <c r="AN311" s="34"/>
      <c r="AO311" s="34">
        <f>AO308-AM311</f>
        <v>747</v>
      </c>
      <c r="AP311" s="34">
        <f>AP308-AN311</f>
        <v>57</v>
      </c>
      <c r="AQ311" s="34">
        <v>320</v>
      </c>
      <c r="AR311" s="35">
        <f t="shared" ref="AR311:AR317" si="2856">((AQ311+AS311)/AO311)</f>
        <v>0.45113788487282463</v>
      </c>
      <c r="AS311" s="34">
        <v>17</v>
      </c>
      <c r="AT311" s="35">
        <f t="shared" ref="AT311:AT317" si="2857">AS311/(AQ311+AS311)</f>
        <v>5.0445103857566766E-2</v>
      </c>
      <c r="AU311" s="36"/>
      <c r="AV311" s="34"/>
      <c r="AW311" s="34"/>
      <c r="AX311" s="37"/>
      <c r="AY311" s="33"/>
      <c r="AZ311" s="34"/>
      <c r="BA311" s="34">
        <f>BA308-AY311</f>
        <v>742</v>
      </c>
      <c r="BB311" s="34">
        <f>BB308-AZ311</f>
        <v>57</v>
      </c>
      <c r="BC311" s="34">
        <v>328</v>
      </c>
      <c r="BD311" s="35">
        <f t="shared" ref="BD311:BD317" si="2858">((BC311+BE311)/BA311)</f>
        <v>0.46900269541778977</v>
      </c>
      <c r="BE311" s="34">
        <v>20</v>
      </c>
      <c r="BF311" s="35">
        <f t="shared" ref="BF311:BF317" si="2859">BE311/(BC311+BE311)</f>
        <v>5.7471264367816091E-2</v>
      </c>
      <c r="BG311" s="36"/>
      <c r="BH311" s="34"/>
      <c r="BI311" s="34"/>
      <c r="BJ311" s="37"/>
      <c r="BK311" s="33"/>
      <c r="BL311" s="34"/>
      <c r="BM311" s="34">
        <f>BM308-BK311</f>
        <v>793</v>
      </c>
      <c r="BN311" s="34">
        <f>BN308-BL311</f>
        <v>61</v>
      </c>
      <c r="BO311" s="34">
        <v>318</v>
      </c>
      <c r="BP311" s="35">
        <f t="shared" ref="BP311:BP317" si="2860">((BO311+BQ311)/BM311)</f>
        <v>0.41109709962168978</v>
      </c>
      <c r="BQ311" s="34">
        <v>8</v>
      </c>
      <c r="BR311" s="35">
        <f t="shared" ref="BR311:BR317" si="2861">BQ311/(BO311+BQ311)</f>
        <v>2.4539877300613498E-2</v>
      </c>
      <c r="BS311" s="36"/>
      <c r="BT311" s="34"/>
      <c r="BU311" s="34"/>
      <c r="BV311" s="37"/>
      <c r="BW311" s="33"/>
      <c r="BX311" s="34"/>
      <c r="BY311" s="34">
        <f>BY308-BW311</f>
        <v>730</v>
      </c>
      <c r="BZ311" s="34">
        <f>BZ308-BX311</f>
        <v>57</v>
      </c>
      <c r="CA311" s="34">
        <v>329</v>
      </c>
      <c r="CB311" s="35">
        <f t="shared" ref="CB311:CB317" si="2862">((CA311+CC311)/BY311)</f>
        <v>0.4726027397260274</v>
      </c>
      <c r="CC311" s="34">
        <v>16</v>
      </c>
      <c r="CD311" s="35">
        <f t="shared" ref="CD311:CD317" si="2863">CC311/(CA311+CC311)</f>
        <v>4.6376811594202899E-2</v>
      </c>
      <c r="CE311" s="36"/>
      <c r="CF311" s="34"/>
      <c r="CG311" s="34"/>
      <c r="CH311" s="37"/>
      <c r="CI311" s="33"/>
      <c r="CJ311" s="34"/>
      <c r="CK311" s="34">
        <f>CK308-CI311</f>
        <v>125</v>
      </c>
      <c r="CL311" s="34">
        <f>CL308-CJ311</f>
        <v>10</v>
      </c>
      <c r="CM311" s="34">
        <v>47</v>
      </c>
      <c r="CN311" s="35">
        <f t="shared" ref="CN311:CN317" si="2864">((CM311+CO311)/CK311)</f>
        <v>0.39200000000000002</v>
      </c>
      <c r="CO311" s="34">
        <v>2</v>
      </c>
      <c r="CP311" s="35">
        <f t="shared" ref="CP311:CP317" si="2865">CO311/(CM311+CO311)</f>
        <v>4.0816326530612242E-2</v>
      </c>
      <c r="CQ311" s="36"/>
      <c r="CR311" s="34"/>
      <c r="CS311" s="34"/>
      <c r="CT311" s="37"/>
      <c r="CU311" s="33"/>
      <c r="CV311" s="34"/>
      <c r="CW311" s="34">
        <f>CW308-CU311</f>
        <v>722</v>
      </c>
      <c r="CX311" s="34">
        <f>CX308-CV311</f>
        <v>56</v>
      </c>
      <c r="CY311" s="34">
        <v>316</v>
      </c>
      <c r="CZ311" s="35">
        <f t="shared" ref="CZ311:CZ317" si="2866">((CY311+DA311)/CW311)</f>
        <v>0.45567867036011078</v>
      </c>
      <c r="DA311" s="34">
        <v>13</v>
      </c>
      <c r="DB311" s="35">
        <f t="shared" ref="DB311:DB317" si="2867">DA311/(CY311+DA311)</f>
        <v>3.9513677811550151E-2</v>
      </c>
      <c r="DC311" s="36"/>
      <c r="DD311" s="34"/>
      <c r="DE311" s="34"/>
      <c r="DF311" s="37"/>
      <c r="DG311" s="33"/>
      <c r="DH311" s="34"/>
      <c r="DI311" s="34">
        <f>DI308-DG311</f>
        <v>719</v>
      </c>
      <c r="DJ311" s="34">
        <f>DJ308-DH311</f>
        <v>56</v>
      </c>
      <c r="DK311" s="34">
        <v>357</v>
      </c>
      <c r="DL311" s="35">
        <f t="shared" ref="DL311:DL317" si="2868">((DK311+DM311)/DI311)</f>
        <v>0.51738525730180807</v>
      </c>
      <c r="DM311" s="34">
        <v>15</v>
      </c>
      <c r="DN311" s="35">
        <f t="shared" ref="DN311:DN317" si="2869">DM311/(DK311+DM311)</f>
        <v>4.0322580645161289E-2</v>
      </c>
      <c r="DO311" s="36"/>
      <c r="DP311" s="34"/>
      <c r="DQ311" s="34"/>
      <c r="DR311" s="37"/>
      <c r="DS311" s="33"/>
      <c r="DT311" s="34"/>
      <c r="DU311" s="34">
        <f>DU308-DS311</f>
        <v>808</v>
      </c>
      <c r="DV311" s="34">
        <f>DV308-DT311</f>
        <v>63</v>
      </c>
      <c r="DW311" s="34">
        <v>354</v>
      </c>
      <c r="DX311" s="35">
        <f t="shared" ref="DX311:DX317" si="2870">((DW311+DY311)/DU311)</f>
        <v>0.44925742574257427</v>
      </c>
      <c r="DY311" s="34">
        <v>9</v>
      </c>
      <c r="DZ311" s="35">
        <f t="shared" ref="DZ311:DZ317" si="2871">DY311/(DW311+DY311)</f>
        <v>2.4793388429752067E-2</v>
      </c>
      <c r="EA311" s="36"/>
      <c r="EB311" s="34"/>
      <c r="EC311" s="34"/>
      <c r="ED311" s="37"/>
      <c r="EE311" s="33"/>
      <c r="EF311" s="34"/>
      <c r="EG311" s="34">
        <f>EG308-EE311</f>
        <v>836</v>
      </c>
      <c r="EH311" s="34">
        <f>EH308-EF311</f>
        <v>63</v>
      </c>
      <c r="EI311" s="34">
        <v>346</v>
      </c>
      <c r="EJ311" s="35">
        <f t="shared" ref="EJ311:EJ317" si="2872">((EI311+EK311)/EG311)</f>
        <v>0.42703349282296649</v>
      </c>
      <c r="EK311" s="34">
        <v>11</v>
      </c>
      <c r="EL311" s="35">
        <f t="shared" ref="EL311:EL317" si="2873">EK311/(EI311+EK311)</f>
        <v>3.081232492997199E-2</v>
      </c>
      <c r="EM311" s="36"/>
      <c r="EN311" s="34"/>
      <c r="EO311" s="34"/>
      <c r="EP311" s="37"/>
      <c r="EQ311" s="33">
        <v>1</v>
      </c>
      <c r="ER311" s="34"/>
      <c r="ES311" s="34">
        <f>ES308-EQ311</f>
        <v>156</v>
      </c>
      <c r="ET311" s="34">
        <f>ET308-ER311</f>
        <v>12</v>
      </c>
      <c r="EU311" s="34">
        <v>66</v>
      </c>
      <c r="EV311" s="35">
        <f t="shared" ref="EV311:EV317" si="2874">((EU311+EW311)/ES311)</f>
        <v>0.45512820512820512</v>
      </c>
      <c r="EW311" s="34">
        <v>5</v>
      </c>
      <c r="EX311" s="35">
        <f t="shared" ref="EX311:EX317" si="2875">EW311/(EU311+EW311)</f>
        <v>7.0422535211267609E-2</v>
      </c>
      <c r="EY311" s="36"/>
      <c r="EZ311" s="34"/>
      <c r="FA311" s="34"/>
      <c r="FB311" s="37"/>
      <c r="FC311" s="33"/>
      <c r="FD311" s="34"/>
      <c r="FE311" s="34">
        <f>FE308-FC311</f>
        <v>841</v>
      </c>
      <c r="FF311" s="34">
        <f>FF308-FD311</f>
        <v>65</v>
      </c>
      <c r="FG311" s="34">
        <v>387</v>
      </c>
      <c r="FH311" s="35">
        <f t="shared" ref="FH311:FH317" si="2876">((FG311+FI311)/FE311)</f>
        <v>0.47919143876337694</v>
      </c>
      <c r="FI311" s="34">
        <v>16</v>
      </c>
      <c r="FJ311" s="35">
        <f t="shared" ref="FJ311:FJ317" si="2877">FI311/(FG311+FI311)</f>
        <v>3.9702233250620347E-2</v>
      </c>
      <c r="FK311" s="36"/>
      <c r="FL311" s="34"/>
      <c r="FM311" s="34"/>
      <c r="FN311" s="37"/>
      <c r="FO311" s="33">
        <v>1</v>
      </c>
      <c r="FP311" s="34"/>
      <c r="FQ311" s="34">
        <f>FQ308-FO311</f>
        <v>845</v>
      </c>
      <c r="FR311" s="34">
        <f>FR308-FP311</f>
        <v>66</v>
      </c>
      <c r="FS311" s="34">
        <v>353</v>
      </c>
      <c r="FT311" s="35">
        <f t="shared" ref="FT311:FT317" si="2878">((FS311+FU311)/FQ311)</f>
        <v>0.43550295857988164</v>
      </c>
      <c r="FU311" s="34">
        <v>15</v>
      </c>
      <c r="FV311" s="35">
        <f t="shared" ref="FV311:FV317" si="2879">FU311/(FS311+FU311)</f>
        <v>4.0760869565217392E-2</v>
      </c>
      <c r="FW311" s="36"/>
      <c r="FX311" s="34"/>
      <c r="FY311" s="34"/>
      <c r="FZ311" s="37"/>
      <c r="GA311" s="33">
        <v>1</v>
      </c>
      <c r="GB311" s="34"/>
      <c r="GC311" s="34">
        <f>GC308-GA311</f>
        <v>864</v>
      </c>
      <c r="GD311" s="34">
        <f>GD308-GB311</f>
        <v>67</v>
      </c>
      <c r="GE311" s="34">
        <v>341</v>
      </c>
      <c r="GF311" s="35">
        <f t="shared" ref="GF311:GF317" si="2880">((GE311+GG311)/GC311)</f>
        <v>0.41435185185185186</v>
      </c>
      <c r="GG311" s="34">
        <v>17</v>
      </c>
      <c r="GH311" s="35">
        <f t="shared" ref="GH311:GH317" si="2881">GG311/(GE311+GG311)</f>
        <v>4.7486033519553071E-2</v>
      </c>
      <c r="GI311" s="36"/>
      <c r="GJ311" s="34"/>
      <c r="GK311" s="34"/>
      <c r="GL311" s="37"/>
      <c r="GM311" s="33">
        <v>1</v>
      </c>
      <c r="GN311" s="34"/>
      <c r="GO311" s="34">
        <f>GO308-GM311</f>
        <v>132</v>
      </c>
      <c r="GP311" s="34">
        <f>GP308-GN311</f>
        <v>10</v>
      </c>
      <c r="GQ311" s="34">
        <v>37</v>
      </c>
      <c r="GR311" s="35">
        <f t="shared" ref="GR311:GR317" si="2882">((GQ311+GS311)/GO311)</f>
        <v>0.31818181818181818</v>
      </c>
      <c r="GS311" s="34">
        <v>5</v>
      </c>
      <c r="GT311" s="35">
        <f t="shared" ref="GT311:GT317" si="2883">GS311/(GQ311+GS311)</f>
        <v>0.11904761904761904</v>
      </c>
      <c r="GU311" s="36"/>
      <c r="GV311" s="34"/>
      <c r="GW311" s="34"/>
      <c r="GX311" s="37"/>
      <c r="GY311" s="33">
        <v>1</v>
      </c>
      <c r="GZ311" s="34"/>
      <c r="HA311" s="34">
        <f>HA308-GY311</f>
        <v>892</v>
      </c>
      <c r="HB311" s="34">
        <f>HB308-GZ311</f>
        <v>69</v>
      </c>
      <c r="HC311" s="34">
        <v>409</v>
      </c>
      <c r="HD311" s="35">
        <f t="shared" ref="HD311:HD317" si="2884">((HC311+HE311)/HA311)</f>
        <v>0.47533632286995514</v>
      </c>
      <c r="HE311" s="34">
        <v>15</v>
      </c>
      <c r="HF311" s="35">
        <f t="shared" ref="HF311:HF317" si="2885">HE311/(HC311+HE311)</f>
        <v>3.5377358490566037E-2</v>
      </c>
      <c r="HG311" s="36"/>
      <c r="HH311" s="34"/>
      <c r="HI311" s="34"/>
      <c r="HJ311" s="37"/>
      <c r="HK311" s="33">
        <f t="shared" ref="HK311:HK318" si="2886">+C311+O311+AA311+AM311+AY311+BK311+BW311+CI311+CU311+DG311+DS311+EE311+EQ311+FC311+FO311+GA311+GM311+GY311</f>
        <v>6</v>
      </c>
      <c r="HL311" s="34">
        <f t="shared" ref="HL311:HL318" si="2887">+D311+P311+AB311+AN311+AZ311+BL311+BX311+CJ311+CV311+DH311+DT311+EF311+ER311+FD311+FP311+GB311+GN311+GZ311</f>
        <v>0</v>
      </c>
      <c r="HM311" s="34">
        <f t="shared" ref="HM311:HM318" si="2888">+E311+Q311+AC311+AO311+BA311+BM311+BY311+CK311+CW311+DI311+DU311+EG311+ES311+FE311+FQ311+GC311+GO311+HA311</f>
        <v>11646</v>
      </c>
      <c r="HN311" s="34">
        <f t="shared" ref="HN311:HN318" si="2889">+F311+R311+AD311+AP311+BB311+BN311+BZ311+CL311+CX311+DJ311+DV311+EH311+ET311+FF311+FR311+GD311+GP311+HB311</f>
        <v>898</v>
      </c>
      <c r="HO311" s="34">
        <f t="shared" ref="HO311:HO318" si="2890">+G311+S311+AE311+AQ311+BC311+BO311+CA311+CM311+CY311+DK311+DW311+EI311+EU311+FG311+FS311+GE311+GQ311+HC311+I311+U311+AG311+AS311+BE311+BQ311+CC311+CO311+DA311+DM311+DY311+EK311+EW311+FI311+FU311+GG311+GS311+HE311</f>
        <v>5256</v>
      </c>
      <c r="HP311" s="94">
        <f t="shared" ref="HP311:HP317" si="2891">+(HO311)/HM311</f>
        <v>0.45131375579598143</v>
      </c>
      <c r="HQ311" s="48">
        <f t="shared" ref="HQ311:HQ318" si="2892">+I311+U311+AG311+AS311+BE311+BQ311+CC311+CO311+DA311+DM311+DY311+EK311+EW311+FI311+FU311+GG311+GS311+HE311</f>
        <v>217</v>
      </c>
      <c r="HR311" s="35">
        <f t="shared" ref="HR311:HR318" si="2893">+(HQ311/(HO311))</f>
        <v>4.1286149162861489E-2</v>
      </c>
      <c r="HS311" s="49">
        <v>68.2</v>
      </c>
      <c r="HT311" s="50">
        <v>4951</v>
      </c>
      <c r="HU311" s="49">
        <f t="shared" ref="HU311:HU317" si="2894">+HT311/HO311*100</f>
        <v>94.197108066971083</v>
      </c>
      <c r="HV311" s="48"/>
      <c r="HW311" s="37"/>
      <c r="HX311" s="73">
        <f t="shared" ref="HX311:HX317" si="2895">SUM(G311,I311,S311,U311,AE311,AG311,AQ311,AS311,BC311,BE311)/SUM(E311,Q311,AC311,AO311,BA311)</f>
        <v>0.45523091423185674</v>
      </c>
      <c r="HY311" s="73">
        <f t="shared" ref="HY311:HY317" si="2896">SUM(BO311,BQ311,CA311,CC311,CM311,CO311,CY311,DA311,DK311,DM311)/SUM(BM311,BY311,CK311,CW311,DI311)</f>
        <v>0.46001942376173521</v>
      </c>
      <c r="HZ311" s="73">
        <f t="shared" ref="HZ311:HZ317" si="2897">SUM(DW311,DY311,EI311,EK311,EU311,EW311,FG311,FI311)/SUM(DU311,EG311,ES311,FE311)</f>
        <v>0.45210147671336615</v>
      </c>
      <c r="IA311" s="73">
        <f t="shared" ref="IA311:IA317" si="2898">SUM(FS311,FU311,GE311,GG311,GQ311,GS311,HC311,HE311)/SUM(FQ311,GC311,GO311,HA311)</f>
        <v>0.43615075009147458</v>
      </c>
    </row>
    <row r="312" spans="1:244" x14ac:dyDescent="0.25">
      <c r="A312" s="374"/>
      <c r="B312" s="41">
        <f t="shared" ref="B312:B317" si="2899">+B311+1</f>
        <v>45180</v>
      </c>
      <c r="C312" s="10"/>
      <c r="D312" s="11"/>
      <c r="E312" s="69">
        <f t="shared" ref="E312:E317" si="2900">E311-C312</f>
        <v>805</v>
      </c>
      <c r="F312" s="69">
        <f t="shared" ref="F312:F317" si="2901">F311-D312</f>
        <v>62</v>
      </c>
      <c r="G312" s="11">
        <v>360</v>
      </c>
      <c r="H312" s="12">
        <f t="shared" si="2850"/>
        <v>0.45962732919254656</v>
      </c>
      <c r="I312" s="11">
        <v>10</v>
      </c>
      <c r="J312" s="12">
        <f t="shared" si="2851"/>
        <v>2.7027027027027029E-2</v>
      </c>
      <c r="K312" s="13"/>
      <c r="L312" s="11"/>
      <c r="M312" s="11"/>
      <c r="N312" s="14"/>
      <c r="O312" s="10"/>
      <c r="P312" s="11"/>
      <c r="Q312" s="69">
        <f t="shared" ref="Q312:Q317" si="2902">Q311-O312</f>
        <v>737</v>
      </c>
      <c r="R312" s="69">
        <f t="shared" ref="R312:R317" si="2903">R311-P312</f>
        <v>56</v>
      </c>
      <c r="S312" s="11">
        <v>346</v>
      </c>
      <c r="T312" s="12">
        <f t="shared" si="2852"/>
        <v>0.48710990502035278</v>
      </c>
      <c r="U312" s="11">
        <v>13</v>
      </c>
      <c r="V312" s="12">
        <f t="shared" si="2853"/>
        <v>3.6211699164345405E-2</v>
      </c>
      <c r="W312" s="13"/>
      <c r="X312" s="11"/>
      <c r="Y312" s="11"/>
      <c r="Z312" s="14"/>
      <c r="AA312" s="10"/>
      <c r="AB312" s="11"/>
      <c r="AC312" s="69">
        <f t="shared" ref="AC312:AC317" si="2904">AC311-AA312</f>
        <v>152</v>
      </c>
      <c r="AD312" s="69">
        <f t="shared" ref="AD312:AD317" si="2905">AD311-AB312</f>
        <v>11</v>
      </c>
      <c r="AE312" s="11">
        <v>74</v>
      </c>
      <c r="AF312" s="12">
        <f t="shared" si="2854"/>
        <v>0.51973684210526316</v>
      </c>
      <c r="AG312" s="11">
        <v>5</v>
      </c>
      <c r="AH312" s="12">
        <f t="shared" si="2855"/>
        <v>6.3291139240506333E-2</v>
      </c>
      <c r="AI312" s="13"/>
      <c r="AJ312" s="11"/>
      <c r="AK312" s="11"/>
      <c r="AL312" s="14"/>
      <c r="AM312" s="10"/>
      <c r="AN312" s="11"/>
      <c r="AO312" s="69">
        <f t="shared" ref="AO312:AO317" si="2906">AO311-AM312</f>
        <v>747</v>
      </c>
      <c r="AP312" s="69">
        <f t="shared" ref="AP312:AP317" si="2907">AP311-AN312</f>
        <v>57</v>
      </c>
      <c r="AQ312" s="11">
        <v>352</v>
      </c>
      <c r="AR312" s="12">
        <f t="shared" si="2856"/>
        <v>0.48460508701472554</v>
      </c>
      <c r="AS312" s="11">
        <v>10</v>
      </c>
      <c r="AT312" s="12">
        <f t="shared" si="2857"/>
        <v>2.7624309392265192E-2</v>
      </c>
      <c r="AU312" s="13"/>
      <c r="AV312" s="11"/>
      <c r="AW312" s="11"/>
      <c r="AX312" s="14"/>
      <c r="AY312" s="10">
        <v>1</v>
      </c>
      <c r="AZ312" s="11"/>
      <c r="BA312" s="69">
        <f t="shared" ref="BA312:BA317" si="2908">BA311-AY312</f>
        <v>741</v>
      </c>
      <c r="BB312" s="69">
        <f t="shared" ref="BB312:BB317" si="2909">BB311-AZ312</f>
        <v>57</v>
      </c>
      <c r="BC312" s="11">
        <v>335</v>
      </c>
      <c r="BD312" s="12">
        <f t="shared" si="2858"/>
        <v>0.47098515519568152</v>
      </c>
      <c r="BE312" s="11">
        <v>14</v>
      </c>
      <c r="BF312" s="12">
        <f t="shared" si="2859"/>
        <v>4.0114613180515762E-2</v>
      </c>
      <c r="BG312" s="13"/>
      <c r="BH312" s="11"/>
      <c r="BI312" s="11"/>
      <c r="BJ312" s="14"/>
      <c r="BK312" s="10">
        <v>1</v>
      </c>
      <c r="BL312" s="11"/>
      <c r="BM312" s="69">
        <f t="shared" ref="BM312:BM317" si="2910">BM311-BK312</f>
        <v>792</v>
      </c>
      <c r="BN312" s="69">
        <f t="shared" ref="BN312:BN317" si="2911">BN311-BL312</f>
        <v>61</v>
      </c>
      <c r="BO312" s="11">
        <v>350</v>
      </c>
      <c r="BP312" s="12">
        <f t="shared" si="2860"/>
        <v>0.45202020202020204</v>
      </c>
      <c r="BQ312" s="11">
        <v>8</v>
      </c>
      <c r="BR312" s="12">
        <f t="shared" si="2861"/>
        <v>2.23463687150838E-2</v>
      </c>
      <c r="BS312" s="13"/>
      <c r="BT312" s="11"/>
      <c r="BU312" s="11"/>
      <c r="BV312" s="14"/>
      <c r="BW312" s="10"/>
      <c r="BX312" s="11"/>
      <c r="BY312" s="69">
        <f t="shared" ref="BY312:BY317" si="2912">BY311-BW312</f>
        <v>730</v>
      </c>
      <c r="BZ312" s="69">
        <f t="shared" ref="BZ312:BZ317" si="2913">BZ311-BX312</f>
        <v>57</v>
      </c>
      <c r="CA312" s="11">
        <v>322</v>
      </c>
      <c r="CB312" s="12">
        <f t="shared" si="2862"/>
        <v>0.4589041095890411</v>
      </c>
      <c r="CC312" s="11">
        <v>13</v>
      </c>
      <c r="CD312" s="12">
        <f t="shared" si="2863"/>
        <v>3.880597014925373E-2</v>
      </c>
      <c r="CE312" s="13"/>
      <c r="CF312" s="11"/>
      <c r="CG312" s="11"/>
      <c r="CH312" s="14"/>
      <c r="CI312" s="10"/>
      <c r="CJ312" s="11"/>
      <c r="CK312" s="69">
        <f t="shared" ref="CK312:CK317" si="2914">CK311-CI312</f>
        <v>125</v>
      </c>
      <c r="CL312" s="69">
        <f t="shared" ref="CL312:CL317" si="2915">CL311-CJ312</f>
        <v>10</v>
      </c>
      <c r="CM312" s="11">
        <v>44</v>
      </c>
      <c r="CN312" s="12">
        <f t="shared" si="2864"/>
        <v>0.36799999999999999</v>
      </c>
      <c r="CO312" s="11">
        <v>2</v>
      </c>
      <c r="CP312" s="12">
        <f t="shared" si="2865"/>
        <v>4.3478260869565216E-2</v>
      </c>
      <c r="CQ312" s="13"/>
      <c r="CR312" s="11"/>
      <c r="CS312" s="11"/>
      <c r="CT312" s="14"/>
      <c r="CU312" s="10"/>
      <c r="CV312" s="11"/>
      <c r="CW312" s="69">
        <f t="shared" ref="CW312:CW317" si="2916">CW311-CU312</f>
        <v>722</v>
      </c>
      <c r="CX312" s="69">
        <f t="shared" ref="CX312:CX317" si="2917">CX311-CV312</f>
        <v>56</v>
      </c>
      <c r="CY312" s="11">
        <v>324</v>
      </c>
      <c r="CZ312" s="12">
        <f t="shared" si="2866"/>
        <v>0.46121883656509693</v>
      </c>
      <c r="DA312" s="11">
        <v>9</v>
      </c>
      <c r="DB312" s="12">
        <f t="shared" si="2867"/>
        <v>2.7027027027027029E-2</v>
      </c>
      <c r="DC312" s="13"/>
      <c r="DD312" s="11"/>
      <c r="DE312" s="11"/>
      <c r="DF312" s="14"/>
      <c r="DG312" s="10"/>
      <c r="DH312" s="11"/>
      <c r="DI312" s="69">
        <f t="shared" ref="DI312:DI317" si="2918">DI311-DG312</f>
        <v>719</v>
      </c>
      <c r="DJ312" s="69">
        <f t="shared" ref="DJ312:DJ317" si="2919">DJ311-DH312</f>
        <v>56</v>
      </c>
      <c r="DK312" s="11">
        <v>345</v>
      </c>
      <c r="DL312" s="12">
        <f t="shared" si="2868"/>
        <v>0.49095966620305981</v>
      </c>
      <c r="DM312" s="11">
        <v>8</v>
      </c>
      <c r="DN312" s="12">
        <f t="shared" si="2869"/>
        <v>2.2662889518413599E-2</v>
      </c>
      <c r="DO312" s="13"/>
      <c r="DP312" s="11"/>
      <c r="DQ312" s="11"/>
      <c r="DR312" s="14"/>
      <c r="DS312" s="10"/>
      <c r="DT312" s="11"/>
      <c r="DU312" s="69">
        <f t="shared" ref="DU312:DU317" si="2920">DU311-DS312</f>
        <v>808</v>
      </c>
      <c r="DV312" s="69">
        <f t="shared" ref="DV312:DV317" si="2921">DV311-DT312</f>
        <v>63</v>
      </c>
      <c r="DW312" s="11">
        <v>349</v>
      </c>
      <c r="DX312" s="12">
        <f t="shared" si="2870"/>
        <v>0.45544554455445546</v>
      </c>
      <c r="DY312" s="11">
        <v>19</v>
      </c>
      <c r="DZ312" s="12">
        <f t="shared" si="2871"/>
        <v>5.1630434782608696E-2</v>
      </c>
      <c r="EA312" s="13"/>
      <c r="EB312" s="11"/>
      <c r="EC312" s="11"/>
      <c r="ED312" s="14"/>
      <c r="EE312" s="10"/>
      <c r="EF312" s="11"/>
      <c r="EG312" s="69">
        <f t="shared" ref="EG312:EG317" si="2922">EG311-EE312</f>
        <v>836</v>
      </c>
      <c r="EH312" s="69">
        <f t="shared" ref="EH312:EH317" si="2923">EH311-EF312</f>
        <v>63</v>
      </c>
      <c r="EI312" s="11">
        <v>367</v>
      </c>
      <c r="EJ312" s="12">
        <f t="shared" si="2872"/>
        <v>0.45574162679425839</v>
      </c>
      <c r="EK312" s="11">
        <v>14</v>
      </c>
      <c r="EL312" s="12">
        <f t="shared" si="2873"/>
        <v>3.6745406824146981E-2</v>
      </c>
      <c r="EM312" s="13"/>
      <c r="EN312" s="11"/>
      <c r="EO312" s="11"/>
      <c r="EP312" s="14"/>
      <c r="EQ312" s="10">
        <v>1</v>
      </c>
      <c r="ER312" s="11"/>
      <c r="ES312" s="69">
        <f t="shared" ref="ES312:ES317" si="2924">ES311-EQ312</f>
        <v>155</v>
      </c>
      <c r="ET312" s="69">
        <f t="shared" ref="ET312:ET317" si="2925">ET311-ER312</f>
        <v>12</v>
      </c>
      <c r="EU312" s="11">
        <v>65</v>
      </c>
      <c r="EV312" s="12">
        <f t="shared" si="2874"/>
        <v>0.45161290322580644</v>
      </c>
      <c r="EW312" s="11">
        <v>5</v>
      </c>
      <c r="EX312" s="12">
        <f t="shared" si="2875"/>
        <v>7.1428571428571425E-2</v>
      </c>
      <c r="EY312" s="13"/>
      <c r="EZ312" s="11"/>
      <c r="FA312" s="11"/>
      <c r="FB312" s="14"/>
      <c r="FC312" s="10"/>
      <c r="FD312" s="11"/>
      <c r="FE312" s="69">
        <f t="shared" ref="FE312:FE317" si="2926">FE311-FC312</f>
        <v>841</v>
      </c>
      <c r="FF312" s="69">
        <f t="shared" ref="FF312:FF317" si="2927">FF311-FD312</f>
        <v>65</v>
      </c>
      <c r="FG312" s="11">
        <v>404</v>
      </c>
      <c r="FH312" s="12">
        <f t="shared" si="2876"/>
        <v>0.50178359096313907</v>
      </c>
      <c r="FI312" s="11">
        <v>18</v>
      </c>
      <c r="FJ312" s="12">
        <f t="shared" si="2877"/>
        <v>4.2654028436018961E-2</v>
      </c>
      <c r="FK312" s="13"/>
      <c r="FL312" s="11"/>
      <c r="FM312" s="11"/>
      <c r="FN312" s="14"/>
      <c r="FO312" s="10"/>
      <c r="FP312" s="11"/>
      <c r="FQ312" s="69">
        <f t="shared" ref="FQ312:FQ317" si="2928">FQ311-FO312</f>
        <v>845</v>
      </c>
      <c r="FR312" s="69">
        <f t="shared" ref="FR312:FR317" si="2929">FR311-FP312</f>
        <v>66</v>
      </c>
      <c r="FS312" s="11">
        <v>354</v>
      </c>
      <c r="FT312" s="12">
        <f t="shared" si="2878"/>
        <v>0.44260355029585796</v>
      </c>
      <c r="FU312" s="11">
        <v>20</v>
      </c>
      <c r="FV312" s="12">
        <f t="shared" si="2879"/>
        <v>5.3475935828877004E-2</v>
      </c>
      <c r="FW312" s="13"/>
      <c r="FX312" s="11"/>
      <c r="FY312" s="11"/>
      <c r="FZ312" s="14"/>
      <c r="GA312" s="10"/>
      <c r="GB312" s="11"/>
      <c r="GC312" s="69">
        <f t="shared" ref="GC312:GC317" si="2930">GC311-GA312</f>
        <v>864</v>
      </c>
      <c r="GD312" s="69">
        <f t="shared" ref="GD312:GD317" si="2931">GD311-GB312</f>
        <v>67</v>
      </c>
      <c r="GE312" s="11">
        <v>431</v>
      </c>
      <c r="GF312" s="12">
        <f t="shared" si="2880"/>
        <v>0.51967592592592593</v>
      </c>
      <c r="GG312" s="11">
        <v>18</v>
      </c>
      <c r="GH312" s="12">
        <f t="shared" si="2881"/>
        <v>4.0089086859688199E-2</v>
      </c>
      <c r="GI312" s="13"/>
      <c r="GJ312" s="11"/>
      <c r="GK312" s="11"/>
      <c r="GL312" s="14"/>
      <c r="GM312" s="10"/>
      <c r="GN312" s="11"/>
      <c r="GO312" s="69">
        <f t="shared" ref="GO312:GO317" si="2932">GO311-GM312</f>
        <v>132</v>
      </c>
      <c r="GP312" s="69">
        <f t="shared" ref="GP312:GP317" si="2933">GP311-GN312</f>
        <v>10</v>
      </c>
      <c r="GQ312" s="11">
        <v>57</v>
      </c>
      <c r="GR312" s="12">
        <f t="shared" si="2882"/>
        <v>0.45454545454545453</v>
      </c>
      <c r="GS312" s="11">
        <v>3</v>
      </c>
      <c r="GT312" s="12">
        <f t="shared" si="2883"/>
        <v>0.05</v>
      </c>
      <c r="GU312" s="13"/>
      <c r="GV312" s="11"/>
      <c r="GW312" s="11"/>
      <c r="GX312" s="14"/>
      <c r="GY312" s="10"/>
      <c r="GZ312" s="11"/>
      <c r="HA312" s="69">
        <f t="shared" ref="HA312:HA317" si="2934">HA311-GY312</f>
        <v>892</v>
      </c>
      <c r="HB312" s="69">
        <f t="shared" ref="HB312:HB317" si="2935">HB311-GZ312</f>
        <v>69</v>
      </c>
      <c r="HC312" s="11">
        <v>445</v>
      </c>
      <c r="HD312" s="12">
        <f t="shared" si="2884"/>
        <v>0.51569506726457404</v>
      </c>
      <c r="HE312" s="11">
        <v>15</v>
      </c>
      <c r="HF312" s="12">
        <f t="shared" si="2885"/>
        <v>3.2608695652173912E-2</v>
      </c>
      <c r="HG312" s="13"/>
      <c r="HH312" s="11"/>
      <c r="HI312" s="11"/>
      <c r="HJ312" s="14"/>
      <c r="HK312" s="10">
        <f t="shared" si="2886"/>
        <v>3</v>
      </c>
      <c r="HL312" s="11">
        <f t="shared" si="2887"/>
        <v>0</v>
      </c>
      <c r="HM312" s="11">
        <f t="shared" si="2888"/>
        <v>11643</v>
      </c>
      <c r="HN312" s="11">
        <f t="shared" si="2889"/>
        <v>898</v>
      </c>
      <c r="HO312" s="11">
        <f t="shared" si="2890"/>
        <v>5528</v>
      </c>
      <c r="HP312" s="95">
        <f t="shared" si="2891"/>
        <v>0.47479172034698963</v>
      </c>
      <c r="HQ312" s="15">
        <f t="shared" si="2892"/>
        <v>204</v>
      </c>
      <c r="HR312" s="12">
        <f t="shared" si="2893"/>
        <v>3.6903039073806078E-2</v>
      </c>
      <c r="HS312" s="16">
        <v>68</v>
      </c>
      <c r="HT312" s="17">
        <v>5236</v>
      </c>
      <c r="HU312" s="16">
        <f t="shared" si="2894"/>
        <v>94.717800289435601</v>
      </c>
      <c r="HV312" s="15"/>
      <c r="HW312" s="14"/>
      <c r="HX312" s="73">
        <f t="shared" si="2895"/>
        <v>0.47737272155876809</v>
      </c>
      <c r="HY312" s="73">
        <f t="shared" si="2896"/>
        <v>0.46146373056994816</v>
      </c>
      <c r="HZ312" s="73">
        <f t="shared" si="2897"/>
        <v>0.47007575757575759</v>
      </c>
      <c r="IA312" s="73">
        <f t="shared" si="2898"/>
        <v>0.49140139041346503</v>
      </c>
    </row>
    <row r="313" spans="1:244" x14ac:dyDescent="0.25">
      <c r="A313" s="374"/>
      <c r="B313" s="41">
        <f t="shared" si="2899"/>
        <v>45181</v>
      </c>
      <c r="C313" s="10">
        <v>1</v>
      </c>
      <c r="D313" s="11"/>
      <c r="E313" s="69">
        <f t="shared" si="2900"/>
        <v>804</v>
      </c>
      <c r="F313" s="69">
        <f t="shared" si="2901"/>
        <v>62</v>
      </c>
      <c r="G313" s="11">
        <v>318</v>
      </c>
      <c r="H313" s="12">
        <f t="shared" si="2850"/>
        <v>0.41044776119402987</v>
      </c>
      <c r="I313" s="11">
        <v>12</v>
      </c>
      <c r="J313" s="12">
        <f t="shared" si="2851"/>
        <v>3.6363636363636362E-2</v>
      </c>
      <c r="K313" s="13"/>
      <c r="L313" s="11"/>
      <c r="M313" s="11"/>
      <c r="N313" s="14"/>
      <c r="O313" s="10"/>
      <c r="P313" s="11"/>
      <c r="Q313" s="69">
        <f t="shared" si="2902"/>
        <v>737</v>
      </c>
      <c r="R313" s="69">
        <f t="shared" si="2903"/>
        <v>56</v>
      </c>
      <c r="S313" s="11">
        <v>317</v>
      </c>
      <c r="T313" s="12">
        <f t="shared" si="2852"/>
        <v>0.4450474898236092</v>
      </c>
      <c r="U313" s="11">
        <v>11</v>
      </c>
      <c r="V313" s="12">
        <f t="shared" si="2853"/>
        <v>3.3536585365853661E-2</v>
      </c>
      <c r="W313" s="13"/>
      <c r="X313" s="11"/>
      <c r="Y313" s="11"/>
      <c r="Z313" s="14"/>
      <c r="AA313" s="10"/>
      <c r="AB313" s="11"/>
      <c r="AC313" s="69">
        <f t="shared" si="2904"/>
        <v>152</v>
      </c>
      <c r="AD313" s="69">
        <f t="shared" si="2905"/>
        <v>11</v>
      </c>
      <c r="AE313" s="11">
        <v>52</v>
      </c>
      <c r="AF313" s="12">
        <f t="shared" si="2854"/>
        <v>0.34868421052631576</v>
      </c>
      <c r="AG313" s="11">
        <v>1</v>
      </c>
      <c r="AH313" s="12">
        <f t="shared" si="2855"/>
        <v>1.8867924528301886E-2</v>
      </c>
      <c r="AI313" s="13"/>
      <c r="AJ313" s="11"/>
      <c r="AK313" s="11"/>
      <c r="AL313" s="14"/>
      <c r="AM313" s="10"/>
      <c r="AN313" s="11"/>
      <c r="AO313" s="69">
        <f t="shared" si="2906"/>
        <v>747</v>
      </c>
      <c r="AP313" s="69">
        <f t="shared" si="2907"/>
        <v>57</v>
      </c>
      <c r="AQ313" s="11">
        <v>325</v>
      </c>
      <c r="AR313" s="12">
        <f t="shared" si="2856"/>
        <v>0.44846050870147258</v>
      </c>
      <c r="AS313" s="11">
        <v>10</v>
      </c>
      <c r="AT313" s="12">
        <f t="shared" si="2857"/>
        <v>2.9850746268656716E-2</v>
      </c>
      <c r="AU313" s="13"/>
      <c r="AV313" s="11"/>
      <c r="AW313" s="11"/>
      <c r="AX313" s="14"/>
      <c r="AY313" s="10"/>
      <c r="AZ313" s="11"/>
      <c r="BA313" s="69">
        <f t="shared" si="2908"/>
        <v>741</v>
      </c>
      <c r="BB313" s="69">
        <f t="shared" si="2909"/>
        <v>57</v>
      </c>
      <c r="BC313" s="11">
        <v>324</v>
      </c>
      <c r="BD313" s="12">
        <f t="shared" si="2858"/>
        <v>0.45614035087719296</v>
      </c>
      <c r="BE313" s="11">
        <v>14</v>
      </c>
      <c r="BF313" s="12">
        <f t="shared" si="2859"/>
        <v>4.142011834319527E-2</v>
      </c>
      <c r="BG313" s="13"/>
      <c r="BH313" s="11"/>
      <c r="BI313" s="11"/>
      <c r="BJ313" s="14"/>
      <c r="BK313" s="10">
        <v>2</v>
      </c>
      <c r="BL313" s="11"/>
      <c r="BM313" s="69">
        <f t="shared" si="2910"/>
        <v>790</v>
      </c>
      <c r="BN313" s="69">
        <f t="shared" si="2911"/>
        <v>61</v>
      </c>
      <c r="BO313" s="11">
        <v>318</v>
      </c>
      <c r="BP313" s="12">
        <f t="shared" si="2860"/>
        <v>0.41392405063291138</v>
      </c>
      <c r="BQ313" s="11">
        <v>9</v>
      </c>
      <c r="BR313" s="12">
        <f t="shared" si="2861"/>
        <v>2.7522935779816515E-2</v>
      </c>
      <c r="BS313" s="13"/>
      <c r="BT313" s="11"/>
      <c r="BU313" s="11"/>
      <c r="BV313" s="14"/>
      <c r="BW313" s="10"/>
      <c r="BX313" s="11"/>
      <c r="BY313" s="69">
        <f t="shared" si="2912"/>
        <v>730</v>
      </c>
      <c r="BZ313" s="69">
        <f t="shared" si="2913"/>
        <v>57</v>
      </c>
      <c r="CA313" s="11">
        <v>297</v>
      </c>
      <c r="CB313" s="12">
        <f t="shared" si="2862"/>
        <v>0.4178082191780822</v>
      </c>
      <c r="CC313" s="11">
        <v>8</v>
      </c>
      <c r="CD313" s="12">
        <f t="shared" si="2863"/>
        <v>2.6229508196721311E-2</v>
      </c>
      <c r="CE313" s="13"/>
      <c r="CF313" s="11"/>
      <c r="CG313" s="11"/>
      <c r="CH313" s="14"/>
      <c r="CI313" s="10"/>
      <c r="CJ313" s="11"/>
      <c r="CK313" s="69">
        <f t="shared" si="2914"/>
        <v>125</v>
      </c>
      <c r="CL313" s="69">
        <f t="shared" si="2915"/>
        <v>10</v>
      </c>
      <c r="CM313" s="11">
        <v>45</v>
      </c>
      <c r="CN313" s="12">
        <f t="shared" si="2864"/>
        <v>0.40799999999999997</v>
      </c>
      <c r="CO313" s="11">
        <v>6</v>
      </c>
      <c r="CP313" s="12">
        <f t="shared" si="2865"/>
        <v>0.11764705882352941</v>
      </c>
      <c r="CQ313" s="13"/>
      <c r="CR313" s="11"/>
      <c r="CS313" s="11"/>
      <c r="CT313" s="14"/>
      <c r="CU313" s="10"/>
      <c r="CV313" s="11"/>
      <c r="CW313" s="69">
        <f t="shared" si="2916"/>
        <v>722</v>
      </c>
      <c r="CX313" s="69">
        <f t="shared" si="2917"/>
        <v>56</v>
      </c>
      <c r="CY313" s="11">
        <v>285</v>
      </c>
      <c r="CZ313" s="12">
        <f t="shared" si="2866"/>
        <v>0.40443213296398894</v>
      </c>
      <c r="DA313" s="11">
        <v>7</v>
      </c>
      <c r="DB313" s="12">
        <f t="shared" si="2867"/>
        <v>2.3972602739726026E-2</v>
      </c>
      <c r="DC313" s="13"/>
      <c r="DD313" s="11"/>
      <c r="DE313" s="11"/>
      <c r="DF313" s="14"/>
      <c r="DG313" s="10"/>
      <c r="DH313" s="11"/>
      <c r="DI313" s="69">
        <f t="shared" si="2918"/>
        <v>719</v>
      </c>
      <c r="DJ313" s="69">
        <f t="shared" si="2919"/>
        <v>56</v>
      </c>
      <c r="DK313" s="11">
        <v>339</v>
      </c>
      <c r="DL313" s="12">
        <f t="shared" si="2868"/>
        <v>0.4756606397774687</v>
      </c>
      <c r="DM313" s="11">
        <v>3</v>
      </c>
      <c r="DN313" s="12">
        <f t="shared" si="2869"/>
        <v>8.771929824561403E-3</v>
      </c>
      <c r="DO313" s="13"/>
      <c r="DP313" s="11"/>
      <c r="DQ313" s="11"/>
      <c r="DR313" s="14"/>
      <c r="DS313" s="10"/>
      <c r="DT313" s="11"/>
      <c r="DU313" s="69">
        <f t="shared" si="2920"/>
        <v>808</v>
      </c>
      <c r="DV313" s="69">
        <f t="shared" si="2921"/>
        <v>63</v>
      </c>
      <c r="DW313" s="11">
        <v>355</v>
      </c>
      <c r="DX313" s="12">
        <f t="shared" si="2870"/>
        <v>0.45915841584158418</v>
      </c>
      <c r="DY313" s="11">
        <v>16</v>
      </c>
      <c r="DZ313" s="12">
        <f t="shared" si="2871"/>
        <v>4.3126684636118601E-2</v>
      </c>
      <c r="EA313" s="13"/>
      <c r="EB313" s="11"/>
      <c r="EC313" s="11"/>
      <c r="ED313" s="14"/>
      <c r="EE313" s="10"/>
      <c r="EF313" s="11"/>
      <c r="EG313" s="69">
        <f t="shared" si="2922"/>
        <v>836</v>
      </c>
      <c r="EH313" s="69">
        <f t="shared" si="2923"/>
        <v>63</v>
      </c>
      <c r="EI313" s="11">
        <v>364</v>
      </c>
      <c r="EJ313" s="12">
        <f t="shared" si="2872"/>
        <v>0.458133971291866</v>
      </c>
      <c r="EK313" s="11">
        <v>19</v>
      </c>
      <c r="EL313" s="12">
        <f t="shared" si="2873"/>
        <v>4.960835509138381E-2</v>
      </c>
      <c r="EM313" s="13"/>
      <c r="EN313" s="11"/>
      <c r="EO313" s="11"/>
      <c r="EP313" s="14"/>
      <c r="EQ313" s="10">
        <v>1</v>
      </c>
      <c r="ER313" s="11"/>
      <c r="ES313" s="69">
        <f t="shared" si="2924"/>
        <v>154</v>
      </c>
      <c r="ET313" s="69">
        <f t="shared" si="2925"/>
        <v>12</v>
      </c>
      <c r="EU313" s="11">
        <v>59</v>
      </c>
      <c r="EV313" s="12">
        <f t="shared" si="2874"/>
        <v>0.40909090909090912</v>
      </c>
      <c r="EW313" s="11">
        <v>4</v>
      </c>
      <c r="EX313" s="12">
        <f t="shared" si="2875"/>
        <v>6.3492063492063489E-2</v>
      </c>
      <c r="EY313" s="13"/>
      <c r="EZ313" s="11"/>
      <c r="FA313" s="11"/>
      <c r="FB313" s="14"/>
      <c r="FC313" s="10"/>
      <c r="FD313" s="11"/>
      <c r="FE313" s="69">
        <f t="shared" si="2926"/>
        <v>841</v>
      </c>
      <c r="FF313" s="69">
        <f t="shared" si="2927"/>
        <v>65</v>
      </c>
      <c r="FG313" s="11">
        <v>379</v>
      </c>
      <c r="FH313" s="12">
        <f t="shared" si="2876"/>
        <v>0.46730083234244946</v>
      </c>
      <c r="FI313" s="11">
        <v>14</v>
      </c>
      <c r="FJ313" s="12">
        <f t="shared" si="2877"/>
        <v>3.5623409669211195E-2</v>
      </c>
      <c r="FK313" s="13"/>
      <c r="FL313" s="11"/>
      <c r="FM313" s="11"/>
      <c r="FN313" s="14"/>
      <c r="FO313" s="10"/>
      <c r="FP313" s="11"/>
      <c r="FQ313" s="69">
        <f t="shared" si="2928"/>
        <v>845</v>
      </c>
      <c r="FR313" s="69">
        <f t="shared" si="2929"/>
        <v>66</v>
      </c>
      <c r="FS313" s="11">
        <v>356</v>
      </c>
      <c r="FT313" s="12">
        <f t="shared" si="2878"/>
        <v>0.45207100591715976</v>
      </c>
      <c r="FU313" s="11">
        <v>26</v>
      </c>
      <c r="FV313" s="12">
        <f t="shared" si="2879"/>
        <v>6.8062827225130892E-2</v>
      </c>
      <c r="FW313" s="13"/>
      <c r="FX313" s="11"/>
      <c r="FY313" s="11"/>
      <c r="FZ313" s="14"/>
      <c r="GA313" s="10"/>
      <c r="GB313" s="11"/>
      <c r="GC313" s="69">
        <f t="shared" si="2930"/>
        <v>864</v>
      </c>
      <c r="GD313" s="69">
        <f t="shared" si="2931"/>
        <v>67</v>
      </c>
      <c r="GE313" s="11">
        <v>377</v>
      </c>
      <c r="GF313" s="12">
        <f t="shared" si="2880"/>
        <v>0.44907407407407407</v>
      </c>
      <c r="GG313" s="11">
        <v>11</v>
      </c>
      <c r="GH313" s="12">
        <f t="shared" si="2881"/>
        <v>2.8350515463917526E-2</v>
      </c>
      <c r="GI313" s="13"/>
      <c r="GJ313" s="11"/>
      <c r="GK313" s="11"/>
      <c r="GL313" s="14"/>
      <c r="GM313" s="10"/>
      <c r="GN313" s="11"/>
      <c r="GO313" s="69">
        <f t="shared" si="2932"/>
        <v>132</v>
      </c>
      <c r="GP313" s="69">
        <f t="shared" si="2933"/>
        <v>10</v>
      </c>
      <c r="GQ313" s="11">
        <v>47</v>
      </c>
      <c r="GR313" s="12">
        <f t="shared" si="2882"/>
        <v>0.36363636363636365</v>
      </c>
      <c r="GS313" s="11">
        <v>1</v>
      </c>
      <c r="GT313" s="12">
        <f t="shared" si="2883"/>
        <v>2.0833333333333332E-2</v>
      </c>
      <c r="GU313" s="13"/>
      <c r="GV313" s="11"/>
      <c r="GW313" s="11"/>
      <c r="GX313" s="14"/>
      <c r="GY313" s="10">
        <v>1</v>
      </c>
      <c r="GZ313" s="11"/>
      <c r="HA313" s="69">
        <f t="shared" si="2934"/>
        <v>891</v>
      </c>
      <c r="HB313" s="69">
        <f t="shared" si="2935"/>
        <v>69</v>
      </c>
      <c r="HC313" s="11">
        <v>403</v>
      </c>
      <c r="HD313" s="12">
        <f t="shared" si="2884"/>
        <v>0.47362514029180697</v>
      </c>
      <c r="HE313" s="11">
        <v>19</v>
      </c>
      <c r="HF313" s="12">
        <f t="shared" si="2885"/>
        <v>4.5023696682464455E-2</v>
      </c>
      <c r="HG313" s="13"/>
      <c r="HH313" s="11"/>
      <c r="HI313" s="11"/>
      <c r="HJ313" s="14"/>
      <c r="HK313" s="10">
        <f t="shared" si="2886"/>
        <v>5</v>
      </c>
      <c r="HL313" s="11">
        <f t="shared" si="2887"/>
        <v>0</v>
      </c>
      <c r="HM313" s="11">
        <f t="shared" si="2888"/>
        <v>11638</v>
      </c>
      <c r="HN313" s="11">
        <f t="shared" si="2889"/>
        <v>898</v>
      </c>
      <c r="HO313" s="11">
        <f t="shared" si="2890"/>
        <v>5151</v>
      </c>
      <c r="HP313" s="95">
        <f t="shared" si="2891"/>
        <v>0.44260182161883488</v>
      </c>
      <c r="HQ313" s="15">
        <f t="shared" si="2892"/>
        <v>191</v>
      </c>
      <c r="HR313" s="12">
        <f t="shared" si="2893"/>
        <v>3.7080178606095901E-2</v>
      </c>
      <c r="HS313" s="16">
        <v>68.2</v>
      </c>
      <c r="HT313" s="17">
        <v>4855</v>
      </c>
      <c r="HU313" s="16">
        <f t="shared" si="2894"/>
        <v>94.253543001358963</v>
      </c>
      <c r="HV313" s="15"/>
      <c r="HW313" s="14"/>
      <c r="HX313" s="73">
        <f t="shared" si="2895"/>
        <v>0.4350833071361207</v>
      </c>
      <c r="HY313" s="73">
        <f t="shared" si="2896"/>
        <v>0.42676604018146469</v>
      </c>
      <c r="HZ313" s="73">
        <f t="shared" si="2897"/>
        <v>0.45850701023114815</v>
      </c>
      <c r="IA313" s="73">
        <f t="shared" si="2898"/>
        <v>0.45387994143484628</v>
      </c>
    </row>
    <row r="314" spans="1:244" x14ac:dyDescent="0.25">
      <c r="A314" s="374"/>
      <c r="B314" s="41">
        <f t="shared" si="2899"/>
        <v>45182</v>
      </c>
      <c r="C314" s="10"/>
      <c r="D314" s="11"/>
      <c r="E314" s="69">
        <f t="shared" si="2900"/>
        <v>804</v>
      </c>
      <c r="F314" s="69">
        <f t="shared" si="2901"/>
        <v>62</v>
      </c>
      <c r="G314" s="11">
        <v>358</v>
      </c>
      <c r="H314" s="12">
        <f t="shared" si="2850"/>
        <v>0.46144278606965172</v>
      </c>
      <c r="I314" s="11">
        <v>13</v>
      </c>
      <c r="J314" s="12">
        <f t="shared" si="2851"/>
        <v>3.5040431266846361E-2</v>
      </c>
      <c r="K314" s="11"/>
      <c r="L314" s="11"/>
      <c r="M314" s="18"/>
      <c r="N314" s="20"/>
      <c r="O314" s="10"/>
      <c r="P314" s="11"/>
      <c r="Q314" s="69">
        <f t="shared" si="2902"/>
        <v>737</v>
      </c>
      <c r="R314" s="69">
        <f t="shared" si="2903"/>
        <v>56</v>
      </c>
      <c r="S314" s="11">
        <v>316</v>
      </c>
      <c r="T314" s="12">
        <f t="shared" si="2852"/>
        <v>0.44640434192673001</v>
      </c>
      <c r="U314" s="11">
        <v>13</v>
      </c>
      <c r="V314" s="12">
        <f t="shared" si="2853"/>
        <v>3.9513677811550151E-2</v>
      </c>
      <c r="W314" s="11"/>
      <c r="X314" s="11"/>
      <c r="Y314" s="18"/>
      <c r="Z314" s="20"/>
      <c r="AA314" s="10"/>
      <c r="AB314" s="11"/>
      <c r="AC314" s="69">
        <f t="shared" si="2904"/>
        <v>152</v>
      </c>
      <c r="AD314" s="69">
        <f t="shared" si="2905"/>
        <v>11</v>
      </c>
      <c r="AE314" s="11">
        <v>71</v>
      </c>
      <c r="AF314" s="12">
        <f t="shared" si="2854"/>
        <v>0.49342105263157893</v>
      </c>
      <c r="AG314" s="11">
        <v>4</v>
      </c>
      <c r="AH314" s="12">
        <f t="shared" si="2855"/>
        <v>5.3333333333333337E-2</v>
      </c>
      <c r="AI314" s="11"/>
      <c r="AJ314" s="11"/>
      <c r="AK314" s="18"/>
      <c r="AL314" s="20"/>
      <c r="AM314" s="10"/>
      <c r="AN314" s="11"/>
      <c r="AO314" s="69">
        <f t="shared" si="2906"/>
        <v>747</v>
      </c>
      <c r="AP314" s="69">
        <f t="shared" si="2907"/>
        <v>57</v>
      </c>
      <c r="AQ314" s="11">
        <v>346</v>
      </c>
      <c r="AR314" s="12">
        <f t="shared" si="2856"/>
        <v>0.47925033467202144</v>
      </c>
      <c r="AS314" s="11">
        <v>12</v>
      </c>
      <c r="AT314" s="12">
        <f t="shared" si="2857"/>
        <v>3.3519553072625698E-2</v>
      </c>
      <c r="AU314" s="11"/>
      <c r="AV314" s="11"/>
      <c r="AW314" s="18"/>
      <c r="AX314" s="20"/>
      <c r="AY314" s="10"/>
      <c r="AZ314" s="11"/>
      <c r="BA314" s="69">
        <f t="shared" si="2908"/>
        <v>741</v>
      </c>
      <c r="BB314" s="69">
        <f t="shared" si="2909"/>
        <v>57</v>
      </c>
      <c r="BC314" s="11">
        <v>316</v>
      </c>
      <c r="BD314" s="12">
        <f t="shared" si="2858"/>
        <v>0.44399460188933876</v>
      </c>
      <c r="BE314" s="11">
        <v>13</v>
      </c>
      <c r="BF314" s="12">
        <f t="shared" si="2859"/>
        <v>3.9513677811550151E-2</v>
      </c>
      <c r="BG314" s="11"/>
      <c r="BH314" s="11"/>
      <c r="BI314" s="18"/>
      <c r="BJ314" s="20"/>
      <c r="BK314" s="10"/>
      <c r="BL314" s="11"/>
      <c r="BM314" s="69">
        <f t="shared" si="2910"/>
        <v>790</v>
      </c>
      <c r="BN314" s="69">
        <f t="shared" si="2911"/>
        <v>61</v>
      </c>
      <c r="BO314" s="11">
        <v>329</v>
      </c>
      <c r="BP314" s="12">
        <f t="shared" si="2860"/>
        <v>0.43037974683544306</v>
      </c>
      <c r="BQ314" s="11">
        <v>11</v>
      </c>
      <c r="BR314" s="12">
        <f t="shared" si="2861"/>
        <v>3.2352941176470591E-2</v>
      </c>
      <c r="BS314" s="11"/>
      <c r="BT314" s="11"/>
      <c r="BU314" s="18"/>
      <c r="BV314" s="20"/>
      <c r="BW314" s="10"/>
      <c r="BX314" s="11"/>
      <c r="BY314" s="69">
        <f t="shared" si="2912"/>
        <v>730</v>
      </c>
      <c r="BZ314" s="69">
        <f t="shared" si="2913"/>
        <v>57</v>
      </c>
      <c r="CA314" s="11">
        <v>320</v>
      </c>
      <c r="CB314" s="12">
        <f t="shared" si="2862"/>
        <v>0.44931506849315067</v>
      </c>
      <c r="CC314" s="11">
        <v>8</v>
      </c>
      <c r="CD314" s="12">
        <f t="shared" si="2863"/>
        <v>2.4390243902439025E-2</v>
      </c>
      <c r="CE314" s="11"/>
      <c r="CF314" s="11"/>
      <c r="CG314" s="18"/>
      <c r="CH314" s="20"/>
      <c r="CI314" s="10"/>
      <c r="CJ314" s="11"/>
      <c r="CK314" s="69">
        <f t="shared" si="2914"/>
        <v>125</v>
      </c>
      <c r="CL314" s="69">
        <f t="shared" si="2915"/>
        <v>10</v>
      </c>
      <c r="CM314" s="11">
        <v>52</v>
      </c>
      <c r="CN314" s="12">
        <f t="shared" si="2864"/>
        <v>0.44</v>
      </c>
      <c r="CO314" s="11">
        <v>3</v>
      </c>
      <c r="CP314" s="12">
        <f t="shared" si="2865"/>
        <v>5.4545454545454543E-2</v>
      </c>
      <c r="CQ314" s="11"/>
      <c r="CR314" s="11"/>
      <c r="CS314" s="18"/>
      <c r="CT314" s="20"/>
      <c r="CU314" s="10"/>
      <c r="CV314" s="11"/>
      <c r="CW314" s="69">
        <f t="shared" si="2916"/>
        <v>722</v>
      </c>
      <c r="CX314" s="69">
        <f t="shared" si="2917"/>
        <v>56</v>
      </c>
      <c r="CY314" s="11">
        <v>291</v>
      </c>
      <c r="CZ314" s="12">
        <f t="shared" si="2866"/>
        <v>0.40858725761772852</v>
      </c>
      <c r="DA314" s="11">
        <v>4</v>
      </c>
      <c r="DB314" s="12">
        <f t="shared" si="2867"/>
        <v>1.3559322033898305E-2</v>
      </c>
      <c r="DC314" s="11"/>
      <c r="DD314" s="11"/>
      <c r="DE314" s="18"/>
      <c r="DF314" s="20"/>
      <c r="DG314" s="10"/>
      <c r="DH314" s="11"/>
      <c r="DI314" s="69">
        <f t="shared" si="2918"/>
        <v>719</v>
      </c>
      <c r="DJ314" s="69">
        <f t="shared" si="2919"/>
        <v>56</v>
      </c>
      <c r="DK314" s="11">
        <v>343</v>
      </c>
      <c r="DL314" s="12">
        <f t="shared" si="2868"/>
        <v>0.4812239221140473</v>
      </c>
      <c r="DM314" s="11">
        <v>3</v>
      </c>
      <c r="DN314" s="12">
        <f t="shared" si="2869"/>
        <v>8.670520231213872E-3</v>
      </c>
      <c r="DO314" s="11"/>
      <c r="DP314" s="11"/>
      <c r="DQ314" s="18"/>
      <c r="DR314" s="20"/>
      <c r="DS314" s="10"/>
      <c r="DT314" s="11"/>
      <c r="DU314" s="69">
        <f t="shared" si="2920"/>
        <v>808</v>
      </c>
      <c r="DV314" s="69">
        <f t="shared" si="2921"/>
        <v>63</v>
      </c>
      <c r="DW314" s="11">
        <v>361</v>
      </c>
      <c r="DX314" s="12">
        <f t="shared" si="2870"/>
        <v>0.46287128712871289</v>
      </c>
      <c r="DY314" s="11">
        <v>13</v>
      </c>
      <c r="DZ314" s="12">
        <f t="shared" si="2871"/>
        <v>3.4759358288770054E-2</v>
      </c>
      <c r="EA314" s="11"/>
      <c r="EB314" s="11"/>
      <c r="EC314" s="18"/>
      <c r="ED314" s="20"/>
      <c r="EE314" s="10">
        <v>1</v>
      </c>
      <c r="EF314" s="11"/>
      <c r="EG314" s="69">
        <f t="shared" si="2922"/>
        <v>835</v>
      </c>
      <c r="EH314" s="69">
        <f t="shared" si="2923"/>
        <v>63</v>
      </c>
      <c r="EI314" s="11">
        <v>358</v>
      </c>
      <c r="EJ314" s="12">
        <f t="shared" si="2872"/>
        <v>0.44910179640718562</v>
      </c>
      <c r="EK314" s="11">
        <v>17</v>
      </c>
      <c r="EL314" s="12">
        <f t="shared" si="2873"/>
        <v>4.5333333333333337E-2</v>
      </c>
      <c r="EM314" s="11"/>
      <c r="EN314" s="11"/>
      <c r="EO314" s="18"/>
      <c r="EP314" s="20"/>
      <c r="EQ314" s="10"/>
      <c r="ER314" s="11"/>
      <c r="ES314" s="69">
        <f t="shared" si="2924"/>
        <v>154</v>
      </c>
      <c r="ET314" s="69">
        <f t="shared" si="2925"/>
        <v>12</v>
      </c>
      <c r="EU314" s="11">
        <v>73</v>
      </c>
      <c r="EV314" s="12">
        <f t="shared" si="2874"/>
        <v>0.51948051948051943</v>
      </c>
      <c r="EW314" s="11">
        <v>7</v>
      </c>
      <c r="EX314" s="12">
        <f t="shared" si="2875"/>
        <v>8.7499999999999994E-2</v>
      </c>
      <c r="EY314" s="11"/>
      <c r="EZ314" s="11"/>
      <c r="FA314" s="18"/>
      <c r="FB314" s="20"/>
      <c r="FC314" s="10"/>
      <c r="FD314" s="11"/>
      <c r="FE314" s="69">
        <f t="shared" si="2926"/>
        <v>841</v>
      </c>
      <c r="FF314" s="69">
        <f t="shared" si="2927"/>
        <v>65</v>
      </c>
      <c r="FG314" s="11">
        <v>378</v>
      </c>
      <c r="FH314" s="12">
        <f t="shared" si="2876"/>
        <v>0.46611177170035673</v>
      </c>
      <c r="FI314" s="11">
        <v>14</v>
      </c>
      <c r="FJ314" s="12">
        <f t="shared" si="2877"/>
        <v>3.5714285714285712E-2</v>
      </c>
      <c r="FK314" s="11"/>
      <c r="FL314" s="11"/>
      <c r="FM314" s="18"/>
      <c r="FN314" s="20"/>
      <c r="FO314" s="10"/>
      <c r="FP314" s="11"/>
      <c r="FQ314" s="69">
        <f t="shared" si="2928"/>
        <v>845</v>
      </c>
      <c r="FR314" s="69">
        <f t="shared" si="2929"/>
        <v>66</v>
      </c>
      <c r="FS314" s="11">
        <v>355</v>
      </c>
      <c r="FT314" s="12">
        <f t="shared" si="2878"/>
        <v>0.43786982248520712</v>
      </c>
      <c r="FU314" s="11">
        <v>15</v>
      </c>
      <c r="FV314" s="12">
        <f t="shared" si="2879"/>
        <v>4.0540540540540543E-2</v>
      </c>
      <c r="FW314" s="11"/>
      <c r="FX314" s="11"/>
      <c r="FY314" s="18"/>
      <c r="FZ314" s="20"/>
      <c r="GA314" s="10"/>
      <c r="GB314" s="11"/>
      <c r="GC314" s="69">
        <f t="shared" si="2930"/>
        <v>864</v>
      </c>
      <c r="GD314" s="69">
        <f t="shared" si="2931"/>
        <v>67</v>
      </c>
      <c r="GE314" s="11">
        <v>393</v>
      </c>
      <c r="GF314" s="12">
        <f t="shared" si="2880"/>
        <v>0.47337962962962965</v>
      </c>
      <c r="GG314" s="11">
        <v>16</v>
      </c>
      <c r="GH314" s="12">
        <f t="shared" si="2881"/>
        <v>3.9119804400977995E-2</v>
      </c>
      <c r="GI314" s="11"/>
      <c r="GJ314" s="11"/>
      <c r="GK314" s="18"/>
      <c r="GL314" s="20"/>
      <c r="GM314" s="10"/>
      <c r="GN314" s="11"/>
      <c r="GO314" s="69">
        <f t="shared" si="2932"/>
        <v>132</v>
      </c>
      <c r="GP314" s="69">
        <f t="shared" si="2933"/>
        <v>10</v>
      </c>
      <c r="GQ314" s="11">
        <v>43</v>
      </c>
      <c r="GR314" s="12">
        <f t="shared" si="2882"/>
        <v>0.34848484848484851</v>
      </c>
      <c r="GS314" s="11">
        <v>3</v>
      </c>
      <c r="GT314" s="12">
        <f t="shared" si="2883"/>
        <v>6.5217391304347824E-2</v>
      </c>
      <c r="GU314" s="11"/>
      <c r="GV314" s="11"/>
      <c r="GW314" s="18"/>
      <c r="GX314" s="20"/>
      <c r="GY314" s="10"/>
      <c r="GZ314" s="11"/>
      <c r="HA314" s="69">
        <f t="shared" si="2934"/>
        <v>891</v>
      </c>
      <c r="HB314" s="69">
        <f t="shared" si="2935"/>
        <v>69</v>
      </c>
      <c r="HC314" s="11">
        <v>413</v>
      </c>
      <c r="HD314" s="12">
        <f t="shared" si="2884"/>
        <v>0.48035914702581367</v>
      </c>
      <c r="HE314" s="11">
        <v>15</v>
      </c>
      <c r="HF314" s="12">
        <f t="shared" si="2885"/>
        <v>3.5046728971962614E-2</v>
      </c>
      <c r="HG314" s="11"/>
      <c r="HH314" s="11"/>
      <c r="HI314" s="18"/>
      <c r="HJ314" s="20"/>
      <c r="HK314" s="10">
        <f t="shared" si="2886"/>
        <v>1</v>
      </c>
      <c r="HL314" s="11">
        <f t="shared" si="2887"/>
        <v>0</v>
      </c>
      <c r="HM314" s="11">
        <f t="shared" si="2888"/>
        <v>11637</v>
      </c>
      <c r="HN314" s="11">
        <f t="shared" si="2889"/>
        <v>898</v>
      </c>
      <c r="HO314" s="11">
        <f t="shared" si="2890"/>
        <v>5300</v>
      </c>
      <c r="HP314" s="95">
        <f t="shared" si="2891"/>
        <v>0.45544384291484058</v>
      </c>
      <c r="HQ314" s="15">
        <f t="shared" si="2892"/>
        <v>184</v>
      </c>
      <c r="HR314" s="12">
        <f t="shared" si="2893"/>
        <v>3.471698113207547E-2</v>
      </c>
      <c r="HS314" s="16">
        <v>68</v>
      </c>
      <c r="HT314" s="17">
        <v>4996</v>
      </c>
      <c r="HU314" s="16">
        <f t="shared" si="2894"/>
        <v>94.264150943396231</v>
      </c>
      <c r="HV314" s="18"/>
      <c r="HW314" s="20"/>
      <c r="HX314" s="73">
        <f t="shared" si="2895"/>
        <v>0.45960389814523733</v>
      </c>
      <c r="HY314" s="73">
        <f t="shared" si="2896"/>
        <v>0.44199611147116008</v>
      </c>
      <c r="HZ314" s="73">
        <f t="shared" si="2897"/>
        <v>0.46285064442759666</v>
      </c>
      <c r="IA314" s="73">
        <f t="shared" si="2898"/>
        <v>0.45863836017569548</v>
      </c>
    </row>
    <row r="315" spans="1:244" x14ac:dyDescent="0.25">
      <c r="A315" s="374"/>
      <c r="B315" s="41">
        <f>+B314+1</f>
        <v>45183</v>
      </c>
      <c r="C315" s="10"/>
      <c r="D315" s="11"/>
      <c r="E315" s="69">
        <f t="shared" si="2900"/>
        <v>804</v>
      </c>
      <c r="F315" s="69">
        <f t="shared" si="2901"/>
        <v>62</v>
      </c>
      <c r="G315" s="11">
        <v>371</v>
      </c>
      <c r="H315" s="12">
        <f t="shared" si="2850"/>
        <v>0.47885572139303484</v>
      </c>
      <c r="I315" s="11">
        <v>14</v>
      </c>
      <c r="J315" s="12">
        <f t="shared" si="2851"/>
        <v>3.6363636363636362E-2</v>
      </c>
      <c r="K315" s="13"/>
      <c r="L315" s="13"/>
      <c r="M315" s="25"/>
      <c r="N315" s="38">
        <v>4595</v>
      </c>
      <c r="O315" s="10">
        <v>1</v>
      </c>
      <c r="P315" s="11"/>
      <c r="Q315" s="69">
        <f t="shared" si="2902"/>
        <v>736</v>
      </c>
      <c r="R315" s="69">
        <f t="shared" si="2903"/>
        <v>56</v>
      </c>
      <c r="S315" s="11">
        <v>332</v>
      </c>
      <c r="T315" s="12">
        <f t="shared" si="2852"/>
        <v>0.47826086956521741</v>
      </c>
      <c r="U315" s="11">
        <v>20</v>
      </c>
      <c r="V315" s="12">
        <f t="shared" si="2853"/>
        <v>5.6818181818181816E-2</v>
      </c>
      <c r="W315" s="13"/>
      <c r="X315" s="13"/>
      <c r="Y315" s="25"/>
      <c r="Z315" s="38">
        <v>4595</v>
      </c>
      <c r="AA315" s="10"/>
      <c r="AB315" s="11"/>
      <c r="AC315" s="69">
        <f t="shared" si="2904"/>
        <v>152</v>
      </c>
      <c r="AD315" s="69">
        <f t="shared" si="2905"/>
        <v>11</v>
      </c>
      <c r="AE315" s="11">
        <v>70</v>
      </c>
      <c r="AF315" s="12">
        <f t="shared" si="2854"/>
        <v>0.47368421052631576</v>
      </c>
      <c r="AG315" s="11">
        <v>2</v>
      </c>
      <c r="AH315" s="12">
        <f t="shared" si="2855"/>
        <v>2.7777777777777776E-2</v>
      </c>
      <c r="AI315" s="13"/>
      <c r="AJ315" s="13"/>
      <c r="AK315" s="25"/>
      <c r="AL315" s="38">
        <v>4595</v>
      </c>
      <c r="AM315" s="10"/>
      <c r="AN315" s="11"/>
      <c r="AO315" s="69">
        <f t="shared" si="2906"/>
        <v>747</v>
      </c>
      <c r="AP315" s="69">
        <f t="shared" si="2907"/>
        <v>57</v>
      </c>
      <c r="AQ315" s="11">
        <v>343</v>
      </c>
      <c r="AR315" s="12">
        <f t="shared" si="2856"/>
        <v>0.48058902275769744</v>
      </c>
      <c r="AS315" s="11">
        <v>16</v>
      </c>
      <c r="AT315" s="12">
        <f t="shared" si="2857"/>
        <v>4.456824512534819E-2</v>
      </c>
      <c r="AU315" s="13"/>
      <c r="AV315" s="13"/>
      <c r="AW315" s="25"/>
      <c r="AX315" s="38">
        <v>4595</v>
      </c>
      <c r="AY315" s="10">
        <v>1</v>
      </c>
      <c r="AZ315" s="11"/>
      <c r="BA315" s="69">
        <f t="shared" si="2908"/>
        <v>740</v>
      </c>
      <c r="BB315" s="69">
        <f t="shared" si="2909"/>
        <v>57</v>
      </c>
      <c r="BC315" s="11">
        <v>345</v>
      </c>
      <c r="BD315" s="12">
        <f t="shared" si="2858"/>
        <v>0.48918918918918919</v>
      </c>
      <c r="BE315" s="11">
        <v>17</v>
      </c>
      <c r="BF315" s="12">
        <f t="shared" si="2859"/>
        <v>4.6961325966850827E-2</v>
      </c>
      <c r="BG315" s="13"/>
      <c r="BH315" s="13"/>
      <c r="BI315" s="25"/>
      <c r="BJ315" s="38">
        <v>4595</v>
      </c>
      <c r="BK315" s="10"/>
      <c r="BL315" s="11"/>
      <c r="BM315" s="69">
        <f t="shared" si="2910"/>
        <v>790</v>
      </c>
      <c r="BN315" s="69">
        <f t="shared" si="2911"/>
        <v>61</v>
      </c>
      <c r="BO315" s="11">
        <v>330</v>
      </c>
      <c r="BP315" s="12">
        <f t="shared" si="2860"/>
        <v>0.43037974683544306</v>
      </c>
      <c r="BQ315" s="11">
        <v>10</v>
      </c>
      <c r="BR315" s="12">
        <f t="shared" si="2861"/>
        <v>2.9411764705882353E-2</v>
      </c>
      <c r="BS315" s="13"/>
      <c r="BT315" s="13"/>
      <c r="BU315" s="25"/>
      <c r="BV315" s="38">
        <v>4595</v>
      </c>
      <c r="BW315" s="10">
        <v>1</v>
      </c>
      <c r="BX315" s="11"/>
      <c r="BY315" s="69">
        <f t="shared" si="2912"/>
        <v>729</v>
      </c>
      <c r="BZ315" s="69">
        <f t="shared" si="2913"/>
        <v>57</v>
      </c>
      <c r="CA315" s="11">
        <v>327</v>
      </c>
      <c r="CB315" s="12">
        <f t="shared" si="2862"/>
        <v>0.46502057613168724</v>
      </c>
      <c r="CC315" s="11">
        <v>12</v>
      </c>
      <c r="CD315" s="12">
        <f t="shared" si="2863"/>
        <v>3.5398230088495575E-2</v>
      </c>
      <c r="CE315" s="13"/>
      <c r="CF315" s="13"/>
      <c r="CG315" s="25"/>
      <c r="CH315" s="38">
        <v>4595</v>
      </c>
      <c r="CI315" s="10"/>
      <c r="CJ315" s="11"/>
      <c r="CK315" s="69">
        <f t="shared" si="2914"/>
        <v>125</v>
      </c>
      <c r="CL315" s="69">
        <f t="shared" si="2915"/>
        <v>10</v>
      </c>
      <c r="CM315" s="11">
        <v>51</v>
      </c>
      <c r="CN315" s="12">
        <f t="shared" si="2864"/>
        <v>0.44</v>
      </c>
      <c r="CO315" s="11">
        <v>4</v>
      </c>
      <c r="CP315" s="12">
        <f t="shared" si="2865"/>
        <v>7.2727272727272724E-2</v>
      </c>
      <c r="CQ315" s="13"/>
      <c r="CR315" s="13"/>
      <c r="CS315" s="25"/>
      <c r="CT315" s="38">
        <v>4595</v>
      </c>
      <c r="CU315" s="10"/>
      <c r="CV315" s="11"/>
      <c r="CW315" s="69">
        <f t="shared" si="2916"/>
        <v>722</v>
      </c>
      <c r="CX315" s="69">
        <f t="shared" si="2917"/>
        <v>56</v>
      </c>
      <c r="CY315" s="11">
        <v>347</v>
      </c>
      <c r="CZ315" s="12">
        <f t="shared" si="2866"/>
        <v>0.49722991689750695</v>
      </c>
      <c r="DA315" s="11">
        <v>12</v>
      </c>
      <c r="DB315" s="12">
        <f t="shared" si="2867"/>
        <v>3.3426183844011144E-2</v>
      </c>
      <c r="DC315" s="13"/>
      <c r="DD315" s="13"/>
      <c r="DE315" s="25"/>
      <c r="DF315" s="38">
        <v>4595</v>
      </c>
      <c r="DG315" s="10"/>
      <c r="DH315" s="11"/>
      <c r="DI315" s="69">
        <f t="shared" si="2918"/>
        <v>719</v>
      </c>
      <c r="DJ315" s="69">
        <f t="shared" si="2919"/>
        <v>56</v>
      </c>
      <c r="DK315" s="11">
        <v>354</v>
      </c>
      <c r="DL315" s="12">
        <f t="shared" si="2868"/>
        <v>0.51043115438108488</v>
      </c>
      <c r="DM315" s="11">
        <v>13</v>
      </c>
      <c r="DN315" s="12">
        <f t="shared" si="2869"/>
        <v>3.5422343324250684E-2</v>
      </c>
      <c r="DO315" s="13"/>
      <c r="DP315" s="13"/>
      <c r="DQ315" s="25"/>
      <c r="DR315" s="38">
        <v>4595</v>
      </c>
      <c r="DS315" s="10"/>
      <c r="DT315" s="11"/>
      <c r="DU315" s="69">
        <f t="shared" si="2920"/>
        <v>808</v>
      </c>
      <c r="DV315" s="69">
        <f t="shared" si="2921"/>
        <v>63</v>
      </c>
      <c r="DW315" s="11">
        <v>329</v>
      </c>
      <c r="DX315" s="12">
        <f t="shared" si="2870"/>
        <v>0.42698019801980197</v>
      </c>
      <c r="DY315" s="11">
        <v>16</v>
      </c>
      <c r="DZ315" s="12">
        <f t="shared" si="2871"/>
        <v>4.6376811594202899E-2</v>
      </c>
      <c r="EA315" s="13"/>
      <c r="EB315" s="13"/>
      <c r="EC315" s="25"/>
      <c r="ED315" s="38">
        <v>4595</v>
      </c>
      <c r="EE315" s="10">
        <v>1</v>
      </c>
      <c r="EF315" s="11"/>
      <c r="EG315" s="69">
        <f t="shared" si="2922"/>
        <v>834</v>
      </c>
      <c r="EH315" s="69">
        <f t="shared" si="2923"/>
        <v>63</v>
      </c>
      <c r="EI315" s="11">
        <v>349</v>
      </c>
      <c r="EJ315" s="12">
        <f t="shared" si="2872"/>
        <v>0.44484412470023982</v>
      </c>
      <c r="EK315" s="11">
        <v>22</v>
      </c>
      <c r="EL315" s="12">
        <f t="shared" si="2873"/>
        <v>5.9299191374663072E-2</v>
      </c>
      <c r="EM315" s="13"/>
      <c r="EN315" s="13"/>
      <c r="EO315" s="25"/>
      <c r="EP315" s="38">
        <v>4595</v>
      </c>
      <c r="EQ315" s="10"/>
      <c r="ER315" s="11"/>
      <c r="ES315" s="69">
        <f t="shared" si="2924"/>
        <v>154</v>
      </c>
      <c r="ET315" s="69">
        <f t="shared" si="2925"/>
        <v>12</v>
      </c>
      <c r="EU315" s="11">
        <v>49</v>
      </c>
      <c r="EV315" s="12">
        <f t="shared" si="2874"/>
        <v>0.32467532467532467</v>
      </c>
      <c r="EW315" s="11">
        <v>1</v>
      </c>
      <c r="EX315" s="12">
        <f t="shared" si="2875"/>
        <v>0.02</v>
      </c>
      <c r="EY315" s="13"/>
      <c r="EZ315" s="13"/>
      <c r="FA315" s="25"/>
      <c r="FB315" s="38">
        <v>4595</v>
      </c>
      <c r="FC315" s="10">
        <v>1</v>
      </c>
      <c r="FD315" s="11"/>
      <c r="FE315" s="69">
        <f t="shared" si="2926"/>
        <v>840</v>
      </c>
      <c r="FF315" s="69">
        <f t="shared" si="2927"/>
        <v>65</v>
      </c>
      <c r="FG315" s="11">
        <v>373</v>
      </c>
      <c r="FH315" s="12">
        <f t="shared" si="2876"/>
        <v>0.46547619047619049</v>
      </c>
      <c r="FI315" s="11">
        <v>18</v>
      </c>
      <c r="FJ315" s="12">
        <f t="shared" si="2877"/>
        <v>4.6035805626598467E-2</v>
      </c>
      <c r="FK315" s="13"/>
      <c r="FL315" s="13"/>
      <c r="FM315" s="25"/>
      <c r="FN315" s="38">
        <v>4595</v>
      </c>
      <c r="FO315" s="10"/>
      <c r="FP315" s="11"/>
      <c r="FQ315" s="69">
        <f t="shared" si="2928"/>
        <v>845</v>
      </c>
      <c r="FR315" s="69">
        <f t="shared" si="2929"/>
        <v>66</v>
      </c>
      <c r="FS315" s="11">
        <v>363</v>
      </c>
      <c r="FT315" s="12">
        <f t="shared" si="2878"/>
        <v>0.4485207100591716</v>
      </c>
      <c r="FU315" s="11">
        <v>16</v>
      </c>
      <c r="FV315" s="12">
        <f t="shared" si="2879"/>
        <v>4.221635883905013E-2</v>
      </c>
      <c r="FW315" s="13"/>
      <c r="FX315" s="13"/>
      <c r="FY315" s="25"/>
      <c r="FZ315" s="38">
        <v>4595</v>
      </c>
      <c r="GA315" s="10"/>
      <c r="GB315" s="11"/>
      <c r="GC315" s="69">
        <f t="shared" si="2930"/>
        <v>864</v>
      </c>
      <c r="GD315" s="69">
        <f t="shared" si="2931"/>
        <v>67</v>
      </c>
      <c r="GE315" s="11">
        <v>366</v>
      </c>
      <c r="GF315" s="12">
        <f t="shared" si="2880"/>
        <v>0.43518518518518517</v>
      </c>
      <c r="GG315" s="11">
        <v>10</v>
      </c>
      <c r="GH315" s="12">
        <f t="shared" si="2881"/>
        <v>2.6595744680851064E-2</v>
      </c>
      <c r="GI315" s="13"/>
      <c r="GJ315" s="13"/>
      <c r="GK315" s="25"/>
      <c r="GL315" s="38">
        <v>4595</v>
      </c>
      <c r="GM315" s="10"/>
      <c r="GN315" s="11"/>
      <c r="GO315" s="69">
        <f t="shared" si="2932"/>
        <v>132</v>
      </c>
      <c r="GP315" s="69">
        <f t="shared" si="2933"/>
        <v>10</v>
      </c>
      <c r="GQ315" s="11">
        <v>55</v>
      </c>
      <c r="GR315" s="12">
        <f t="shared" si="2882"/>
        <v>0.44696969696969696</v>
      </c>
      <c r="GS315" s="11">
        <v>4</v>
      </c>
      <c r="GT315" s="12">
        <f t="shared" si="2883"/>
        <v>6.7796610169491525E-2</v>
      </c>
      <c r="GU315" s="13"/>
      <c r="GV315" s="13"/>
      <c r="GW315" s="25"/>
      <c r="GX315" s="38">
        <v>4595</v>
      </c>
      <c r="GY315" s="10">
        <v>1</v>
      </c>
      <c r="GZ315" s="11"/>
      <c r="HA315" s="69">
        <f t="shared" si="2934"/>
        <v>890</v>
      </c>
      <c r="HB315" s="69">
        <f t="shared" si="2935"/>
        <v>69</v>
      </c>
      <c r="HC315" s="11">
        <v>384</v>
      </c>
      <c r="HD315" s="12">
        <f t="shared" si="2884"/>
        <v>0.44831460674157303</v>
      </c>
      <c r="HE315" s="11">
        <v>15</v>
      </c>
      <c r="HF315" s="12">
        <f t="shared" si="2885"/>
        <v>3.7593984962406013E-2</v>
      </c>
      <c r="HG315" s="13"/>
      <c r="HH315" s="13"/>
      <c r="HI315" s="25"/>
      <c r="HJ315" s="38">
        <v>4595</v>
      </c>
      <c r="HK315" s="10">
        <f t="shared" si="2886"/>
        <v>6</v>
      </c>
      <c r="HL315" s="11">
        <f t="shared" si="2887"/>
        <v>0</v>
      </c>
      <c r="HM315" s="11">
        <f t="shared" si="2888"/>
        <v>11631</v>
      </c>
      <c r="HN315" s="11">
        <f t="shared" si="2889"/>
        <v>898</v>
      </c>
      <c r="HO315" s="11">
        <f t="shared" si="2890"/>
        <v>5360</v>
      </c>
      <c r="HP315" s="95">
        <f t="shared" si="2891"/>
        <v>0.46083741724701227</v>
      </c>
      <c r="HQ315" s="15">
        <f t="shared" si="2892"/>
        <v>222</v>
      </c>
      <c r="HR315" s="12">
        <f t="shared" si="2893"/>
        <v>4.1417910447761191E-2</v>
      </c>
      <c r="HS315" s="16">
        <v>68.2</v>
      </c>
      <c r="HT315" s="17">
        <v>5026</v>
      </c>
      <c r="HU315" s="16">
        <f t="shared" si="2894"/>
        <v>93.768656716417908</v>
      </c>
      <c r="HV315" s="23"/>
      <c r="HW315" s="22">
        <v>4595</v>
      </c>
      <c r="HX315" s="73">
        <f t="shared" si="2895"/>
        <v>0.48128342245989303</v>
      </c>
      <c r="HY315" s="73">
        <f t="shared" si="2896"/>
        <v>0.47325769854132899</v>
      </c>
      <c r="HZ315" s="73">
        <f t="shared" si="2897"/>
        <v>0.43892261001517452</v>
      </c>
      <c r="IA315" s="73">
        <f t="shared" si="2898"/>
        <v>0.44415964848041012</v>
      </c>
    </row>
    <row r="316" spans="1:244" x14ac:dyDescent="0.25">
      <c r="A316" s="374"/>
      <c r="B316" s="41">
        <f t="shared" si="2899"/>
        <v>45184</v>
      </c>
      <c r="C316" s="10">
        <v>1</v>
      </c>
      <c r="D316" s="11"/>
      <c r="E316" s="69">
        <f t="shared" si="2900"/>
        <v>803</v>
      </c>
      <c r="F316" s="69">
        <f t="shared" si="2901"/>
        <v>62</v>
      </c>
      <c r="G316" s="11">
        <v>350</v>
      </c>
      <c r="H316" s="12">
        <f t="shared" si="2850"/>
        <v>0.45579078455790784</v>
      </c>
      <c r="I316" s="11">
        <v>16</v>
      </c>
      <c r="J316" s="12">
        <f t="shared" si="2851"/>
        <v>4.3715846994535519E-2</v>
      </c>
      <c r="K316" s="13"/>
      <c r="L316" s="11"/>
      <c r="M316" s="25"/>
      <c r="N316" s="38">
        <v>4780</v>
      </c>
      <c r="O316" s="10"/>
      <c r="P316" s="11"/>
      <c r="Q316" s="69">
        <f t="shared" si="2902"/>
        <v>736</v>
      </c>
      <c r="R316" s="69">
        <f t="shared" si="2903"/>
        <v>56</v>
      </c>
      <c r="S316" s="11">
        <v>327</v>
      </c>
      <c r="T316" s="12">
        <f t="shared" si="2852"/>
        <v>0.46195652173913043</v>
      </c>
      <c r="U316" s="11">
        <v>13</v>
      </c>
      <c r="V316" s="12">
        <f t="shared" si="2853"/>
        <v>3.8235294117647062E-2</v>
      </c>
      <c r="W316" s="13"/>
      <c r="X316" s="11"/>
      <c r="Y316" s="25"/>
      <c r="Z316" s="38">
        <v>5112.5</v>
      </c>
      <c r="AA316" s="10"/>
      <c r="AB316" s="11"/>
      <c r="AC316" s="69">
        <f t="shared" si="2904"/>
        <v>152</v>
      </c>
      <c r="AD316" s="69">
        <f t="shared" si="2905"/>
        <v>11</v>
      </c>
      <c r="AE316" s="11">
        <v>62</v>
      </c>
      <c r="AF316" s="12">
        <f t="shared" si="2854"/>
        <v>0.43421052631578949</v>
      </c>
      <c r="AG316" s="11">
        <v>4</v>
      </c>
      <c r="AH316" s="12">
        <f t="shared" si="2855"/>
        <v>6.0606060606060608E-2</v>
      </c>
      <c r="AI316" s="13"/>
      <c r="AJ316" s="11"/>
      <c r="AK316" s="25"/>
      <c r="AL316" s="38">
        <v>4746.67</v>
      </c>
      <c r="AM316" s="10">
        <v>1</v>
      </c>
      <c r="AN316" s="11"/>
      <c r="AO316" s="69">
        <f t="shared" si="2906"/>
        <v>746</v>
      </c>
      <c r="AP316" s="69">
        <f t="shared" si="2907"/>
        <v>57</v>
      </c>
      <c r="AQ316" s="11">
        <v>333</v>
      </c>
      <c r="AR316" s="12">
        <f t="shared" si="2856"/>
        <v>0.46380697050938335</v>
      </c>
      <c r="AS316" s="11">
        <v>13</v>
      </c>
      <c r="AT316" s="12">
        <f t="shared" si="2857"/>
        <v>3.7572254335260118E-2</v>
      </c>
      <c r="AU316" s="13"/>
      <c r="AV316" s="11"/>
      <c r="AW316" s="25"/>
      <c r="AX316" s="38">
        <v>5223.08</v>
      </c>
      <c r="AY316" s="10"/>
      <c r="AZ316" s="11"/>
      <c r="BA316" s="69">
        <f t="shared" si="2908"/>
        <v>740</v>
      </c>
      <c r="BB316" s="69">
        <f t="shared" si="2909"/>
        <v>57</v>
      </c>
      <c r="BC316" s="11">
        <v>341</v>
      </c>
      <c r="BD316" s="12">
        <f t="shared" si="2858"/>
        <v>0.4756756756756757</v>
      </c>
      <c r="BE316" s="11">
        <v>11</v>
      </c>
      <c r="BF316" s="12">
        <f t="shared" si="2859"/>
        <v>3.125E-2</v>
      </c>
      <c r="BG316" s="13"/>
      <c r="BH316" s="11"/>
      <c r="BI316" s="25"/>
      <c r="BJ316" s="38">
        <v>5363.85</v>
      </c>
      <c r="BK316" s="10"/>
      <c r="BL316" s="11"/>
      <c r="BM316" s="69">
        <f t="shared" si="2910"/>
        <v>790</v>
      </c>
      <c r="BN316" s="69">
        <f t="shared" si="2911"/>
        <v>61</v>
      </c>
      <c r="BO316" s="11">
        <v>337</v>
      </c>
      <c r="BP316" s="12">
        <f t="shared" si="2860"/>
        <v>0.44050632911392407</v>
      </c>
      <c r="BQ316" s="11">
        <v>11</v>
      </c>
      <c r="BR316" s="12">
        <f t="shared" si="2861"/>
        <v>3.1609195402298854E-2</v>
      </c>
      <c r="BS316" s="13"/>
      <c r="BT316" s="11"/>
      <c r="BU316" s="25"/>
      <c r="BV316" s="38">
        <v>4864.29</v>
      </c>
      <c r="BW316" s="10"/>
      <c r="BX316" s="11"/>
      <c r="BY316" s="69">
        <f t="shared" si="2912"/>
        <v>729</v>
      </c>
      <c r="BZ316" s="69">
        <f t="shared" si="2913"/>
        <v>57</v>
      </c>
      <c r="CA316" s="11">
        <v>310</v>
      </c>
      <c r="CB316" s="12">
        <f t="shared" si="2862"/>
        <v>0.43621399176954734</v>
      </c>
      <c r="CC316" s="11">
        <v>8</v>
      </c>
      <c r="CD316" s="12">
        <f t="shared" si="2863"/>
        <v>2.5157232704402517E-2</v>
      </c>
      <c r="CE316" s="13"/>
      <c r="CF316" s="11"/>
      <c r="CG316" s="25"/>
      <c r="CH316" s="38">
        <v>5206.67</v>
      </c>
      <c r="CI316" s="10"/>
      <c r="CJ316" s="11"/>
      <c r="CK316" s="69">
        <f t="shared" si="2914"/>
        <v>125</v>
      </c>
      <c r="CL316" s="69">
        <f t="shared" si="2915"/>
        <v>10</v>
      </c>
      <c r="CM316" s="11">
        <v>57</v>
      </c>
      <c r="CN316" s="12">
        <f t="shared" si="2864"/>
        <v>0.46400000000000002</v>
      </c>
      <c r="CO316" s="11">
        <v>1</v>
      </c>
      <c r="CP316" s="12">
        <f t="shared" si="2865"/>
        <v>1.7241379310344827E-2</v>
      </c>
      <c r="CQ316" s="13"/>
      <c r="CR316" s="11"/>
      <c r="CS316" s="25"/>
      <c r="CT316" s="38">
        <v>5093.33</v>
      </c>
      <c r="CU316" s="10"/>
      <c r="CV316" s="11"/>
      <c r="CW316" s="69">
        <f t="shared" si="2916"/>
        <v>722</v>
      </c>
      <c r="CX316" s="69">
        <f t="shared" si="2917"/>
        <v>56</v>
      </c>
      <c r="CY316" s="11">
        <v>316</v>
      </c>
      <c r="CZ316" s="12">
        <f t="shared" si="2866"/>
        <v>0.44736842105263158</v>
      </c>
      <c r="DA316" s="11">
        <v>7</v>
      </c>
      <c r="DB316" s="12">
        <f t="shared" si="2867"/>
        <v>2.1671826625386997E-2</v>
      </c>
      <c r="DC316" s="13"/>
      <c r="DD316" s="11"/>
      <c r="DE316" s="25"/>
      <c r="DF316" s="38">
        <v>4993.08</v>
      </c>
      <c r="DG316" s="10"/>
      <c r="DH316" s="11"/>
      <c r="DI316" s="69">
        <f t="shared" si="2918"/>
        <v>719</v>
      </c>
      <c r="DJ316" s="69">
        <f t="shared" si="2919"/>
        <v>56</v>
      </c>
      <c r="DK316" s="11">
        <v>322</v>
      </c>
      <c r="DL316" s="12">
        <f t="shared" si="2868"/>
        <v>0.46314325452016691</v>
      </c>
      <c r="DM316" s="11">
        <v>11</v>
      </c>
      <c r="DN316" s="12">
        <f t="shared" si="2869"/>
        <v>3.3033033033033031E-2</v>
      </c>
      <c r="DO316" s="13"/>
      <c r="DP316" s="11"/>
      <c r="DQ316" s="25"/>
      <c r="DR316" s="38">
        <v>5601.54</v>
      </c>
      <c r="DS316" s="10"/>
      <c r="DT316" s="11"/>
      <c r="DU316" s="69">
        <f t="shared" si="2920"/>
        <v>808</v>
      </c>
      <c r="DV316" s="69">
        <f t="shared" si="2921"/>
        <v>63</v>
      </c>
      <c r="DW316" s="11">
        <v>365</v>
      </c>
      <c r="DX316" s="12">
        <f t="shared" si="2870"/>
        <v>0.47153465346534651</v>
      </c>
      <c r="DY316" s="11">
        <v>16</v>
      </c>
      <c r="DZ316" s="12">
        <f t="shared" si="2871"/>
        <v>4.1994750656167978E-2</v>
      </c>
      <c r="EA316" s="13"/>
      <c r="EB316" s="11"/>
      <c r="EC316" s="25"/>
      <c r="ED316" s="38">
        <v>4993.75</v>
      </c>
      <c r="EE316" s="10">
        <v>1</v>
      </c>
      <c r="EF316" s="11"/>
      <c r="EG316" s="69">
        <f t="shared" si="2922"/>
        <v>833</v>
      </c>
      <c r="EH316" s="69">
        <f t="shared" si="2923"/>
        <v>63</v>
      </c>
      <c r="EI316" s="11">
        <v>370</v>
      </c>
      <c r="EJ316" s="12">
        <f t="shared" si="2872"/>
        <v>0.46818727490996398</v>
      </c>
      <c r="EK316" s="11">
        <v>20</v>
      </c>
      <c r="EL316" s="12">
        <f t="shared" si="2873"/>
        <v>5.128205128205128E-2</v>
      </c>
      <c r="EM316" s="13"/>
      <c r="EN316" s="11"/>
      <c r="EO316" s="25"/>
      <c r="EP316" s="38">
        <v>5318.13</v>
      </c>
      <c r="EQ316" s="10"/>
      <c r="ER316" s="11"/>
      <c r="ES316" s="69">
        <f t="shared" si="2924"/>
        <v>154</v>
      </c>
      <c r="ET316" s="69">
        <f t="shared" si="2925"/>
        <v>12</v>
      </c>
      <c r="EU316" s="11">
        <v>73</v>
      </c>
      <c r="EV316" s="12">
        <f t="shared" si="2874"/>
        <v>0.5</v>
      </c>
      <c r="EW316" s="11">
        <v>4</v>
      </c>
      <c r="EX316" s="12">
        <f t="shared" si="2875"/>
        <v>5.1948051948051951E-2</v>
      </c>
      <c r="EY316" s="13"/>
      <c r="EZ316" s="11"/>
      <c r="FA316" s="25"/>
      <c r="FB316" s="38">
        <v>4587.5</v>
      </c>
      <c r="FC316" s="10"/>
      <c r="FD316" s="11"/>
      <c r="FE316" s="69">
        <f t="shared" si="2926"/>
        <v>840</v>
      </c>
      <c r="FF316" s="69">
        <f t="shared" si="2927"/>
        <v>65</v>
      </c>
      <c r="FG316" s="11">
        <v>385</v>
      </c>
      <c r="FH316" s="12">
        <f t="shared" si="2876"/>
        <v>0.47499999999999998</v>
      </c>
      <c r="FI316" s="11">
        <v>14</v>
      </c>
      <c r="FJ316" s="12">
        <f t="shared" si="2877"/>
        <v>3.5087719298245612E-2</v>
      </c>
      <c r="FK316" s="13"/>
      <c r="FL316" s="11"/>
      <c r="FM316" s="25"/>
      <c r="FN316" s="38">
        <v>5474</v>
      </c>
      <c r="FO316" s="10"/>
      <c r="FP316" s="11"/>
      <c r="FQ316" s="69">
        <f t="shared" si="2928"/>
        <v>845</v>
      </c>
      <c r="FR316" s="69">
        <f t="shared" si="2929"/>
        <v>66</v>
      </c>
      <c r="FS316" s="11">
        <v>371</v>
      </c>
      <c r="FT316" s="12">
        <f t="shared" si="2878"/>
        <v>0.46153846153846156</v>
      </c>
      <c r="FU316" s="11">
        <v>19</v>
      </c>
      <c r="FV316" s="12">
        <f t="shared" si="2879"/>
        <v>4.8717948717948718E-2</v>
      </c>
      <c r="FW316" s="13"/>
      <c r="FX316" s="11"/>
      <c r="FY316" s="25"/>
      <c r="FZ316" s="38">
        <v>4882.67</v>
      </c>
      <c r="GA316" s="10"/>
      <c r="GB316" s="11"/>
      <c r="GC316" s="69">
        <f t="shared" si="2930"/>
        <v>864</v>
      </c>
      <c r="GD316" s="69">
        <f t="shared" si="2931"/>
        <v>67</v>
      </c>
      <c r="GE316" s="11">
        <v>421</v>
      </c>
      <c r="GF316" s="12">
        <f t="shared" si="2880"/>
        <v>0.50347222222222221</v>
      </c>
      <c r="GG316" s="11">
        <v>14</v>
      </c>
      <c r="GH316" s="12">
        <f t="shared" si="2881"/>
        <v>3.2183908045977011E-2</v>
      </c>
      <c r="GI316" s="13"/>
      <c r="GJ316" s="11"/>
      <c r="GK316" s="25"/>
      <c r="GL316" s="38">
        <v>5178.8</v>
      </c>
      <c r="GM316" s="10">
        <v>2</v>
      </c>
      <c r="GN316" s="11"/>
      <c r="GO316" s="69">
        <f t="shared" si="2932"/>
        <v>130</v>
      </c>
      <c r="GP316" s="69">
        <f t="shared" si="2933"/>
        <v>10</v>
      </c>
      <c r="GQ316" s="11">
        <v>51</v>
      </c>
      <c r="GR316" s="12">
        <f t="shared" si="2882"/>
        <v>0.43076923076923079</v>
      </c>
      <c r="GS316" s="11">
        <v>5</v>
      </c>
      <c r="GT316" s="12">
        <f t="shared" si="2883"/>
        <v>8.9285714285714288E-2</v>
      </c>
      <c r="GU316" s="13"/>
      <c r="GV316" s="11"/>
      <c r="GW316" s="25"/>
      <c r="GX316" s="38">
        <v>4346.67</v>
      </c>
      <c r="GY316" s="10"/>
      <c r="GZ316" s="11"/>
      <c r="HA316" s="69">
        <f t="shared" si="2934"/>
        <v>890</v>
      </c>
      <c r="HB316" s="69">
        <f t="shared" si="2935"/>
        <v>69</v>
      </c>
      <c r="HC316" s="11">
        <v>431</v>
      </c>
      <c r="HD316" s="12">
        <f t="shared" si="2884"/>
        <v>0.5</v>
      </c>
      <c r="HE316" s="11">
        <v>14</v>
      </c>
      <c r="HF316" s="12">
        <f t="shared" si="2885"/>
        <v>3.1460674157303373E-2</v>
      </c>
      <c r="HG316" s="13"/>
      <c r="HH316" s="11"/>
      <c r="HI316" s="25"/>
      <c r="HJ316" s="38">
        <v>5411.33</v>
      </c>
      <c r="HK316" s="10">
        <f t="shared" si="2886"/>
        <v>5</v>
      </c>
      <c r="HL316" s="11">
        <f t="shared" si="2887"/>
        <v>0</v>
      </c>
      <c r="HM316" s="11">
        <f t="shared" si="2888"/>
        <v>11626</v>
      </c>
      <c r="HN316" s="11">
        <f t="shared" si="2889"/>
        <v>898</v>
      </c>
      <c r="HO316" s="11">
        <f t="shared" si="2890"/>
        <v>5423</v>
      </c>
      <c r="HP316" s="95">
        <f t="shared" si="2891"/>
        <v>0.46645449853776022</v>
      </c>
      <c r="HQ316" s="15">
        <f t="shared" si="2892"/>
        <v>201</v>
      </c>
      <c r="HR316" s="12">
        <f t="shared" si="2893"/>
        <v>3.7064355522773373E-2</v>
      </c>
      <c r="HS316" s="16">
        <v>68.3</v>
      </c>
      <c r="HT316" s="17">
        <v>5112</v>
      </c>
      <c r="HU316" s="16">
        <f t="shared" si="2894"/>
        <v>94.265166881799743</v>
      </c>
      <c r="HV316" s="23"/>
      <c r="HW316" s="22">
        <v>5142.1499999999996</v>
      </c>
      <c r="HX316" s="73">
        <f t="shared" si="2895"/>
        <v>0.46270066100094431</v>
      </c>
      <c r="HY316" s="73">
        <f t="shared" si="2896"/>
        <v>0.44732576985413292</v>
      </c>
      <c r="HZ316" s="73">
        <f t="shared" si="2897"/>
        <v>0.47324478178368123</v>
      </c>
      <c r="IA316" s="73">
        <f t="shared" si="2898"/>
        <v>0.48589226823012094</v>
      </c>
    </row>
    <row r="317" spans="1:244" x14ac:dyDescent="0.25">
      <c r="A317" s="374"/>
      <c r="B317" s="41">
        <f t="shared" si="2899"/>
        <v>45185</v>
      </c>
      <c r="C317" s="10">
        <v>1</v>
      </c>
      <c r="D317" s="11"/>
      <c r="E317" s="69">
        <f t="shared" si="2900"/>
        <v>802</v>
      </c>
      <c r="F317" s="69">
        <f t="shared" si="2901"/>
        <v>62</v>
      </c>
      <c r="G317" s="11">
        <v>374</v>
      </c>
      <c r="H317" s="12">
        <f t="shared" si="2850"/>
        <v>0.48503740648379051</v>
      </c>
      <c r="I317" s="11">
        <v>15</v>
      </c>
      <c r="J317" s="12">
        <f t="shared" si="2851"/>
        <v>3.8560411311053984E-2</v>
      </c>
      <c r="K317" s="13"/>
      <c r="L317" s="11"/>
      <c r="M317" s="39"/>
      <c r="N317" s="43">
        <v>100</v>
      </c>
      <c r="O317" s="10">
        <v>1</v>
      </c>
      <c r="P317" s="11"/>
      <c r="Q317" s="69">
        <f t="shared" si="2902"/>
        <v>735</v>
      </c>
      <c r="R317" s="69">
        <f t="shared" si="2903"/>
        <v>56</v>
      </c>
      <c r="S317" s="11">
        <v>328</v>
      </c>
      <c r="T317" s="12">
        <f t="shared" si="2852"/>
        <v>0.46530612244897956</v>
      </c>
      <c r="U317" s="11">
        <v>14</v>
      </c>
      <c r="V317" s="12">
        <f t="shared" si="2853"/>
        <v>4.0935672514619881E-2</v>
      </c>
      <c r="W317" s="13"/>
      <c r="X317" s="11"/>
      <c r="Y317" s="39"/>
      <c r="Z317" s="43">
        <v>100</v>
      </c>
      <c r="AA317" s="10"/>
      <c r="AB317" s="11"/>
      <c r="AC317" s="69">
        <f t="shared" si="2904"/>
        <v>152</v>
      </c>
      <c r="AD317" s="69">
        <f t="shared" si="2905"/>
        <v>11</v>
      </c>
      <c r="AE317" s="11">
        <v>63</v>
      </c>
      <c r="AF317" s="12">
        <f t="shared" si="2854"/>
        <v>0.42105263157894735</v>
      </c>
      <c r="AG317" s="11">
        <v>1</v>
      </c>
      <c r="AH317" s="12">
        <f t="shared" si="2855"/>
        <v>1.5625E-2</v>
      </c>
      <c r="AI317" s="13"/>
      <c r="AJ317" s="11"/>
      <c r="AK317" s="39"/>
      <c r="AL317" s="43">
        <v>100</v>
      </c>
      <c r="AM317" s="10">
        <v>1</v>
      </c>
      <c r="AN317" s="11"/>
      <c r="AO317" s="69">
        <f t="shared" si="2906"/>
        <v>745</v>
      </c>
      <c r="AP317" s="69">
        <f t="shared" si="2907"/>
        <v>57</v>
      </c>
      <c r="AQ317" s="11">
        <v>366</v>
      </c>
      <c r="AR317" s="12">
        <f t="shared" si="2856"/>
        <v>0.50201342281879191</v>
      </c>
      <c r="AS317" s="11">
        <v>8</v>
      </c>
      <c r="AT317" s="12">
        <f t="shared" si="2857"/>
        <v>2.1390374331550801E-2</v>
      </c>
      <c r="AU317" s="13"/>
      <c r="AV317" s="11"/>
      <c r="AW317" s="39"/>
      <c r="AX317" s="43">
        <v>100</v>
      </c>
      <c r="AY317" s="10"/>
      <c r="AZ317" s="11"/>
      <c r="BA317" s="69">
        <f t="shared" si="2908"/>
        <v>740</v>
      </c>
      <c r="BB317" s="69">
        <f t="shared" si="2909"/>
        <v>57</v>
      </c>
      <c r="BC317" s="11">
        <v>313</v>
      </c>
      <c r="BD317" s="12">
        <f t="shared" si="2858"/>
        <v>0.44729729729729728</v>
      </c>
      <c r="BE317" s="11">
        <v>18</v>
      </c>
      <c r="BF317" s="12">
        <f t="shared" si="2859"/>
        <v>5.4380664652567974E-2</v>
      </c>
      <c r="BG317" s="13"/>
      <c r="BH317" s="11"/>
      <c r="BI317" s="39"/>
      <c r="BJ317" s="43">
        <v>100</v>
      </c>
      <c r="BK317" s="10">
        <v>1</v>
      </c>
      <c r="BL317" s="11"/>
      <c r="BM317" s="69">
        <f t="shared" si="2910"/>
        <v>789</v>
      </c>
      <c r="BN317" s="69">
        <f t="shared" si="2911"/>
        <v>61</v>
      </c>
      <c r="BO317" s="11">
        <v>323</v>
      </c>
      <c r="BP317" s="12">
        <f t="shared" si="2860"/>
        <v>0.42458808618504434</v>
      </c>
      <c r="BQ317" s="11">
        <v>12</v>
      </c>
      <c r="BR317" s="12">
        <f t="shared" si="2861"/>
        <v>3.5820895522388062E-2</v>
      </c>
      <c r="BS317" s="13"/>
      <c r="BT317" s="11"/>
      <c r="BU317" s="39"/>
      <c r="BV317" s="43">
        <v>100</v>
      </c>
      <c r="BW317" s="10">
        <v>1</v>
      </c>
      <c r="BX317" s="11"/>
      <c r="BY317" s="69">
        <f t="shared" si="2912"/>
        <v>728</v>
      </c>
      <c r="BZ317" s="69">
        <f t="shared" si="2913"/>
        <v>57</v>
      </c>
      <c r="CA317" s="11">
        <v>321</v>
      </c>
      <c r="CB317" s="12">
        <f t="shared" si="2862"/>
        <v>0.45467032967032966</v>
      </c>
      <c r="CC317" s="11">
        <v>10</v>
      </c>
      <c r="CD317" s="12">
        <f t="shared" si="2863"/>
        <v>3.0211480362537766E-2</v>
      </c>
      <c r="CE317" s="13"/>
      <c r="CF317" s="11"/>
      <c r="CG317" s="39"/>
      <c r="CH317" s="43">
        <v>100</v>
      </c>
      <c r="CI317" s="10"/>
      <c r="CJ317" s="11"/>
      <c r="CK317" s="69">
        <f t="shared" si="2914"/>
        <v>125</v>
      </c>
      <c r="CL317" s="69">
        <f t="shared" si="2915"/>
        <v>10</v>
      </c>
      <c r="CM317" s="11">
        <v>43</v>
      </c>
      <c r="CN317" s="12">
        <f t="shared" si="2864"/>
        <v>0.36799999999999999</v>
      </c>
      <c r="CO317" s="11">
        <v>3</v>
      </c>
      <c r="CP317" s="12">
        <f t="shared" si="2865"/>
        <v>6.5217391304347824E-2</v>
      </c>
      <c r="CQ317" s="13"/>
      <c r="CR317" s="11"/>
      <c r="CS317" s="39"/>
      <c r="CT317" s="43">
        <v>100</v>
      </c>
      <c r="CU317" s="10"/>
      <c r="CV317" s="11"/>
      <c r="CW317" s="69">
        <f t="shared" si="2916"/>
        <v>722</v>
      </c>
      <c r="CX317" s="69">
        <f t="shared" si="2917"/>
        <v>56</v>
      </c>
      <c r="CY317" s="11">
        <v>303</v>
      </c>
      <c r="CZ317" s="12">
        <f t="shared" si="2866"/>
        <v>0.43351800554016623</v>
      </c>
      <c r="DA317" s="11">
        <v>10</v>
      </c>
      <c r="DB317" s="12">
        <f t="shared" si="2867"/>
        <v>3.1948881789137379E-2</v>
      </c>
      <c r="DC317" s="13"/>
      <c r="DD317" s="11"/>
      <c r="DE317" s="39"/>
      <c r="DF317" s="43">
        <v>100</v>
      </c>
      <c r="DG317" s="10"/>
      <c r="DH317" s="11"/>
      <c r="DI317" s="69">
        <f t="shared" si="2918"/>
        <v>719</v>
      </c>
      <c r="DJ317" s="69">
        <f t="shared" si="2919"/>
        <v>56</v>
      </c>
      <c r="DK317" s="11">
        <v>317</v>
      </c>
      <c r="DL317" s="12">
        <f t="shared" si="2868"/>
        <v>0.45897079276773295</v>
      </c>
      <c r="DM317" s="11">
        <v>13</v>
      </c>
      <c r="DN317" s="12">
        <f t="shared" si="2869"/>
        <v>3.9393939393939391E-2</v>
      </c>
      <c r="DO317" s="13"/>
      <c r="DP317" s="11"/>
      <c r="DQ317" s="39"/>
      <c r="DR317" s="43">
        <v>100</v>
      </c>
      <c r="DS317" s="10">
        <v>1</v>
      </c>
      <c r="DT317" s="11"/>
      <c r="DU317" s="69">
        <f t="shared" si="2920"/>
        <v>807</v>
      </c>
      <c r="DV317" s="69">
        <f t="shared" si="2921"/>
        <v>63</v>
      </c>
      <c r="DW317" s="11">
        <v>339</v>
      </c>
      <c r="DX317" s="12">
        <f t="shared" si="2870"/>
        <v>0.43494423791821563</v>
      </c>
      <c r="DY317" s="11">
        <v>12</v>
      </c>
      <c r="DZ317" s="12">
        <f t="shared" si="2871"/>
        <v>3.4188034188034191E-2</v>
      </c>
      <c r="EA317" s="13"/>
      <c r="EB317" s="11"/>
      <c r="EC317" s="39"/>
      <c r="ED317" s="43">
        <v>100</v>
      </c>
      <c r="EE317" s="10"/>
      <c r="EF317" s="11"/>
      <c r="EG317" s="69">
        <f t="shared" si="2922"/>
        <v>833</v>
      </c>
      <c r="EH317" s="69">
        <f t="shared" si="2923"/>
        <v>63</v>
      </c>
      <c r="EI317" s="11">
        <v>366</v>
      </c>
      <c r="EJ317" s="12">
        <f t="shared" si="2872"/>
        <v>0.45858343337334934</v>
      </c>
      <c r="EK317" s="11">
        <v>16</v>
      </c>
      <c r="EL317" s="12">
        <f t="shared" si="2873"/>
        <v>4.1884816753926704E-2</v>
      </c>
      <c r="EM317" s="13"/>
      <c r="EN317" s="11"/>
      <c r="EO317" s="39"/>
      <c r="EP317" s="43">
        <v>100</v>
      </c>
      <c r="EQ317" s="10"/>
      <c r="ER317" s="11"/>
      <c r="ES317" s="69">
        <f t="shared" si="2924"/>
        <v>154</v>
      </c>
      <c r="ET317" s="69">
        <f t="shared" si="2925"/>
        <v>12</v>
      </c>
      <c r="EU317" s="11">
        <v>64</v>
      </c>
      <c r="EV317" s="12">
        <f t="shared" si="2874"/>
        <v>0.42207792207792205</v>
      </c>
      <c r="EW317" s="11">
        <v>1</v>
      </c>
      <c r="EX317" s="12">
        <f t="shared" si="2875"/>
        <v>1.5384615384615385E-2</v>
      </c>
      <c r="EY317" s="13"/>
      <c r="EZ317" s="11"/>
      <c r="FA317" s="39"/>
      <c r="FB317" s="43">
        <v>75</v>
      </c>
      <c r="FC317" s="10"/>
      <c r="FD317" s="11"/>
      <c r="FE317" s="69">
        <f t="shared" si="2926"/>
        <v>840</v>
      </c>
      <c r="FF317" s="69">
        <f t="shared" si="2927"/>
        <v>65</v>
      </c>
      <c r="FG317" s="11">
        <v>367</v>
      </c>
      <c r="FH317" s="12">
        <f t="shared" si="2876"/>
        <v>0.44880952380952382</v>
      </c>
      <c r="FI317" s="11">
        <v>10</v>
      </c>
      <c r="FJ317" s="12">
        <f t="shared" si="2877"/>
        <v>2.6525198938992044E-2</v>
      </c>
      <c r="FK317" s="13"/>
      <c r="FL317" s="11"/>
      <c r="FM317" s="39"/>
      <c r="FN317" s="43">
        <v>100</v>
      </c>
      <c r="FO317" s="10"/>
      <c r="FP317" s="11"/>
      <c r="FQ317" s="69">
        <f t="shared" si="2928"/>
        <v>845</v>
      </c>
      <c r="FR317" s="69">
        <f t="shared" si="2929"/>
        <v>66</v>
      </c>
      <c r="FS317" s="11">
        <v>361</v>
      </c>
      <c r="FT317" s="12">
        <f t="shared" si="2878"/>
        <v>0.44615384615384618</v>
      </c>
      <c r="FU317" s="11">
        <v>16</v>
      </c>
      <c r="FV317" s="12">
        <f t="shared" si="2879"/>
        <v>4.2440318302387266E-2</v>
      </c>
      <c r="FW317" s="13"/>
      <c r="FX317" s="11"/>
      <c r="FY317" s="39"/>
      <c r="FZ317" s="43">
        <v>100</v>
      </c>
      <c r="GA317" s="10">
        <v>1</v>
      </c>
      <c r="GB317" s="11"/>
      <c r="GC317" s="69">
        <f t="shared" si="2930"/>
        <v>863</v>
      </c>
      <c r="GD317" s="69">
        <f t="shared" si="2931"/>
        <v>67</v>
      </c>
      <c r="GE317" s="11">
        <v>398</v>
      </c>
      <c r="GF317" s="12">
        <f t="shared" si="2880"/>
        <v>0.47276940903823872</v>
      </c>
      <c r="GG317" s="11">
        <v>10</v>
      </c>
      <c r="GH317" s="12">
        <f t="shared" si="2881"/>
        <v>2.4509803921568627E-2</v>
      </c>
      <c r="GI317" s="13"/>
      <c r="GJ317" s="11"/>
      <c r="GK317" s="39"/>
      <c r="GL317" s="43">
        <v>100</v>
      </c>
      <c r="GM317" s="10"/>
      <c r="GN317" s="11"/>
      <c r="GO317" s="69">
        <f t="shared" si="2932"/>
        <v>130</v>
      </c>
      <c r="GP317" s="69">
        <f t="shared" si="2933"/>
        <v>10</v>
      </c>
      <c r="GQ317" s="11">
        <v>47</v>
      </c>
      <c r="GR317" s="12">
        <f t="shared" si="2882"/>
        <v>0.36153846153846153</v>
      </c>
      <c r="GS317" s="11">
        <v>0</v>
      </c>
      <c r="GT317" s="12">
        <f t="shared" si="2883"/>
        <v>0</v>
      </c>
      <c r="GU317" s="13"/>
      <c r="GV317" s="11"/>
      <c r="GW317" s="39"/>
      <c r="GX317" s="43">
        <v>100</v>
      </c>
      <c r="GY317" s="10"/>
      <c r="GZ317" s="11"/>
      <c r="HA317" s="69">
        <f t="shared" si="2934"/>
        <v>890</v>
      </c>
      <c r="HB317" s="69">
        <f t="shared" si="2935"/>
        <v>69</v>
      </c>
      <c r="HC317" s="11">
        <v>419</v>
      </c>
      <c r="HD317" s="12">
        <f t="shared" si="2884"/>
        <v>0.49550561797752807</v>
      </c>
      <c r="HE317" s="11">
        <v>22</v>
      </c>
      <c r="HF317" s="12">
        <f t="shared" si="2885"/>
        <v>4.9886621315192746E-2</v>
      </c>
      <c r="HG317" s="13"/>
      <c r="HH317" s="11"/>
      <c r="HI317" s="39"/>
      <c r="HJ317" s="43">
        <v>100</v>
      </c>
      <c r="HK317" s="10">
        <f t="shared" si="2886"/>
        <v>7</v>
      </c>
      <c r="HL317" s="11">
        <f t="shared" si="2887"/>
        <v>0</v>
      </c>
      <c r="HM317" s="11">
        <f t="shared" si="2888"/>
        <v>11619</v>
      </c>
      <c r="HN317" s="11">
        <f t="shared" si="2889"/>
        <v>898</v>
      </c>
      <c r="HO317" s="11">
        <f t="shared" si="2890"/>
        <v>5303</v>
      </c>
      <c r="HP317" s="95">
        <f t="shared" si="2891"/>
        <v>0.45640760822790255</v>
      </c>
      <c r="HQ317" s="15">
        <f t="shared" si="2892"/>
        <v>191</v>
      </c>
      <c r="HR317" s="12">
        <f t="shared" si="2893"/>
        <v>3.6017348670563831E-2</v>
      </c>
      <c r="HS317" s="16">
        <v>68.2</v>
      </c>
      <c r="HT317" s="17">
        <v>4997</v>
      </c>
      <c r="HU317" s="16">
        <f t="shared" si="2894"/>
        <v>94.229681312464635</v>
      </c>
      <c r="HV317" s="23"/>
      <c r="HW317" s="22">
        <v>85.65</v>
      </c>
      <c r="HX317" s="73">
        <f t="shared" si="2895"/>
        <v>0.47258979206049151</v>
      </c>
      <c r="HY317" s="73">
        <f t="shared" si="2896"/>
        <v>0.43950697372688941</v>
      </c>
      <c r="HZ317" s="73">
        <f t="shared" si="2897"/>
        <v>0.44608959757023536</v>
      </c>
      <c r="IA317" s="73">
        <f t="shared" si="2898"/>
        <v>0.46664222873900291</v>
      </c>
      <c r="IF317" s="85">
        <f>IF318/IF319</f>
        <v>3.1407035175879399E-3</v>
      </c>
      <c r="IG317" s="85">
        <f>IG318/IG319</f>
        <v>1.9423761735189381E-3</v>
      </c>
      <c r="IH317" s="85">
        <f>IH318/IH319</f>
        <v>3.0280090840272521E-3</v>
      </c>
      <c r="II317" s="85">
        <f>II318/II319</f>
        <v>3.288271830471319E-3</v>
      </c>
      <c r="IJ317" s="88" t="s">
        <v>90</v>
      </c>
    </row>
    <row r="318" spans="1:244" ht="19.5" thickBot="1" x14ac:dyDescent="0.3">
      <c r="A318" s="374"/>
      <c r="B318" s="42"/>
      <c r="C318" s="26">
        <f>SUM(C311:C317)</f>
        <v>3</v>
      </c>
      <c r="D318" s="27">
        <f>SUM(D311:D317)</f>
        <v>0</v>
      </c>
      <c r="E318" s="27"/>
      <c r="F318" s="27"/>
      <c r="G318" s="27">
        <f>SUM(G311:G317)</f>
        <v>2497</v>
      </c>
      <c r="H318" s="28">
        <f>((G318+I318)/7)/E317</f>
        <v>0.46170288564303524</v>
      </c>
      <c r="I318" s="27">
        <f>SUM(I311:I317)</f>
        <v>95</v>
      </c>
      <c r="J318" s="28">
        <f>(I318/(I318+G318))</f>
        <v>3.6651234567901238E-2</v>
      </c>
      <c r="K318" s="27"/>
      <c r="L318" s="27"/>
      <c r="M318" s="29" t="e">
        <f>M316/M315*100-100</f>
        <v>#DIV/0!</v>
      </c>
      <c r="N318" s="67">
        <f>N316/N315*100-100</f>
        <v>4.0261153427638732</v>
      </c>
      <c r="O318" s="26">
        <f>SUM(O311:O317)</f>
        <v>3</v>
      </c>
      <c r="P318" s="27">
        <f>SUM(P311:P317)</f>
        <v>0</v>
      </c>
      <c r="Q318" s="27"/>
      <c r="R318" s="27"/>
      <c r="S318" s="27">
        <f>SUM(S311:S317)</f>
        <v>2283</v>
      </c>
      <c r="T318" s="28">
        <f>((S318+U318)/7)/Q317</f>
        <v>0.46258503401360546</v>
      </c>
      <c r="U318" s="27">
        <f>SUM(U311:U317)</f>
        <v>97</v>
      </c>
      <c r="V318" s="28">
        <f>(U318/(U318+S318))</f>
        <v>4.0756302521008404E-2</v>
      </c>
      <c r="W318" s="27"/>
      <c r="X318" s="27"/>
      <c r="Y318" s="29" t="e">
        <f>Y316/Y315*100-100</f>
        <v>#DIV/0!</v>
      </c>
      <c r="Z318" s="67">
        <f>Z316/Z315*100-100</f>
        <v>11.262241566920579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440</v>
      </c>
      <c r="AF318" s="28">
        <f>((AE318+AG318)/7)/AC317</f>
        <v>0.43421052631578949</v>
      </c>
      <c r="AG318" s="27">
        <f>SUM(AG311:AG317)</f>
        <v>22</v>
      </c>
      <c r="AH318" s="28">
        <f>(AG318/(AG318+AE318))</f>
        <v>4.7619047619047616E-2</v>
      </c>
      <c r="AI318" s="27"/>
      <c r="AJ318" s="27"/>
      <c r="AK318" s="29" t="e">
        <f>AK316/AK315*100-100</f>
        <v>#DIV/0!</v>
      </c>
      <c r="AL318" s="67">
        <f>AL316/AL315*100-100</f>
        <v>3.3007616974972933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2385</v>
      </c>
      <c r="AR318" s="28">
        <f>((AQ318+AS318)/7)/AO317</f>
        <v>0.47382550335570472</v>
      </c>
      <c r="AS318" s="27">
        <f>SUM(AS311:AS317)</f>
        <v>86</v>
      </c>
      <c r="AT318" s="28">
        <f>(AS318/(AS318+AQ318))</f>
        <v>3.480372318899231E-2</v>
      </c>
      <c r="AU318" s="27"/>
      <c r="AV318" s="27"/>
      <c r="AW318" s="29" t="e">
        <f>AW316/AW315*100-100</f>
        <v>#DIV/0!</v>
      </c>
      <c r="AX318" s="67">
        <f>AX316/AX315*100-100</f>
        <v>13.668770402611543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2302</v>
      </c>
      <c r="BD318" s="28">
        <f>((BC318+BE318)/7)/BA317</f>
        <v>0.46505791505791511</v>
      </c>
      <c r="BE318" s="27">
        <f>SUM(BE311:BE317)</f>
        <v>107</v>
      </c>
      <c r="BF318" s="28">
        <f>(BE318/(BE318+BC318))</f>
        <v>4.4416770444167704E-2</v>
      </c>
      <c r="BG318" s="27"/>
      <c r="BH318" s="27"/>
      <c r="BI318" s="29" t="e">
        <f>BI316/BI315*100-100</f>
        <v>#DIV/0!</v>
      </c>
      <c r="BJ318" s="67">
        <f>BJ316/BJ315*100-100</f>
        <v>16.732317736670296</v>
      </c>
      <c r="BK318" s="26">
        <f>SUM(BK311:BK317)</f>
        <v>4</v>
      </c>
      <c r="BL318" s="27">
        <f>SUM(BL311:BL317)</f>
        <v>0</v>
      </c>
      <c r="BM318" s="27"/>
      <c r="BN318" s="27"/>
      <c r="BO318" s="27">
        <f>SUM(BO311:BO317)</f>
        <v>2305</v>
      </c>
      <c r="BP318" s="28">
        <f>((BO318+BQ318)/7)/BM317</f>
        <v>0.42983885569436903</v>
      </c>
      <c r="BQ318" s="27">
        <f>SUM(BQ311:BQ317)</f>
        <v>69</v>
      </c>
      <c r="BR318" s="28">
        <f>(BQ318/(BQ318+BO318))</f>
        <v>2.9064869418702611E-2</v>
      </c>
      <c r="BS318" s="27"/>
      <c r="BT318" s="27"/>
      <c r="BU318" s="29" t="e">
        <f>BU316/BU315*100-100</f>
        <v>#DIV/0!</v>
      </c>
      <c r="BV318" s="67">
        <f>BV316/BV315*100-100</f>
        <v>5.8605005440696374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2226</v>
      </c>
      <c r="CB318" s="28">
        <f>((CA318+CC318)/7)/BY317</f>
        <v>0.45153061224489799</v>
      </c>
      <c r="CC318" s="27">
        <f>SUM(CC311:CC317)</f>
        <v>75</v>
      </c>
      <c r="CD318" s="28">
        <f>(CC318/(CC318+CA318))</f>
        <v>3.259452411994785E-2</v>
      </c>
      <c r="CE318" s="27"/>
      <c r="CF318" s="27"/>
      <c r="CG318" s="29" t="e">
        <f>CG316/CG315*100-100</f>
        <v>#DIV/0!</v>
      </c>
      <c r="CH318" s="67">
        <f>CH316/CH315*100-100</f>
        <v>13.311643090315556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339</v>
      </c>
      <c r="CN318" s="28">
        <f>((CM318+CO318)/7)/CK317</f>
        <v>0.41142857142857142</v>
      </c>
      <c r="CO318" s="27">
        <f>SUM(CO311:CO317)</f>
        <v>21</v>
      </c>
      <c r="CP318" s="28">
        <f>(CO318/(CO318+CM318))</f>
        <v>5.8333333333333334E-2</v>
      </c>
      <c r="CQ318" s="27"/>
      <c r="CR318" s="27"/>
      <c r="CS318" s="29" t="e">
        <f>CS316/CS315*100-100</f>
        <v>#DIV/0!</v>
      </c>
      <c r="CT318" s="67">
        <f>CT316/CT315*100-100</f>
        <v>10.845048966267683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2182</v>
      </c>
      <c r="CZ318" s="28">
        <f>((CY318+DA318)/7)/CW317</f>
        <v>0.44400474871388995</v>
      </c>
      <c r="DA318" s="27">
        <f>SUM(DA311:DA317)</f>
        <v>62</v>
      </c>
      <c r="DB318" s="28">
        <f>(DA318/(DA318+CY318))</f>
        <v>2.7629233511586453E-2</v>
      </c>
      <c r="DC318" s="27"/>
      <c r="DD318" s="27"/>
      <c r="DE318" s="29" t="e">
        <f>DE316/DE315*100-100</f>
        <v>#DIV/0!</v>
      </c>
      <c r="DF318" s="67">
        <f>DF316/DF315*100-100</f>
        <v>8.6633297062023757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2377</v>
      </c>
      <c r="DL318" s="28">
        <f>((DK318+DM318)/7)/DI317</f>
        <v>0.48539638386648121</v>
      </c>
      <c r="DM318" s="27">
        <f>SUM(DM311:DM317)</f>
        <v>66</v>
      </c>
      <c r="DN318" s="28">
        <f>(DM318/(DM318+DK318))</f>
        <v>2.7015963978714697E-2</v>
      </c>
      <c r="DO318" s="27"/>
      <c r="DP318" s="27"/>
      <c r="DQ318" s="29" t="e">
        <f>DQ316/DQ315*100-100</f>
        <v>#DIV/0!</v>
      </c>
      <c r="DR318" s="67">
        <f>DR316/DR315*100-100</f>
        <v>21.905114254624579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2452</v>
      </c>
      <c r="DX318" s="28">
        <f>((DW318+DY318)/7)/DU317</f>
        <v>0.45193839617631443</v>
      </c>
      <c r="DY318" s="27">
        <f>SUM(DY311:DY317)</f>
        <v>101</v>
      </c>
      <c r="DZ318" s="28">
        <f>(DY318/(DY318+DW318))</f>
        <v>3.9561300430865649E-2</v>
      </c>
      <c r="EA318" s="27"/>
      <c r="EB318" s="27"/>
      <c r="EC318" s="29" t="e">
        <f>EC316/EC315*100-100</f>
        <v>#DIV/0!</v>
      </c>
      <c r="ED318" s="67">
        <f>ED316/ED315*100-100</f>
        <v>8.6779107725788833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2520</v>
      </c>
      <c r="EJ318" s="28">
        <f>((EI318+EK318)/7)/EG317</f>
        <v>0.45258103241296521</v>
      </c>
      <c r="EK318" s="27">
        <f>SUM(EK311:EK317)</f>
        <v>119</v>
      </c>
      <c r="EL318" s="28">
        <f>(EK318/(EK318+EI318))</f>
        <v>4.5092838196286469E-2</v>
      </c>
      <c r="EM318" s="27"/>
      <c r="EN318" s="27"/>
      <c r="EO318" s="29" t="e">
        <f>EO316/EO315*100-100</f>
        <v>#DIV/0!</v>
      </c>
      <c r="EP318" s="67">
        <f>EP316/EP315*100-100</f>
        <v>15.737323177366719</v>
      </c>
      <c r="EQ318" s="26">
        <f>SUM(EQ311:EQ317)</f>
        <v>3</v>
      </c>
      <c r="ER318" s="27">
        <f>SUM(ER311:ER317)</f>
        <v>0</v>
      </c>
      <c r="ES318" s="27"/>
      <c r="ET318" s="27"/>
      <c r="EU318" s="27">
        <f>SUM(EU311:EU317)</f>
        <v>449</v>
      </c>
      <c r="EV318" s="28">
        <f>((EU318+EW318)/7)/ES317</f>
        <v>0.44155844155844154</v>
      </c>
      <c r="EW318" s="27">
        <f>SUM(EW311:EW317)</f>
        <v>27</v>
      </c>
      <c r="EX318" s="28">
        <f>(EW318/(EW318+EU318))</f>
        <v>5.6722689075630252E-2</v>
      </c>
      <c r="EY318" s="27"/>
      <c r="EZ318" s="27"/>
      <c r="FA318" s="29" t="e">
        <f>FA316/FA315*100-100</f>
        <v>#DIV/0!</v>
      </c>
      <c r="FB318" s="67">
        <f>FB316/FB315*100-100</f>
        <v>-0.16322089227421088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2673</v>
      </c>
      <c r="FH318" s="28">
        <f>((FG318+FI318)/7)/FE317</f>
        <v>0.47227891156462587</v>
      </c>
      <c r="FI318" s="27">
        <f>SUM(FI311:FI317)</f>
        <v>104</v>
      </c>
      <c r="FJ318" s="28">
        <f>(FI318/(FI318+FG318))</f>
        <v>3.7450486136118115E-2</v>
      </c>
      <c r="FK318" s="27"/>
      <c r="FL318" s="27"/>
      <c r="FM318" s="29" t="e">
        <f>FM316/FM315*100-100</f>
        <v>#DIV/0!</v>
      </c>
      <c r="FN318" s="67">
        <f>FN316/FN315*100-100</f>
        <v>19.129488574537532</v>
      </c>
      <c r="FO318" s="26">
        <f>SUM(FO311:FO317)</f>
        <v>1</v>
      </c>
      <c r="FP318" s="27">
        <f>SUM(FP311:FP317)</f>
        <v>0</v>
      </c>
      <c r="FQ318" s="27"/>
      <c r="FR318" s="27"/>
      <c r="FS318" s="27">
        <f>SUM(FS311:FS317)</f>
        <v>2513</v>
      </c>
      <c r="FT318" s="28">
        <f>((FS318+FU318)/7)/FQ317</f>
        <v>0.44632290786136941</v>
      </c>
      <c r="FU318" s="27">
        <f>SUM(FU311:FU317)</f>
        <v>127</v>
      </c>
      <c r="FV318" s="28">
        <f>(FU318/(FU318+FS318))</f>
        <v>4.8106060606060604E-2</v>
      </c>
      <c r="FW318" s="27"/>
      <c r="FX318" s="27"/>
      <c r="FY318" s="29" t="e">
        <f>FY316/FY315*100-100</f>
        <v>#DIV/0!</v>
      </c>
      <c r="FZ318" s="67">
        <f>FZ316/FZ315*100-100</f>
        <v>6.2605005440696289</v>
      </c>
      <c r="GA318" s="26">
        <f>SUM(GA311:GA317)</f>
        <v>2</v>
      </c>
      <c r="GB318" s="27">
        <f>SUM(GB311:GB317)</f>
        <v>0</v>
      </c>
      <c r="GC318" s="27"/>
      <c r="GD318" s="27"/>
      <c r="GE318" s="27">
        <f>SUM(GE311:GE317)</f>
        <v>2727</v>
      </c>
      <c r="GF318" s="28">
        <f>((GE318+GG318)/7)/GC317</f>
        <v>0.46730673729514982</v>
      </c>
      <c r="GG318" s="27">
        <f>SUM(GG311:GG317)</f>
        <v>96</v>
      </c>
      <c r="GH318" s="28">
        <f>(GG318/(GG318+GE318))</f>
        <v>3.4006376195536661E-2</v>
      </c>
      <c r="GI318" s="27"/>
      <c r="GJ318" s="27"/>
      <c r="GK318" s="29" t="e">
        <f>GK316/GK315*100-100</f>
        <v>#DIV/0!</v>
      </c>
      <c r="GL318" s="67">
        <f>GL316/GL315*100-100</f>
        <v>12.70511425462459</v>
      </c>
      <c r="GM318" s="26">
        <f>SUM(GM311:GM317)</f>
        <v>3</v>
      </c>
      <c r="GN318" s="27">
        <f>SUM(GN311:GN317)</f>
        <v>0</v>
      </c>
      <c r="GO318" s="27"/>
      <c r="GP318" s="27"/>
      <c r="GQ318" s="27">
        <f>SUM(GQ311:GQ317)</f>
        <v>337</v>
      </c>
      <c r="GR318" s="28">
        <f>((GQ318+GS318)/7)/GO317</f>
        <v>0.39340659340659345</v>
      </c>
      <c r="GS318" s="27">
        <f>SUM(GS311:GS317)</f>
        <v>21</v>
      </c>
      <c r="GT318" s="28">
        <f>(GS318/(GS318+GQ318))</f>
        <v>5.8659217877094973E-2</v>
      </c>
      <c r="GU318" s="27"/>
      <c r="GV318" s="27"/>
      <c r="GW318" s="29" t="e">
        <f>GW316/GW315*100-100</f>
        <v>#DIV/0!</v>
      </c>
      <c r="GX318" s="67">
        <f>GX316/GX315*100-100</f>
        <v>-5.4043525571273108</v>
      </c>
      <c r="GY318" s="26">
        <f>SUM(GY311:GY317)</f>
        <v>3</v>
      </c>
      <c r="GZ318" s="27">
        <f>SUM(GZ311:GZ317)</f>
        <v>0</v>
      </c>
      <c r="HA318" s="27"/>
      <c r="HB318" s="27"/>
      <c r="HC318" s="27">
        <f>SUM(HC311:HC317)</f>
        <v>2904</v>
      </c>
      <c r="HD318" s="28">
        <f>((HC318+HE318)/7)/HA317</f>
        <v>0.48459069020866774</v>
      </c>
      <c r="HE318" s="27">
        <f>SUM(HE311:HE317)</f>
        <v>115</v>
      </c>
      <c r="HF318" s="28">
        <f>(HE318/(HE318+HC318))</f>
        <v>3.8092083471348126E-2</v>
      </c>
      <c r="HG318" s="27"/>
      <c r="HH318" s="27"/>
      <c r="HI318" s="29" t="e">
        <f>HI316/HI315*100-100</f>
        <v>#DIV/0!</v>
      </c>
      <c r="HJ318" s="67">
        <f>HJ316/HJ315*100-100</f>
        <v>17.76561479869423</v>
      </c>
      <c r="HK318" s="26">
        <f t="shared" si="2886"/>
        <v>33</v>
      </c>
      <c r="HL318" s="27">
        <f t="shared" si="2887"/>
        <v>0</v>
      </c>
      <c r="HM318" s="27">
        <f t="shared" si="2888"/>
        <v>0</v>
      </c>
      <c r="HN318" s="27">
        <f t="shared" si="2889"/>
        <v>0</v>
      </c>
      <c r="HO318" s="27">
        <f t="shared" si="2890"/>
        <v>37321</v>
      </c>
      <c r="HP318" s="96">
        <f>+((HO318)/HM317)/7</f>
        <v>0.45886663469932254</v>
      </c>
      <c r="HQ318" s="62">
        <f t="shared" si="2892"/>
        <v>1410</v>
      </c>
      <c r="HR318" s="52">
        <f t="shared" si="2893"/>
        <v>3.7780338147423702E-2</v>
      </c>
      <c r="HS318" s="53">
        <f>SUM(HS311:HS317)/7</f>
        <v>68.157142857142858</v>
      </c>
      <c r="HT318" s="54">
        <f>SUM(HT311:HT317)</f>
        <v>35173</v>
      </c>
      <c r="HU318" s="53">
        <f>AVERAGE(HU311:HU317)</f>
        <v>94.242301030263448</v>
      </c>
      <c r="HV318" s="63" t="e">
        <f>HV316/HV315*100-100</f>
        <v>#DIV/0!</v>
      </c>
      <c r="HW318" s="67">
        <f>HW316/HW315*100-100</f>
        <v>11.907508161044603</v>
      </c>
      <c r="HX318" s="73">
        <f>SUM(G318,I318,S318,U318,AE318,AG318,AQ318,AS318,BC318,BE318)/7/SUM(E317,Q317,AC317,AO317,BA317)</f>
        <v>0.46421820145827702</v>
      </c>
      <c r="HY318" s="73">
        <f>SUM(BO318,BQ318,CA318,CC318,CM318,CO318,CY318,DA318,DK318,DM318)/7/SUM(BM317,BY317,CK317,CW317,DI317)</f>
        <v>0.45048885593809368</v>
      </c>
      <c r="HZ318" s="73">
        <f>SUM(DW318,DY318,EI318,EK318,EU318,EW318,FG318,FI318)/7/SUM(DU317,EG317,ES317,FE317)</f>
        <v>0.45802147738366411</v>
      </c>
      <c r="IA318" s="73">
        <f>SUM(FS318,FU318,GE318,GG318,GQ318,GS318,HC318,HE318)/7/SUM(FQ317,GC317,GO317,HA317)</f>
        <v>0.46292417260159197</v>
      </c>
      <c r="IB318" s="84">
        <f>SUM(I318,U318,AG318,AS318,BE318)/SUM(G318,I318,S318,U318,AE318,AG318,AQ318,AS318,BC318,BE318)</f>
        <v>3.946092689548187E-2</v>
      </c>
      <c r="IC318" s="84">
        <f>SUM(BQ318,CC318,CO318,DA318,DM318)/SUM(BO318,BQ318,CA318,CC318,CM318,CO318,CY318,DA318,DK318,DM318)</f>
        <v>3.0137831721867927E-2</v>
      </c>
      <c r="ID318" s="84">
        <f>SUM(DY318,EK318,EW318,FI318)/SUM(DW318,DY318,EI318,EK318,EU318,EW318,FG318,FI318)</f>
        <v>4.1563055062166961E-2</v>
      </c>
      <c r="IE318" s="84">
        <f>SUM(FU318,GG318,GS318,HE318)/SUM(FS318,FU318,GE318,GG318,GQ318,GS318,HC318,HE318)</f>
        <v>4.0610859728506789E-2</v>
      </c>
      <c r="IF318" s="86">
        <f>SUM(C318,O318,AA318,AM318,AY318)</f>
        <v>10</v>
      </c>
      <c r="IG318" s="86">
        <f>SUM(BK318,BW318,CI318,CU318,DG318)</f>
        <v>6</v>
      </c>
      <c r="IH318" s="86">
        <f>SUM(DS318,EE318,EQ318,FC318)</f>
        <v>8</v>
      </c>
      <c r="II318" s="86">
        <f>SUM(FO318,GA318,GM318,GY318)</f>
        <v>9</v>
      </c>
      <c r="IJ318" s="88" t="s">
        <v>89</v>
      </c>
    </row>
    <row r="319" spans="1:244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HK318/HM311</f>
        <v>2.8335909325090162E-3</v>
      </c>
      <c r="HL319" s="66">
        <f>HL318/HN311</f>
        <v>0</v>
      </c>
      <c r="HM319" s="45"/>
      <c r="HN319" s="45"/>
      <c r="HO319" s="45"/>
      <c r="HP319" s="98"/>
      <c r="HQ319" s="45"/>
      <c r="HR319" s="45"/>
      <c r="HS319" s="45"/>
      <c r="HT319" s="55"/>
      <c r="HU319" s="45"/>
      <c r="HV319" s="45"/>
      <c r="HW319" s="46"/>
      <c r="HY319" s="72"/>
      <c r="HZ319" s="72"/>
      <c r="IA319" s="72"/>
      <c r="IF319" s="86">
        <f>SUM(E308,Q308,AC308,AO308,BA308)</f>
        <v>3184</v>
      </c>
      <c r="IG319" s="86">
        <f>SUM(BM308,BY308,CK308,CW308,DI308)</f>
        <v>3089</v>
      </c>
      <c r="IH319" s="86">
        <f>SUM(DU308,EG308,ES308,FE308)</f>
        <v>2642</v>
      </c>
      <c r="II319" s="86">
        <f>SUM(FQ308,GC308,GO308,HA308)</f>
        <v>2737</v>
      </c>
      <c r="IJ319" s="88" t="s">
        <v>84</v>
      </c>
    </row>
    <row r="320" spans="1:244" x14ac:dyDescent="0.25">
      <c r="A320" s="373">
        <v>60</v>
      </c>
      <c r="B320" s="68">
        <f>B317+1</f>
        <v>45186</v>
      </c>
      <c r="C320" s="33"/>
      <c r="D320" s="34"/>
      <c r="E320" s="34">
        <f>E317-C320</f>
        <v>802</v>
      </c>
      <c r="F320" s="34">
        <f>F317-D320</f>
        <v>62</v>
      </c>
      <c r="G320" s="34">
        <v>362</v>
      </c>
      <c r="H320" s="35">
        <f t="shared" ref="H320:H326" si="2936">((G320+I320)/E320)</f>
        <v>0.45885286783042395</v>
      </c>
      <c r="I320" s="34">
        <v>6</v>
      </c>
      <c r="J320" s="35">
        <f t="shared" ref="J320:J326" si="2937">I320/(G320+I320)</f>
        <v>1.6304347826086956E-2</v>
      </c>
      <c r="K320" s="36"/>
      <c r="L320" s="34"/>
      <c r="M320" s="34"/>
      <c r="N320" s="37"/>
      <c r="O320" s="33"/>
      <c r="P320" s="34"/>
      <c r="Q320" s="34">
        <f>Q317-O320</f>
        <v>735</v>
      </c>
      <c r="R320" s="34">
        <f>R317-P320</f>
        <v>56</v>
      </c>
      <c r="S320" s="34">
        <v>307</v>
      </c>
      <c r="T320" s="35">
        <f t="shared" ref="T320:T326" si="2938">((S320+U320)/Q320)</f>
        <v>0.42585034013605444</v>
      </c>
      <c r="U320" s="34">
        <v>6</v>
      </c>
      <c r="V320" s="35">
        <f t="shared" ref="V320:V326" si="2939">U320/(S320+U320)</f>
        <v>1.9169329073482427E-2</v>
      </c>
      <c r="W320" s="36"/>
      <c r="X320" s="34"/>
      <c r="Y320" s="34"/>
      <c r="Z320" s="37"/>
      <c r="AA320" s="33">
        <v>1</v>
      </c>
      <c r="AB320" s="34"/>
      <c r="AC320" s="34">
        <f>AC317-AA320</f>
        <v>151</v>
      </c>
      <c r="AD320" s="34">
        <f>AD317-AB320</f>
        <v>11</v>
      </c>
      <c r="AE320" s="34">
        <v>69</v>
      </c>
      <c r="AF320" s="35">
        <f t="shared" ref="AF320:AF326" si="2940">((AE320+AG320)/AC320)</f>
        <v>0.47682119205298013</v>
      </c>
      <c r="AG320" s="34">
        <v>3</v>
      </c>
      <c r="AH320" s="35">
        <f t="shared" ref="AH320:AH326" si="2941">AG320/(AE320+AG320)</f>
        <v>4.1666666666666664E-2</v>
      </c>
      <c r="AI320" s="36"/>
      <c r="AJ320" s="34"/>
      <c r="AK320" s="34"/>
      <c r="AL320" s="37"/>
      <c r="AM320" s="33"/>
      <c r="AN320" s="34"/>
      <c r="AO320" s="34">
        <f>AO317-AM320</f>
        <v>745</v>
      </c>
      <c r="AP320" s="34">
        <f>AP317-AN320</f>
        <v>57</v>
      </c>
      <c r="AQ320" s="34">
        <v>336</v>
      </c>
      <c r="AR320" s="35">
        <f t="shared" ref="AR320:AR326" si="2942">((AQ320+AS320)/AO320)</f>
        <v>0.46442953020134226</v>
      </c>
      <c r="AS320" s="34">
        <v>10</v>
      </c>
      <c r="AT320" s="35">
        <f t="shared" ref="AT320:AT326" si="2943">AS320/(AQ320+AS320)</f>
        <v>2.8901734104046242E-2</v>
      </c>
      <c r="AU320" s="36"/>
      <c r="AV320" s="34"/>
      <c r="AW320" s="34"/>
      <c r="AX320" s="37"/>
      <c r="AY320" s="33"/>
      <c r="AZ320" s="34"/>
      <c r="BA320" s="34">
        <f>BA317-AY320</f>
        <v>740</v>
      </c>
      <c r="BB320" s="34">
        <f>BB317-AZ320</f>
        <v>57</v>
      </c>
      <c r="BC320" s="34">
        <v>330</v>
      </c>
      <c r="BD320" s="35">
        <f t="shared" ref="BD320:BD326" si="2944">((BC320+BE320)/BA320)</f>
        <v>0.4635135135135135</v>
      </c>
      <c r="BE320" s="34">
        <v>13</v>
      </c>
      <c r="BF320" s="35">
        <f t="shared" ref="BF320:BF326" si="2945">BE320/(BC320+BE320)</f>
        <v>3.7900874635568516E-2</v>
      </c>
      <c r="BG320" s="36"/>
      <c r="BH320" s="34"/>
      <c r="BI320" s="34"/>
      <c r="BJ320" s="37"/>
      <c r="BK320" s="33">
        <v>1</v>
      </c>
      <c r="BL320" s="34"/>
      <c r="BM320" s="34">
        <f>BM317-BK320</f>
        <v>788</v>
      </c>
      <c r="BN320" s="34">
        <f>BN317-BL320</f>
        <v>61</v>
      </c>
      <c r="BO320" s="34">
        <v>330</v>
      </c>
      <c r="BP320" s="35">
        <f t="shared" ref="BP320:BP326" si="2946">((BO320+BQ320)/BM320)</f>
        <v>0.43274111675126903</v>
      </c>
      <c r="BQ320" s="34">
        <v>11</v>
      </c>
      <c r="BR320" s="35">
        <f t="shared" ref="BR320:BR326" si="2947">BQ320/(BO320+BQ320)</f>
        <v>3.2258064516129031E-2</v>
      </c>
      <c r="BS320" s="36"/>
      <c r="BT320" s="34"/>
      <c r="BU320" s="34"/>
      <c r="BV320" s="37"/>
      <c r="BW320" s="33"/>
      <c r="BX320" s="34"/>
      <c r="BY320" s="34">
        <f>BY317-BW320</f>
        <v>728</v>
      </c>
      <c r="BZ320" s="34">
        <f>BZ317-BX320</f>
        <v>57</v>
      </c>
      <c r="CA320" s="34">
        <v>316</v>
      </c>
      <c r="CB320" s="35">
        <f t="shared" ref="CB320:CB326" si="2948">((CA320+CC320)/BY320)</f>
        <v>0.45054945054945056</v>
      </c>
      <c r="CC320" s="34">
        <v>12</v>
      </c>
      <c r="CD320" s="35">
        <f t="shared" ref="CD320:CD326" si="2949">CC320/(CA320+CC320)</f>
        <v>3.6585365853658534E-2</v>
      </c>
      <c r="CE320" s="36"/>
      <c r="CF320" s="34"/>
      <c r="CG320" s="34"/>
      <c r="CH320" s="37"/>
      <c r="CI320" s="33">
        <v>1</v>
      </c>
      <c r="CJ320" s="34"/>
      <c r="CK320" s="34">
        <f>CK317-CI320</f>
        <v>124</v>
      </c>
      <c r="CL320" s="34">
        <f>CL317-CJ320</f>
        <v>10</v>
      </c>
      <c r="CM320" s="34">
        <v>46</v>
      </c>
      <c r="CN320" s="35">
        <f t="shared" ref="CN320:CN326" si="2950">((CM320+CO320)/CK320)</f>
        <v>0.39516129032258063</v>
      </c>
      <c r="CO320" s="34">
        <v>3</v>
      </c>
      <c r="CP320" s="35">
        <f t="shared" ref="CP320:CP326" si="2951">CO320/(CM320+CO320)</f>
        <v>6.1224489795918366E-2</v>
      </c>
      <c r="CQ320" s="36"/>
      <c r="CR320" s="34"/>
      <c r="CS320" s="34"/>
      <c r="CT320" s="37"/>
      <c r="CU320" s="33"/>
      <c r="CV320" s="34"/>
      <c r="CW320" s="34">
        <f>CW317-CU320</f>
        <v>722</v>
      </c>
      <c r="CX320" s="34">
        <f>CX317-CV320</f>
        <v>56</v>
      </c>
      <c r="CY320" s="34">
        <v>300</v>
      </c>
      <c r="CZ320" s="35">
        <f t="shared" ref="CZ320:CZ326" si="2952">((CY320+DA320)/CW320)</f>
        <v>0.4293628808864266</v>
      </c>
      <c r="DA320" s="34">
        <v>10</v>
      </c>
      <c r="DB320" s="35">
        <f t="shared" ref="DB320:DB326" si="2953">DA320/(CY320+DA320)</f>
        <v>3.2258064516129031E-2</v>
      </c>
      <c r="DC320" s="36"/>
      <c r="DD320" s="34"/>
      <c r="DE320" s="34"/>
      <c r="DF320" s="37"/>
      <c r="DG320" s="33"/>
      <c r="DH320" s="34"/>
      <c r="DI320" s="34">
        <f>DI317-DG320</f>
        <v>719</v>
      </c>
      <c r="DJ320" s="34">
        <f>DJ317-DH320</f>
        <v>56</v>
      </c>
      <c r="DK320" s="34">
        <v>354</v>
      </c>
      <c r="DL320" s="35">
        <f t="shared" ref="DL320:DL326" si="2954">((DK320+DM320)/DI320)</f>
        <v>0.50347705146036159</v>
      </c>
      <c r="DM320" s="34">
        <v>8</v>
      </c>
      <c r="DN320" s="35">
        <f t="shared" ref="DN320:DN326" si="2955">DM320/(DK320+DM320)</f>
        <v>2.2099447513812154E-2</v>
      </c>
      <c r="DO320" s="36"/>
      <c r="DP320" s="34"/>
      <c r="DQ320" s="34"/>
      <c r="DR320" s="37"/>
      <c r="DS320" s="33"/>
      <c r="DT320" s="34"/>
      <c r="DU320" s="34">
        <f>DU317-DS320</f>
        <v>807</v>
      </c>
      <c r="DV320" s="34">
        <f>DV317-DT320</f>
        <v>63</v>
      </c>
      <c r="DW320" s="34">
        <v>336</v>
      </c>
      <c r="DX320" s="35">
        <f t="shared" ref="DX320:DX326" si="2956">((DW320+DY320)/DU320)</f>
        <v>0.43246592317224286</v>
      </c>
      <c r="DY320" s="34">
        <v>13</v>
      </c>
      <c r="DZ320" s="35">
        <f t="shared" ref="DZ320:DZ326" si="2957">DY320/(DW320+DY320)</f>
        <v>3.7249283667621778E-2</v>
      </c>
      <c r="EA320" s="36"/>
      <c r="EB320" s="34"/>
      <c r="EC320" s="34"/>
      <c r="ED320" s="37"/>
      <c r="EE320" s="33"/>
      <c r="EF320" s="34"/>
      <c r="EG320" s="34">
        <f>EG317-EE320</f>
        <v>833</v>
      </c>
      <c r="EH320" s="34">
        <f>EH317-EF320</f>
        <v>63</v>
      </c>
      <c r="EI320" s="34">
        <v>338</v>
      </c>
      <c r="EJ320" s="35">
        <f t="shared" ref="EJ320:EJ326" si="2958">((EI320+EK320)/EG320)</f>
        <v>0.42376950780312123</v>
      </c>
      <c r="EK320" s="34">
        <v>15</v>
      </c>
      <c r="EL320" s="35">
        <f t="shared" ref="EL320:EL326" si="2959">EK320/(EI320+EK320)</f>
        <v>4.2492917847025496E-2</v>
      </c>
      <c r="EM320" s="36"/>
      <c r="EN320" s="34"/>
      <c r="EO320" s="34"/>
      <c r="EP320" s="37"/>
      <c r="EQ320" s="33">
        <v>1</v>
      </c>
      <c r="ER320" s="34"/>
      <c r="ES320" s="34">
        <f>ES317-EQ320</f>
        <v>153</v>
      </c>
      <c r="ET320" s="34">
        <f>ET317-ER320</f>
        <v>12</v>
      </c>
      <c r="EU320" s="34">
        <v>63</v>
      </c>
      <c r="EV320" s="35">
        <f t="shared" ref="EV320:EV326" si="2960">((EU320+EW320)/ES320)</f>
        <v>0.43137254901960786</v>
      </c>
      <c r="EW320" s="34">
        <v>3</v>
      </c>
      <c r="EX320" s="35">
        <f t="shared" ref="EX320:EX326" si="2961">EW320/(EU320+EW320)</f>
        <v>4.5454545454545456E-2</v>
      </c>
      <c r="EY320" s="36"/>
      <c r="EZ320" s="34"/>
      <c r="FA320" s="34"/>
      <c r="FB320" s="37"/>
      <c r="FC320" s="33"/>
      <c r="FD320" s="34"/>
      <c r="FE320" s="34">
        <f>FE317-FC320</f>
        <v>840</v>
      </c>
      <c r="FF320" s="34">
        <f>FF317-FD320</f>
        <v>65</v>
      </c>
      <c r="FG320" s="34">
        <v>338</v>
      </c>
      <c r="FH320" s="35">
        <f t="shared" ref="FH320:FH326" si="2962">((FG320+FI320)/FE320)</f>
        <v>0.4154761904761905</v>
      </c>
      <c r="FI320" s="34">
        <v>11</v>
      </c>
      <c r="FJ320" s="35">
        <f t="shared" ref="FJ320:FJ326" si="2963">FI320/(FG320+FI320)</f>
        <v>3.151862464183381E-2</v>
      </c>
      <c r="FK320" s="36"/>
      <c r="FL320" s="34"/>
      <c r="FM320" s="34"/>
      <c r="FN320" s="37"/>
      <c r="FO320" s="33"/>
      <c r="FP320" s="34"/>
      <c r="FQ320" s="34">
        <f>FQ317-FO320</f>
        <v>845</v>
      </c>
      <c r="FR320" s="34">
        <f>FR317-FP320</f>
        <v>66</v>
      </c>
      <c r="FS320" s="34">
        <v>338</v>
      </c>
      <c r="FT320" s="35">
        <f t="shared" ref="FT320:FT326" si="2964">((FS320+FU320)/FQ320)</f>
        <v>0.41775147928994083</v>
      </c>
      <c r="FU320" s="34">
        <v>15</v>
      </c>
      <c r="FV320" s="35">
        <f t="shared" ref="FV320:FV326" si="2965">FU320/(FS320+FU320)</f>
        <v>4.2492917847025496E-2</v>
      </c>
      <c r="FW320" s="36"/>
      <c r="FX320" s="34"/>
      <c r="FY320" s="34"/>
      <c r="FZ320" s="37"/>
      <c r="GA320" s="33"/>
      <c r="GB320" s="34"/>
      <c r="GC320" s="34">
        <f>GC317-GA320</f>
        <v>863</v>
      </c>
      <c r="GD320" s="34">
        <f>GD317-GB320</f>
        <v>67</v>
      </c>
      <c r="GE320" s="34">
        <v>384</v>
      </c>
      <c r="GF320" s="35">
        <f t="shared" ref="GF320:GF326" si="2966">((GE320+GG320)/GC320)</f>
        <v>0.45307068366164543</v>
      </c>
      <c r="GG320" s="34">
        <v>7</v>
      </c>
      <c r="GH320" s="35">
        <f t="shared" ref="GH320:GH326" si="2967">GG320/(GE320+GG320)</f>
        <v>1.7902813299232736E-2</v>
      </c>
      <c r="GI320" s="36"/>
      <c r="GJ320" s="34"/>
      <c r="GK320" s="34"/>
      <c r="GL320" s="37"/>
      <c r="GM320" s="33"/>
      <c r="GN320" s="34"/>
      <c r="GO320" s="34">
        <f>GO317-GM320</f>
        <v>130</v>
      </c>
      <c r="GP320" s="34">
        <f>GP317-GN320</f>
        <v>10</v>
      </c>
      <c r="GQ320" s="34">
        <v>55</v>
      </c>
      <c r="GR320" s="35">
        <f t="shared" ref="GR320:GR326" si="2968">((GQ320+GS320)/GO320)</f>
        <v>0.44615384615384618</v>
      </c>
      <c r="GS320" s="34">
        <v>3</v>
      </c>
      <c r="GT320" s="35">
        <f t="shared" ref="GT320:GT326" si="2969">GS320/(GQ320+GS320)</f>
        <v>5.1724137931034482E-2</v>
      </c>
      <c r="GU320" s="36"/>
      <c r="GV320" s="34"/>
      <c r="GW320" s="34"/>
      <c r="GX320" s="37"/>
      <c r="GY320" s="33"/>
      <c r="GZ320" s="34"/>
      <c r="HA320" s="34">
        <f>HA317-GY320</f>
        <v>890</v>
      </c>
      <c r="HB320" s="34">
        <f>HB317-GZ320</f>
        <v>69</v>
      </c>
      <c r="HC320" s="34">
        <v>431</v>
      </c>
      <c r="HD320" s="35">
        <f t="shared" ref="HD320:HD326" si="2970">((HC320+HE320)/HA320)</f>
        <v>0.5</v>
      </c>
      <c r="HE320" s="34">
        <v>14</v>
      </c>
      <c r="HF320" s="35">
        <f t="shared" ref="HF320:HF326" si="2971">HE320/(HC320+HE320)</f>
        <v>3.1460674157303373E-2</v>
      </c>
      <c r="HG320" s="36"/>
      <c r="HH320" s="34"/>
      <c r="HI320" s="34"/>
      <c r="HJ320" s="37"/>
      <c r="HK320" s="33">
        <f t="shared" ref="HK320:HK327" si="2972">+C320+O320+AA320+AM320+AY320+BK320+BW320+CI320+CU320+DG320+DS320+EE320+EQ320+FC320+FO320+GA320+GM320+GY320</f>
        <v>4</v>
      </c>
      <c r="HL320" s="34">
        <f t="shared" ref="HL320:HL327" si="2973">+D320+P320+AB320+AN320+AZ320+BL320+BX320+CJ320+CV320+DH320+DT320+EF320+ER320+FD320+FP320+GB320+GN320+GZ320</f>
        <v>0</v>
      </c>
      <c r="HM320" s="34">
        <f t="shared" ref="HM320:HM327" si="2974">+E320+Q320+AC320+AO320+BA320+BM320+BY320+CK320+CW320+DI320+DU320+EG320+ES320+FE320+FQ320+GC320+GO320+HA320</f>
        <v>11615</v>
      </c>
      <c r="HN320" s="34">
        <f t="shared" ref="HN320:HN327" si="2975">+F320+R320+AD320+AP320+BB320+BN320+BZ320+CL320+CX320+DJ320+DV320+EH320+ET320+FF320+FR320+GD320+GP320+HB320</f>
        <v>898</v>
      </c>
      <c r="HO320" s="34">
        <f t="shared" ref="HO320:HO327" si="2976">+G320+S320+AE320+AQ320+BC320+BO320+CA320+CM320+CY320+DK320+DW320+EI320+EU320+FG320+FS320+GE320+GQ320+HC320+I320+U320+AG320+AS320+BE320+BQ320+CC320+CO320+DA320+DM320+DY320+EK320+EW320+FI320+FU320+GG320+GS320+HE320</f>
        <v>5196</v>
      </c>
      <c r="HP320" s="94">
        <f t="shared" ref="HP320:HP326" si="2977">+(HO320)/HM320</f>
        <v>0.44735256134309082</v>
      </c>
      <c r="HQ320" s="48">
        <f t="shared" ref="HQ320:HQ327" si="2978">+I320+U320+AG320+AS320+BE320+BQ320+CC320+CO320+DA320+DM320+DY320+EK320+EW320+FI320+FU320+GG320+GS320+HE320</f>
        <v>163</v>
      </c>
      <c r="HR320" s="35">
        <f t="shared" ref="HR320:HR327" si="2979">+(HQ320/(HO320))</f>
        <v>3.1370284834488067E-2</v>
      </c>
      <c r="HS320" s="49">
        <v>67.8</v>
      </c>
      <c r="HT320" s="50">
        <v>4931</v>
      </c>
      <c r="HU320" s="49">
        <f t="shared" ref="HU320:HU326" si="2980">+HT320/HO320*100</f>
        <v>94.899923017705916</v>
      </c>
      <c r="HV320" s="48"/>
      <c r="HW320" s="37"/>
      <c r="HX320" s="73">
        <f t="shared" ref="HX320:HX326" si="2981">SUM(G320,I320,S320,U320,AE320,AG320,AQ320,AS320,BC320,BE320)/SUM(E320,Q320,AC320,AO320,BA320)</f>
        <v>0.45445950204853452</v>
      </c>
      <c r="HY320" s="73">
        <f t="shared" ref="HY320:HY326" si="2982">SUM(BO320,BQ320,CA320,CC320,CM320,CO320,CY320,DA320,DK320,DM320)/SUM(BM320,BY320,CK320,CW320,DI320)</f>
        <v>0.45115222330412202</v>
      </c>
      <c r="HZ320" s="73">
        <f t="shared" ref="HZ320:HZ326" si="2983">SUM(DW320,DY320,EI320,EK320,EU320,EW320,FG320,FI320)/SUM(DU320,EG320,ES320,FE320)</f>
        <v>0.42423091530573492</v>
      </c>
      <c r="IA320" s="73">
        <f t="shared" ref="IA320:IA326" si="2984">SUM(FS320,FU320,GE320,GG320,GQ320,GS320,HC320,HE320)/SUM(FQ320,GC320,GO320,HA320)</f>
        <v>0.45711143695014661</v>
      </c>
    </row>
    <row r="321" spans="1:244" x14ac:dyDescent="0.25">
      <c r="A321" s="374"/>
      <c r="B321" s="41">
        <f t="shared" ref="B321:B326" si="2985">+B320+1</f>
        <v>45187</v>
      </c>
      <c r="C321" s="10"/>
      <c r="D321" s="11"/>
      <c r="E321" s="69">
        <f t="shared" ref="E321:E326" si="2986">E320-C321</f>
        <v>802</v>
      </c>
      <c r="F321" s="69">
        <f t="shared" ref="F321:F326" si="2987">F320-D321</f>
        <v>62</v>
      </c>
      <c r="G321" s="11">
        <v>356</v>
      </c>
      <c r="H321" s="12">
        <f t="shared" si="2936"/>
        <v>0.44887780548628431</v>
      </c>
      <c r="I321" s="11">
        <v>4</v>
      </c>
      <c r="J321" s="12">
        <f t="shared" si="2937"/>
        <v>1.1111111111111112E-2</v>
      </c>
      <c r="K321" s="13"/>
      <c r="L321" s="11"/>
      <c r="M321" s="11"/>
      <c r="N321" s="14"/>
      <c r="O321" s="10"/>
      <c r="P321" s="11"/>
      <c r="Q321" s="69">
        <f t="shared" ref="Q321:Q326" si="2988">Q320-O321</f>
        <v>735</v>
      </c>
      <c r="R321" s="69">
        <f t="shared" ref="R321:R326" si="2989">R320-P321</f>
        <v>56</v>
      </c>
      <c r="S321" s="11">
        <v>310</v>
      </c>
      <c r="T321" s="12">
        <f t="shared" si="2938"/>
        <v>0.43673469387755104</v>
      </c>
      <c r="U321" s="11">
        <v>11</v>
      </c>
      <c r="V321" s="12">
        <f t="shared" si="2939"/>
        <v>3.4267912772585667E-2</v>
      </c>
      <c r="W321" s="13"/>
      <c r="X321" s="11"/>
      <c r="Y321" s="11"/>
      <c r="Z321" s="14"/>
      <c r="AA321" s="10">
        <v>2</v>
      </c>
      <c r="AB321" s="11"/>
      <c r="AC321" s="69">
        <f t="shared" ref="AC321:AC326" si="2990">AC320-AA321</f>
        <v>149</v>
      </c>
      <c r="AD321" s="69">
        <f t="shared" ref="AD321:AD326" si="2991">AD320-AB321</f>
        <v>11</v>
      </c>
      <c r="AE321" s="11">
        <v>63</v>
      </c>
      <c r="AF321" s="12">
        <f t="shared" si="2940"/>
        <v>0.42953020134228187</v>
      </c>
      <c r="AG321" s="11">
        <v>1</v>
      </c>
      <c r="AH321" s="12">
        <f t="shared" si="2941"/>
        <v>1.5625E-2</v>
      </c>
      <c r="AI321" s="13"/>
      <c r="AJ321" s="11"/>
      <c r="AK321" s="11"/>
      <c r="AL321" s="14"/>
      <c r="AM321" s="10">
        <v>1</v>
      </c>
      <c r="AN321" s="11"/>
      <c r="AO321" s="69">
        <f t="shared" ref="AO321:AO326" si="2992">AO320-AM321</f>
        <v>744</v>
      </c>
      <c r="AP321" s="69">
        <f t="shared" ref="AP321:AP326" si="2993">AP320-AN321</f>
        <v>57</v>
      </c>
      <c r="AQ321" s="11">
        <v>336</v>
      </c>
      <c r="AR321" s="12">
        <f t="shared" si="2942"/>
        <v>0.46236559139784944</v>
      </c>
      <c r="AS321" s="11">
        <v>8</v>
      </c>
      <c r="AT321" s="12">
        <f t="shared" si="2943"/>
        <v>2.3255813953488372E-2</v>
      </c>
      <c r="AU321" s="13"/>
      <c r="AV321" s="11"/>
      <c r="AW321" s="11"/>
      <c r="AX321" s="14"/>
      <c r="AY321" s="10"/>
      <c r="AZ321" s="11"/>
      <c r="BA321" s="69">
        <f t="shared" ref="BA321:BA326" si="2994">BA320-AY321</f>
        <v>740</v>
      </c>
      <c r="BB321" s="69">
        <f t="shared" ref="BB321:BB326" si="2995">BB320-AZ321</f>
        <v>57</v>
      </c>
      <c r="BC321" s="11">
        <v>336</v>
      </c>
      <c r="BD321" s="12">
        <f t="shared" si="2944"/>
        <v>0.47432432432432431</v>
      </c>
      <c r="BE321" s="11">
        <v>15</v>
      </c>
      <c r="BF321" s="12">
        <f t="shared" si="2945"/>
        <v>4.2735042735042736E-2</v>
      </c>
      <c r="BG321" s="13"/>
      <c r="BH321" s="11"/>
      <c r="BI321" s="11"/>
      <c r="BJ321" s="14"/>
      <c r="BK321" s="10"/>
      <c r="BL321" s="11"/>
      <c r="BM321" s="69">
        <f t="shared" ref="BM321:BM326" si="2996">BM320-BK321</f>
        <v>788</v>
      </c>
      <c r="BN321" s="69">
        <f t="shared" ref="BN321:BN326" si="2997">BN320-BL321</f>
        <v>61</v>
      </c>
      <c r="BO321" s="11">
        <v>325</v>
      </c>
      <c r="BP321" s="12">
        <f t="shared" si="2946"/>
        <v>0.43527918781725888</v>
      </c>
      <c r="BQ321" s="11">
        <v>18</v>
      </c>
      <c r="BR321" s="12">
        <f t="shared" si="2947"/>
        <v>5.2478134110787174E-2</v>
      </c>
      <c r="BS321" s="13"/>
      <c r="BT321" s="11"/>
      <c r="BU321" s="11"/>
      <c r="BV321" s="14"/>
      <c r="BW321" s="10"/>
      <c r="BX321" s="11"/>
      <c r="BY321" s="69">
        <f t="shared" ref="BY321:BY326" si="2998">BY320-BW321</f>
        <v>728</v>
      </c>
      <c r="BZ321" s="69">
        <f t="shared" ref="BZ321:BZ326" si="2999">BZ320-BX321</f>
        <v>57</v>
      </c>
      <c r="CA321" s="11">
        <v>316</v>
      </c>
      <c r="CB321" s="12">
        <f t="shared" si="2948"/>
        <v>0.45467032967032966</v>
      </c>
      <c r="CC321" s="11">
        <v>15</v>
      </c>
      <c r="CD321" s="12">
        <f t="shared" si="2949"/>
        <v>4.5317220543806644E-2</v>
      </c>
      <c r="CE321" s="13"/>
      <c r="CF321" s="11"/>
      <c r="CG321" s="11"/>
      <c r="CH321" s="14"/>
      <c r="CI321" s="10"/>
      <c r="CJ321" s="11"/>
      <c r="CK321" s="69">
        <f t="shared" ref="CK321:CK326" si="3000">CK320-CI321</f>
        <v>124</v>
      </c>
      <c r="CL321" s="69">
        <f t="shared" ref="CL321:CL326" si="3001">CL320-CJ321</f>
        <v>10</v>
      </c>
      <c r="CM321" s="11">
        <v>53</v>
      </c>
      <c r="CN321" s="12">
        <f t="shared" si="2950"/>
        <v>0.46774193548387094</v>
      </c>
      <c r="CO321" s="11">
        <v>5</v>
      </c>
      <c r="CP321" s="12">
        <f t="shared" si="2951"/>
        <v>8.6206896551724144E-2</v>
      </c>
      <c r="CQ321" s="13"/>
      <c r="CR321" s="11"/>
      <c r="CS321" s="11"/>
      <c r="CT321" s="14"/>
      <c r="CU321" s="10">
        <v>1</v>
      </c>
      <c r="CV321" s="11"/>
      <c r="CW321" s="69">
        <f t="shared" ref="CW321:CW326" si="3002">CW320-CU321</f>
        <v>721</v>
      </c>
      <c r="CX321" s="69">
        <f t="shared" ref="CX321:CX326" si="3003">CX320-CV321</f>
        <v>56</v>
      </c>
      <c r="CY321" s="11">
        <v>290</v>
      </c>
      <c r="CZ321" s="12">
        <f t="shared" si="2952"/>
        <v>0.4147018030513176</v>
      </c>
      <c r="DA321" s="11">
        <v>9</v>
      </c>
      <c r="DB321" s="12">
        <f t="shared" si="2953"/>
        <v>3.0100334448160536E-2</v>
      </c>
      <c r="DC321" s="13"/>
      <c r="DD321" s="11"/>
      <c r="DE321" s="11"/>
      <c r="DF321" s="14"/>
      <c r="DG321" s="10"/>
      <c r="DH321" s="11"/>
      <c r="DI321" s="69">
        <f t="shared" ref="DI321:DI326" si="3004">DI320-DG321</f>
        <v>719</v>
      </c>
      <c r="DJ321" s="69">
        <f t="shared" ref="DJ321:DJ326" si="3005">DJ320-DH321</f>
        <v>56</v>
      </c>
      <c r="DK321" s="11">
        <v>317</v>
      </c>
      <c r="DL321" s="12">
        <f t="shared" si="2954"/>
        <v>0.46453407510431155</v>
      </c>
      <c r="DM321" s="11">
        <v>17</v>
      </c>
      <c r="DN321" s="12">
        <f t="shared" si="2955"/>
        <v>5.089820359281437E-2</v>
      </c>
      <c r="DO321" s="13"/>
      <c r="DP321" s="11"/>
      <c r="DQ321" s="11"/>
      <c r="DR321" s="14"/>
      <c r="DS321" s="10">
        <v>1</v>
      </c>
      <c r="DT321" s="11"/>
      <c r="DU321" s="69">
        <f t="shared" ref="DU321:DU326" si="3006">DU320-DS321</f>
        <v>806</v>
      </c>
      <c r="DV321" s="69">
        <f t="shared" ref="DV321:DV326" si="3007">DV320-DT321</f>
        <v>63</v>
      </c>
      <c r="DW321" s="11">
        <v>348</v>
      </c>
      <c r="DX321" s="12">
        <f t="shared" si="2956"/>
        <v>0.45533498759305213</v>
      </c>
      <c r="DY321" s="11">
        <v>19</v>
      </c>
      <c r="DZ321" s="12">
        <f t="shared" si="2957"/>
        <v>5.1771117166212535E-2</v>
      </c>
      <c r="EA321" s="13"/>
      <c r="EB321" s="11"/>
      <c r="EC321" s="11"/>
      <c r="ED321" s="14"/>
      <c r="EE321" s="10"/>
      <c r="EF321" s="11"/>
      <c r="EG321" s="69">
        <f t="shared" ref="EG321:EG326" si="3008">EG320-EE321</f>
        <v>833</v>
      </c>
      <c r="EH321" s="69">
        <f t="shared" ref="EH321:EH326" si="3009">EH320-EF321</f>
        <v>63</v>
      </c>
      <c r="EI321" s="11">
        <v>373</v>
      </c>
      <c r="EJ321" s="12">
        <f t="shared" si="2958"/>
        <v>0.46938775510204084</v>
      </c>
      <c r="EK321" s="11">
        <v>18</v>
      </c>
      <c r="EL321" s="12">
        <f t="shared" si="2959"/>
        <v>4.6035805626598467E-2</v>
      </c>
      <c r="EM321" s="13"/>
      <c r="EN321" s="11"/>
      <c r="EO321" s="11"/>
      <c r="EP321" s="14"/>
      <c r="EQ321" s="10">
        <v>2</v>
      </c>
      <c r="ER321" s="11">
        <v>1</v>
      </c>
      <c r="ES321" s="69">
        <f t="shared" ref="ES321:ES326" si="3010">ES320-EQ321</f>
        <v>151</v>
      </c>
      <c r="ET321" s="69">
        <f t="shared" ref="ET321:ET326" si="3011">ET320-ER321</f>
        <v>11</v>
      </c>
      <c r="EU321" s="11">
        <v>52</v>
      </c>
      <c r="EV321" s="12">
        <f t="shared" si="2960"/>
        <v>0.37748344370860926</v>
      </c>
      <c r="EW321" s="11">
        <v>5</v>
      </c>
      <c r="EX321" s="12">
        <f t="shared" si="2961"/>
        <v>8.771929824561403E-2</v>
      </c>
      <c r="EY321" s="13"/>
      <c r="EZ321" s="11"/>
      <c r="FA321" s="11"/>
      <c r="FB321" s="14"/>
      <c r="FC321" s="10"/>
      <c r="FD321" s="11"/>
      <c r="FE321" s="69">
        <f t="shared" ref="FE321:FE326" si="3012">FE320-FC321</f>
        <v>840</v>
      </c>
      <c r="FF321" s="69">
        <f t="shared" ref="FF321:FF326" si="3013">FF320-FD321</f>
        <v>65</v>
      </c>
      <c r="FG321" s="11">
        <v>384</v>
      </c>
      <c r="FH321" s="12">
        <f t="shared" si="2962"/>
        <v>0.47619047619047616</v>
      </c>
      <c r="FI321" s="11">
        <v>16</v>
      </c>
      <c r="FJ321" s="12">
        <f t="shared" si="2963"/>
        <v>0.04</v>
      </c>
      <c r="FK321" s="13"/>
      <c r="FL321" s="11"/>
      <c r="FM321" s="11"/>
      <c r="FN321" s="14"/>
      <c r="FO321" s="10"/>
      <c r="FP321" s="11"/>
      <c r="FQ321" s="69">
        <f t="shared" ref="FQ321:FQ326" si="3014">FQ320-FO321</f>
        <v>845</v>
      </c>
      <c r="FR321" s="69">
        <f t="shared" ref="FR321:FR326" si="3015">FR320-FP321</f>
        <v>66</v>
      </c>
      <c r="FS321" s="11">
        <v>319</v>
      </c>
      <c r="FT321" s="12">
        <f t="shared" si="2964"/>
        <v>0.40236686390532544</v>
      </c>
      <c r="FU321" s="11">
        <v>21</v>
      </c>
      <c r="FV321" s="12">
        <f t="shared" si="2965"/>
        <v>6.1764705882352944E-2</v>
      </c>
      <c r="FW321" s="13"/>
      <c r="FX321" s="11"/>
      <c r="FY321" s="11"/>
      <c r="FZ321" s="14"/>
      <c r="GA321" s="10"/>
      <c r="GB321" s="11"/>
      <c r="GC321" s="69">
        <f t="shared" ref="GC321:GC326" si="3016">GC320-GA321</f>
        <v>863</v>
      </c>
      <c r="GD321" s="69">
        <f t="shared" ref="GD321:GD326" si="3017">GD320-GB321</f>
        <v>67</v>
      </c>
      <c r="GE321" s="11">
        <v>388</v>
      </c>
      <c r="GF321" s="12">
        <f t="shared" si="2966"/>
        <v>0.46929316338354576</v>
      </c>
      <c r="GG321" s="11">
        <v>17</v>
      </c>
      <c r="GH321" s="12">
        <f t="shared" si="2967"/>
        <v>4.1975308641975309E-2</v>
      </c>
      <c r="GI321" s="13"/>
      <c r="GJ321" s="11"/>
      <c r="GK321" s="11"/>
      <c r="GL321" s="14"/>
      <c r="GM321" s="10"/>
      <c r="GN321" s="11"/>
      <c r="GO321" s="69">
        <f t="shared" ref="GO321:GO326" si="3018">GO320-GM321</f>
        <v>130</v>
      </c>
      <c r="GP321" s="69">
        <f t="shared" ref="GP321:GP326" si="3019">GP320-GN321</f>
        <v>10</v>
      </c>
      <c r="GQ321" s="11">
        <v>47</v>
      </c>
      <c r="GR321" s="12">
        <f t="shared" si="2968"/>
        <v>0.37692307692307692</v>
      </c>
      <c r="GS321" s="11">
        <v>2</v>
      </c>
      <c r="GT321" s="12">
        <f t="shared" si="2969"/>
        <v>4.0816326530612242E-2</v>
      </c>
      <c r="GU321" s="13"/>
      <c r="GV321" s="11"/>
      <c r="GW321" s="11"/>
      <c r="GX321" s="14"/>
      <c r="GY321" s="10"/>
      <c r="GZ321" s="11"/>
      <c r="HA321" s="69">
        <f t="shared" ref="HA321:HA326" si="3020">HA320-GY321</f>
        <v>890</v>
      </c>
      <c r="HB321" s="69">
        <f t="shared" ref="HB321:HB326" si="3021">HB320-GZ321</f>
        <v>69</v>
      </c>
      <c r="HC321" s="11">
        <v>376</v>
      </c>
      <c r="HD321" s="12">
        <f t="shared" si="2970"/>
        <v>0.43595505617977526</v>
      </c>
      <c r="HE321" s="11">
        <v>12</v>
      </c>
      <c r="HF321" s="12">
        <f t="shared" si="2971"/>
        <v>3.0927835051546393E-2</v>
      </c>
      <c r="HG321" s="13"/>
      <c r="HH321" s="11"/>
      <c r="HI321" s="11"/>
      <c r="HJ321" s="14"/>
      <c r="HK321" s="10">
        <f t="shared" si="2972"/>
        <v>7</v>
      </c>
      <c r="HL321" s="11">
        <f t="shared" si="2973"/>
        <v>1</v>
      </c>
      <c r="HM321" s="11">
        <f t="shared" si="2974"/>
        <v>11608</v>
      </c>
      <c r="HN321" s="11">
        <f t="shared" si="2975"/>
        <v>897</v>
      </c>
      <c r="HO321" s="11">
        <f t="shared" si="2976"/>
        <v>5202</v>
      </c>
      <c r="HP321" s="95">
        <f t="shared" si="2977"/>
        <v>0.44813921433494142</v>
      </c>
      <c r="HQ321" s="15">
        <f t="shared" si="2978"/>
        <v>213</v>
      </c>
      <c r="HR321" s="12">
        <f t="shared" si="2979"/>
        <v>4.0945790080738176E-2</v>
      </c>
      <c r="HS321" s="16">
        <v>68</v>
      </c>
      <c r="HT321" s="17">
        <v>4864</v>
      </c>
      <c r="HU321" s="16">
        <f t="shared" si="2980"/>
        <v>93.502499038831218</v>
      </c>
      <c r="HV321" s="15"/>
      <c r="HW321" s="14"/>
      <c r="HX321" s="73">
        <f t="shared" si="2981"/>
        <v>0.45425867507886436</v>
      </c>
      <c r="HY321" s="73">
        <f t="shared" si="2982"/>
        <v>0.44318181818181818</v>
      </c>
      <c r="HZ321" s="73">
        <f t="shared" si="2983"/>
        <v>0.46197718631178708</v>
      </c>
      <c r="IA321" s="73">
        <f t="shared" si="2984"/>
        <v>0.43328445747800587</v>
      </c>
    </row>
    <row r="322" spans="1:244" x14ac:dyDescent="0.25">
      <c r="A322" s="374"/>
      <c r="B322" s="41">
        <f t="shared" si="2985"/>
        <v>45188</v>
      </c>
      <c r="C322" s="10"/>
      <c r="D322" s="11"/>
      <c r="E322" s="69">
        <f t="shared" si="2986"/>
        <v>802</v>
      </c>
      <c r="F322" s="69">
        <f t="shared" si="2987"/>
        <v>62</v>
      </c>
      <c r="G322" s="11">
        <v>371</v>
      </c>
      <c r="H322" s="12">
        <f t="shared" si="2936"/>
        <v>0.48004987531172072</v>
      </c>
      <c r="I322" s="11">
        <v>14</v>
      </c>
      <c r="J322" s="12">
        <f t="shared" si="2937"/>
        <v>3.6363636363636362E-2</v>
      </c>
      <c r="K322" s="13"/>
      <c r="L322" s="11"/>
      <c r="M322" s="11"/>
      <c r="N322" s="14"/>
      <c r="O322" s="10"/>
      <c r="P322" s="11"/>
      <c r="Q322" s="69">
        <f t="shared" si="2988"/>
        <v>735</v>
      </c>
      <c r="R322" s="69">
        <f t="shared" si="2989"/>
        <v>56</v>
      </c>
      <c r="S322" s="11">
        <v>337</v>
      </c>
      <c r="T322" s="12">
        <f t="shared" si="2938"/>
        <v>0.47755102040816327</v>
      </c>
      <c r="U322" s="11">
        <v>14</v>
      </c>
      <c r="V322" s="12">
        <f t="shared" si="2939"/>
        <v>3.9886039886039885E-2</v>
      </c>
      <c r="W322" s="13"/>
      <c r="X322" s="11"/>
      <c r="Y322" s="11"/>
      <c r="Z322" s="14"/>
      <c r="AA322" s="10"/>
      <c r="AB322" s="11"/>
      <c r="AC322" s="69">
        <f t="shared" si="2990"/>
        <v>149</v>
      </c>
      <c r="AD322" s="69">
        <f t="shared" si="2991"/>
        <v>11</v>
      </c>
      <c r="AE322" s="11">
        <v>72</v>
      </c>
      <c r="AF322" s="12">
        <f t="shared" si="2940"/>
        <v>0.50335570469798663</v>
      </c>
      <c r="AG322" s="11">
        <v>3</v>
      </c>
      <c r="AH322" s="12">
        <f t="shared" si="2941"/>
        <v>0.04</v>
      </c>
      <c r="AI322" s="13"/>
      <c r="AJ322" s="11"/>
      <c r="AK322" s="11"/>
      <c r="AL322" s="14"/>
      <c r="AM322" s="10">
        <v>1</v>
      </c>
      <c r="AN322" s="11"/>
      <c r="AO322" s="69">
        <f t="shared" si="2992"/>
        <v>743</v>
      </c>
      <c r="AP322" s="69">
        <f t="shared" si="2993"/>
        <v>57</v>
      </c>
      <c r="AQ322" s="11">
        <v>326</v>
      </c>
      <c r="AR322" s="12">
        <f t="shared" si="2942"/>
        <v>0.46029609690444145</v>
      </c>
      <c r="AS322" s="11">
        <v>16</v>
      </c>
      <c r="AT322" s="12">
        <f t="shared" si="2943"/>
        <v>4.6783625730994149E-2</v>
      </c>
      <c r="AU322" s="13"/>
      <c r="AV322" s="11"/>
      <c r="AW322" s="11"/>
      <c r="AX322" s="14"/>
      <c r="AY322" s="10">
        <v>1</v>
      </c>
      <c r="AZ322" s="11"/>
      <c r="BA322" s="69">
        <f t="shared" si="2994"/>
        <v>739</v>
      </c>
      <c r="BB322" s="69">
        <f t="shared" si="2995"/>
        <v>57</v>
      </c>
      <c r="BC322" s="11">
        <v>317</v>
      </c>
      <c r="BD322" s="12">
        <f t="shared" si="2944"/>
        <v>0.44519621109607577</v>
      </c>
      <c r="BE322" s="11">
        <v>12</v>
      </c>
      <c r="BF322" s="12">
        <f t="shared" si="2945"/>
        <v>3.64741641337386E-2</v>
      </c>
      <c r="BG322" s="13"/>
      <c r="BH322" s="11"/>
      <c r="BI322" s="11"/>
      <c r="BJ322" s="14"/>
      <c r="BK322" s="10"/>
      <c r="BL322" s="11"/>
      <c r="BM322" s="69">
        <f t="shared" si="2996"/>
        <v>788</v>
      </c>
      <c r="BN322" s="69">
        <f t="shared" si="2997"/>
        <v>61</v>
      </c>
      <c r="BO322" s="11">
        <v>308</v>
      </c>
      <c r="BP322" s="12">
        <f t="shared" si="2946"/>
        <v>0.41878172588832485</v>
      </c>
      <c r="BQ322" s="11">
        <v>22</v>
      </c>
      <c r="BR322" s="12">
        <f t="shared" si="2947"/>
        <v>6.6666666666666666E-2</v>
      </c>
      <c r="BS322" s="13"/>
      <c r="BT322" s="11"/>
      <c r="BU322" s="11"/>
      <c r="BV322" s="14"/>
      <c r="BW322" s="10"/>
      <c r="BX322" s="11"/>
      <c r="BY322" s="69">
        <f t="shared" si="2998"/>
        <v>728</v>
      </c>
      <c r="BZ322" s="69">
        <f t="shared" si="2999"/>
        <v>57</v>
      </c>
      <c r="CA322" s="11">
        <v>319</v>
      </c>
      <c r="CB322" s="12">
        <f t="shared" si="2948"/>
        <v>0.47664835164835168</v>
      </c>
      <c r="CC322" s="11">
        <v>28</v>
      </c>
      <c r="CD322" s="12">
        <f t="shared" si="2949"/>
        <v>8.069164265129683E-2</v>
      </c>
      <c r="CE322" s="13"/>
      <c r="CF322" s="11"/>
      <c r="CG322" s="11"/>
      <c r="CH322" s="14"/>
      <c r="CI322" s="10"/>
      <c r="CJ322" s="11"/>
      <c r="CK322" s="69">
        <f t="shared" si="3000"/>
        <v>124</v>
      </c>
      <c r="CL322" s="69">
        <f t="shared" si="3001"/>
        <v>10</v>
      </c>
      <c r="CM322" s="11">
        <v>47</v>
      </c>
      <c r="CN322" s="12">
        <f t="shared" si="2950"/>
        <v>0.42741935483870969</v>
      </c>
      <c r="CO322" s="11">
        <v>6</v>
      </c>
      <c r="CP322" s="12">
        <f t="shared" si="2951"/>
        <v>0.11320754716981132</v>
      </c>
      <c r="CQ322" s="13"/>
      <c r="CR322" s="11"/>
      <c r="CS322" s="11"/>
      <c r="CT322" s="14"/>
      <c r="CU322" s="10"/>
      <c r="CV322" s="11"/>
      <c r="CW322" s="69">
        <f t="shared" si="3002"/>
        <v>721</v>
      </c>
      <c r="CX322" s="69">
        <f t="shared" si="3003"/>
        <v>56</v>
      </c>
      <c r="CY322" s="11">
        <v>295</v>
      </c>
      <c r="CZ322" s="12">
        <f t="shared" si="2952"/>
        <v>0.42441054091539526</v>
      </c>
      <c r="DA322" s="11">
        <v>11</v>
      </c>
      <c r="DB322" s="12">
        <f t="shared" si="2953"/>
        <v>3.5947712418300651E-2</v>
      </c>
      <c r="DC322" s="13"/>
      <c r="DD322" s="11"/>
      <c r="DE322" s="11"/>
      <c r="DF322" s="14"/>
      <c r="DG322" s="10"/>
      <c r="DH322" s="11"/>
      <c r="DI322" s="69">
        <f t="shared" si="3004"/>
        <v>719</v>
      </c>
      <c r="DJ322" s="69">
        <f t="shared" si="3005"/>
        <v>56</v>
      </c>
      <c r="DK322" s="11">
        <v>326</v>
      </c>
      <c r="DL322" s="12">
        <f t="shared" si="2954"/>
        <v>0.47705146036161333</v>
      </c>
      <c r="DM322" s="11">
        <v>17</v>
      </c>
      <c r="DN322" s="12">
        <f t="shared" si="2955"/>
        <v>4.9562682215743441E-2</v>
      </c>
      <c r="DO322" s="13"/>
      <c r="DP322" s="11"/>
      <c r="DQ322" s="11"/>
      <c r="DR322" s="14"/>
      <c r="DS322" s="10"/>
      <c r="DT322" s="11"/>
      <c r="DU322" s="69">
        <f t="shared" si="3006"/>
        <v>806</v>
      </c>
      <c r="DV322" s="69">
        <f t="shared" si="3007"/>
        <v>63</v>
      </c>
      <c r="DW322" s="11">
        <v>344</v>
      </c>
      <c r="DX322" s="12">
        <f t="shared" si="2956"/>
        <v>0.45285359801488834</v>
      </c>
      <c r="DY322" s="11">
        <v>21</v>
      </c>
      <c r="DZ322" s="12">
        <f t="shared" si="2957"/>
        <v>5.7534246575342465E-2</v>
      </c>
      <c r="EA322" s="13"/>
      <c r="EB322" s="11"/>
      <c r="EC322" s="11"/>
      <c r="ED322" s="14"/>
      <c r="EE322" s="10">
        <v>1</v>
      </c>
      <c r="EF322" s="11"/>
      <c r="EG322" s="69">
        <f t="shared" si="3008"/>
        <v>832</v>
      </c>
      <c r="EH322" s="69">
        <f t="shared" si="3009"/>
        <v>63</v>
      </c>
      <c r="EI322" s="11">
        <v>383</v>
      </c>
      <c r="EJ322" s="12">
        <f t="shared" si="2958"/>
        <v>0.48677884615384615</v>
      </c>
      <c r="EK322" s="11">
        <v>22</v>
      </c>
      <c r="EL322" s="12">
        <f t="shared" si="2959"/>
        <v>5.4320987654320987E-2</v>
      </c>
      <c r="EM322" s="13"/>
      <c r="EN322" s="11"/>
      <c r="EO322" s="11"/>
      <c r="EP322" s="14"/>
      <c r="EQ322" s="10"/>
      <c r="ER322" s="11"/>
      <c r="ES322" s="69">
        <f t="shared" si="3010"/>
        <v>151</v>
      </c>
      <c r="ET322" s="69">
        <f t="shared" si="3011"/>
        <v>11</v>
      </c>
      <c r="EU322" s="11">
        <v>63</v>
      </c>
      <c r="EV322" s="12">
        <f t="shared" si="2960"/>
        <v>0.43046357615894038</v>
      </c>
      <c r="EW322" s="11">
        <v>2</v>
      </c>
      <c r="EX322" s="12">
        <f t="shared" si="2961"/>
        <v>3.0769230769230771E-2</v>
      </c>
      <c r="EY322" s="13"/>
      <c r="EZ322" s="11"/>
      <c r="FA322" s="11"/>
      <c r="FB322" s="14"/>
      <c r="FC322" s="10"/>
      <c r="FD322" s="11"/>
      <c r="FE322" s="69">
        <f t="shared" si="3012"/>
        <v>840</v>
      </c>
      <c r="FF322" s="69">
        <f t="shared" si="3013"/>
        <v>65</v>
      </c>
      <c r="FG322" s="11">
        <v>399</v>
      </c>
      <c r="FH322" s="12">
        <f t="shared" si="2962"/>
        <v>0.49047619047619045</v>
      </c>
      <c r="FI322" s="11">
        <v>13</v>
      </c>
      <c r="FJ322" s="12">
        <f t="shared" si="2963"/>
        <v>3.1553398058252427E-2</v>
      </c>
      <c r="FK322" s="13"/>
      <c r="FL322" s="11"/>
      <c r="FM322" s="11"/>
      <c r="FN322" s="14"/>
      <c r="FO322" s="10"/>
      <c r="FP322" s="11"/>
      <c r="FQ322" s="69">
        <f t="shared" si="3014"/>
        <v>845</v>
      </c>
      <c r="FR322" s="69">
        <f t="shared" si="3015"/>
        <v>66</v>
      </c>
      <c r="FS322" s="11">
        <v>365</v>
      </c>
      <c r="FT322" s="12">
        <f t="shared" si="2964"/>
        <v>0.45917159763313609</v>
      </c>
      <c r="FU322" s="11">
        <v>23</v>
      </c>
      <c r="FV322" s="12">
        <f t="shared" si="2965"/>
        <v>5.9278350515463915E-2</v>
      </c>
      <c r="FW322" s="13"/>
      <c r="FX322" s="11"/>
      <c r="FY322" s="11"/>
      <c r="FZ322" s="14"/>
      <c r="GA322" s="10"/>
      <c r="GB322" s="11"/>
      <c r="GC322" s="69">
        <f t="shared" si="3016"/>
        <v>863</v>
      </c>
      <c r="GD322" s="69">
        <f t="shared" si="3017"/>
        <v>67</v>
      </c>
      <c r="GE322" s="11">
        <v>402</v>
      </c>
      <c r="GF322" s="12">
        <f t="shared" si="2966"/>
        <v>0.48319814600231747</v>
      </c>
      <c r="GG322" s="11">
        <v>15</v>
      </c>
      <c r="GH322" s="12">
        <f t="shared" si="2967"/>
        <v>3.5971223021582732E-2</v>
      </c>
      <c r="GI322" s="13"/>
      <c r="GJ322" s="11"/>
      <c r="GK322" s="11"/>
      <c r="GL322" s="14"/>
      <c r="GM322" s="10"/>
      <c r="GN322" s="11"/>
      <c r="GO322" s="69">
        <f t="shared" si="3018"/>
        <v>130</v>
      </c>
      <c r="GP322" s="69">
        <f t="shared" si="3019"/>
        <v>10</v>
      </c>
      <c r="GQ322" s="11">
        <v>50</v>
      </c>
      <c r="GR322" s="12">
        <f t="shared" si="2968"/>
        <v>0.4</v>
      </c>
      <c r="GS322" s="11">
        <v>2</v>
      </c>
      <c r="GT322" s="12">
        <f t="shared" si="2969"/>
        <v>3.8461538461538464E-2</v>
      </c>
      <c r="GU322" s="13"/>
      <c r="GV322" s="11"/>
      <c r="GW322" s="11"/>
      <c r="GX322" s="14"/>
      <c r="GY322" s="10">
        <v>1</v>
      </c>
      <c r="GZ322" s="11"/>
      <c r="HA322" s="69">
        <f t="shared" si="3020"/>
        <v>889</v>
      </c>
      <c r="HB322" s="69">
        <f t="shared" si="3021"/>
        <v>69</v>
      </c>
      <c r="HC322" s="11">
        <v>454</v>
      </c>
      <c r="HD322" s="12">
        <f t="shared" si="2970"/>
        <v>0.54218222722159726</v>
      </c>
      <c r="HE322" s="11">
        <v>28</v>
      </c>
      <c r="HF322" s="12">
        <f t="shared" si="2971"/>
        <v>5.8091286307053944E-2</v>
      </c>
      <c r="HG322" s="13"/>
      <c r="HH322" s="11"/>
      <c r="HI322" s="11"/>
      <c r="HJ322" s="14"/>
      <c r="HK322" s="10">
        <f t="shared" si="2972"/>
        <v>4</v>
      </c>
      <c r="HL322" s="11">
        <f t="shared" si="2973"/>
        <v>0</v>
      </c>
      <c r="HM322" s="11">
        <f t="shared" si="2974"/>
        <v>11604</v>
      </c>
      <c r="HN322" s="11">
        <f t="shared" si="2975"/>
        <v>897</v>
      </c>
      <c r="HO322" s="11">
        <f t="shared" si="2976"/>
        <v>5447</v>
      </c>
      <c r="HP322" s="95">
        <f t="shared" si="2977"/>
        <v>0.46940710099965527</v>
      </c>
      <c r="HQ322" s="15">
        <f t="shared" si="2978"/>
        <v>269</v>
      </c>
      <c r="HR322" s="12">
        <f t="shared" si="2979"/>
        <v>4.9384982559206904E-2</v>
      </c>
      <c r="HS322" s="16">
        <v>68</v>
      </c>
      <c r="HT322" s="17">
        <v>5054</v>
      </c>
      <c r="HU322" s="16">
        <f t="shared" si="2980"/>
        <v>92.785019276666063</v>
      </c>
      <c r="HV322" s="15"/>
      <c r="HW322" s="14"/>
      <c r="HX322" s="73">
        <f t="shared" si="2981"/>
        <v>0.46780303030303028</v>
      </c>
      <c r="HY322" s="73">
        <f t="shared" si="2982"/>
        <v>0.44772727272727275</v>
      </c>
      <c r="HZ322" s="73">
        <f t="shared" si="2983"/>
        <v>0.47432483834157474</v>
      </c>
      <c r="IA322" s="73">
        <f t="shared" si="2984"/>
        <v>0.49101576824349102</v>
      </c>
    </row>
    <row r="323" spans="1:244" x14ac:dyDescent="0.25">
      <c r="A323" s="374"/>
      <c r="B323" s="41">
        <f t="shared" si="2985"/>
        <v>45189</v>
      </c>
      <c r="C323" s="10"/>
      <c r="D323" s="11"/>
      <c r="E323" s="69">
        <f t="shared" si="2986"/>
        <v>802</v>
      </c>
      <c r="F323" s="69">
        <f t="shared" si="2987"/>
        <v>62</v>
      </c>
      <c r="G323" s="11">
        <v>353</v>
      </c>
      <c r="H323" s="12">
        <f t="shared" si="2936"/>
        <v>0.45511221945137159</v>
      </c>
      <c r="I323" s="11">
        <v>12</v>
      </c>
      <c r="J323" s="12">
        <f t="shared" si="2937"/>
        <v>3.287671232876712E-2</v>
      </c>
      <c r="K323" s="11"/>
      <c r="L323" s="11"/>
      <c r="M323" s="18"/>
      <c r="N323" s="20"/>
      <c r="O323" s="10"/>
      <c r="P323" s="11"/>
      <c r="Q323" s="69">
        <f t="shared" si="2988"/>
        <v>735</v>
      </c>
      <c r="R323" s="69">
        <f t="shared" si="2989"/>
        <v>56</v>
      </c>
      <c r="S323" s="11">
        <v>307</v>
      </c>
      <c r="T323" s="12">
        <f t="shared" si="2938"/>
        <v>0.43401360544217688</v>
      </c>
      <c r="U323" s="11">
        <v>12</v>
      </c>
      <c r="V323" s="12">
        <f t="shared" si="2939"/>
        <v>3.7617554858934171E-2</v>
      </c>
      <c r="W323" s="11"/>
      <c r="X323" s="11"/>
      <c r="Y323" s="18"/>
      <c r="Z323" s="20"/>
      <c r="AA323" s="10"/>
      <c r="AB323" s="11"/>
      <c r="AC323" s="69">
        <f t="shared" si="2990"/>
        <v>149</v>
      </c>
      <c r="AD323" s="69">
        <f t="shared" si="2991"/>
        <v>11</v>
      </c>
      <c r="AE323" s="11">
        <v>54</v>
      </c>
      <c r="AF323" s="12">
        <f t="shared" si="2940"/>
        <v>0.36241610738255031</v>
      </c>
      <c r="AG323" s="11">
        <v>0</v>
      </c>
      <c r="AH323" s="12">
        <f t="shared" si="2941"/>
        <v>0</v>
      </c>
      <c r="AI323" s="11"/>
      <c r="AJ323" s="11"/>
      <c r="AK323" s="18"/>
      <c r="AL323" s="20"/>
      <c r="AM323" s="10"/>
      <c r="AN323" s="11"/>
      <c r="AO323" s="69">
        <f t="shared" si="2992"/>
        <v>743</v>
      </c>
      <c r="AP323" s="69">
        <f t="shared" si="2993"/>
        <v>57</v>
      </c>
      <c r="AQ323" s="11">
        <v>351</v>
      </c>
      <c r="AR323" s="12">
        <f t="shared" si="2942"/>
        <v>0.49125168236877526</v>
      </c>
      <c r="AS323" s="11">
        <v>14</v>
      </c>
      <c r="AT323" s="12">
        <f t="shared" si="2943"/>
        <v>3.8356164383561646E-2</v>
      </c>
      <c r="AU323" s="11"/>
      <c r="AV323" s="11"/>
      <c r="AW323" s="18"/>
      <c r="AX323" s="20"/>
      <c r="AY323" s="10"/>
      <c r="AZ323" s="11"/>
      <c r="BA323" s="69">
        <f t="shared" si="2994"/>
        <v>739</v>
      </c>
      <c r="BB323" s="69">
        <f t="shared" si="2995"/>
        <v>57</v>
      </c>
      <c r="BC323" s="11">
        <v>331</v>
      </c>
      <c r="BD323" s="12">
        <f t="shared" si="2944"/>
        <v>0.469553450608931</v>
      </c>
      <c r="BE323" s="11">
        <v>16</v>
      </c>
      <c r="BF323" s="12">
        <f t="shared" si="2945"/>
        <v>4.6109510086455328E-2</v>
      </c>
      <c r="BG323" s="11"/>
      <c r="BH323" s="11"/>
      <c r="BI323" s="18"/>
      <c r="BJ323" s="20"/>
      <c r="BK323" s="10"/>
      <c r="BL323" s="11"/>
      <c r="BM323" s="69">
        <f t="shared" si="2996"/>
        <v>788</v>
      </c>
      <c r="BN323" s="69">
        <f t="shared" si="2997"/>
        <v>61</v>
      </c>
      <c r="BO323" s="11">
        <v>331</v>
      </c>
      <c r="BP323" s="12">
        <f t="shared" si="2946"/>
        <v>0.43401015228426398</v>
      </c>
      <c r="BQ323" s="11">
        <v>11</v>
      </c>
      <c r="BR323" s="12">
        <f t="shared" si="2947"/>
        <v>3.2163742690058478E-2</v>
      </c>
      <c r="BS323" s="11"/>
      <c r="BT323" s="11"/>
      <c r="BU323" s="18"/>
      <c r="BV323" s="20"/>
      <c r="BW323" s="10"/>
      <c r="BX323" s="11"/>
      <c r="BY323" s="69">
        <f t="shared" si="2998"/>
        <v>728</v>
      </c>
      <c r="BZ323" s="69">
        <f t="shared" si="2999"/>
        <v>57</v>
      </c>
      <c r="CA323" s="11">
        <v>303</v>
      </c>
      <c r="CB323" s="12">
        <f t="shared" si="2948"/>
        <v>0.42582417582417581</v>
      </c>
      <c r="CC323" s="11">
        <v>7</v>
      </c>
      <c r="CD323" s="12">
        <f t="shared" si="2949"/>
        <v>2.2580645161290321E-2</v>
      </c>
      <c r="CE323" s="11"/>
      <c r="CF323" s="11"/>
      <c r="CG323" s="18"/>
      <c r="CH323" s="20"/>
      <c r="CI323" s="10"/>
      <c r="CJ323" s="11"/>
      <c r="CK323" s="69">
        <f t="shared" si="3000"/>
        <v>124</v>
      </c>
      <c r="CL323" s="69">
        <f t="shared" si="3001"/>
        <v>10</v>
      </c>
      <c r="CM323" s="11">
        <v>55</v>
      </c>
      <c r="CN323" s="12">
        <f t="shared" si="2950"/>
        <v>0.47580645161290325</v>
      </c>
      <c r="CO323" s="11">
        <v>4</v>
      </c>
      <c r="CP323" s="12">
        <f t="shared" si="2951"/>
        <v>6.7796610169491525E-2</v>
      </c>
      <c r="CQ323" s="11"/>
      <c r="CR323" s="11"/>
      <c r="CS323" s="18"/>
      <c r="CT323" s="20"/>
      <c r="CU323" s="10"/>
      <c r="CV323" s="11"/>
      <c r="CW323" s="69">
        <f t="shared" si="3002"/>
        <v>721</v>
      </c>
      <c r="CX323" s="69">
        <f t="shared" si="3003"/>
        <v>56</v>
      </c>
      <c r="CY323" s="11">
        <v>311</v>
      </c>
      <c r="CZ323" s="12">
        <f t="shared" si="2952"/>
        <v>0.45353675450762831</v>
      </c>
      <c r="DA323" s="11">
        <v>16</v>
      </c>
      <c r="DB323" s="12">
        <f t="shared" si="2953"/>
        <v>4.8929663608562692E-2</v>
      </c>
      <c r="DC323" s="11"/>
      <c r="DD323" s="11"/>
      <c r="DE323" s="18"/>
      <c r="DF323" s="20"/>
      <c r="DG323" s="10">
        <v>1</v>
      </c>
      <c r="DH323" s="11"/>
      <c r="DI323" s="69">
        <f t="shared" si="3004"/>
        <v>718</v>
      </c>
      <c r="DJ323" s="69">
        <f t="shared" si="3005"/>
        <v>56</v>
      </c>
      <c r="DK323" s="11">
        <v>314</v>
      </c>
      <c r="DL323" s="12">
        <f t="shared" si="2954"/>
        <v>0.4596100278551532</v>
      </c>
      <c r="DM323" s="11">
        <v>16</v>
      </c>
      <c r="DN323" s="12">
        <f t="shared" si="2955"/>
        <v>4.8484848484848485E-2</v>
      </c>
      <c r="DO323" s="11"/>
      <c r="DP323" s="11"/>
      <c r="DQ323" s="18"/>
      <c r="DR323" s="20"/>
      <c r="DS323" s="10"/>
      <c r="DT323" s="11"/>
      <c r="DU323" s="69">
        <f t="shared" si="3006"/>
        <v>806</v>
      </c>
      <c r="DV323" s="69">
        <f t="shared" si="3007"/>
        <v>63</v>
      </c>
      <c r="DW323" s="11">
        <v>314</v>
      </c>
      <c r="DX323" s="12">
        <f t="shared" si="2956"/>
        <v>0.40694789081885857</v>
      </c>
      <c r="DY323" s="11">
        <v>14</v>
      </c>
      <c r="DZ323" s="12">
        <f t="shared" si="2957"/>
        <v>4.2682926829268296E-2</v>
      </c>
      <c r="EA323" s="11"/>
      <c r="EB323" s="11"/>
      <c r="EC323" s="18"/>
      <c r="ED323" s="20"/>
      <c r="EE323" s="10"/>
      <c r="EF323" s="11"/>
      <c r="EG323" s="69">
        <f t="shared" si="3008"/>
        <v>832</v>
      </c>
      <c r="EH323" s="69">
        <f t="shared" si="3009"/>
        <v>63</v>
      </c>
      <c r="EI323" s="11">
        <v>340</v>
      </c>
      <c r="EJ323" s="12">
        <f t="shared" si="2958"/>
        <v>0.42908653846153844</v>
      </c>
      <c r="EK323" s="11">
        <v>17</v>
      </c>
      <c r="EL323" s="12">
        <f t="shared" si="2959"/>
        <v>4.7619047619047616E-2</v>
      </c>
      <c r="EM323" s="11"/>
      <c r="EN323" s="11"/>
      <c r="EO323" s="18"/>
      <c r="EP323" s="20"/>
      <c r="EQ323" s="10"/>
      <c r="ER323" s="11"/>
      <c r="ES323" s="69">
        <f t="shared" si="3010"/>
        <v>151</v>
      </c>
      <c r="ET323" s="69">
        <f t="shared" si="3011"/>
        <v>11</v>
      </c>
      <c r="EU323" s="11">
        <v>62</v>
      </c>
      <c r="EV323" s="12">
        <f t="shared" si="2960"/>
        <v>0.42384105960264901</v>
      </c>
      <c r="EW323" s="11">
        <v>2</v>
      </c>
      <c r="EX323" s="12">
        <f t="shared" si="2961"/>
        <v>3.125E-2</v>
      </c>
      <c r="EY323" s="11"/>
      <c r="EZ323" s="11"/>
      <c r="FA323" s="18"/>
      <c r="FB323" s="20"/>
      <c r="FC323" s="10"/>
      <c r="FD323" s="11"/>
      <c r="FE323" s="69">
        <f t="shared" si="3012"/>
        <v>840</v>
      </c>
      <c r="FF323" s="69">
        <f t="shared" si="3013"/>
        <v>65</v>
      </c>
      <c r="FG323" s="11">
        <v>352</v>
      </c>
      <c r="FH323" s="12">
        <f t="shared" si="2962"/>
        <v>0.43809523809523809</v>
      </c>
      <c r="FI323" s="11">
        <v>16</v>
      </c>
      <c r="FJ323" s="12">
        <f t="shared" si="2963"/>
        <v>4.3478260869565216E-2</v>
      </c>
      <c r="FK323" s="11"/>
      <c r="FL323" s="11"/>
      <c r="FM323" s="18"/>
      <c r="FN323" s="20"/>
      <c r="FO323" s="10"/>
      <c r="FP323" s="11"/>
      <c r="FQ323" s="69">
        <f t="shared" si="3014"/>
        <v>845</v>
      </c>
      <c r="FR323" s="69">
        <f t="shared" si="3015"/>
        <v>66</v>
      </c>
      <c r="FS323" s="11">
        <v>316</v>
      </c>
      <c r="FT323" s="12">
        <f t="shared" si="2964"/>
        <v>0.40591715976331361</v>
      </c>
      <c r="FU323" s="11">
        <v>27</v>
      </c>
      <c r="FV323" s="12">
        <f t="shared" si="2965"/>
        <v>7.8717201166180764E-2</v>
      </c>
      <c r="FW323" s="11"/>
      <c r="FX323" s="11"/>
      <c r="FY323" s="18"/>
      <c r="FZ323" s="20"/>
      <c r="GA323" s="10"/>
      <c r="GB323" s="11"/>
      <c r="GC323" s="69">
        <f t="shared" si="3016"/>
        <v>863</v>
      </c>
      <c r="GD323" s="69">
        <f t="shared" si="3017"/>
        <v>67</v>
      </c>
      <c r="GE323" s="11">
        <v>342</v>
      </c>
      <c r="GF323" s="12">
        <f t="shared" si="2966"/>
        <v>0.4148319814600232</v>
      </c>
      <c r="GG323" s="11">
        <v>16</v>
      </c>
      <c r="GH323" s="12">
        <f t="shared" si="2967"/>
        <v>4.4692737430167599E-2</v>
      </c>
      <c r="GI323" s="11"/>
      <c r="GJ323" s="11"/>
      <c r="GK323" s="18"/>
      <c r="GL323" s="20"/>
      <c r="GM323" s="10">
        <v>1</v>
      </c>
      <c r="GN323" s="11"/>
      <c r="GO323" s="69">
        <f t="shared" si="3018"/>
        <v>129</v>
      </c>
      <c r="GP323" s="69">
        <f t="shared" si="3019"/>
        <v>10</v>
      </c>
      <c r="GQ323" s="11">
        <v>47</v>
      </c>
      <c r="GR323" s="12">
        <f t="shared" si="2968"/>
        <v>0.38759689922480622</v>
      </c>
      <c r="GS323" s="11">
        <v>3</v>
      </c>
      <c r="GT323" s="12">
        <f t="shared" si="2969"/>
        <v>0.06</v>
      </c>
      <c r="GU323" s="11"/>
      <c r="GV323" s="11"/>
      <c r="GW323" s="18"/>
      <c r="GX323" s="20"/>
      <c r="GY323" s="10"/>
      <c r="GZ323" s="11"/>
      <c r="HA323" s="69">
        <f t="shared" si="3020"/>
        <v>889</v>
      </c>
      <c r="HB323" s="69">
        <f t="shared" si="3021"/>
        <v>69</v>
      </c>
      <c r="HC323" s="11">
        <v>363</v>
      </c>
      <c r="HD323" s="12">
        <f t="shared" si="2970"/>
        <v>0.4263217097862767</v>
      </c>
      <c r="HE323" s="11">
        <v>16</v>
      </c>
      <c r="HF323" s="12">
        <f t="shared" si="2971"/>
        <v>4.221635883905013E-2</v>
      </c>
      <c r="HG323" s="11"/>
      <c r="HH323" s="11"/>
      <c r="HI323" s="18"/>
      <c r="HJ323" s="20"/>
      <c r="HK323" s="10">
        <f t="shared" si="2972"/>
        <v>2</v>
      </c>
      <c r="HL323" s="11">
        <f t="shared" si="2973"/>
        <v>0</v>
      </c>
      <c r="HM323" s="11">
        <f t="shared" si="2974"/>
        <v>11602</v>
      </c>
      <c r="HN323" s="11">
        <f t="shared" si="2975"/>
        <v>897</v>
      </c>
      <c r="HO323" s="11">
        <f t="shared" si="2976"/>
        <v>5065</v>
      </c>
      <c r="HP323" s="95">
        <f t="shared" si="2977"/>
        <v>0.43656266161006724</v>
      </c>
      <c r="HQ323" s="15">
        <f t="shared" si="2978"/>
        <v>219</v>
      </c>
      <c r="HR323" s="12">
        <f t="shared" si="2979"/>
        <v>4.3237907206317865E-2</v>
      </c>
      <c r="HS323" s="16">
        <v>68.2</v>
      </c>
      <c r="HT323" s="17">
        <v>4717</v>
      </c>
      <c r="HU323" s="16">
        <f t="shared" si="2980"/>
        <v>93.129318854886478</v>
      </c>
      <c r="HV323" s="18"/>
      <c r="HW323" s="20"/>
      <c r="HX323" s="73">
        <f t="shared" si="2981"/>
        <v>0.45770202020202022</v>
      </c>
      <c r="HY323" s="73">
        <f t="shared" si="2982"/>
        <v>0.44430009743423188</v>
      </c>
      <c r="HZ323" s="73">
        <f t="shared" si="2983"/>
        <v>0.42487637885127427</v>
      </c>
      <c r="IA323" s="73">
        <f t="shared" si="2984"/>
        <v>0.41452677916360969</v>
      </c>
    </row>
    <row r="324" spans="1:244" x14ac:dyDescent="0.25">
      <c r="A324" s="374"/>
      <c r="B324" s="41">
        <f>+B323+1</f>
        <v>45190</v>
      </c>
      <c r="C324" s="10"/>
      <c r="D324" s="11"/>
      <c r="E324" s="69">
        <f t="shared" si="2986"/>
        <v>802</v>
      </c>
      <c r="F324" s="69">
        <f t="shared" si="2987"/>
        <v>62</v>
      </c>
      <c r="G324" s="11">
        <v>350</v>
      </c>
      <c r="H324" s="12">
        <f t="shared" si="2936"/>
        <v>0.45511221945137159</v>
      </c>
      <c r="I324" s="11">
        <v>15</v>
      </c>
      <c r="J324" s="12">
        <f t="shared" si="2937"/>
        <v>4.1095890410958902E-2</v>
      </c>
      <c r="K324" s="13"/>
      <c r="L324" s="13"/>
      <c r="M324" s="25">
        <v>4392</v>
      </c>
      <c r="N324" s="38">
        <v>4610</v>
      </c>
      <c r="O324" s="10"/>
      <c r="P324" s="11"/>
      <c r="Q324" s="69">
        <f t="shared" si="2988"/>
        <v>735</v>
      </c>
      <c r="R324" s="69">
        <f t="shared" si="2989"/>
        <v>56</v>
      </c>
      <c r="S324" s="11">
        <v>333</v>
      </c>
      <c r="T324" s="12">
        <f t="shared" si="2938"/>
        <v>0.47346938775510206</v>
      </c>
      <c r="U324" s="11">
        <v>15</v>
      </c>
      <c r="V324" s="12">
        <f t="shared" si="2939"/>
        <v>4.3103448275862072E-2</v>
      </c>
      <c r="W324" s="13"/>
      <c r="X324" s="13"/>
      <c r="Y324" s="25">
        <v>4392</v>
      </c>
      <c r="Z324" s="38">
        <v>4610</v>
      </c>
      <c r="AA324" s="10"/>
      <c r="AB324" s="11"/>
      <c r="AC324" s="69">
        <f t="shared" si="2990"/>
        <v>149</v>
      </c>
      <c r="AD324" s="69">
        <f t="shared" si="2991"/>
        <v>11</v>
      </c>
      <c r="AE324" s="11">
        <v>66</v>
      </c>
      <c r="AF324" s="12">
        <f t="shared" si="2940"/>
        <v>0.44295302013422821</v>
      </c>
      <c r="AG324" s="11">
        <v>0</v>
      </c>
      <c r="AH324" s="12">
        <f t="shared" si="2941"/>
        <v>0</v>
      </c>
      <c r="AI324" s="13"/>
      <c r="AJ324" s="13"/>
      <c r="AK324" s="25">
        <v>4392</v>
      </c>
      <c r="AL324" s="38">
        <v>4610</v>
      </c>
      <c r="AM324" s="10"/>
      <c r="AN324" s="11"/>
      <c r="AO324" s="69">
        <f t="shared" si="2992"/>
        <v>743</v>
      </c>
      <c r="AP324" s="69">
        <f t="shared" si="2993"/>
        <v>57</v>
      </c>
      <c r="AQ324" s="11">
        <v>341</v>
      </c>
      <c r="AR324" s="12">
        <f t="shared" si="2942"/>
        <v>0.46837146702557203</v>
      </c>
      <c r="AS324" s="11">
        <v>7</v>
      </c>
      <c r="AT324" s="12">
        <f t="shared" si="2943"/>
        <v>2.0114942528735632E-2</v>
      </c>
      <c r="AU324" s="13"/>
      <c r="AV324" s="13"/>
      <c r="AW324" s="25">
        <v>4392</v>
      </c>
      <c r="AX324" s="38">
        <v>4610</v>
      </c>
      <c r="AY324" s="10">
        <v>1</v>
      </c>
      <c r="AZ324" s="11"/>
      <c r="BA324" s="69">
        <f t="shared" si="2994"/>
        <v>738</v>
      </c>
      <c r="BB324" s="69">
        <f t="shared" si="2995"/>
        <v>57</v>
      </c>
      <c r="BC324" s="11">
        <v>303</v>
      </c>
      <c r="BD324" s="12">
        <f t="shared" si="2944"/>
        <v>0.42953929539295393</v>
      </c>
      <c r="BE324" s="11">
        <v>14</v>
      </c>
      <c r="BF324" s="12">
        <f t="shared" si="2945"/>
        <v>4.4164037854889593E-2</v>
      </c>
      <c r="BG324" s="13"/>
      <c r="BH324" s="13"/>
      <c r="BI324" s="25">
        <v>4392</v>
      </c>
      <c r="BJ324" s="38">
        <v>4610</v>
      </c>
      <c r="BK324" s="10">
        <v>1</v>
      </c>
      <c r="BL324" s="11"/>
      <c r="BM324" s="69">
        <f t="shared" si="2996"/>
        <v>787</v>
      </c>
      <c r="BN324" s="69">
        <f t="shared" si="2997"/>
        <v>61</v>
      </c>
      <c r="BO324" s="11">
        <v>315</v>
      </c>
      <c r="BP324" s="12">
        <f t="shared" si="2946"/>
        <v>0.42947903430749684</v>
      </c>
      <c r="BQ324" s="11">
        <v>23</v>
      </c>
      <c r="BR324" s="12">
        <f t="shared" si="2947"/>
        <v>6.8047337278106509E-2</v>
      </c>
      <c r="BS324" s="13"/>
      <c r="BT324" s="13"/>
      <c r="BU324" s="25">
        <v>4392</v>
      </c>
      <c r="BV324" s="38">
        <v>4610</v>
      </c>
      <c r="BW324" s="10"/>
      <c r="BX324" s="11"/>
      <c r="BY324" s="69">
        <f t="shared" si="2998"/>
        <v>728</v>
      </c>
      <c r="BZ324" s="69">
        <f t="shared" si="2999"/>
        <v>57</v>
      </c>
      <c r="CA324" s="11">
        <v>303</v>
      </c>
      <c r="CB324" s="12">
        <f t="shared" si="2948"/>
        <v>0.44368131868131866</v>
      </c>
      <c r="CC324" s="11">
        <v>20</v>
      </c>
      <c r="CD324" s="12">
        <f t="shared" si="2949"/>
        <v>6.1919504643962849E-2</v>
      </c>
      <c r="CE324" s="13"/>
      <c r="CF324" s="13"/>
      <c r="CG324" s="25">
        <v>4392</v>
      </c>
      <c r="CH324" s="38">
        <v>4610</v>
      </c>
      <c r="CI324" s="10"/>
      <c r="CJ324" s="11"/>
      <c r="CK324" s="69">
        <f t="shared" si="3000"/>
        <v>124</v>
      </c>
      <c r="CL324" s="69">
        <f t="shared" si="3001"/>
        <v>10</v>
      </c>
      <c r="CM324" s="11">
        <v>63</v>
      </c>
      <c r="CN324" s="12">
        <f t="shared" si="2950"/>
        <v>0.57258064516129037</v>
      </c>
      <c r="CO324" s="11">
        <v>8</v>
      </c>
      <c r="CP324" s="12">
        <f t="shared" si="2951"/>
        <v>0.11267605633802817</v>
      </c>
      <c r="CQ324" s="13"/>
      <c r="CR324" s="13"/>
      <c r="CS324" s="25">
        <v>4392</v>
      </c>
      <c r="CT324" s="38">
        <v>4610</v>
      </c>
      <c r="CU324" s="10"/>
      <c r="CV324" s="11"/>
      <c r="CW324" s="69">
        <f t="shared" si="3002"/>
        <v>721</v>
      </c>
      <c r="CX324" s="69">
        <f t="shared" si="3003"/>
        <v>56</v>
      </c>
      <c r="CY324" s="11">
        <v>308</v>
      </c>
      <c r="CZ324" s="12">
        <f t="shared" si="2952"/>
        <v>0.43689320388349512</v>
      </c>
      <c r="DA324" s="11">
        <v>7</v>
      </c>
      <c r="DB324" s="12">
        <f t="shared" si="2953"/>
        <v>2.2222222222222223E-2</v>
      </c>
      <c r="DC324" s="13"/>
      <c r="DD324" s="13"/>
      <c r="DE324" s="25">
        <v>4392</v>
      </c>
      <c r="DF324" s="38">
        <v>4610</v>
      </c>
      <c r="DG324" s="10"/>
      <c r="DH324" s="11"/>
      <c r="DI324" s="69">
        <f t="shared" si="3004"/>
        <v>718</v>
      </c>
      <c r="DJ324" s="69">
        <f t="shared" si="3005"/>
        <v>56</v>
      </c>
      <c r="DK324" s="11">
        <v>305</v>
      </c>
      <c r="DL324" s="12">
        <f t="shared" si="2954"/>
        <v>0.44986072423398327</v>
      </c>
      <c r="DM324" s="11">
        <v>18</v>
      </c>
      <c r="DN324" s="12">
        <f t="shared" si="2955"/>
        <v>5.5727554179566562E-2</v>
      </c>
      <c r="DO324" s="13"/>
      <c r="DP324" s="13"/>
      <c r="DQ324" s="25">
        <v>4392</v>
      </c>
      <c r="DR324" s="38">
        <v>4610</v>
      </c>
      <c r="DS324" s="10"/>
      <c r="DT324" s="11"/>
      <c r="DU324" s="69">
        <f t="shared" si="3006"/>
        <v>806</v>
      </c>
      <c r="DV324" s="69">
        <f t="shared" si="3007"/>
        <v>63</v>
      </c>
      <c r="DW324" s="11">
        <v>301</v>
      </c>
      <c r="DX324" s="12">
        <f t="shared" si="2956"/>
        <v>0.413151364764268</v>
      </c>
      <c r="DY324" s="11">
        <v>32</v>
      </c>
      <c r="DZ324" s="12">
        <f t="shared" si="2957"/>
        <v>9.6096096096096095E-2</v>
      </c>
      <c r="EA324" s="13"/>
      <c r="EB324" s="13"/>
      <c r="EC324" s="25">
        <v>4392</v>
      </c>
      <c r="ED324" s="38">
        <v>4610</v>
      </c>
      <c r="EE324" s="10"/>
      <c r="EF324" s="11"/>
      <c r="EG324" s="69">
        <f t="shared" si="3008"/>
        <v>832</v>
      </c>
      <c r="EH324" s="69">
        <f t="shared" si="3009"/>
        <v>63</v>
      </c>
      <c r="EI324" s="11">
        <v>345</v>
      </c>
      <c r="EJ324" s="12">
        <f t="shared" si="2958"/>
        <v>0.44350961538461536</v>
      </c>
      <c r="EK324" s="11">
        <v>24</v>
      </c>
      <c r="EL324" s="12">
        <f t="shared" si="2959"/>
        <v>6.5040650406504072E-2</v>
      </c>
      <c r="EM324" s="13"/>
      <c r="EN324" s="13"/>
      <c r="EO324" s="25">
        <v>4392</v>
      </c>
      <c r="EP324" s="38">
        <v>4610</v>
      </c>
      <c r="EQ324" s="10"/>
      <c r="ER324" s="11"/>
      <c r="ES324" s="69">
        <f t="shared" si="3010"/>
        <v>151</v>
      </c>
      <c r="ET324" s="69">
        <f t="shared" si="3011"/>
        <v>11</v>
      </c>
      <c r="EU324" s="11">
        <v>63</v>
      </c>
      <c r="EV324" s="12">
        <f t="shared" si="2960"/>
        <v>0.46357615894039733</v>
      </c>
      <c r="EW324" s="11">
        <v>7</v>
      </c>
      <c r="EX324" s="12">
        <f t="shared" si="2961"/>
        <v>0.1</v>
      </c>
      <c r="EY324" s="13"/>
      <c r="EZ324" s="13"/>
      <c r="FA324" s="25">
        <v>4392</v>
      </c>
      <c r="FB324" s="38">
        <v>4610</v>
      </c>
      <c r="FC324" s="10"/>
      <c r="FD324" s="11"/>
      <c r="FE324" s="69">
        <f t="shared" si="3012"/>
        <v>840</v>
      </c>
      <c r="FF324" s="69">
        <f t="shared" si="3013"/>
        <v>65</v>
      </c>
      <c r="FG324" s="11">
        <v>381</v>
      </c>
      <c r="FH324" s="12">
        <f t="shared" si="2962"/>
        <v>0.48095238095238096</v>
      </c>
      <c r="FI324" s="11">
        <v>23</v>
      </c>
      <c r="FJ324" s="12">
        <f t="shared" si="2963"/>
        <v>5.6930693069306933E-2</v>
      </c>
      <c r="FK324" s="13"/>
      <c r="FL324" s="13"/>
      <c r="FM324" s="25">
        <v>4392</v>
      </c>
      <c r="FN324" s="38">
        <v>4610</v>
      </c>
      <c r="FO324" s="10"/>
      <c r="FP324" s="11"/>
      <c r="FQ324" s="69">
        <f t="shared" si="3014"/>
        <v>845</v>
      </c>
      <c r="FR324" s="69">
        <f t="shared" si="3015"/>
        <v>66</v>
      </c>
      <c r="FS324" s="11">
        <v>322</v>
      </c>
      <c r="FT324" s="12">
        <f t="shared" si="2964"/>
        <v>0.40236686390532544</v>
      </c>
      <c r="FU324" s="11">
        <v>18</v>
      </c>
      <c r="FV324" s="12">
        <f t="shared" si="2965"/>
        <v>5.2941176470588235E-2</v>
      </c>
      <c r="FW324" s="13"/>
      <c r="FX324" s="13"/>
      <c r="FY324" s="25">
        <v>4392</v>
      </c>
      <c r="FZ324" s="38">
        <v>4610</v>
      </c>
      <c r="GA324" s="10">
        <v>1</v>
      </c>
      <c r="GB324" s="11"/>
      <c r="GC324" s="69">
        <f t="shared" si="3016"/>
        <v>862</v>
      </c>
      <c r="GD324" s="69">
        <f t="shared" si="3017"/>
        <v>67</v>
      </c>
      <c r="GE324" s="11">
        <v>372</v>
      </c>
      <c r="GF324" s="12">
        <f t="shared" si="2966"/>
        <v>0.44779582366589327</v>
      </c>
      <c r="GG324" s="11">
        <v>14</v>
      </c>
      <c r="GH324" s="12">
        <f t="shared" si="2967"/>
        <v>3.6269430051813469E-2</v>
      </c>
      <c r="GI324" s="13"/>
      <c r="GJ324" s="13"/>
      <c r="GK324" s="25">
        <v>4392</v>
      </c>
      <c r="GL324" s="38">
        <v>4610</v>
      </c>
      <c r="GM324" s="10"/>
      <c r="GN324" s="11"/>
      <c r="GO324" s="69">
        <f t="shared" si="3018"/>
        <v>129</v>
      </c>
      <c r="GP324" s="69">
        <f t="shared" si="3019"/>
        <v>10</v>
      </c>
      <c r="GQ324" s="11">
        <v>54</v>
      </c>
      <c r="GR324" s="12">
        <f t="shared" si="2968"/>
        <v>0.44186046511627908</v>
      </c>
      <c r="GS324" s="11">
        <v>3</v>
      </c>
      <c r="GT324" s="12">
        <f t="shared" si="2969"/>
        <v>5.2631578947368418E-2</v>
      </c>
      <c r="GU324" s="13"/>
      <c r="GV324" s="13"/>
      <c r="GW324" s="25">
        <v>4392</v>
      </c>
      <c r="GX324" s="38">
        <v>4610</v>
      </c>
      <c r="GY324" s="10"/>
      <c r="GZ324" s="11"/>
      <c r="HA324" s="69">
        <f t="shared" si="3020"/>
        <v>889</v>
      </c>
      <c r="HB324" s="69">
        <f t="shared" si="3021"/>
        <v>69</v>
      </c>
      <c r="HC324" s="11">
        <v>404</v>
      </c>
      <c r="HD324" s="12">
        <f t="shared" si="2970"/>
        <v>0.4746906636670416</v>
      </c>
      <c r="HE324" s="11">
        <v>18</v>
      </c>
      <c r="HF324" s="12">
        <f t="shared" si="2971"/>
        <v>4.2654028436018961E-2</v>
      </c>
      <c r="HG324" s="13"/>
      <c r="HH324" s="13"/>
      <c r="HI324" s="25">
        <v>4392</v>
      </c>
      <c r="HJ324" s="38">
        <v>4610</v>
      </c>
      <c r="HK324" s="10">
        <f t="shared" si="2972"/>
        <v>3</v>
      </c>
      <c r="HL324" s="11">
        <f t="shared" si="2973"/>
        <v>0</v>
      </c>
      <c r="HM324" s="11">
        <f t="shared" si="2974"/>
        <v>11599</v>
      </c>
      <c r="HN324" s="11">
        <f t="shared" si="2975"/>
        <v>897</v>
      </c>
      <c r="HO324" s="11">
        <f t="shared" si="2976"/>
        <v>5195</v>
      </c>
      <c r="HP324" s="95">
        <f t="shared" si="2977"/>
        <v>0.44788343822743337</v>
      </c>
      <c r="HQ324" s="15">
        <f t="shared" si="2978"/>
        <v>266</v>
      </c>
      <c r="HR324" s="12">
        <f t="shared" si="2979"/>
        <v>5.1203079884504329E-2</v>
      </c>
      <c r="HS324" s="16">
        <v>68.099999999999994</v>
      </c>
      <c r="HT324" s="17">
        <v>4797</v>
      </c>
      <c r="HU324" s="16">
        <f t="shared" si="2980"/>
        <v>92.338787295476422</v>
      </c>
      <c r="HV324" s="23">
        <v>4392</v>
      </c>
      <c r="HW324" s="22">
        <v>4610</v>
      </c>
      <c r="HX324" s="73">
        <f t="shared" si="2981"/>
        <v>0.45595200505209976</v>
      </c>
      <c r="HY324" s="73">
        <f t="shared" si="2982"/>
        <v>0.44509421702404156</v>
      </c>
      <c r="HZ324" s="73">
        <f t="shared" si="2983"/>
        <v>0.44731837200456448</v>
      </c>
      <c r="IA324" s="73">
        <f t="shared" si="2984"/>
        <v>0.44220183486238535</v>
      </c>
    </row>
    <row r="325" spans="1:244" x14ac:dyDescent="0.25">
      <c r="A325" s="374"/>
      <c r="B325" s="41">
        <f t="shared" si="2985"/>
        <v>45191</v>
      </c>
      <c r="C325" s="10"/>
      <c r="D325" s="11"/>
      <c r="E325" s="69">
        <f t="shared" si="2986"/>
        <v>802</v>
      </c>
      <c r="F325" s="69">
        <f t="shared" si="2987"/>
        <v>62</v>
      </c>
      <c r="G325" s="11">
        <v>344</v>
      </c>
      <c r="H325" s="12">
        <f t="shared" si="2936"/>
        <v>0.45012468827930174</v>
      </c>
      <c r="I325" s="11">
        <v>17</v>
      </c>
      <c r="J325" s="12">
        <f t="shared" si="2937"/>
        <v>4.7091412742382273E-2</v>
      </c>
      <c r="K325" s="13"/>
      <c r="L325" s="11"/>
      <c r="M325" s="25">
        <v>5057.63</v>
      </c>
      <c r="N325" s="38">
        <v>4720.71</v>
      </c>
      <c r="O325" s="10"/>
      <c r="P325" s="11"/>
      <c r="Q325" s="69">
        <f t="shared" si="2988"/>
        <v>735</v>
      </c>
      <c r="R325" s="69">
        <f t="shared" si="2989"/>
        <v>56</v>
      </c>
      <c r="S325" s="11">
        <v>330</v>
      </c>
      <c r="T325" s="12">
        <f t="shared" si="2938"/>
        <v>0.47210884353741495</v>
      </c>
      <c r="U325" s="11">
        <v>17</v>
      </c>
      <c r="V325" s="12">
        <f t="shared" si="2939"/>
        <v>4.8991354466858789E-2</v>
      </c>
      <c r="W325" s="13"/>
      <c r="X325" s="11"/>
      <c r="Y325" s="25">
        <v>5105.26</v>
      </c>
      <c r="Z325" s="38">
        <v>5056.92</v>
      </c>
      <c r="AA325" s="10"/>
      <c r="AB325" s="11"/>
      <c r="AC325" s="69">
        <f t="shared" si="2990"/>
        <v>149</v>
      </c>
      <c r="AD325" s="69">
        <f t="shared" si="2991"/>
        <v>11</v>
      </c>
      <c r="AE325" s="11">
        <v>69</v>
      </c>
      <c r="AF325" s="12">
        <f t="shared" si="2940"/>
        <v>0.47651006711409394</v>
      </c>
      <c r="AG325" s="11">
        <v>2</v>
      </c>
      <c r="AH325" s="12">
        <f t="shared" si="2941"/>
        <v>2.8169014084507043E-2</v>
      </c>
      <c r="AI325" s="13"/>
      <c r="AJ325" s="11"/>
      <c r="AK325" s="25">
        <v>5125.45</v>
      </c>
      <c r="AL325" s="38">
        <v>4562.5</v>
      </c>
      <c r="AM325" s="10"/>
      <c r="AN325" s="11"/>
      <c r="AO325" s="69">
        <f t="shared" si="2992"/>
        <v>743</v>
      </c>
      <c r="AP325" s="69">
        <f t="shared" si="2993"/>
        <v>57</v>
      </c>
      <c r="AQ325" s="11">
        <v>353</v>
      </c>
      <c r="AR325" s="12">
        <f t="shared" si="2942"/>
        <v>0.49259757738896365</v>
      </c>
      <c r="AS325" s="11">
        <v>13</v>
      </c>
      <c r="AT325" s="12">
        <f t="shared" si="2943"/>
        <v>3.5519125683060107E-2</v>
      </c>
      <c r="AU325" s="13"/>
      <c r="AV325" s="11"/>
      <c r="AW325" s="25">
        <v>5190.54</v>
      </c>
      <c r="AX325" s="38">
        <v>5214.17</v>
      </c>
      <c r="AY325" s="10"/>
      <c r="AZ325" s="11"/>
      <c r="BA325" s="69">
        <f t="shared" si="2994"/>
        <v>738</v>
      </c>
      <c r="BB325" s="69">
        <f t="shared" si="2995"/>
        <v>57</v>
      </c>
      <c r="BC325" s="11">
        <v>301</v>
      </c>
      <c r="BD325" s="12">
        <f t="shared" si="2944"/>
        <v>0.43766937669376693</v>
      </c>
      <c r="BE325" s="11">
        <v>22</v>
      </c>
      <c r="BF325" s="12">
        <f t="shared" si="2945"/>
        <v>6.8111455108359129E-2</v>
      </c>
      <c r="BG325" s="13"/>
      <c r="BH325" s="11"/>
      <c r="BI325" s="25">
        <v>5202.7</v>
      </c>
      <c r="BJ325" s="38">
        <v>5470.77</v>
      </c>
      <c r="BK325" s="10"/>
      <c r="BL325" s="11"/>
      <c r="BM325" s="69">
        <f t="shared" si="2996"/>
        <v>787</v>
      </c>
      <c r="BN325" s="69">
        <f t="shared" si="2997"/>
        <v>61</v>
      </c>
      <c r="BO325" s="11">
        <v>299</v>
      </c>
      <c r="BP325" s="12">
        <f t="shared" si="2946"/>
        <v>0.4027954256670902</v>
      </c>
      <c r="BQ325" s="11">
        <v>18</v>
      </c>
      <c r="BR325" s="12">
        <f t="shared" si="2947"/>
        <v>5.6782334384858045E-2</v>
      </c>
      <c r="BS325" s="13"/>
      <c r="BT325" s="11"/>
      <c r="BU325" s="25">
        <v>4818.57</v>
      </c>
      <c r="BV325" s="38">
        <v>4705.38</v>
      </c>
      <c r="BW325" s="10"/>
      <c r="BX325" s="11"/>
      <c r="BY325" s="69">
        <f t="shared" si="2998"/>
        <v>728</v>
      </c>
      <c r="BZ325" s="69">
        <f t="shared" si="2999"/>
        <v>57</v>
      </c>
      <c r="CA325" s="11">
        <v>275</v>
      </c>
      <c r="CB325" s="12">
        <f t="shared" si="2948"/>
        <v>0.39285714285714285</v>
      </c>
      <c r="CC325" s="11">
        <v>11</v>
      </c>
      <c r="CD325" s="12">
        <f t="shared" si="2949"/>
        <v>3.8461538461538464E-2</v>
      </c>
      <c r="CE325" s="13"/>
      <c r="CF325" s="11"/>
      <c r="CG325" s="25">
        <v>5000.51</v>
      </c>
      <c r="CH325" s="38">
        <v>5104.62</v>
      </c>
      <c r="CI325" s="10"/>
      <c r="CJ325" s="11"/>
      <c r="CK325" s="69">
        <f t="shared" si="3000"/>
        <v>124</v>
      </c>
      <c r="CL325" s="69">
        <f t="shared" si="3001"/>
        <v>10</v>
      </c>
      <c r="CM325" s="11">
        <v>45</v>
      </c>
      <c r="CN325" s="12">
        <f t="shared" si="2950"/>
        <v>0.39516129032258063</v>
      </c>
      <c r="CO325" s="11">
        <v>4</v>
      </c>
      <c r="CP325" s="12">
        <f t="shared" si="2951"/>
        <v>8.1632653061224483E-2</v>
      </c>
      <c r="CQ325" s="13"/>
      <c r="CR325" s="11"/>
      <c r="CS325" s="25">
        <v>4890</v>
      </c>
      <c r="CT325" s="38">
        <v>4615</v>
      </c>
      <c r="CU325" s="10">
        <v>1</v>
      </c>
      <c r="CV325" s="11"/>
      <c r="CW325" s="69">
        <f t="shared" si="3002"/>
        <v>720</v>
      </c>
      <c r="CX325" s="69">
        <f t="shared" si="3003"/>
        <v>56</v>
      </c>
      <c r="CY325" s="11">
        <v>263</v>
      </c>
      <c r="CZ325" s="12">
        <f t="shared" si="2952"/>
        <v>0.38194444444444442</v>
      </c>
      <c r="DA325" s="11">
        <v>12</v>
      </c>
      <c r="DB325" s="12">
        <f t="shared" si="2953"/>
        <v>4.363636363636364E-2</v>
      </c>
      <c r="DC325" s="13"/>
      <c r="DD325" s="11"/>
      <c r="DE325" s="25">
        <v>4946.8100000000004</v>
      </c>
      <c r="DF325" s="38">
        <v>5064.17</v>
      </c>
      <c r="DG325" s="10">
        <v>1</v>
      </c>
      <c r="DH325" s="11"/>
      <c r="DI325" s="69">
        <f t="shared" si="3004"/>
        <v>717</v>
      </c>
      <c r="DJ325" s="69">
        <f t="shared" si="3005"/>
        <v>56</v>
      </c>
      <c r="DK325" s="11">
        <v>333</v>
      </c>
      <c r="DL325" s="12">
        <f t="shared" si="2954"/>
        <v>0.48535564853556484</v>
      </c>
      <c r="DM325" s="11">
        <v>15</v>
      </c>
      <c r="DN325" s="12">
        <f t="shared" si="2955"/>
        <v>4.3103448275862072E-2</v>
      </c>
      <c r="DO325" s="13"/>
      <c r="DP325" s="11"/>
      <c r="DQ325" s="25">
        <v>5080.57</v>
      </c>
      <c r="DR325" s="38">
        <v>5352.14</v>
      </c>
      <c r="DS325" s="10"/>
      <c r="DT325" s="11"/>
      <c r="DU325" s="69">
        <f t="shared" si="3006"/>
        <v>806</v>
      </c>
      <c r="DV325" s="69">
        <f t="shared" si="3007"/>
        <v>63</v>
      </c>
      <c r="DW325" s="11">
        <v>309</v>
      </c>
      <c r="DX325" s="12">
        <f t="shared" si="2956"/>
        <v>0.40322580645161288</v>
      </c>
      <c r="DY325" s="11">
        <v>16</v>
      </c>
      <c r="DZ325" s="12">
        <f t="shared" si="2957"/>
        <v>4.9230769230769231E-2</v>
      </c>
      <c r="EA325" s="13"/>
      <c r="EB325" s="11"/>
      <c r="EC325" s="25">
        <v>4919.55</v>
      </c>
      <c r="ED325" s="38">
        <v>5134.29</v>
      </c>
      <c r="EE325" s="10"/>
      <c r="EF325" s="11"/>
      <c r="EG325" s="69">
        <f t="shared" si="3008"/>
        <v>832</v>
      </c>
      <c r="EH325" s="69">
        <f t="shared" si="3009"/>
        <v>63</v>
      </c>
      <c r="EI325" s="11">
        <v>359</v>
      </c>
      <c r="EJ325" s="12">
        <f t="shared" si="2958"/>
        <v>0.46514423076923078</v>
      </c>
      <c r="EK325" s="11">
        <v>28</v>
      </c>
      <c r="EL325" s="12">
        <f t="shared" si="2959"/>
        <v>7.2351421188630485E-2</v>
      </c>
      <c r="EM325" s="13"/>
      <c r="EN325" s="11"/>
      <c r="EO325" s="25">
        <v>4899.51</v>
      </c>
      <c r="EP325" s="38">
        <v>5258.46</v>
      </c>
      <c r="EQ325" s="10"/>
      <c r="ER325" s="11"/>
      <c r="ES325" s="69">
        <f t="shared" si="3010"/>
        <v>151</v>
      </c>
      <c r="ET325" s="69">
        <f t="shared" si="3011"/>
        <v>11</v>
      </c>
      <c r="EU325" s="11">
        <v>61</v>
      </c>
      <c r="EV325" s="12">
        <f t="shared" si="2960"/>
        <v>0.44370860927152317</v>
      </c>
      <c r="EW325" s="11">
        <v>6</v>
      </c>
      <c r="EX325" s="12">
        <f t="shared" si="2961"/>
        <v>8.9552238805970144E-2</v>
      </c>
      <c r="EY325" s="13"/>
      <c r="EZ325" s="11"/>
      <c r="FA325" s="25">
        <v>4729.17</v>
      </c>
      <c r="FB325" s="38">
        <v>4755</v>
      </c>
      <c r="FC325" s="10"/>
      <c r="FD325" s="11"/>
      <c r="FE325" s="69">
        <f t="shared" si="3012"/>
        <v>840</v>
      </c>
      <c r="FF325" s="69">
        <f t="shared" si="3013"/>
        <v>65</v>
      </c>
      <c r="FG325" s="11">
        <v>347</v>
      </c>
      <c r="FH325" s="12">
        <f t="shared" si="2962"/>
        <v>0.43333333333333335</v>
      </c>
      <c r="FI325" s="11">
        <v>17</v>
      </c>
      <c r="FJ325" s="12">
        <f t="shared" si="2963"/>
        <v>4.6703296703296704E-2</v>
      </c>
      <c r="FK325" s="13"/>
      <c r="FL325" s="11"/>
      <c r="FM325" s="25">
        <v>5044.8</v>
      </c>
      <c r="FN325" s="38">
        <v>5444.29</v>
      </c>
      <c r="FO325" s="10"/>
      <c r="FP325" s="11"/>
      <c r="FQ325" s="69">
        <f t="shared" si="3014"/>
        <v>845</v>
      </c>
      <c r="FR325" s="69">
        <f t="shared" si="3015"/>
        <v>66</v>
      </c>
      <c r="FS325" s="11">
        <v>333</v>
      </c>
      <c r="FT325" s="12">
        <f t="shared" si="2964"/>
        <v>0.41656804733727809</v>
      </c>
      <c r="FU325" s="11">
        <v>19</v>
      </c>
      <c r="FV325" s="12">
        <f t="shared" si="2965"/>
        <v>5.3977272727272728E-2</v>
      </c>
      <c r="FW325" s="13"/>
      <c r="FX325" s="11"/>
      <c r="FY325" s="25">
        <v>4937.1099999999997</v>
      </c>
      <c r="FZ325" s="38">
        <v>5050.71</v>
      </c>
      <c r="GA325" s="10"/>
      <c r="GB325" s="11"/>
      <c r="GC325" s="69">
        <f t="shared" si="3016"/>
        <v>862</v>
      </c>
      <c r="GD325" s="69">
        <f t="shared" si="3017"/>
        <v>67</v>
      </c>
      <c r="GE325" s="11">
        <v>370</v>
      </c>
      <c r="GF325" s="12">
        <f t="shared" si="2966"/>
        <v>0.45939675174013922</v>
      </c>
      <c r="GG325" s="11">
        <v>26</v>
      </c>
      <c r="GH325" s="12">
        <f t="shared" si="2967"/>
        <v>6.5656565656565663E-2</v>
      </c>
      <c r="GI325" s="13"/>
      <c r="GJ325" s="11"/>
      <c r="GK325" s="25">
        <v>5100.7</v>
      </c>
      <c r="GL325" s="38">
        <v>5146</v>
      </c>
      <c r="GM325" s="10">
        <v>1</v>
      </c>
      <c r="GN325" s="11"/>
      <c r="GO325" s="69">
        <f t="shared" si="3018"/>
        <v>128</v>
      </c>
      <c r="GP325" s="69">
        <f t="shared" si="3019"/>
        <v>10</v>
      </c>
      <c r="GQ325" s="11">
        <v>49</v>
      </c>
      <c r="GR325" s="12">
        <f t="shared" si="2968"/>
        <v>0.421875</v>
      </c>
      <c r="GS325" s="11">
        <v>5</v>
      </c>
      <c r="GT325" s="12">
        <f t="shared" si="2969"/>
        <v>9.2592592592592587E-2</v>
      </c>
      <c r="GU325" s="13"/>
      <c r="GV325" s="11"/>
      <c r="GW325" s="25">
        <v>4812.3100000000004</v>
      </c>
      <c r="GX325" s="38">
        <v>4602.5</v>
      </c>
      <c r="GY325" s="10"/>
      <c r="GZ325" s="11"/>
      <c r="HA325" s="69">
        <f t="shared" si="3020"/>
        <v>889</v>
      </c>
      <c r="HB325" s="69">
        <f t="shared" si="3021"/>
        <v>69</v>
      </c>
      <c r="HC325" s="11">
        <v>405</v>
      </c>
      <c r="HD325" s="12">
        <f t="shared" si="2970"/>
        <v>0.48368953880764903</v>
      </c>
      <c r="HE325" s="11">
        <v>25</v>
      </c>
      <c r="HF325" s="12">
        <f t="shared" si="2971"/>
        <v>5.8139534883720929E-2</v>
      </c>
      <c r="HG325" s="13"/>
      <c r="HH325" s="11"/>
      <c r="HI325" s="25">
        <v>5005.78</v>
      </c>
      <c r="HJ325" s="38">
        <v>5387.86</v>
      </c>
      <c r="HK325" s="10">
        <f t="shared" si="2972"/>
        <v>3</v>
      </c>
      <c r="HL325" s="11">
        <f t="shared" si="2973"/>
        <v>0</v>
      </c>
      <c r="HM325" s="11">
        <f t="shared" si="2974"/>
        <v>11596</v>
      </c>
      <c r="HN325" s="11">
        <f t="shared" si="2975"/>
        <v>897</v>
      </c>
      <c r="HO325" s="11">
        <f t="shared" si="2976"/>
        <v>5118</v>
      </c>
      <c r="HP325" s="95">
        <f t="shared" si="2977"/>
        <v>0.44135908934115214</v>
      </c>
      <c r="HQ325" s="15">
        <f t="shared" si="2978"/>
        <v>273</v>
      </c>
      <c r="HR325" s="12">
        <f t="shared" si="2979"/>
        <v>5.3341148886283704E-2</v>
      </c>
      <c r="HS325" s="16">
        <v>68</v>
      </c>
      <c r="HT325" s="17">
        <v>4717</v>
      </c>
      <c r="HU325" s="16">
        <f t="shared" si="2980"/>
        <v>92.164908167252833</v>
      </c>
      <c r="HV325" s="23">
        <v>5009.12</v>
      </c>
      <c r="HW325" s="22">
        <v>5111.18</v>
      </c>
      <c r="HX325" s="73">
        <f t="shared" si="2981"/>
        <v>0.46353015472055575</v>
      </c>
      <c r="HY325" s="73">
        <f t="shared" si="2982"/>
        <v>0.41449934980494146</v>
      </c>
      <c r="HZ325" s="73">
        <f t="shared" si="2983"/>
        <v>0.43476607074933432</v>
      </c>
      <c r="IA325" s="73">
        <f t="shared" si="2984"/>
        <v>0.45227606461086639</v>
      </c>
    </row>
    <row r="326" spans="1:244" x14ac:dyDescent="0.25">
      <c r="A326" s="374"/>
      <c r="B326" s="41">
        <f t="shared" si="2985"/>
        <v>45192</v>
      </c>
      <c r="C326" s="10"/>
      <c r="D326" s="11"/>
      <c r="E326" s="69">
        <f t="shared" si="2986"/>
        <v>802</v>
      </c>
      <c r="F326" s="69">
        <f t="shared" si="2987"/>
        <v>62</v>
      </c>
      <c r="G326" s="11">
        <v>324</v>
      </c>
      <c r="H326" s="12">
        <f t="shared" si="2936"/>
        <v>0.42768079800498754</v>
      </c>
      <c r="I326" s="11">
        <v>19</v>
      </c>
      <c r="J326" s="12">
        <f t="shared" si="2937"/>
        <v>5.5393586005830907E-2</v>
      </c>
      <c r="K326" s="13"/>
      <c r="L326" s="11"/>
      <c r="M326" s="39">
        <v>84.2</v>
      </c>
      <c r="N326" s="43">
        <v>100</v>
      </c>
      <c r="O326" s="10"/>
      <c r="P326" s="11"/>
      <c r="Q326" s="69">
        <f t="shared" si="2988"/>
        <v>735</v>
      </c>
      <c r="R326" s="69">
        <f t="shared" si="2989"/>
        <v>56</v>
      </c>
      <c r="S326" s="11">
        <v>301</v>
      </c>
      <c r="T326" s="12">
        <f t="shared" si="2938"/>
        <v>0.43537414965986393</v>
      </c>
      <c r="U326" s="11">
        <v>19</v>
      </c>
      <c r="V326" s="12">
        <f t="shared" si="2939"/>
        <v>5.9374999999999997E-2</v>
      </c>
      <c r="W326" s="13"/>
      <c r="X326" s="11"/>
      <c r="Y326" s="39">
        <v>76.319999999999993</v>
      </c>
      <c r="Z326" s="43">
        <v>100</v>
      </c>
      <c r="AA326" s="10"/>
      <c r="AB326" s="11"/>
      <c r="AC326" s="69">
        <f t="shared" si="2990"/>
        <v>149</v>
      </c>
      <c r="AD326" s="69">
        <f t="shared" si="2991"/>
        <v>11</v>
      </c>
      <c r="AE326" s="11">
        <v>54</v>
      </c>
      <c r="AF326" s="12">
        <f t="shared" si="2940"/>
        <v>0.3825503355704698</v>
      </c>
      <c r="AG326" s="11">
        <v>3</v>
      </c>
      <c r="AH326" s="12">
        <f t="shared" si="2941"/>
        <v>5.2631578947368418E-2</v>
      </c>
      <c r="AI326" s="13"/>
      <c r="AJ326" s="11"/>
      <c r="AK326" s="39">
        <v>81.8</v>
      </c>
      <c r="AL326" s="43">
        <v>75</v>
      </c>
      <c r="AM326" s="10">
        <v>1</v>
      </c>
      <c r="AN326" s="11"/>
      <c r="AO326" s="69">
        <f t="shared" si="2992"/>
        <v>742</v>
      </c>
      <c r="AP326" s="69">
        <f t="shared" si="2993"/>
        <v>57</v>
      </c>
      <c r="AQ326" s="11">
        <v>340</v>
      </c>
      <c r="AR326" s="12">
        <f t="shared" si="2942"/>
        <v>0.48247978436657685</v>
      </c>
      <c r="AS326" s="11">
        <v>18</v>
      </c>
      <c r="AT326" s="12">
        <f t="shared" si="2943"/>
        <v>5.027932960893855E-2</v>
      </c>
      <c r="AU326" s="13"/>
      <c r="AV326" s="11"/>
      <c r="AW326" s="39">
        <v>62.2</v>
      </c>
      <c r="AX326" s="43">
        <v>83.3</v>
      </c>
      <c r="AY326" s="10"/>
      <c r="AZ326" s="11"/>
      <c r="BA326" s="69">
        <f t="shared" si="2994"/>
        <v>738</v>
      </c>
      <c r="BB326" s="69">
        <f t="shared" si="2995"/>
        <v>57</v>
      </c>
      <c r="BC326" s="11">
        <v>304</v>
      </c>
      <c r="BD326" s="12">
        <f t="shared" si="2944"/>
        <v>0.43766937669376693</v>
      </c>
      <c r="BE326" s="11">
        <v>19</v>
      </c>
      <c r="BF326" s="12">
        <f t="shared" si="2945"/>
        <v>5.8823529411764705E-2</v>
      </c>
      <c r="BG326" s="13"/>
      <c r="BH326" s="11"/>
      <c r="BI326" s="39">
        <v>72.97</v>
      </c>
      <c r="BJ326" s="43">
        <v>92.31</v>
      </c>
      <c r="BK326" s="10"/>
      <c r="BL326" s="11"/>
      <c r="BM326" s="69">
        <f t="shared" si="2996"/>
        <v>787</v>
      </c>
      <c r="BN326" s="69">
        <f t="shared" si="2997"/>
        <v>61</v>
      </c>
      <c r="BO326" s="11">
        <v>311</v>
      </c>
      <c r="BP326" s="12">
        <f t="shared" si="2946"/>
        <v>0.41931385006353239</v>
      </c>
      <c r="BQ326" s="11">
        <v>19</v>
      </c>
      <c r="BR326" s="12">
        <f t="shared" si="2947"/>
        <v>5.7575757575757579E-2</v>
      </c>
      <c r="BS326" s="13"/>
      <c r="BT326" s="11"/>
      <c r="BU326" s="39">
        <v>82.86</v>
      </c>
      <c r="BV326" s="43">
        <v>100</v>
      </c>
      <c r="BW326" s="10"/>
      <c r="BX326" s="11"/>
      <c r="BY326" s="69">
        <f t="shared" si="2998"/>
        <v>728</v>
      </c>
      <c r="BZ326" s="69">
        <f t="shared" si="2999"/>
        <v>57</v>
      </c>
      <c r="CA326" s="11">
        <v>280</v>
      </c>
      <c r="CB326" s="12">
        <f t="shared" si="2948"/>
        <v>0.40109890109890112</v>
      </c>
      <c r="CC326" s="11">
        <v>12</v>
      </c>
      <c r="CD326" s="12">
        <f t="shared" si="2949"/>
        <v>4.1095890410958902E-2</v>
      </c>
      <c r="CE326" s="13"/>
      <c r="CF326" s="11"/>
      <c r="CG326" s="39">
        <v>82.05</v>
      </c>
      <c r="CH326" s="43">
        <v>100</v>
      </c>
      <c r="CI326" s="10"/>
      <c r="CJ326" s="11"/>
      <c r="CK326" s="69">
        <f t="shared" si="3000"/>
        <v>124</v>
      </c>
      <c r="CL326" s="69">
        <f t="shared" si="3001"/>
        <v>10</v>
      </c>
      <c r="CM326" s="11">
        <v>52</v>
      </c>
      <c r="CN326" s="12">
        <f t="shared" si="2950"/>
        <v>0.47580645161290325</v>
      </c>
      <c r="CO326" s="11">
        <v>7</v>
      </c>
      <c r="CP326" s="12">
        <f t="shared" si="2951"/>
        <v>0.11864406779661017</v>
      </c>
      <c r="CQ326" s="13"/>
      <c r="CR326" s="11"/>
      <c r="CS326" s="39">
        <v>55.56</v>
      </c>
      <c r="CT326" s="43">
        <v>100</v>
      </c>
      <c r="CU326" s="10"/>
      <c r="CV326" s="11"/>
      <c r="CW326" s="69">
        <f t="shared" si="3002"/>
        <v>720</v>
      </c>
      <c r="CX326" s="69">
        <f t="shared" si="3003"/>
        <v>56</v>
      </c>
      <c r="CY326" s="11">
        <v>307</v>
      </c>
      <c r="CZ326" s="12">
        <f t="shared" si="2952"/>
        <v>0.44305555555555554</v>
      </c>
      <c r="DA326" s="11">
        <v>12</v>
      </c>
      <c r="DB326" s="12">
        <f t="shared" si="2953"/>
        <v>3.7617554858934171E-2</v>
      </c>
      <c r="DC326" s="13"/>
      <c r="DD326" s="11"/>
      <c r="DE326" s="39">
        <v>78.72</v>
      </c>
      <c r="DF326" s="43">
        <v>100</v>
      </c>
      <c r="DG326" s="10"/>
      <c r="DH326" s="11"/>
      <c r="DI326" s="69">
        <f t="shared" si="3004"/>
        <v>717</v>
      </c>
      <c r="DJ326" s="69">
        <f t="shared" si="3005"/>
        <v>56</v>
      </c>
      <c r="DK326" s="11">
        <v>276</v>
      </c>
      <c r="DL326" s="12">
        <f t="shared" si="2954"/>
        <v>0.40306834030683403</v>
      </c>
      <c r="DM326" s="11">
        <v>13</v>
      </c>
      <c r="DN326" s="12">
        <f t="shared" si="2955"/>
        <v>4.4982698961937718E-2</v>
      </c>
      <c r="DO326" s="13"/>
      <c r="DP326" s="11"/>
      <c r="DQ326" s="39">
        <v>68.569999999999993</v>
      </c>
      <c r="DR326" s="43">
        <v>78.569999999999993</v>
      </c>
      <c r="DS326" s="10"/>
      <c r="DT326" s="11"/>
      <c r="DU326" s="69">
        <f t="shared" si="3006"/>
        <v>806</v>
      </c>
      <c r="DV326" s="69">
        <f t="shared" si="3007"/>
        <v>63</v>
      </c>
      <c r="DW326" s="11">
        <v>312</v>
      </c>
      <c r="DX326" s="12">
        <f t="shared" si="2956"/>
        <v>0.4143920595533499</v>
      </c>
      <c r="DY326" s="11">
        <v>22</v>
      </c>
      <c r="DZ326" s="12">
        <f t="shared" si="2957"/>
        <v>6.5868263473053898E-2</v>
      </c>
      <c r="EA326" s="13"/>
      <c r="EB326" s="11"/>
      <c r="EC326" s="39">
        <v>81.819999999999993</v>
      </c>
      <c r="ED326" s="43">
        <v>100</v>
      </c>
      <c r="EE326" s="10"/>
      <c r="EF326" s="11"/>
      <c r="EG326" s="69">
        <f t="shared" si="3008"/>
        <v>832</v>
      </c>
      <c r="EH326" s="69">
        <f t="shared" si="3009"/>
        <v>63</v>
      </c>
      <c r="EI326" s="11">
        <v>354</v>
      </c>
      <c r="EJ326" s="12">
        <f t="shared" si="2958"/>
        <v>0.453125</v>
      </c>
      <c r="EK326" s="11">
        <v>23</v>
      </c>
      <c r="EL326" s="12">
        <f t="shared" si="2959"/>
        <v>6.1007957559681698E-2</v>
      </c>
      <c r="EM326" s="13"/>
      <c r="EN326" s="11"/>
      <c r="EO326" s="39">
        <v>80.489999999999995</v>
      </c>
      <c r="EP326" s="43">
        <v>100</v>
      </c>
      <c r="EQ326" s="10"/>
      <c r="ER326" s="11"/>
      <c r="ES326" s="69">
        <f t="shared" si="3010"/>
        <v>151</v>
      </c>
      <c r="ET326" s="69">
        <f t="shared" si="3011"/>
        <v>11</v>
      </c>
      <c r="EU326" s="11">
        <v>63</v>
      </c>
      <c r="EV326" s="12">
        <f t="shared" si="2960"/>
        <v>0.44370860927152317</v>
      </c>
      <c r="EW326" s="11">
        <v>4</v>
      </c>
      <c r="EX326" s="12">
        <f t="shared" si="2961"/>
        <v>5.9701492537313432E-2</v>
      </c>
      <c r="EY326" s="13"/>
      <c r="EZ326" s="11"/>
      <c r="FA326" s="39">
        <v>41.67</v>
      </c>
      <c r="FB326" s="43">
        <v>100</v>
      </c>
      <c r="FC326" s="10"/>
      <c r="FD326" s="11"/>
      <c r="FE326" s="69">
        <f t="shared" si="3012"/>
        <v>840</v>
      </c>
      <c r="FF326" s="69">
        <f t="shared" si="3013"/>
        <v>65</v>
      </c>
      <c r="FG326" s="11">
        <v>360</v>
      </c>
      <c r="FH326" s="12">
        <f t="shared" si="2962"/>
        <v>0.45476190476190476</v>
      </c>
      <c r="FI326" s="11">
        <v>22</v>
      </c>
      <c r="FJ326" s="12">
        <f t="shared" si="2963"/>
        <v>5.7591623036649213E-2</v>
      </c>
      <c r="FK326" s="13"/>
      <c r="FL326" s="11"/>
      <c r="FM326" s="39">
        <v>86.36</v>
      </c>
      <c r="FN326" s="43">
        <v>92.86</v>
      </c>
      <c r="FO326" s="10"/>
      <c r="FP326" s="11"/>
      <c r="FQ326" s="69">
        <f t="shared" si="3014"/>
        <v>845</v>
      </c>
      <c r="FR326" s="69">
        <f t="shared" si="3015"/>
        <v>66</v>
      </c>
      <c r="FS326" s="11">
        <v>346</v>
      </c>
      <c r="FT326" s="12">
        <f t="shared" si="2964"/>
        <v>0.4437869822485207</v>
      </c>
      <c r="FU326" s="11">
        <v>29</v>
      </c>
      <c r="FV326" s="12">
        <f t="shared" si="2965"/>
        <v>7.7333333333333337E-2</v>
      </c>
      <c r="FW326" s="13"/>
      <c r="FX326" s="11"/>
      <c r="FY326" s="39">
        <v>75.56</v>
      </c>
      <c r="FZ326" s="43">
        <v>100</v>
      </c>
      <c r="GA326" s="10"/>
      <c r="GB326" s="11"/>
      <c r="GC326" s="69">
        <f t="shared" si="3016"/>
        <v>862</v>
      </c>
      <c r="GD326" s="69">
        <f t="shared" si="3017"/>
        <v>67</v>
      </c>
      <c r="GE326" s="11">
        <v>402</v>
      </c>
      <c r="GF326" s="12">
        <f t="shared" si="2966"/>
        <v>0.49303944315545245</v>
      </c>
      <c r="GG326" s="11">
        <v>23</v>
      </c>
      <c r="GH326" s="12">
        <f t="shared" si="2967"/>
        <v>5.4117647058823527E-2</v>
      </c>
      <c r="GI326" s="13"/>
      <c r="GJ326" s="11"/>
      <c r="GK326" s="39">
        <v>75</v>
      </c>
      <c r="GL326" s="43">
        <v>100</v>
      </c>
      <c r="GM326" s="10"/>
      <c r="GN326" s="11"/>
      <c r="GO326" s="69">
        <f t="shared" si="3018"/>
        <v>128</v>
      </c>
      <c r="GP326" s="69">
        <f t="shared" si="3019"/>
        <v>10</v>
      </c>
      <c r="GQ326" s="11">
        <v>49</v>
      </c>
      <c r="GR326" s="12">
        <f t="shared" si="2968"/>
        <v>0.421875</v>
      </c>
      <c r="GS326" s="11">
        <v>5</v>
      </c>
      <c r="GT326" s="12">
        <f t="shared" si="2969"/>
        <v>9.2592592592592587E-2</v>
      </c>
      <c r="GU326" s="13"/>
      <c r="GV326" s="11"/>
      <c r="GW326" s="39">
        <v>92.31</v>
      </c>
      <c r="GX326" s="43">
        <v>100</v>
      </c>
      <c r="GY326" s="10"/>
      <c r="GZ326" s="11"/>
      <c r="HA326" s="69">
        <f t="shared" si="3020"/>
        <v>889</v>
      </c>
      <c r="HB326" s="69">
        <f t="shared" si="3021"/>
        <v>69</v>
      </c>
      <c r="HC326" s="11">
        <v>386</v>
      </c>
      <c r="HD326" s="12">
        <f t="shared" si="2970"/>
        <v>0.47131608548931386</v>
      </c>
      <c r="HE326" s="11">
        <v>33</v>
      </c>
      <c r="HF326" s="12">
        <f t="shared" si="2971"/>
        <v>7.8758949880668255E-2</v>
      </c>
      <c r="HG326" s="13"/>
      <c r="HH326" s="11"/>
      <c r="HI326" s="39">
        <v>75.56</v>
      </c>
      <c r="HJ326" s="43">
        <v>100</v>
      </c>
      <c r="HK326" s="10">
        <f t="shared" si="2972"/>
        <v>1</v>
      </c>
      <c r="HL326" s="11">
        <f t="shared" si="2973"/>
        <v>0</v>
      </c>
      <c r="HM326" s="11">
        <f t="shared" si="2974"/>
        <v>11595</v>
      </c>
      <c r="HN326" s="11">
        <f t="shared" si="2975"/>
        <v>897</v>
      </c>
      <c r="HO326" s="11">
        <f t="shared" si="2976"/>
        <v>5123</v>
      </c>
      <c r="HP326" s="95">
        <f t="shared" si="2977"/>
        <v>0.44182837429926691</v>
      </c>
      <c r="HQ326" s="15">
        <f t="shared" si="2978"/>
        <v>302</v>
      </c>
      <c r="HR326" s="12">
        <f t="shared" si="2979"/>
        <v>5.8949834081592815E-2</v>
      </c>
      <c r="HS326" s="16">
        <v>68.400000000000006</v>
      </c>
      <c r="HT326" s="17">
        <v>4705</v>
      </c>
      <c r="HU326" s="16">
        <f t="shared" si="2980"/>
        <v>91.84071832910405</v>
      </c>
      <c r="HV326" s="23">
        <v>78.180000000000007</v>
      </c>
      <c r="HW326" s="22">
        <v>83.33</v>
      </c>
      <c r="HX326" s="73">
        <f t="shared" si="2981"/>
        <v>0.44251421351863551</v>
      </c>
      <c r="HY326" s="73">
        <f t="shared" si="2982"/>
        <v>0.41905071521456438</v>
      </c>
      <c r="HZ326" s="73">
        <f t="shared" si="2983"/>
        <v>0.44123240775960443</v>
      </c>
      <c r="IA326" s="73">
        <f t="shared" si="2984"/>
        <v>0.46732745961820854</v>
      </c>
      <c r="IF326" s="85">
        <f>IF327/IF328</f>
        <v>2.520478890989288E-3</v>
      </c>
      <c r="IG326" s="85">
        <f>IG327/IG328</f>
        <v>2.2705157314304248E-3</v>
      </c>
      <c r="IH326" s="85">
        <f>IH327/IH328</f>
        <v>1.8982536066818527E-3</v>
      </c>
      <c r="II326" s="85">
        <f>II327/II328</f>
        <v>1.4662756598240469E-3</v>
      </c>
      <c r="IJ326" s="88" t="s">
        <v>90</v>
      </c>
    </row>
    <row r="327" spans="1:244" ht="19.5" thickBot="1" x14ac:dyDescent="0.3">
      <c r="A327" s="374"/>
      <c r="B327" s="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2460</v>
      </c>
      <c r="H327" s="28">
        <f>((G327+I327)/7)/E326</f>
        <v>0.45368721054506589</v>
      </c>
      <c r="I327" s="27">
        <f>SUM(I320:I326)</f>
        <v>87</v>
      </c>
      <c r="J327" s="28">
        <f>(I327/(I327+G327))</f>
        <v>3.4157832744405182E-2</v>
      </c>
      <c r="K327" s="27"/>
      <c r="L327" s="27"/>
      <c r="M327" s="29">
        <f>M325/M324*100-100</f>
        <v>15.15551001821494</v>
      </c>
      <c r="N327" s="67">
        <f>N325/N324*100-100</f>
        <v>2.401518438177888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2225</v>
      </c>
      <c r="T327" s="28">
        <f>((S327+U327)/7)/Q326</f>
        <v>0.45072886297376091</v>
      </c>
      <c r="U327" s="27">
        <f>SUM(U320:U326)</f>
        <v>94</v>
      </c>
      <c r="V327" s="28">
        <f>(U327/(U327+S327))</f>
        <v>4.0534713238464859E-2</v>
      </c>
      <c r="W327" s="27"/>
      <c r="X327" s="27"/>
      <c r="Y327" s="29">
        <f>Y325/Y324*100-100</f>
        <v>16.239981785063762</v>
      </c>
      <c r="Z327" s="67">
        <f>Z325/Z324*100-100</f>
        <v>9.6945770065076005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447</v>
      </c>
      <c r="AF327" s="28">
        <f>((AE327+AG327)/7)/AC326</f>
        <v>0.44007670182166825</v>
      </c>
      <c r="AG327" s="27">
        <f>SUM(AG320:AG326)</f>
        <v>12</v>
      </c>
      <c r="AH327" s="28">
        <f>(AG327/(AG327+AE327))</f>
        <v>2.6143790849673203E-2</v>
      </c>
      <c r="AI327" s="27"/>
      <c r="AJ327" s="27"/>
      <c r="AK327" s="29">
        <f>AK325/AK324*100-100</f>
        <v>16.699681238615668</v>
      </c>
      <c r="AL327" s="67">
        <f>AL325/AL324*100-100</f>
        <v>-1.0303687635574903</v>
      </c>
      <c r="AM327" s="26">
        <f>SUM(AM320:AM326)</f>
        <v>3</v>
      </c>
      <c r="AN327" s="27">
        <f>SUM(AN320:AN326)</f>
        <v>0</v>
      </c>
      <c r="AO327" s="27"/>
      <c r="AP327" s="27"/>
      <c r="AQ327" s="27">
        <f>SUM(AQ320:AQ326)</f>
        <v>2383</v>
      </c>
      <c r="AR327" s="28">
        <f>((AQ327+AS327)/7)/AO326</f>
        <v>0.47535618020793224</v>
      </c>
      <c r="AS327" s="27">
        <f>SUM(AS320:AS326)</f>
        <v>86</v>
      </c>
      <c r="AT327" s="28">
        <f>(AS327/(AS327+AQ327))</f>
        <v>3.4831915755366545E-2</v>
      </c>
      <c r="AU327" s="27"/>
      <c r="AV327" s="27"/>
      <c r="AW327" s="29">
        <f>AW325/AW324*100-100</f>
        <v>18.181693989071036</v>
      </c>
      <c r="AX327" s="67">
        <f>AX325/AX324*100-100</f>
        <v>13.105639913232096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2222</v>
      </c>
      <c r="BD327" s="28">
        <f>((BC327+BE327)/7)/BA326</f>
        <v>0.45160665892373208</v>
      </c>
      <c r="BE327" s="27">
        <f>SUM(BE320:BE326)</f>
        <v>111</v>
      </c>
      <c r="BF327" s="28">
        <f>(BE327/(BE327+BC327))</f>
        <v>4.757822546078011E-2</v>
      </c>
      <c r="BG327" s="27"/>
      <c r="BH327" s="27"/>
      <c r="BI327" s="29">
        <f>BI325/BI324*100-100</f>
        <v>18.458561020036427</v>
      </c>
      <c r="BJ327" s="67">
        <f>BJ325/BJ324*100-100</f>
        <v>18.671800433839493</v>
      </c>
      <c r="BK327" s="26">
        <f>SUM(BK320:BK326)</f>
        <v>2</v>
      </c>
      <c r="BL327" s="27">
        <f>SUM(BL320:BL326)</f>
        <v>0</v>
      </c>
      <c r="BM327" s="27"/>
      <c r="BN327" s="27"/>
      <c r="BO327" s="27">
        <f>SUM(BO320:BO326)</f>
        <v>2219</v>
      </c>
      <c r="BP327" s="28">
        <f>((BO327+BQ327)/7)/BM326</f>
        <v>0.42494100562715559</v>
      </c>
      <c r="BQ327" s="27">
        <f>SUM(BQ320:BQ326)</f>
        <v>122</v>
      </c>
      <c r="BR327" s="28">
        <f>(BQ327/(BQ327+BO327))</f>
        <v>5.2114480991029472E-2</v>
      </c>
      <c r="BS327" s="27"/>
      <c r="BT327" s="27"/>
      <c r="BU327" s="29">
        <f>BU325/BU324*100-100</f>
        <v>9.7124316939890605</v>
      </c>
      <c r="BV327" s="67">
        <f>BV325/BV324*100-100</f>
        <v>2.0689804772234339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2112</v>
      </c>
      <c r="CB327" s="28">
        <f>((CA327+CC327)/7)/BY326</f>
        <v>0.43504709576138151</v>
      </c>
      <c r="CC327" s="27">
        <f>SUM(CC320:CC326)</f>
        <v>105</v>
      </c>
      <c r="CD327" s="28">
        <f>(CC327/(CC327+CA327))</f>
        <v>4.7361299052774017E-2</v>
      </c>
      <c r="CE327" s="27"/>
      <c r="CF327" s="27"/>
      <c r="CG327" s="29">
        <f>CG325/CG324*100-100</f>
        <v>13.854963570127495</v>
      </c>
      <c r="CH327" s="67">
        <f>CH325/CH324*100-100</f>
        <v>10.72928416485901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361</v>
      </c>
      <c r="CN327" s="28">
        <f>((CM327+CO327)/7)/CK326</f>
        <v>0.45852534562211977</v>
      </c>
      <c r="CO327" s="27">
        <f>SUM(CO320:CO326)</f>
        <v>37</v>
      </c>
      <c r="CP327" s="28">
        <f>(CO327/(CO327+CM327))</f>
        <v>9.2964824120603015E-2</v>
      </c>
      <c r="CQ327" s="27"/>
      <c r="CR327" s="27"/>
      <c r="CS327" s="29">
        <f>CS325/CS324*100-100</f>
        <v>11.338797814207652</v>
      </c>
      <c r="CT327" s="67">
        <f>CT325/CT324*100-100</f>
        <v>0.10845986984816136</v>
      </c>
      <c r="CU327" s="26">
        <f>SUM(CU320:CU326)</f>
        <v>2</v>
      </c>
      <c r="CV327" s="27">
        <f>SUM(CV320:CV326)</f>
        <v>0</v>
      </c>
      <c r="CW327" s="27"/>
      <c r="CX327" s="27"/>
      <c r="CY327" s="27">
        <f>SUM(CY320:CY326)</f>
        <v>2074</v>
      </c>
      <c r="CZ327" s="28">
        <f>((CY327+DA327)/7)/CW326</f>
        <v>0.42678571428571427</v>
      </c>
      <c r="DA327" s="27">
        <f>SUM(DA320:DA326)</f>
        <v>77</v>
      </c>
      <c r="DB327" s="28">
        <f>(DA327/(DA327+CY327))</f>
        <v>3.5797303579730357E-2</v>
      </c>
      <c r="DC327" s="27"/>
      <c r="DD327" s="27"/>
      <c r="DE327" s="29">
        <f>DE325/DE324*100-100</f>
        <v>12.632285974499098</v>
      </c>
      <c r="DF327" s="67">
        <f>DF325/DF324*100-100</f>
        <v>9.8518438177874259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2225</v>
      </c>
      <c r="DL327" s="28">
        <f>((DK327+DM327)/7)/DI326</f>
        <v>0.46403666068938038</v>
      </c>
      <c r="DM327" s="27">
        <f>SUM(DM320:DM326)</f>
        <v>104</v>
      </c>
      <c r="DN327" s="28">
        <f>(DM327/(DM327+DK327))</f>
        <v>4.4654358093602402E-2</v>
      </c>
      <c r="DO327" s="27"/>
      <c r="DP327" s="27"/>
      <c r="DQ327" s="29">
        <f>DQ325/DQ324*100-100</f>
        <v>15.677823315118403</v>
      </c>
      <c r="DR327" s="67">
        <f>DR325/DR324*100-100</f>
        <v>16.09848156182214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2264</v>
      </c>
      <c r="DX327" s="28">
        <f>((DW327+DY327)/7)/DU326</f>
        <v>0.42555831265508687</v>
      </c>
      <c r="DY327" s="27">
        <f>SUM(DY320:DY326)</f>
        <v>137</v>
      </c>
      <c r="DZ327" s="28">
        <f>(DY327/(DY327+DW327))</f>
        <v>5.7059558517284462E-2</v>
      </c>
      <c r="EA327" s="27"/>
      <c r="EB327" s="27"/>
      <c r="EC327" s="29">
        <f>EC325/EC324*100-100</f>
        <v>12.011612021857914</v>
      </c>
      <c r="ED327" s="67">
        <f>ED325/ED324*100-100</f>
        <v>11.372885032537951</v>
      </c>
      <c r="EE327" s="26">
        <f>SUM(EE320:EE326)</f>
        <v>1</v>
      </c>
      <c r="EF327" s="27">
        <f>SUM(EF320:EF326)</f>
        <v>0</v>
      </c>
      <c r="EG327" s="27"/>
      <c r="EH327" s="27"/>
      <c r="EI327" s="27">
        <f>SUM(EI320:EI326)</f>
        <v>2492</v>
      </c>
      <c r="EJ327" s="28">
        <f>((EI327+EK327)/7)/EG326</f>
        <v>0.453125</v>
      </c>
      <c r="EK327" s="27">
        <f>SUM(EK320:EK326)</f>
        <v>147</v>
      </c>
      <c r="EL327" s="28">
        <f>(EK327/(EK327+EI327))</f>
        <v>5.5702917771883291E-2</v>
      </c>
      <c r="EM327" s="27"/>
      <c r="EN327" s="27"/>
      <c r="EO327" s="29">
        <f>EO325/EO324*100-100</f>
        <v>11.555327868852473</v>
      </c>
      <c r="EP327" s="67">
        <f>EP325/EP324*100-100</f>
        <v>14.066377440347068</v>
      </c>
      <c r="EQ327" s="26">
        <f>SUM(EQ320:EQ326)</f>
        <v>3</v>
      </c>
      <c r="ER327" s="27">
        <f>SUM(ER320:ER326)</f>
        <v>1</v>
      </c>
      <c r="ES327" s="27"/>
      <c r="ET327" s="27"/>
      <c r="EU327" s="27">
        <f>SUM(EU320:EU326)</f>
        <v>427</v>
      </c>
      <c r="EV327" s="28">
        <f>((EU327+EW327)/7)/ES326</f>
        <v>0.43140964995269626</v>
      </c>
      <c r="EW327" s="27">
        <f>SUM(EW320:EW326)</f>
        <v>29</v>
      </c>
      <c r="EX327" s="28">
        <f>(EW327/(EW327+EU327))</f>
        <v>6.3596491228070179E-2</v>
      </c>
      <c r="EY327" s="27"/>
      <c r="EZ327" s="27"/>
      <c r="FA327" s="29">
        <f>FA325/FA324*100-100</f>
        <v>7.6769125683060082</v>
      </c>
      <c r="FB327" s="67">
        <f>FB325/FB324*100-100</f>
        <v>3.1453362255965374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2561</v>
      </c>
      <c r="FH327" s="28">
        <f>((FG327+FI327)/7)/FE326</f>
        <v>0.45561224489795921</v>
      </c>
      <c r="FI327" s="27">
        <f>SUM(FI320:FI326)</f>
        <v>118</v>
      </c>
      <c r="FJ327" s="28">
        <f>(FI327/(FI327+FG327))</f>
        <v>4.4046285927584923E-2</v>
      </c>
      <c r="FK327" s="27"/>
      <c r="FL327" s="27"/>
      <c r="FM327" s="29">
        <f>FM325/FM324*100-100</f>
        <v>14.863387978142086</v>
      </c>
      <c r="FN327" s="67">
        <f>FN325/FN324*100-100</f>
        <v>18.097396963123643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2339</v>
      </c>
      <c r="FT327" s="28">
        <f>((FS327+FU327)/7)/FQ326</f>
        <v>0.4211327134404057</v>
      </c>
      <c r="FU327" s="27">
        <f>SUM(FU320:FU326)</f>
        <v>152</v>
      </c>
      <c r="FV327" s="28">
        <f>(FU327/(FU327+FS327))</f>
        <v>6.1019670814933764E-2</v>
      </c>
      <c r="FW327" s="27"/>
      <c r="FX327" s="27"/>
      <c r="FY327" s="29">
        <f>FY325/FY324*100-100</f>
        <v>12.411429872495432</v>
      </c>
      <c r="FZ327" s="67">
        <f>FZ325/FZ324*100-100</f>
        <v>9.5598698481561826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2660</v>
      </c>
      <c r="GF327" s="28">
        <f>((GE327+GG327)/7)/GC326</f>
        <v>0.46039111700364599</v>
      </c>
      <c r="GG327" s="27">
        <f>SUM(GG320:GG326)</f>
        <v>118</v>
      </c>
      <c r="GH327" s="28">
        <f>(GG327/(GG327+GE327))</f>
        <v>4.2476601871850254E-2</v>
      </c>
      <c r="GI327" s="27"/>
      <c r="GJ327" s="27"/>
      <c r="GK327" s="29">
        <f>GK325/GK324*100-100</f>
        <v>16.136156648451717</v>
      </c>
      <c r="GL327" s="67">
        <f>GL325/GL324*100-100</f>
        <v>11.626898047722349</v>
      </c>
      <c r="GM327" s="26">
        <f>SUM(GM320:GM326)</f>
        <v>2</v>
      </c>
      <c r="GN327" s="27">
        <f>SUM(GN320:GN326)</f>
        <v>0</v>
      </c>
      <c r="GO327" s="27"/>
      <c r="GP327" s="27"/>
      <c r="GQ327" s="27">
        <f>SUM(GQ320:GQ326)</f>
        <v>351</v>
      </c>
      <c r="GR327" s="28">
        <f>((GQ327+GS327)/7)/GO326</f>
        <v>0.4174107142857143</v>
      </c>
      <c r="GS327" s="27">
        <f>SUM(GS320:GS326)</f>
        <v>23</v>
      </c>
      <c r="GT327" s="28">
        <f>(GS327/(GS327+GQ327))</f>
        <v>6.1497326203208559E-2</v>
      </c>
      <c r="GU327" s="27"/>
      <c r="GV327" s="27"/>
      <c r="GW327" s="29">
        <f>GW325/GW324*100-100</f>
        <v>9.56989981785064</v>
      </c>
      <c r="GX327" s="67">
        <f>GX325/GX324*100-100</f>
        <v>-0.16268980477222783</v>
      </c>
      <c r="GY327" s="26">
        <f>SUM(GY320:GY326)</f>
        <v>1</v>
      </c>
      <c r="GZ327" s="27">
        <f>SUM(GZ320:GZ326)</f>
        <v>0</v>
      </c>
      <c r="HA327" s="27"/>
      <c r="HB327" s="27"/>
      <c r="HC327" s="27">
        <f>SUM(HC320:HC326)</f>
        <v>2819</v>
      </c>
      <c r="HD327" s="28">
        <f>((HC327+HE327)/7)/HA326</f>
        <v>0.47645829985537519</v>
      </c>
      <c r="HE327" s="27">
        <f>SUM(HE320:HE326)</f>
        <v>146</v>
      </c>
      <c r="HF327" s="28">
        <f>(HE327/(HE327+HC327))</f>
        <v>4.924114671163575E-2</v>
      </c>
      <c r="HG327" s="27"/>
      <c r="HH327" s="27"/>
      <c r="HI327" s="29">
        <f>HI325/HI324*100-100</f>
        <v>13.974954462659369</v>
      </c>
      <c r="HJ327" s="67">
        <f>HJ325/HJ324*100-100</f>
        <v>16.87331887201735</v>
      </c>
      <c r="HK327" s="26">
        <f t="shared" si="2972"/>
        <v>24</v>
      </c>
      <c r="HL327" s="27">
        <f t="shared" si="2973"/>
        <v>1</v>
      </c>
      <c r="HM327" s="27">
        <f t="shared" si="2974"/>
        <v>0</v>
      </c>
      <c r="HN327" s="27">
        <f t="shared" si="2975"/>
        <v>0</v>
      </c>
      <c r="HO327" s="27">
        <f t="shared" si="2976"/>
        <v>36346</v>
      </c>
      <c r="HP327" s="96">
        <f>+((HO327)/HM326)/7</f>
        <v>0.44780385634201936</v>
      </c>
      <c r="HQ327" s="62">
        <f t="shared" si="2978"/>
        <v>1705</v>
      </c>
      <c r="HR327" s="52">
        <f t="shared" si="2979"/>
        <v>4.6910251471963905E-2</v>
      </c>
      <c r="HS327" s="53">
        <f>SUM(HS320:HS326)/7</f>
        <v>68.071428571428569</v>
      </c>
      <c r="HT327" s="54">
        <f>SUM(HT320:HT326)</f>
        <v>33785</v>
      </c>
      <c r="HU327" s="53">
        <f>AVERAGE(HU320:HU326)</f>
        <v>92.95159628284614</v>
      </c>
      <c r="HV327" s="63">
        <f>HV325/HV324*100-100</f>
        <v>14.051001821493614</v>
      </c>
      <c r="HW327" s="67">
        <f>HW325/HW324*100-100</f>
        <v>10.871583514099783</v>
      </c>
      <c r="HX327" s="73">
        <f>SUM(G327,I327,S327,U327,AE327,AG327,AQ327,AS327,BC327,BE327)/7/SUM(E326,Q326,AC326,AO326,BA326)</f>
        <v>0.45695334356105044</v>
      </c>
      <c r="HY327" s="73">
        <f>SUM(BO327,BQ327,CA327,CC327,CM327,CO327,CY327,DA327,DK327,DM327)/7/SUM(BM326,BY326,CK326,CW326,DI326)</f>
        <v>0.43823146944083224</v>
      </c>
      <c r="HZ327" s="73">
        <f>SUM(DW327,DY327,EI327,EK327,EU327,EW327,FG327,FI327)/7/SUM(DU326,EG326,ES326,FE326)</f>
        <v>0.44422105091561159</v>
      </c>
      <c r="IA327" s="73">
        <f>SUM(FS327,FU327,GE327,GG327,GQ327,GS327,HC327,HE327)/7/SUM(FQ326,GC326,GO326,HA326)</f>
        <v>0.45143696245017834</v>
      </c>
      <c r="IB327" s="84">
        <f>SUM(I327,U327,AG327,AS327,BE327)/SUM(G327,I327,S327,U327,AE327,AG327,AQ327,AS327,BC327,BE327)</f>
        <v>3.8510911424903725E-2</v>
      </c>
      <c r="IC327" s="84">
        <f>SUM(BQ327,CC327,CO327,DA327,DM327)/SUM(BO327,BQ327,CA327,CC327,CM327,CO327,CY327,DA327,DK327,DM327)</f>
        <v>4.7159813480288255E-2</v>
      </c>
      <c r="ID327" s="84">
        <f>SUM(DY327,EK327,EW327,FI327)/SUM(DW327,DY327,EI327,EK327,EU327,EW327,FG327,FI327)</f>
        <v>5.2721712538226301E-2</v>
      </c>
      <c r="IE327" s="84">
        <f>SUM(FU327,GG327,GS327,HE327)/SUM(FS327,FU327,GE327,GG327,GQ327,GS327,HC327,HE327)</f>
        <v>5.0999070631970261E-2</v>
      </c>
      <c r="IF327" s="86">
        <f>SUM(C327,O327,AA327,AM327,AY327)</f>
        <v>8</v>
      </c>
      <c r="IG327" s="86">
        <f>SUM(BK327,BW327,CI327,CU327,DG327)</f>
        <v>7</v>
      </c>
      <c r="IH327" s="86">
        <f>SUM(DS327,EE327,EQ327,FC327)</f>
        <v>5</v>
      </c>
      <c r="II327" s="86">
        <f>SUM(FO327,GA327,GM327,GY327)</f>
        <v>4</v>
      </c>
      <c r="IJ327" s="88" t="s">
        <v>89</v>
      </c>
    </row>
    <row r="328" spans="1:244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HK327/HM320</f>
        <v>2.0662935858803272E-3</v>
      </c>
      <c r="HL328" s="66">
        <f>HL327/HN320</f>
        <v>1.1135857461024498E-3</v>
      </c>
      <c r="HM328" s="45"/>
      <c r="HN328" s="45"/>
      <c r="HO328" s="45"/>
      <c r="HP328" s="98"/>
      <c r="HQ328" s="45"/>
      <c r="HR328" s="45"/>
      <c r="HS328" s="45"/>
      <c r="HT328" s="55"/>
      <c r="HU328" s="45"/>
      <c r="HV328" s="45"/>
      <c r="HW328" s="46"/>
      <c r="HY328" s="72"/>
      <c r="HZ328" s="72"/>
      <c r="IA328" s="72"/>
      <c r="IF328" s="86">
        <f>SUM(E317,Q317,AC317,AO317,BA317)</f>
        <v>3174</v>
      </c>
      <c r="IG328" s="86">
        <f>SUM(BM317,BY317,CK317,CW317,DI317)</f>
        <v>3083</v>
      </c>
      <c r="IH328" s="86">
        <f>SUM(DU317,EG317,ES317,FE317)</f>
        <v>2634</v>
      </c>
      <c r="II328" s="86">
        <f>SUM(FQ317,GC317,GO317,HA317)</f>
        <v>2728</v>
      </c>
      <c r="IJ328" s="88" t="s">
        <v>84</v>
      </c>
    </row>
    <row r="329" spans="1:244" x14ac:dyDescent="0.25">
      <c r="A329" s="373">
        <v>61</v>
      </c>
      <c r="B329" s="68">
        <f>B326+1</f>
        <v>45193</v>
      </c>
      <c r="C329" s="33"/>
      <c r="D329" s="34"/>
      <c r="E329" s="34">
        <f>E326-C329</f>
        <v>802</v>
      </c>
      <c r="F329" s="34">
        <f>F326-D329</f>
        <v>62</v>
      </c>
      <c r="G329" s="34">
        <v>329</v>
      </c>
      <c r="H329" s="35">
        <f t="shared" ref="H329:H335" si="3022">((G329+I329)/E329)</f>
        <v>0.43266832917705733</v>
      </c>
      <c r="I329" s="34">
        <v>18</v>
      </c>
      <c r="J329" s="35">
        <f t="shared" ref="J329:J335" si="3023">I329/(G329+I329)</f>
        <v>5.1873198847262249E-2</v>
      </c>
      <c r="K329" s="36"/>
      <c r="L329" s="34"/>
      <c r="M329" s="34"/>
      <c r="N329" s="37"/>
      <c r="O329" s="33"/>
      <c r="P329" s="34"/>
      <c r="Q329" s="34">
        <f>Q326-O329</f>
        <v>735</v>
      </c>
      <c r="R329" s="34">
        <f>R326-P329</f>
        <v>56</v>
      </c>
      <c r="S329" s="34">
        <v>309</v>
      </c>
      <c r="T329" s="35">
        <f t="shared" ref="T329:T335" si="3024">((S329+U329)/Q329)</f>
        <v>0.44761904761904764</v>
      </c>
      <c r="U329" s="34">
        <v>20</v>
      </c>
      <c r="V329" s="35">
        <f t="shared" ref="V329:V335" si="3025">U329/(S329+U329)</f>
        <v>6.0790273556231005E-2</v>
      </c>
      <c r="W329" s="36"/>
      <c r="X329" s="34"/>
      <c r="Y329" s="34"/>
      <c r="Z329" s="37"/>
      <c r="AA329" s="33"/>
      <c r="AB329" s="34"/>
      <c r="AC329" s="34">
        <f>AC326-AA329</f>
        <v>149</v>
      </c>
      <c r="AD329" s="34">
        <f>AD326-AB329</f>
        <v>11</v>
      </c>
      <c r="AE329" s="34">
        <v>71</v>
      </c>
      <c r="AF329" s="35">
        <f t="shared" ref="AF329:AF335" si="3026">((AE329+AG329)/AC329)</f>
        <v>0.49664429530201343</v>
      </c>
      <c r="AG329" s="34">
        <v>3</v>
      </c>
      <c r="AH329" s="35">
        <f t="shared" ref="AH329:AH335" si="3027">AG329/(AE329+AG329)</f>
        <v>4.0540540540540543E-2</v>
      </c>
      <c r="AI329" s="36"/>
      <c r="AJ329" s="34"/>
      <c r="AK329" s="34"/>
      <c r="AL329" s="37"/>
      <c r="AM329" s="33"/>
      <c r="AN329" s="34"/>
      <c r="AO329" s="34">
        <f>AO326-AM329</f>
        <v>742</v>
      </c>
      <c r="AP329" s="34">
        <f>AP326-AN329</f>
        <v>57</v>
      </c>
      <c r="AQ329" s="34">
        <v>308</v>
      </c>
      <c r="AR329" s="35">
        <f t="shared" ref="AR329:AR335" si="3028">((AQ329+AS329)/AO329)</f>
        <v>0.43126684636118601</v>
      </c>
      <c r="AS329" s="34">
        <v>12</v>
      </c>
      <c r="AT329" s="35">
        <f t="shared" ref="AT329:AT335" si="3029">AS329/(AQ329+AS329)</f>
        <v>3.7499999999999999E-2</v>
      </c>
      <c r="AU329" s="36"/>
      <c r="AV329" s="34"/>
      <c r="AW329" s="34"/>
      <c r="AX329" s="37"/>
      <c r="AY329" s="33"/>
      <c r="AZ329" s="34"/>
      <c r="BA329" s="34">
        <f>BA326-AY329</f>
        <v>738</v>
      </c>
      <c r="BB329" s="34">
        <f>BB326-AZ329</f>
        <v>57</v>
      </c>
      <c r="BC329" s="34">
        <v>319</v>
      </c>
      <c r="BD329" s="35">
        <f t="shared" ref="BD329:BD335" si="3030">((BC329+BE329)/BA329)</f>
        <v>0.45799457994579945</v>
      </c>
      <c r="BE329" s="34">
        <v>19</v>
      </c>
      <c r="BF329" s="35">
        <f t="shared" ref="BF329:BF335" si="3031">BE329/(BC329+BE329)</f>
        <v>5.6213017751479293E-2</v>
      </c>
      <c r="BG329" s="36"/>
      <c r="BH329" s="34"/>
      <c r="BI329" s="34"/>
      <c r="BJ329" s="37"/>
      <c r="BK329" s="33"/>
      <c r="BL329" s="34"/>
      <c r="BM329" s="34">
        <f>BM326-BK329</f>
        <v>787</v>
      </c>
      <c r="BN329" s="34">
        <f>BN326-BL329</f>
        <v>61</v>
      </c>
      <c r="BO329" s="34">
        <v>309</v>
      </c>
      <c r="BP329" s="35">
        <f t="shared" ref="BP329:BP335" si="3032">((BO329+BQ329)/BM329)</f>
        <v>0.41677255400254132</v>
      </c>
      <c r="BQ329" s="34">
        <v>19</v>
      </c>
      <c r="BR329" s="35">
        <f t="shared" ref="BR329:BR335" si="3033">BQ329/(BO329+BQ329)</f>
        <v>5.7926829268292686E-2</v>
      </c>
      <c r="BS329" s="36"/>
      <c r="BT329" s="34"/>
      <c r="BU329" s="34"/>
      <c r="BV329" s="37"/>
      <c r="BW329" s="33"/>
      <c r="BX329" s="34"/>
      <c r="BY329" s="34">
        <f>BY326-BW329</f>
        <v>728</v>
      </c>
      <c r="BZ329" s="34">
        <f>BZ326-BX329</f>
        <v>57</v>
      </c>
      <c r="CA329" s="34">
        <v>305</v>
      </c>
      <c r="CB329" s="35">
        <f t="shared" ref="CB329:CB335" si="3034">((CA329+CC329)/BY329)</f>
        <v>0.43956043956043955</v>
      </c>
      <c r="CC329" s="34">
        <v>15</v>
      </c>
      <c r="CD329" s="35">
        <f t="shared" ref="CD329:CD335" si="3035">CC329/(CA329+CC329)</f>
        <v>4.6875E-2</v>
      </c>
      <c r="CE329" s="36"/>
      <c r="CF329" s="34"/>
      <c r="CG329" s="34"/>
      <c r="CH329" s="37"/>
      <c r="CI329" s="33"/>
      <c r="CJ329" s="34"/>
      <c r="CK329" s="34">
        <f>CK326-CI329</f>
        <v>124</v>
      </c>
      <c r="CL329" s="34">
        <f>CL326-CJ329</f>
        <v>10</v>
      </c>
      <c r="CM329" s="34">
        <v>48</v>
      </c>
      <c r="CN329" s="35">
        <f t="shared" ref="CN329:CN335" si="3036">((CM329+CO329)/CK329)</f>
        <v>0.42741935483870969</v>
      </c>
      <c r="CO329" s="34">
        <v>5</v>
      </c>
      <c r="CP329" s="35">
        <f t="shared" ref="CP329:CP335" si="3037">CO329/(CM329+CO329)</f>
        <v>9.4339622641509441E-2</v>
      </c>
      <c r="CQ329" s="36"/>
      <c r="CR329" s="34"/>
      <c r="CS329" s="34"/>
      <c r="CT329" s="37"/>
      <c r="CU329" s="33"/>
      <c r="CV329" s="34"/>
      <c r="CW329" s="34">
        <f>CW326-CU329</f>
        <v>720</v>
      </c>
      <c r="CX329" s="34">
        <f>CX326-CV329</f>
        <v>56</v>
      </c>
      <c r="CY329" s="34">
        <v>260</v>
      </c>
      <c r="CZ329" s="35">
        <f t="shared" ref="CZ329:CZ335" si="3038">((CY329+DA329)/CW329)</f>
        <v>0.375</v>
      </c>
      <c r="DA329" s="34">
        <v>10</v>
      </c>
      <c r="DB329" s="35">
        <f t="shared" ref="DB329:DB335" si="3039">DA329/(CY329+DA329)</f>
        <v>3.7037037037037035E-2</v>
      </c>
      <c r="DC329" s="36"/>
      <c r="DD329" s="34"/>
      <c r="DE329" s="34"/>
      <c r="DF329" s="37"/>
      <c r="DG329" s="33"/>
      <c r="DH329" s="34"/>
      <c r="DI329" s="34">
        <f>DI326-DG329</f>
        <v>717</v>
      </c>
      <c r="DJ329" s="34">
        <f>DJ326-DH329</f>
        <v>56</v>
      </c>
      <c r="DK329" s="34">
        <v>292</v>
      </c>
      <c r="DL329" s="35">
        <f t="shared" ref="DL329:DL335" si="3040">((DK329+DM329)/DI329)</f>
        <v>0.43654114365411434</v>
      </c>
      <c r="DM329" s="34">
        <v>21</v>
      </c>
      <c r="DN329" s="35">
        <f t="shared" ref="DN329:DN335" si="3041">DM329/(DK329+DM329)</f>
        <v>6.7092651757188496E-2</v>
      </c>
      <c r="DO329" s="36"/>
      <c r="DP329" s="34"/>
      <c r="DQ329" s="34"/>
      <c r="DR329" s="37"/>
      <c r="DS329" s="33"/>
      <c r="DT329" s="34"/>
      <c r="DU329" s="34">
        <f>DU326-DS329</f>
        <v>806</v>
      </c>
      <c r="DV329" s="34">
        <f>DV326-DT329</f>
        <v>63</v>
      </c>
      <c r="DW329" s="34">
        <v>317</v>
      </c>
      <c r="DX329" s="35">
        <f t="shared" ref="DX329:DX335" si="3042">((DW329+DY329)/DU329)</f>
        <v>0.42059553349875928</v>
      </c>
      <c r="DY329" s="34">
        <v>22</v>
      </c>
      <c r="DZ329" s="35">
        <f t="shared" ref="DZ329:DZ335" si="3043">DY329/(DW329+DY329)</f>
        <v>6.4896755162241887E-2</v>
      </c>
      <c r="EA329" s="36"/>
      <c r="EB329" s="34"/>
      <c r="EC329" s="34"/>
      <c r="ED329" s="37"/>
      <c r="EE329" s="33">
        <v>1</v>
      </c>
      <c r="EF329" s="34"/>
      <c r="EG329" s="34">
        <f>EG326-EE329</f>
        <v>831</v>
      </c>
      <c r="EH329" s="34">
        <f>EH326-EF329</f>
        <v>63</v>
      </c>
      <c r="EI329" s="34">
        <v>336</v>
      </c>
      <c r="EJ329" s="35">
        <f t="shared" ref="EJ329:EJ335" si="3044">((EI329+EK329)/EG329)</f>
        <v>0.4259927797833935</v>
      </c>
      <c r="EK329" s="34">
        <v>18</v>
      </c>
      <c r="EL329" s="35">
        <f t="shared" ref="EL329:EL335" si="3045">EK329/(EI329+EK329)</f>
        <v>5.0847457627118647E-2</v>
      </c>
      <c r="EM329" s="36"/>
      <c r="EN329" s="34"/>
      <c r="EO329" s="34"/>
      <c r="EP329" s="37"/>
      <c r="EQ329" s="33"/>
      <c r="ER329" s="34"/>
      <c r="ES329" s="34">
        <f>ES326-EQ329</f>
        <v>151</v>
      </c>
      <c r="ET329" s="34">
        <f>ET326-ER329</f>
        <v>11</v>
      </c>
      <c r="EU329" s="34">
        <v>58</v>
      </c>
      <c r="EV329" s="35">
        <f t="shared" ref="EV329:EV335" si="3046">((EU329+EW329)/ES329)</f>
        <v>0.40397350993377484</v>
      </c>
      <c r="EW329" s="34">
        <v>3</v>
      </c>
      <c r="EX329" s="35">
        <f t="shared" ref="EX329:EX335" si="3047">EW329/(EU329+EW329)</f>
        <v>4.9180327868852458E-2</v>
      </c>
      <c r="EY329" s="36"/>
      <c r="EZ329" s="34"/>
      <c r="FA329" s="34"/>
      <c r="FB329" s="37"/>
      <c r="FC329" s="33"/>
      <c r="FD329" s="34"/>
      <c r="FE329" s="34">
        <f>FE326-FC329</f>
        <v>840</v>
      </c>
      <c r="FF329" s="34">
        <f>FF326-FD329</f>
        <v>65</v>
      </c>
      <c r="FG329" s="34">
        <v>345</v>
      </c>
      <c r="FH329" s="35">
        <f t="shared" ref="FH329:FH335" si="3048">((FG329+FI329)/FE329)</f>
        <v>0.43928571428571428</v>
      </c>
      <c r="FI329" s="34">
        <v>24</v>
      </c>
      <c r="FJ329" s="35">
        <f t="shared" ref="FJ329:FJ335" si="3049">FI329/(FG329+FI329)</f>
        <v>6.5040650406504072E-2</v>
      </c>
      <c r="FK329" s="36"/>
      <c r="FL329" s="34"/>
      <c r="FM329" s="34"/>
      <c r="FN329" s="37"/>
      <c r="FO329" s="33"/>
      <c r="FP329" s="34"/>
      <c r="FQ329" s="34">
        <f>FQ326-FO329</f>
        <v>845</v>
      </c>
      <c r="FR329" s="34">
        <f>FR326-FP329</f>
        <v>66</v>
      </c>
      <c r="FS329" s="34">
        <v>344</v>
      </c>
      <c r="FT329" s="35">
        <f t="shared" ref="FT329:FT335" si="3050">((FS329+FU329)/FQ329)</f>
        <v>0.43313609467455622</v>
      </c>
      <c r="FU329" s="34">
        <v>22</v>
      </c>
      <c r="FV329" s="35">
        <f t="shared" ref="FV329:FV335" si="3051">FU329/(FS329+FU329)</f>
        <v>6.0109289617486336E-2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861</v>
      </c>
      <c r="GD329" s="34">
        <f>GD326-GB329</f>
        <v>67</v>
      </c>
      <c r="GE329" s="34">
        <v>360</v>
      </c>
      <c r="GF329" s="35">
        <f t="shared" ref="GF329:GF335" si="3052">((GE329+GG329)/GC329)</f>
        <v>0.43902439024390244</v>
      </c>
      <c r="GG329" s="34">
        <v>18</v>
      </c>
      <c r="GH329" s="35">
        <f t="shared" ref="GH329:GH335" si="3053">GG329/(GE329+GG329)</f>
        <v>4.7619047619047616E-2</v>
      </c>
      <c r="GI329" s="36"/>
      <c r="GJ329" s="34"/>
      <c r="GK329" s="34"/>
      <c r="GL329" s="37"/>
      <c r="GM329" s="33">
        <v>1</v>
      </c>
      <c r="GN329" s="34">
        <v>1</v>
      </c>
      <c r="GO329" s="34">
        <f>GO326-GM329</f>
        <v>127</v>
      </c>
      <c r="GP329" s="34">
        <f>GP326-GN329</f>
        <v>9</v>
      </c>
      <c r="GQ329" s="34">
        <v>48</v>
      </c>
      <c r="GR329" s="35">
        <f t="shared" ref="GR329:GR335" si="3054">((GQ329+GS329)/GO329)</f>
        <v>0.44094488188976377</v>
      </c>
      <c r="GS329" s="34">
        <v>8</v>
      </c>
      <c r="GT329" s="35">
        <f t="shared" ref="GT329:GT335" si="3055">GS329/(GQ329+GS329)</f>
        <v>0.14285714285714285</v>
      </c>
      <c r="GU329" s="36"/>
      <c r="GV329" s="34"/>
      <c r="GW329" s="34"/>
      <c r="GX329" s="37"/>
      <c r="GY329" s="33"/>
      <c r="GZ329" s="34"/>
      <c r="HA329" s="34">
        <f>HA326-GY329</f>
        <v>889</v>
      </c>
      <c r="HB329" s="34">
        <f>HB326-GZ329</f>
        <v>69</v>
      </c>
      <c r="HC329" s="34">
        <v>371</v>
      </c>
      <c r="HD329" s="35">
        <f t="shared" ref="HD329:HD335" si="3056">((HC329+HE329)/HA329)</f>
        <v>0.43757030371203598</v>
      </c>
      <c r="HE329" s="34">
        <v>18</v>
      </c>
      <c r="HF329" s="35">
        <f t="shared" ref="HF329:HF335" si="3057">HE329/(HC329+HE329)</f>
        <v>4.6272493573264781E-2</v>
      </c>
      <c r="HG329" s="36"/>
      <c r="HH329" s="34"/>
      <c r="HI329" s="34"/>
      <c r="HJ329" s="37"/>
      <c r="HK329" s="33">
        <f t="shared" ref="HK329:HK336" si="3058">+C329+O329+AA329+AM329+AY329+BK329+BW329+CI329+CU329+DG329+DS329+EE329+EQ329+FC329+FO329+GA329+GM329+GY329</f>
        <v>3</v>
      </c>
      <c r="HL329" s="34">
        <f t="shared" ref="HL329:HL336" si="3059">+D329+P329+AB329+AN329+AZ329+BL329+BX329+CJ329+CV329+DH329+DT329+EF329+ER329+FD329+FP329+GB329+GN329+GZ329</f>
        <v>1</v>
      </c>
      <c r="HM329" s="34">
        <f t="shared" ref="HM329:HM336" si="3060">+E329+Q329+AC329+AO329+BA329+BM329+BY329+CK329+CW329+DI329+DU329+EG329+ES329+FE329+FQ329+GC329+GO329+HA329</f>
        <v>11592</v>
      </c>
      <c r="HN329" s="34">
        <f t="shared" ref="HN329:HN336" si="3061">+F329+R329+AD329+AP329+BB329+BN329+BZ329+CL329+CX329+DJ329+DV329+EH329+ET329+FF329+FR329+GD329+GP329+HB329</f>
        <v>896</v>
      </c>
      <c r="HO329" s="34">
        <f t="shared" ref="HO329:HO336" si="3062">+G329+S329+AE329+AQ329+BC329+BO329+CA329+CM329+CY329+DK329+DW329+EI329+EU329+FG329+FS329+GE329+GQ329+HC329+I329+U329+AG329+AS329+BE329+BQ329+CC329+CO329+DA329+DM329+DY329+EK329+EW329+FI329+FU329+GG329+GS329+HE329</f>
        <v>5004</v>
      </c>
      <c r="HP329" s="94">
        <f t="shared" ref="HP329:HP335" si="3063">+(HO329)/HM329</f>
        <v>0.43167701863354035</v>
      </c>
      <c r="HQ329" s="48">
        <f t="shared" ref="HQ329:HQ336" si="3064">+I329+U329+AG329+AS329+BE329+BQ329+CC329+CO329+DA329+DM329+DY329+EK329+EW329+FI329+FU329+GG329+GS329+HE329</f>
        <v>275</v>
      </c>
      <c r="HR329" s="35">
        <f t="shared" ref="HR329:HR336" si="3065">+(HQ329/(HO329))</f>
        <v>5.4956035171862511E-2</v>
      </c>
      <c r="HS329" s="49">
        <v>68.599999999999994</v>
      </c>
      <c r="HT329" s="50">
        <v>4599</v>
      </c>
      <c r="HU329" s="49">
        <f t="shared" ref="HU329:HU335" si="3066">+HT329/HO329*100</f>
        <v>91.906474820143885</v>
      </c>
      <c r="HV329" s="48"/>
      <c r="HW329" s="37"/>
      <c r="HX329" s="73">
        <f t="shared" ref="HX329:HX335" si="3067">SUM(G329,I329,S329,U329,AE329,AG329,AQ329,AS329,BC329,BE329)/SUM(E329,Q329,AC329,AO329,BA329)</f>
        <v>0.44472520530638027</v>
      </c>
      <c r="HY329" s="73">
        <f t="shared" ref="HY329:HY335" si="3068">SUM(BO329,BQ329,CA329,CC329,CM329,CO329,CY329,DA329,DK329,DM329)/SUM(BM329,BY329,CK329,CW329,DI329)</f>
        <v>0.4174252275682705</v>
      </c>
      <c r="HZ329" s="73">
        <f t="shared" ref="HZ329:HZ335" si="3069">SUM(DW329,DY329,EI329,EK329,EU329,EW329,FG329,FI329)/SUM(DU329,EG329,ES329,FE329)</f>
        <v>0.42732115677321159</v>
      </c>
      <c r="IA329" s="73">
        <f t="shared" ref="IA329:IA335" si="3070">SUM(FS329,FU329,GE329,GG329,GQ329,GS329,HC329,HE329)/SUM(FQ329,GC329,GO329,HA329)</f>
        <v>0.43681116825863336</v>
      </c>
    </row>
    <row r="330" spans="1:244" x14ac:dyDescent="0.25">
      <c r="A330" s="374"/>
      <c r="B330" s="41">
        <f t="shared" ref="B330:B335" si="3071">+B329+1</f>
        <v>45194</v>
      </c>
      <c r="C330" s="10"/>
      <c r="D330" s="11"/>
      <c r="E330" s="69">
        <f t="shared" ref="E330:E335" si="3072">E329-C330</f>
        <v>802</v>
      </c>
      <c r="F330" s="69">
        <f t="shared" ref="F330:F335" si="3073">F329-D330</f>
        <v>62</v>
      </c>
      <c r="G330" s="11">
        <v>326</v>
      </c>
      <c r="H330" s="12">
        <f t="shared" si="3022"/>
        <v>0.42269326683291769</v>
      </c>
      <c r="I330" s="11">
        <v>13</v>
      </c>
      <c r="J330" s="12">
        <f t="shared" si="3023"/>
        <v>3.8348082595870206E-2</v>
      </c>
      <c r="K330" s="13"/>
      <c r="L330" s="11"/>
      <c r="M330" s="11"/>
      <c r="N330" s="14"/>
      <c r="O330" s="10"/>
      <c r="P330" s="11"/>
      <c r="Q330" s="69">
        <f t="shared" ref="Q330:Q335" si="3074">Q329-O330</f>
        <v>735</v>
      </c>
      <c r="R330" s="69">
        <f t="shared" ref="R330:R335" si="3075">R329-P330</f>
        <v>56</v>
      </c>
      <c r="S330" s="11">
        <v>318</v>
      </c>
      <c r="T330" s="12">
        <f t="shared" si="3024"/>
        <v>0.44625850340136053</v>
      </c>
      <c r="U330" s="11">
        <v>10</v>
      </c>
      <c r="V330" s="12">
        <f t="shared" si="3025"/>
        <v>3.048780487804878E-2</v>
      </c>
      <c r="W330" s="13"/>
      <c r="X330" s="11"/>
      <c r="Y330" s="11"/>
      <c r="Z330" s="14"/>
      <c r="AA330" s="10"/>
      <c r="AB330" s="11"/>
      <c r="AC330" s="69">
        <f t="shared" ref="AC330:AC335" si="3076">AC329-AA330</f>
        <v>149</v>
      </c>
      <c r="AD330" s="69">
        <f t="shared" ref="AD330:AD335" si="3077">AD329-AB330</f>
        <v>11</v>
      </c>
      <c r="AE330" s="11">
        <v>69</v>
      </c>
      <c r="AF330" s="12">
        <f t="shared" si="3026"/>
        <v>0.48322147651006714</v>
      </c>
      <c r="AG330" s="11">
        <v>3</v>
      </c>
      <c r="AH330" s="12">
        <f t="shared" si="3027"/>
        <v>4.1666666666666664E-2</v>
      </c>
      <c r="AI330" s="13"/>
      <c r="AJ330" s="11"/>
      <c r="AK330" s="11"/>
      <c r="AL330" s="14"/>
      <c r="AM330" s="10">
        <v>1</v>
      </c>
      <c r="AN330" s="11"/>
      <c r="AO330" s="69">
        <f t="shared" ref="AO330:AO335" si="3078">AO329-AM330</f>
        <v>741</v>
      </c>
      <c r="AP330" s="69">
        <f t="shared" ref="AP330:AP335" si="3079">AP329-AN330</f>
        <v>57</v>
      </c>
      <c r="AQ330" s="11">
        <v>302</v>
      </c>
      <c r="AR330" s="12">
        <f t="shared" si="3028"/>
        <v>0.41970310391363025</v>
      </c>
      <c r="AS330" s="11">
        <v>9</v>
      </c>
      <c r="AT330" s="12">
        <f t="shared" si="3029"/>
        <v>2.8938906752411574E-2</v>
      </c>
      <c r="AU330" s="13"/>
      <c r="AV330" s="11"/>
      <c r="AW330" s="11"/>
      <c r="AX330" s="14"/>
      <c r="AY330" s="10"/>
      <c r="AZ330" s="11"/>
      <c r="BA330" s="69">
        <f t="shared" ref="BA330:BA335" si="3080">BA329-AY330</f>
        <v>738</v>
      </c>
      <c r="BB330" s="69">
        <f t="shared" ref="BB330:BB335" si="3081">BB329-AZ330</f>
        <v>57</v>
      </c>
      <c r="BC330" s="11">
        <v>288</v>
      </c>
      <c r="BD330" s="12">
        <f t="shared" si="3030"/>
        <v>0.40785907859078591</v>
      </c>
      <c r="BE330" s="11">
        <v>13</v>
      </c>
      <c r="BF330" s="12">
        <f t="shared" si="3031"/>
        <v>4.3189368770764118E-2</v>
      </c>
      <c r="BG330" s="13"/>
      <c r="BH330" s="11"/>
      <c r="BI330" s="11"/>
      <c r="BJ330" s="14"/>
      <c r="BK330" s="10"/>
      <c r="BL330" s="11"/>
      <c r="BM330" s="69">
        <f t="shared" ref="BM330:BM335" si="3082">BM329-BK330</f>
        <v>787</v>
      </c>
      <c r="BN330" s="69">
        <f t="shared" ref="BN330:BN335" si="3083">BN329-BL330</f>
        <v>61</v>
      </c>
      <c r="BO330" s="11">
        <v>286</v>
      </c>
      <c r="BP330" s="12">
        <f t="shared" si="3032"/>
        <v>0.39008894536213468</v>
      </c>
      <c r="BQ330" s="11">
        <v>21</v>
      </c>
      <c r="BR330" s="12">
        <f t="shared" si="3033"/>
        <v>6.8403908794788276E-2</v>
      </c>
      <c r="BS330" s="13"/>
      <c r="BT330" s="11"/>
      <c r="BU330" s="11"/>
      <c r="BV330" s="14"/>
      <c r="BW330" s="10"/>
      <c r="BX330" s="11"/>
      <c r="BY330" s="69">
        <f t="shared" ref="BY330:BY335" si="3084">BY329-BW330</f>
        <v>728</v>
      </c>
      <c r="BZ330" s="69">
        <f t="shared" ref="BZ330:BZ335" si="3085">BZ329-BX330</f>
        <v>57</v>
      </c>
      <c r="CA330" s="11">
        <v>253</v>
      </c>
      <c r="CB330" s="12">
        <f t="shared" si="3034"/>
        <v>0.36813186813186816</v>
      </c>
      <c r="CC330" s="11">
        <v>15</v>
      </c>
      <c r="CD330" s="12">
        <f t="shared" si="3035"/>
        <v>5.5970149253731345E-2</v>
      </c>
      <c r="CE330" s="13"/>
      <c r="CF330" s="11"/>
      <c r="CG330" s="11"/>
      <c r="CH330" s="14"/>
      <c r="CI330" s="10"/>
      <c r="CJ330" s="11"/>
      <c r="CK330" s="69">
        <f t="shared" ref="CK330:CK335" si="3086">CK329-CI330</f>
        <v>124</v>
      </c>
      <c r="CL330" s="69">
        <f t="shared" ref="CL330:CL335" si="3087">CL329-CJ330</f>
        <v>10</v>
      </c>
      <c r="CM330" s="11">
        <v>43</v>
      </c>
      <c r="CN330" s="12">
        <f t="shared" si="3036"/>
        <v>0.41935483870967744</v>
      </c>
      <c r="CO330" s="11">
        <v>9</v>
      </c>
      <c r="CP330" s="12">
        <f t="shared" si="3037"/>
        <v>0.17307692307692307</v>
      </c>
      <c r="CQ330" s="13"/>
      <c r="CR330" s="11"/>
      <c r="CS330" s="11"/>
      <c r="CT330" s="14"/>
      <c r="CU330" s="10"/>
      <c r="CV330" s="11"/>
      <c r="CW330" s="69">
        <f t="shared" ref="CW330:CW335" si="3088">CW329-CU330</f>
        <v>720</v>
      </c>
      <c r="CX330" s="69">
        <f t="shared" ref="CX330:CX335" si="3089">CX329-CV330</f>
        <v>56</v>
      </c>
      <c r="CY330" s="11">
        <v>271</v>
      </c>
      <c r="CZ330" s="12">
        <f t="shared" si="3038"/>
        <v>0.39305555555555555</v>
      </c>
      <c r="DA330" s="11">
        <v>12</v>
      </c>
      <c r="DB330" s="12">
        <f t="shared" si="3039"/>
        <v>4.2402826855123678E-2</v>
      </c>
      <c r="DC330" s="13"/>
      <c r="DD330" s="11"/>
      <c r="DE330" s="11"/>
      <c r="DF330" s="14"/>
      <c r="DG330" s="10"/>
      <c r="DH330" s="11"/>
      <c r="DI330" s="69">
        <f t="shared" ref="DI330:DI335" si="3090">DI329-DG330</f>
        <v>717</v>
      </c>
      <c r="DJ330" s="69">
        <f t="shared" ref="DJ330:DJ335" si="3091">DJ329-DH330</f>
        <v>56</v>
      </c>
      <c r="DK330" s="11">
        <v>243</v>
      </c>
      <c r="DL330" s="12">
        <f t="shared" si="3040"/>
        <v>0.36262203626220363</v>
      </c>
      <c r="DM330" s="11">
        <v>17</v>
      </c>
      <c r="DN330" s="12">
        <f t="shared" si="3041"/>
        <v>6.5384615384615388E-2</v>
      </c>
      <c r="DO330" s="13"/>
      <c r="DP330" s="11"/>
      <c r="DQ330" s="11"/>
      <c r="DR330" s="14"/>
      <c r="DS330" s="10"/>
      <c r="DT330" s="11"/>
      <c r="DU330" s="69">
        <f t="shared" ref="DU330:DU335" si="3092">DU329-DS330</f>
        <v>806</v>
      </c>
      <c r="DV330" s="69">
        <f t="shared" ref="DV330:DV335" si="3093">DV329-DT330</f>
        <v>63</v>
      </c>
      <c r="DW330" s="11">
        <v>293</v>
      </c>
      <c r="DX330" s="12">
        <f t="shared" si="3042"/>
        <v>0.38461538461538464</v>
      </c>
      <c r="DY330" s="11">
        <v>17</v>
      </c>
      <c r="DZ330" s="12">
        <f t="shared" si="3043"/>
        <v>5.4838709677419356E-2</v>
      </c>
      <c r="EA330" s="13"/>
      <c r="EB330" s="11"/>
      <c r="EC330" s="11"/>
      <c r="ED330" s="14"/>
      <c r="EE330" s="10"/>
      <c r="EF330" s="11">
        <v>1</v>
      </c>
      <c r="EG330" s="69">
        <f t="shared" ref="EG330:EG335" si="3094">EG329-EE330</f>
        <v>831</v>
      </c>
      <c r="EH330" s="69">
        <f t="shared" ref="EH330:EH335" si="3095">EH329-EF330</f>
        <v>62</v>
      </c>
      <c r="EI330" s="11">
        <v>316</v>
      </c>
      <c r="EJ330" s="12">
        <f t="shared" si="3044"/>
        <v>0.40553549939831529</v>
      </c>
      <c r="EK330" s="11">
        <v>21</v>
      </c>
      <c r="EL330" s="12">
        <f t="shared" si="3045"/>
        <v>6.2314540059347182E-2</v>
      </c>
      <c r="EM330" s="13"/>
      <c r="EN330" s="11"/>
      <c r="EO330" s="11"/>
      <c r="EP330" s="14"/>
      <c r="EQ330" s="10">
        <v>1</v>
      </c>
      <c r="ER330" s="11"/>
      <c r="ES330" s="69">
        <f t="shared" ref="ES330:ES335" si="3096">ES329-EQ330</f>
        <v>150</v>
      </c>
      <c r="ET330" s="69">
        <f t="shared" ref="ET330:ET335" si="3097">ET329-ER330</f>
        <v>11</v>
      </c>
      <c r="EU330" s="11">
        <v>58</v>
      </c>
      <c r="EV330" s="12">
        <f t="shared" si="3046"/>
        <v>0.41333333333333333</v>
      </c>
      <c r="EW330" s="11">
        <v>4</v>
      </c>
      <c r="EX330" s="12">
        <f t="shared" si="3047"/>
        <v>6.4516129032258063E-2</v>
      </c>
      <c r="EY330" s="13"/>
      <c r="EZ330" s="11"/>
      <c r="FA330" s="11"/>
      <c r="FB330" s="14"/>
      <c r="FC330" s="10"/>
      <c r="FD330" s="11"/>
      <c r="FE330" s="69">
        <f t="shared" ref="FE330:FE335" si="3098">FE329-FC330</f>
        <v>840</v>
      </c>
      <c r="FF330" s="69">
        <f t="shared" ref="FF330:FF335" si="3099">FF329-FD330</f>
        <v>65</v>
      </c>
      <c r="FG330" s="11">
        <v>319</v>
      </c>
      <c r="FH330" s="12">
        <f t="shared" si="3048"/>
        <v>0.39761904761904759</v>
      </c>
      <c r="FI330" s="11">
        <v>15</v>
      </c>
      <c r="FJ330" s="12">
        <f t="shared" si="3049"/>
        <v>4.4910179640718563E-2</v>
      </c>
      <c r="FK330" s="13"/>
      <c r="FL330" s="11"/>
      <c r="FM330" s="11"/>
      <c r="FN330" s="14"/>
      <c r="FO330" s="10">
        <v>1</v>
      </c>
      <c r="FP330" s="11"/>
      <c r="FQ330" s="69">
        <f t="shared" ref="FQ330:FQ335" si="3100">FQ329-FO330</f>
        <v>844</v>
      </c>
      <c r="FR330" s="69">
        <f t="shared" ref="FR330:FR335" si="3101">FR329-FP330</f>
        <v>66</v>
      </c>
      <c r="FS330" s="11">
        <v>287</v>
      </c>
      <c r="FT330" s="12">
        <f t="shared" si="3050"/>
        <v>0.36848341232227488</v>
      </c>
      <c r="FU330" s="11">
        <v>24</v>
      </c>
      <c r="FV330" s="12">
        <f t="shared" si="3051"/>
        <v>7.7170418006430874E-2</v>
      </c>
      <c r="FW330" s="13"/>
      <c r="FX330" s="11"/>
      <c r="FY330" s="11"/>
      <c r="FZ330" s="14"/>
      <c r="GA330" s="10"/>
      <c r="GB330" s="11"/>
      <c r="GC330" s="69">
        <f t="shared" ref="GC330:GC335" si="3102">GC329-GA330</f>
        <v>861</v>
      </c>
      <c r="GD330" s="69">
        <f t="shared" ref="GD330:GD335" si="3103">GD329-GB330</f>
        <v>67</v>
      </c>
      <c r="GE330" s="11">
        <v>321</v>
      </c>
      <c r="GF330" s="12">
        <f t="shared" si="3052"/>
        <v>0.39256678281068524</v>
      </c>
      <c r="GG330" s="11">
        <v>17</v>
      </c>
      <c r="GH330" s="12">
        <f t="shared" si="3053"/>
        <v>5.0295857988165681E-2</v>
      </c>
      <c r="GI330" s="13"/>
      <c r="GJ330" s="11"/>
      <c r="GK330" s="11"/>
      <c r="GL330" s="14"/>
      <c r="GM330" s="10"/>
      <c r="GN330" s="11"/>
      <c r="GO330" s="69">
        <f t="shared" ref="GO330:GO335" si="3104">GO329-GM330</f>
        <v>127</v>
      </c>
      <c r="GP330" s="69">
        <f t="shared" ref="GP330:GP335" si="3105">GP329-GN330</f>
        <v>9</v>
      </c>
      <c r="GQ330" s="11">
        <v>40</v>
      </c>
      <c r="GR330" s="12">
        <f t="shared" si="3054"/>
        <v>0.33070866141732286</v>
      </c>
      <c r="GS330" s="11">
        <v>2</v>
      </c>
      <c r="GT330" s="12">
        <f t="shared" si="3055"/>
        <v>4.7619047619047616E-2</v>
      </c>
      <c r="GU330" s="13"/>
      <c r="GV330" s="11"/>
      <c r="GW330" s="11"/>
      <c r="GX330" s="14"/>
      <c r="GY330" s="10"/>
      <c r="GZ330" s="11"/>
      <c r="HA330" s="69">
        <f t="shared" ref="HA330:HA335" si="3106">HA329-GY330</f>
        <v>889</v>
      </c>
      <c r="HB330" s="69">
        <f t="shared" ref="HB330:HB335" si="3107">HB329-GZ330</f>
        <v>69</v>
      </c>
      <c r="HC330" s="11">
        <v>366</v>
      </c>
      <c r="HD330" s="12">
        <f t="shared" si="3056"/>
        <v>0.43869516310461193</v>
      </c>
      <c r="HE330" s="11">
        <v>24</v>
      </c>
      <c r="HF330" s="12">
        <f t="shared" si="3057"/>
        <v>6.1538461538461542E-2</v>
      </c>
      <c r="HG330" s="13"/>
      <c r="HH330" s="11"/>
      <c r="HI330" s="11"/>
      <c r="HJ330" s="14"/>
      <c r="HK330" s="10">
        <f t="shared" si="3058"/>
        <v>3</v>
      </c>
      <c r="HL330" s="11">
        <f t="shared" si="3059"/>
        <v>1</v>
      </c>
      <c r="HM330" s="11">
        <f t="shared" si="3060"/>
        <v>11589</v>
      </c>
      <c r="HN330" s="11">
        <f t="shared" si="3061"/>
        <v>895</v>
      </c>
      <c r="HO330" s="11">
        <f t="shared" si="3062"/>
        <v>4645</v>
      </c>
      <c r="HP330" s="95">
        <f t="shared" si="3063"/>
        <v>0.40081111398740182</v>
      </c>
      <c r="HQ330" s="15">
        <f t="shared" si="3064"/>
        <v>246</v>
      </c>
      <c r="HR330" s="12">
        <f t="shared" si="3065"/>
        <v>5.2960172228202367E-2</v>
      </c>
      <c r="HS330" s="16">
        <v>68.2</v>
      </c>
      <c r="HT330" s="17">
        <v>4287</v>
      </c>
      <c r="HU330" s="16">
        <f t="shared" si="3066"/>
        <v>92.292787944025832</v>
      </c>
      <c r="HV330" s="15"/>
      <c r="HW330" s="14"/>
      <c r="HX330" s="73">
        <f t="shared" si="3067"/>
        <v>0.42685624012638229</v>
      </c>
      <c r="HY330" s="73">
        <f t="shared" si="3068"/>
        <v>0.38036410923276981</v>
      </c>
      <c r="HZ330" s="73">
        <f t="shared" si="3069"/>
        <v>0.39703083365055197</v>
      </c>
      <c r="IA330" s="73">
        <f t="shared" si="3070"/>
        <v>0.39728041161337746</v>
      </c>
    </row>
    <row r="331" spans="1:244" x14ac:dyDescent="0.25">
      <c r="A331" s="374"/>
      <c r="B331" s="41">
        <f t="shared" si="3071"/>
        <v>45195</v>
      </c>
      <c r="C331" s="10"/>
      <c r="D331" s="11"/>
      <c r="E331" s="69">
        <f t="shared" si="3072"/>
        <v>802</v>
      </c>
      <c r="F331" s="69">
        <f t="shared" si="3073"/>
        <v>62</v>
      </c>
      <c r="G331" s="11">
        <v>321</v>
      </c>
      <c r="H331" s="12">
        <f t="shared" si="3022"/>
        <v>0.42144638403990026</v>
      </c>
      <c r="I331" s="11">
        <v>17</v>
      </c>
      <c r="J331" s="12">
        <f t="shared" si="3023"/>
        <v>5.0295857988165681E-2</v>
      </c>
      <c r="K331" s="13"/>
      <c r="L331" s="11"/>
      <c r="M331" s="11"/>
      <c r="N331" s="14"/>
      <c r="O331" s="10"/>
      <c r="P331" s="11"/>
      <c r="Q331" s="69">
        <f t="shared" si="3074"/>
        <v>735</v>
      </c>
      <c r="R331" s="69">
        <f t="shared" si="3075"/>
        <v>56</v>
      </c>
      <c r="S331" s="11">
        <v>315</v>
      </c>
      <c r="T331" s="12">
        <f t="shared" si="3024"/>
        <v>0.45986394557823129</v>
      </c>
      <c r="U331" s="11">
        <v>23</v>
      </c>
      <c r="V331" s="12">
        <f t="shared" si="3025"/>
        <v>6.8047337278106509E-2</v>
      </c>
      <c r="W331" s="13"/>
      <c r="X331" s="11"/>
      <c r="Y331" s="11"/>
      <c r="Z331" s="14"/>
      <c r="AA331" s="10"/>
      <c r="AB331" s="11"/>
      <c r="AC331" s="69">
        <f t="shared" si="3076"/>
        <v>149</v>
      </c>
      <c r="AD331" s="69">
        <f t="shared" si="3077"/>
        <v>11</v>
      </c>
      <c r="AE331" s="11">
        <v>63</v>
      </c>
      <c r="AF331" s="12">
        <f t="shared" si="3026"/>
        <v>0.44295302013422821</v>
      </c>
      <c r="AG331" s="11">
        <v>3</v>
      </c>
      <c r="AH331" s="12">
        <f t="shared" si="3027"/>
        <v>4.5454545454545456E-2</v>
      </c>
      <c r="AI331" s="13"/>
      <c r="AJ331" s="11"/>
      <c r="AK331" s="11"/>
      <c r="AL331" s="14"/>
      <c r="AM331" s="10">
        <v>1</v>
      </c>
      <c r="AN331" s="11"/>
      <c r="AO331" s="69">
        <f t="shared" si="3078"/>
        <v>740</v>
      </c>
      <c r="AP331" s="69">
        <f t="shared" si="3079"/>
        <v>57</v>
      </c>
      <c r="AQ331" s="11">
        <v>314</v>
      </c>
      <c r="AR331" s="12">
        <f t="shared" si="3028"/>
        <v>0.4391891891891892</v>
      </c>
      <c r="AS331" s="11">
        <v>11</v>
      </c>
      <c r="AT331" s="12">
        <f t="shared" si="3029"/>
        <v>3.3846153846153845E-2</v>
      </c>
      <c r="AU331" s="13"/>
      <c r="AV331" s="11"/>
      <c r="AW331" s="11"/>
      <c r="AX331" s="14"/>
      <c r="AY331" s="10"/>
      <c r="AZ331" s="11"/>
      <c r="BA331" s="69">
        <f t="shared" si="3080"/>
        <v>738</v>
      </c>
      <c r="BB331" s="69">
        <f t="shared" si="3081"/>
        <v>57</v>
      </c>
      <c r="BC331" s="11">
        <v>280</v>
      </c>
      <c r="BD331" s="12">
        <f t="shared" si="3030"/>
        <v>0.41869918699186992</v>
      </c>
      <c r="BE331" s="11">
        <v>29</v>
      </c>
      <c r="BF331" s="12">
        <f t="shared" si="3031"/>
        <v>9.3851132686084138E-2</v>
      </c>
      <c r="BG331" s="13"/>
      <c r="BH331" s="11"/>
      <c r="BI331" s="11"/>
      <c r="BJ331" s="14"/>
      <c r="BK331" s="10"/>
      <c r="BL331" s="11"/>
      <c r="BM331" s="69">
        <f t="shared" si="3082"/>
        <v>787</v>
      </c>
      <c r="BN331" s="69">
        <f t="shared" si="3083"/>
        <v>61</v>
      </c>
      <c r="BO331" s="11">
        <v>327</v>
      </c>
      <c r="BP331" s="12">
        <f t="shared" si="3032"/>
        <v>0.43964421855146124</v>
      </c>
      <c r="BQ331" s="11">
        <v>19</v>
      </c>
      <c r="BR331" s="12">
        <f t="shared" si="3033"/>
        <v>5.4913294797687862E-2</v>
      </c>
      <c r="BS331" s="13"/>
      <c r="BT331" s="11"/>
      <c r="BU331" s="11"/>
      <c r="BV331" s="14"/>
      <c r="BW331" s="10"/>
      <c r="BX331" s="11"/>
      <c r="BY331" s="69">
        <f t="shared" si="3084"/>
        <v>728</v>
      </c>
      <c r="BZ331" s="69">
        <f t="shared" si="3085"/>
        <v>57</v>
      </c>
      <c r="CA331" s="11">
        <v>291</v>
      </c>
      <c r="CB331" s="12">
        <f t="shared" si="3034"/>
        <v>0.4217032967032967</v>
      </c>
      <c r="CC331" s="11">
        <v>16</v>
      </c>
      <c r="CD331" s="12">
        <f t="shared" si="3035"/>
        <v>5.2117263843648211E-2</v>
      </c>
      <c r="CE331" s="13"/>
      <c r="CF331" s="11"/>
      <c r="CG331" s="11"/>
      <c r="CH331" s="14"/>
      <c r="CI331" s="10"/>
      <c r="CJ331" s="11"/>
      <c r="CK331" s="69">
        <f t="shared" si="3086"/>
        <v>124</v>
      </c>
      <c r="CL331" s="69">
        <f t="shared" si="3087"/>
        <v>10</v>
      </c>
      <c r="CM331" s="11">
        <v>52</v>
      </c>
      <c r="CN331" s="12">
        <f t="shared" si="3036"/>
        <v>0.45967741935483869</v>
      </c>
      <c r="CO331" s="11">
        <v>5</v>
      </c>
      <c r="CP331" s="12">
        <f t="shared" si="3037"/>
        <v>8.771929824561403E-2</v>
      </c>
      <c r="CQ331" s="13"/>
      <c r="CR331" s="11"/>
      <c r="CS331" s="11"/>
      <c r="CT331" s="14"/>
      <c r="CU331" s="10">
        <v>1</v>
      </c>
      <c r="CV331" s="11"/>
      <c r="CW331" s="69">
        <f t="shared" si="3088"/>
        <v>719</v>
      </c>
      <c r="CX331" s="69">
        <f t="shared" si="3089"/>
        <v>56</v>
      </c>
      <c r="CY331" s="11">
        <v>276</v>
      </c>
      <c r="CZ331" s="12">
        <f t="shared" si="3038"/>
        <v>0.40194714881780252</v>
      </c>
      <c r="DA331" s="11">
        <v>13</v>
      </c>
      <c r="DB331" s="12">
        <f t="shared" si="3039"/>
        <v>4.4982698961937718E-2</v>
      </c>
      <c r="DC331" s="13"/>
      <c r="DD331" s="11"/>
      <c r="DE331" s="11"/>
      <c r="DF331" s="14"/>
      <c r="DG331" s="10"/>
      <c r="DH331" s="11"/>
      <c r="DI331" s="69">
        <f t="shared" si="3090"/>
        <v>717</v>
      </c>
      <c r="DJ331" s="69">
        <f t="shared" si="3091"/>
        <v>56</v>
      </c>
      <c r="DK331" s="11">
        <v>260</v>
      </c>
      <c r="DL331" s="12">
        <f t="shared" si="3040"/>
        <v>0.38354253835425384</v>
      </c>
      <c r="DM331" s="11">
        <v>15</v>
      </c>
      <c r="DN331" s="12">
        <f t="shared" si="3041"/>
        <v>5.4545454545454543E-2</v>
      </c>
      <c r="DO331" s="13"/>
      <c r="DP331" s="11"/>
      <c r="DQ331" s="11"/>
      <c r="DR331" s="14"/>
      <c r="DS331" s="10"/>
      <c r="DT331" s="11"/>
      <c r="DU331" s="69">
        <f t="shared" si="3092"/>
        <v>806</v>
      </c>
      <c r="DV331" s="69">
        <f t="shared" si="3093"/>
        <v>63</v>
      </c>
      <c r="DW331" s="11">
        <v>342</v>
      </c>
      <c r="DX331" s="12">
        <f t="shared" si="3042"/>
        <v>0.45657568238213397</v>
      </c>
      <c r="DY331" s="11">
        <v>26</v>
      </c>
      <c r="DZ331" s="12">
        <f t="shared" si="3043"/>
        <v>7.0652173913043473E-2</v>
      </c>
      <c r="EA331" s="13"/>
      <c r="EB331" s="11"/>
      <c r="EC331" s="11"/>
      <c r="ED331" s="14"/>
      <c r="EE331" s="10"/>
      <c r="EF331" s="11"/>
      <c r="EG331" s="69">
        <f t="shared" si="3094"/>
        <v>831</v>
      </c>
      <c r="EH331" s="69">
        <f t="shared" si="3095"/>
        <v>62</v>
      </c>
      <c r="EI331" s="11">
        <v>378</v>
      </c>
      <c r="EJ331" s="12">
        <f t="shared" si="3044"/>
        <v>0.47412755716004812</v>
      </c>
      <c r="EK331" s="11">
        <v>16</v>
      </c>
      <c r="EL331" s="12">
        <f t="shared" si="3045"/>
        <v>4.060913705583756E-2</v>
      </c>
      <c r="EM331" s="13"/>
      <c r="EN331" s="11"/>
      <c r="EO331" s="11"/>
      <c r="EP331" s="14"/>
      <c r="EQ331" s="10">
        <v>1</v>
      </c>
      <c r="ER331" s="11"/>
      <c r="ES331" s="69">
        <f t="shared" si="3096"/>
        <v>149</v>
      </c>
      <c r="ET331" s="69">
        <f t="shared" si="3097"/>
        <v>11</v>
      </c>
      <c r="EU331" s="11">
        <v>63</v>
      </c>
      <c r="EV331" s="12">
        <f t="shared" si="3046"/>
        <v>0.46308724832214765</v>
      </c>
      <c r="EW331" s="11">
        <v>6</v>
      </c>
      <c r="EX331" s="12">
        <f t="shared" si="3047"/>
        <v>8.6956521739130432E-2</v>
      </c>
      <c r="EY331" s="13"/>
      <c r="EZ331" s="11"/>
      <c r="FA331" s="11"/>
      <c r="FB331" s="14"/>
      <c r="FC331" s="10">
        <v>1</v>
      </c>
      <c r="FD331" s="11"/>
      <c r="FE331" s="69">
        <f t="shared" si="3098"/>
        <v>839</v>
      </c>
      <c r="FF331" s="69">
        <f t="shared" si="3099"/>
        <v>65</v>
      </c>
      <c r="FG331" s="11">
        <v>420</v>
      </c>
      <c r="FH331" s="12">
        <f t="shared" si="3048"/>
        <v>0.53277711561382601</v>
      </c>
      <c r="FI331" s="11">
        <v>27</v>
      </c>
      <c r="FJ331" s="12">
        <f t="shared" si="3049"/>
        <v>6.0402684563758392E-2</v>
      </c>
      <c r="FK331" s="13"/>
      <c r="FL331" s="11"/>
      <c r="FM331" s="11"/>
      <c r="FN331" s="14"/>
      <c r="FO331" s="10"/>
      <c r="FP331" s="11"/>
      <c r="FQ331" s="69">
        <f t="shared" si="3100"/>
        <v>844</v>
      </c>
      <c r="FR331" s="69">
        <f t="shared" si="3101"/>
        <v>66</v>
      </c>
      <c r="FS331" s="11">
        <v>340</v>
      </c>
      <c r="FT331" s="12">
        <f t="shared" si="3050"/>
        <v>0.42772511848341233</v>
      </c>
      <c r="FU331" s="11">
        <v>21</v>
      </c>
      <c r="FV331" s="12">
        <f t="shared" si="3051"/>
        <v>5.817174515235457E-2</v>
      </c>
      <c r="FW331" s="13"/>
      <c r="FX331" s="11"/>
      <c r="FY331" s="11"/>
      <c r="FZ331" s="14"/>
      <c r="GA331" s="10">
        <v>1</v>
      </c>
      <c r="GB331" s="11"/>
      <c r="GC331" s="69">
        <f t="shared" si="3102"/>
        <v>860</v>
      </c>
      <c r="GD331" s="69">
        <f t="shared" si="3103"/>
        <v>67</v>
      </c>
      <c r="GE331" s="11">
        <v>411</v>
      </c>
      <c r="GF331" s="12">
        <f t="shared" si="3052"/>
        <v>0.50465116279069766</v>
      </c>
      <c r="GG331" s="11">
        <v>23</v>
      </c>
      <c r="GH331" s="12">
        <f t="shared" si="3053"/>
        <v>5.2995391705069124E-2</v>
      </c>
      <c r="GI331" s="13"/>
      <c r="GJ331" s="11"/>
      <c r="GK331" s="11"/>
      <c r="GL331" s="14"/>
      <c r="GM331" s="10"/>
      <c r="GN331" s="11"/>
      <c r="GO331" s="69">
        <f t="shared" si="3104"/>
        <v>127</v>
      </c>
      <c r="GP331" s="69">
        <f t="shared" si="3105"/>
        <v>9</v>
      </c>
      <c r="GQ331" s="11">
        <v>50</v>
      </c>
      <c r="GR331" s="12">
        <f t="shared" si="3054"/>
        <v>0.45669291338582679</v>
      </c>
      <c r="GS331" s="11">
        <v>8</v>
      </c>
      <c r="GT331" s="12">
        <f t="shared" si="3055"/>
        <v>0.13793103448275862</v>
      </c>
      <c r="GU331" s="13"/>
      <c r="GV331" s="11"/>
      <c r="GW331" s="11"/>
      <c r="GX331" s="14"/>
      <c r="GY331" s="10"/>
      <c r="GZ331" s="11"/>
      <c r="HA331" s="69">
        <f t="shared" si="3106"/>
        <v>889</v>
      </c>
      <c r="HB331" s="69">
        <f t="shared" si="3107"/>
        <v>69</v>
      </c>
      <c r="HC331" s="11">
        <v>420</v>
      </c>
      <c r="HD331" s="12">
        <f t="shared" si="3056"/>
        <v>0.49943757030371205</v>
      </c>
      <c r="HE331" s="11">
        <v>24</v>
      </c>
      <c r="HF331" s="12">
        <f t="shared" si="3057"/>
        <v>5.4054054054054057E-2</v>
      </c>
      <c r="HG331" s="13"/>
      <c r="HH331" s="11"/>
      <c r="HI331" s="11"/>
      <c r="HJ331" s="14"/>
      <c r="HK331" s="10">
        <f t="shared" si="3058"/>
        <v>5</v>
      </c>
      <c r="HL331" s="11">
        <f t="shared" si="3059"/>
        <v>0</v>
      </c>
      <c r="HM331" s="11">
        <f t="shared" si="3060"/>
        <v>11584</v>
      </c>
      <c r="HN331" s="11">
        <f t="shared" si="3061"/>
        <v>895</v>
      </c>
      <c r="HO331" s="11">
        <f t="shared" si="3062"/>
        <v>5225</v>
      </c>
      <c r="HP331" s="95">
        <f t="shared" si="3063"/>
        <v>0.4510531767955801</v>
      </c>
      <c r="HQ331" s="15">
        <f t="shared" si="3064"/>
        <v>302</v>
      </c>
      <c r="HR331" s="12">
        <f t="shared" si="3065"/>
        <v>5.7799043062200954E-2</v>
      </c>
      <c r="HS331" s="16">
        <v>68.3</v>
      </c>
      <c r="HT331" s="17">
        <v>4756</v>
      </c>
      <c r="HU331" s="16">
        <f t="shared" si="3066"/>
        <v>91.023923444976077</v>
      </c>
      <c r="HV331" s="15"/>
      <c r="HW331" s="14"/>
      <c r="HX331" s="73">
        <f t="shared" si="3067"/>
        <v>0.43489254108723135</v>
      </c>
      <c r="HY331" s="73">
        <f t="shared" si="3068"/>
        <v>0.41430894308943089</v>
      </c>
      <c r="HZ331" s="73">
        <f t="shared" si="3069"/>
        <v>0.48685714285714288</v>
      </c>
      <c r="IA331" s="73">
        <f t="shared" si="3070"/>
        <v>0.47683823529411767</v>
      </c>
    </row>
    <row r="332" spans="1:244" x14ac:dyDescent="0.25">
      <c r="A332" s="374"/>
      <c r="B332" s="41">
        <f t="shared" si="3071"/>
        <v>45196</v>
      </c>
      <c r="C332" s="10"/>
      <c r="D332" s="11"/>
      <c r="E332" s="69">
        <f t="shared" si="3072"/>
        <v>802</v>
      </c>
      <c r="F332" s="69">
        <f t="shared" si="3073"/>
        <v>62</v>
      </c>
      <c r="G332" s="11">
        <v>346</v>
      </c>
      <c r="H332" s="12">
        <f t="shared" si="3022"/>
        <v>0.4538653366583541</v>
      </c>
      <c r="I332" s="11">
        <v>18</v>
      </c>
      <c r="J332" s="12">
        <f t="shared" si="3023"/>
        <v>4.9450549450549448E-2</v>
      </c>
      <c r="K332" s="11"/>
      <c r="L332" s="11"/>
      <c r="M332" s="18"/>
      <c r="N332" s="20"/>
      <c r="O332" s="10"/>
      <c r="P332" s="11"/>
      <c r="Q332" s="69">
        <f t="shared" si="3074"/>
        <v>735</v>
      </c>
      <c r="R332" s="69">
        <f t="shared" si="3075"/>
        <v>56</v>
      </c>
      <c r="S332" s="11">
        <v>323</v>
      </c>
      <c r="T332" s="12">
        <f t="shared" si="3024"/>
        <v>0.45986394557823129</v>
      </c>
      <c r="U332" s="11">
        <v>15</v>
      </c>
      <c r="V332" s="12">
        <f t="shared" si="3025"/>
        <v>4.4378698224852069E-2</v>
      </c>
      <c r="W332" s="11"/>
      <c r="X332" s="11"/>
      <c r="Y332" s="18"/>
      <c r="Z332" s="20"/>
      <c r="AA332" s="10"/>
      <c r="AB332" s="11"/>
      <c r="AC332" s="69">
        <f t="shared" si="3076"/>
        <v>149</v>
      </c>
      <c r="AD332" s="69">
        <f t="shared" si="3077"/>
        <v>11</v>
      </c>
      <c r="AE332" s="11">
        <v>64</v>
      </c>
      <c r="AF332" s="12">
        <f t="shared" si="3026"/>
        <v>0.4563758389261745</v>
      </c>
      <c r="AG332" s="11">
        <v>4</v>
      </c>
      <c r="AH332" s="12">
        <f t="shared" si="3027"/>
        <v>5.8823529411764705E-2</v>
      </c>
      <c r="AI332" s="11"/>
      <c r="AJ332" s="11"/>
      <c r="AK332" s="18"/>
      <c r="AL332" s="20"/>
      <c r="AM332" s="10"/>
      <c r="AN332" s="11"/>
      <c r="AO332" s="69">
        <f t="shared" si="3078"/>
        <v>740</v>
      </c>
      <c r="AP332" s="69">
        <f t="shared" si="3079"/>
        <v>57</v>
      </c>
      <c r="AQ332" s="11">
        <v>358</v>
      </c>
      <c r="AR332" s="12">
        <f t="shared" si="3028"/>
        <v>0.50540540540540535</v>
      </c>
      <c r="AS332" s="11">
        <v>16</v>
      </c>
      <c r="AT332" s="12">
        <f t="shared" si="3029"/>
        <v>4.2780748663101602E-2</v>
      </c>
      <c r="AU332" s="11"/>
      <c r="AV332" s="11"/>
      <c r="AW332" s="18"/>
      <c r="AX332" s="20"/>
      <c r="AY332" s="10"/>
      <c r="AZ332" s="11"/>
      <c r="BA332" s="69">
        <f t="shared" si="3080"/>
        <v>738</v>
      </c>
      <c r="BB332" s="69">
        <f t="shared" si="3081"/>
        <v>57</v>
      </c>
      <c r="BC332" s="11">
        <v>320</v>
      </c>
      <c r="BD332" s="12">
        <f t="shared" si="3030"/>
        <v>0.46612466124661245</v>
      </c>
      <c r="BE332" s="11">
        <v>24</v>
      </c>
      <c r="BF332" s="12">
        <f t="shared" si="3031"/>
        <v>6.9767441860465115E-2</v>
      </c>
      <c r="BG332" s="11"/>
      <c r="BH332" s="11"/>
      <c r="BI332" s="18"/>
      <c r="BJ332" s="20"/>
      <c r="BK332" s="10"/>
      <c r="BL332" s="11"/>
      <c r="BM332" s="69">
        <f t="shared" si="3082"/>
        <v>787</v>
      </c>
      <c r="BN332" s="69">
        <f t="shared" si="3083"/>
        <v>61</v>
      </c>
      <c r="BO332" s="11">
        <v>282</v>
      </c>
      <c r="BP332" s="12">
        <f t="shared" si="3032"/>
        <v>0.38246505717916135</v>
      </c>
      <c r="BQ332" s="11">
        <v>19</v>
      </c>
      <c r="BR332" s="12">
        <f t="shared" si="3033"/>
        <v>6.3122923588039864E-2</v>
      </c>
      <c r="BS332" s="11"/>
      <c r="BT332" s="11"/>
      <c r="BU332" s="18"/>
      <c r="BV332" s="20"/>
      <c r="BW332" s="10">
        <v>1</v>
      </c>
      <c r="BX332" s="11"/>
      <c r="BY332" s="69">
        <f t="shared" si="3084"/>
        <v>727</v>
      </c>
      <c r="BZ332" s="69">
        <f t="shared" si="3085"/>
        <v>57</v>
      </c>
      <c r="CA332" s="11">
        <v>279</v>
      </c>
      <c r="CB332" s="12">
        <f t="shared" si="3034"/>
        <v>0.42090784044016505</v>
      </c>
      <c r="CC332" s="11">
        <v>27</v>
      </c>
      <c r="CD332" s="12">
        <f t="shared" si="3035"/>
        <v>8.8235294117647065E-2</v>
      </c>
      <c r="CE332" s="11"/>
      <c r="CF332" s="11"/>
      <c r="CG332" s="18"/>
      <c r="CH332" s="20"/>
      <c r="CI332" s="10"/>
      <c r="CJ332" s="11"/>
      <c r="CK332" s="69">
        <f t="shared" si="3086"/>
        <v>124</v>
      </c>
      <c r="CL332" s="69">
        <f t="shared" si="3087"/>
        <v>10</v>
      </c>
      <c r="CM332" s="11">
        <v>49</v>
      </c>
      <c r="CN332" s="12">
        <f t="shared" si="3036"/>
        <v>0.43548387096774194</v>
      </c>
      <c r="CO332" s="11">
        <v>5</v>
      </c>
      <c r="CP332" s="12">
        <f t="shared" si="3037"/>
        <v>9.2592592592592587E-2</v>
      </c>
      <c r="CQ332" s="11"/>
      <c r="CR332" s="11"/>
      <c r="CS332" s="18"/>
      <c r="CT332" s="20"/>
      <c r="CU332" s="10"/>
      <c r="CV332" s="11"/>
      <c r="CW332" s="69">
        <f t="shared" si="3088"/>
        <v>719</v>
      </c>
      <c r="CX332" s="69">
        <f t="shared" si="3089"/>
        <v>56</v>
      </c>
      <c r="CY332" s="11">
        <v>279</v>
      </c>
      <c r="CZ332" s="12">
        <f t="shared" si="3038"/>
        <v>0.4047287899860918</v>
      </c>
      <c r="DA332" s="11">
        <v>12</v>
      </c>
      <c r="DB332" s="12">
        <f t="shared" si="3039"/>
        <v>4.1237113402061855E-2</v>
      </c>
      <c r="DC332" s="11"/>
      <c r="DD332" s="11"/>
      <c r="DE332" s="18"/>
      <c r="DF332" s="20"/>
      <c r="DG332" s="10"/>
      <c r="DH332" s="11"/>
      <c r="DI332" s="69">
        <f t="shared" si="3090"/>
        <v>717</v>
      </c>
      <c r="DJ332" s="69">
        <f t="shared" si="3091"/>
        <v>56</v>
      </c>
      <c r="DK332" s="11">
        <v>256</v>
      </c>
      <c r="DL332" s="12">
        <f t="shared" si="3040"/>
        <v>0.38354253835425384</v>
      </c>
      <c r="DM332" s="11">
        <v>19</v>
      </c>
      <c r="DN332" s="12">
        <f t="shared" si="3041"/>
        <v>6.9090909090909092E-2</v>
      </c>
      <c r="DO332" s="11"/>
      <c r="DP332" s="11"/>
      <c r="DQ332" s="18"/>
      <c r="DR332" s="20"/>
      <c r="DS332" s="10"/>
      <c r="DT332" s="11"/>
      <c r="DU332" s="69">
        <f t="shared" si="3092"/>
        <v>806</v>
      </c>
      <c r="DV332" s="69">
        <f t="shared" si="3093"/>
        <v>63</v>
      </c>
      <c r="DW332" s="11">
        <v>303</v>
      </c>
      <c r="DX332" s="12">
        <f t="shared" si="3042"/>
        <v>0.40942928039702231</v>
      </c>
      <c r="DY332" s="11">
        <v>27</v>
      </c>
      <c r="DZ332" s="12">
        <f t="shared" si="3043"/>
        <v>8.1818181818181818E-2</v>
      </c>
      <c r="EA332" s="11"/>
      <c r="EB332" s="11"/>
      <c r="EC332" s="18"/>
      <c r="ED332" s="20"/>
      <c r="EE332" s="10"/>
      <c r="EF332" s="11"/>
      <c r="EG332" s="69">
        <f t="shared" si="3094"/>
        <v>831</v>
      </c>
      <c r="EH332" s="69">
        <f t="shared" si="3095"/>
        <v>62</v>
      </c>
      <c r="EI332" s="11">
        <v>336</v>
      </c>
      <c r="EJ332" s="12">
        <f t="shared" si="3044"/>
        <v>0.43321299638989169</v>
      </c>
      <c r="EK332" s="11">
        <v>24</v>
      </c>
      <c r="EL332" s="12">
        <f t="shared" si="3045"/>
        <v>6.6666666666666666E-2</v>
      </c>
      <c r="EM332" s="11"/>
      <c r="EN332" s="11"/>
      <c r="EO332" s="18"/>
      <c r="EP332" s="20"/>
      <c r="EQ332" s="10">
        <v>1</v>
      </c>
      <c r="ER332" s="11"/>
      <c r="ES332" s="69">
        <f t="shared" si="3096"/>
        <v>148</v>
      </c>
      <c r="ET332" s="69">
        <f t="shared" si="3097"/>
        <v>11</v>
      </c>
      <c r="EU332" s="11">
        <v>44</v>
      </c>
      <c r="EV332" s="12">
        <f t="shared" si="3046"/>
        <v>0.32432432432432434</v>
      </c>
      <c r="EW332" s="11">
        <v>4</v>
      </c>
      <c r="EX332" s="12">
        <f t="shared" si="3047"/>
        <v>8.3333333333333329E-2</v>
      </c>
      <c r="EY332" s="11"/>
      <c r="EZ332" s="11"/>
      <c r="FA332" s="18"/>
      <c r="FB332" s="20"/>
      <c r="FC332" s="10"/>
      <c r="FD332" s="11"/>
      <c r="FE332" s="69">
        <f t="shared" si="3098"/>
        <v>839</v>
      </c>
      <c r="FF332" s="69">
        <f t="shared" si="3099"/>
        <v>65</v>
      </c>
      <c r="FG332" s="11">
        <v>339</v>
      </c>
      <c r="FH332" s="12">
        <f t="shared" si="3048"/>
        <v>0.43384982121573301</v>
      </c>
      <c r="FI332" s="11">
        <v>25</v>
      </c>
      <c r="FJ332" s="12">
        <f t="shared" si="3049"/>
        <v>6.8681318681318687E-2</v>
      </c>
      <c r="FK332" s="11"/>
      <c r="FL332" s="11"/>
      <c r="FM332" s="18"/>
      <c r="FN332" s="20"/>
      <c r="FO332" s="10"/>
      <c r="FP332" s="11"/>
      <c r="FQ332" s="69">
        <f t="shared" si="3100"/>
        <v>844</v>
      </c>
      <c r="FR332" s="69">
        <f t="shared" si="3101"/>
        <v>66</v>
      </c>
      <c r="FS332" s="11">
        <v>353</v>
      </c>
      <c r="FT332" s="12">
        <f t="shared" si="3050"/>
        <v>0.45023696682464454</v>
      </c>
      <c r="FU332" s="11">
        <v>27</v>
      </c>
      <c r="FV332" s="12">
        <f t="shared" si="3051"/>
        <v>7.1052631578947367E-2</v>
      </c>
      <c r="FW332" s="11"/>
      <c r="FX332" s="11"/>
      <c r="FY332" s="18"/>
      <c r="FZ332" s="20"/>
      <c r="GA332" s="10"/>
      <c r="GB332" s="11"/>
      <c r="GC332" s="69">
        <f t="shared" si="3102"/>
        <v>860</v>
      </c>
      <c r="GD332" s="69">
        <f t="shared" si="3103"/>
        <v>67</v>
      </c>
      <c r="GE332" s="11">
        <v>362</v>
      </c>
      <c r="GF332" s="12">
        <f t="shared" si="3052"/>
        <v>0.4383720930232558</v>
      </c>
      <c r="GG332" s="11">
        <v>15</v>
      </c>
      <c r="GH332" s="12">
        <f t="shared" si="3053"/>
        <v>3.9787798408488062E-2</v>
      </c>
      <c r="GI332" s="11"/>
      <c r="GJ332" s="11"/>
      <c r="GK332" s="18"/>
      <c r="GL332" s="20"/>
      <c r="GM332" s="10"/>
      <c r="GN332" s="11"/>
      <c r="GO332" s="69">
        <f t="shared" si="3104"/>
        <v>127</v>
      </c>
      <c r="GP332" s="69">
        <f t="shared" si="3105"/>
        <v>9</v>
      </c>
      <c r="GQ332" s="11">
        <v>51</v>
      </c>
      <c r="GR332" s="12">
        <f t="shared" si="3054"/>
        <v>0.42519685039370081</v>
      </c>
      <c r="GS332" s="11">
        <v>3</v>
      </c>
      <c r="GT332" s="12">
        <f t="shared" si="3055"/>
        <v>5.5555555555555552E-2</v>
      </c>
      <c r="GU332" s="11"/>
      <c r="GV332" s="11"/>
      <c r="GW332" s="18"/>
      <c r="GX332" s="20"/>
      <c r="GY332" s="10"/>
      <c r="GZ332" s="11"/>
      <c r="HA332" s="69">
        <f t="shared" si="3106"/>
        <v>889</v>
      </c>
      <c r="HB332" s="69">
        <f t="shared" si="3107"/>
        <v>69</v>
      </c>
      <c r="HC332" s="11">
        <v>401</v>
      </c>
      <c r="HD332" s="12">
        <f t="shared" si="3056"/>
        <v>0.48931383577052867</v>
      </c>
      <c r="HE332" s="11">
        <v>34</v>
      </c>
      <c r="HF332" s="12">
        <f t="shared" si="3057"/>
        <v>7.8160919540229884E-2</v>
      </c>
      <c r="HG332" s="11"/>
      <c r="HH332" s="11"/>
      <c r="HI332" s="18"/>
      <c r="HJ332" s="20"/>
      <c r="HK332" s="10">
        <f t="shared" si="3058"/>
        <v>2</v>
      </c>
      <c r="HL332" s="11">
        <f t="shared" si="3059"/>
        <v>0</v>
      </c>
      <c r="HM332" s="11">
        <f t="shared" si="3060"/>
        <v>11582</v>
      </c>
      <c r="HN332" s="11">
        <f t="shared" si="3061"/>
        <v>895</v>
      </c>
      <c r="HO332" s="11">
        <f t="shared" si="3062"/>
        <v>5063</v>
      </c>
      <c r="HP332" s="95">
        <f t="shared" si="3063"/>
        <v>0.43714384389570021</v>
      </c>
      <c r="HQ332" s="15">
        <f t="shared" si="3064"/>
        <v>318</v>
      </c>
      <c r="HR332" s="12">
        <f t="shared" si="3065"/>
        <v>6.2808611495160968E-2</v>
      </c>
      <c r="HS332" s="16">
        <v>68.3</v>
      </c>
      <c r="HT332" s="17">
        <v>4598</v>
      </c>
      <c r="HU332" s="16">
        <f t="shared" si="3066"/>
        <v>90.815721904009479</v>
      </c>
      <c r="HV332" s="18"/>
      <c r="HW332" s="20"/>
      <c r="HX332" s="73">
        <f t="shared" si="3067"/>
        <v>0.47029077117572693</v>
      </c>
      <c r="HY332" s="73">
        <f t="shared" si="3068"/>
        <v>0.39915419648666234</v>
      </c>
      <c r="HZ332" s="73">
        <f t="shared" si="3069"/>
        <v>0.41996951219512196</v>
      </c>
      <c r="IA332" s="73">
        <f t="shared" si="3070"/>
        <v>0.45808823529411763</v>
      </c>
    </row>
    <row r="333" spans="1:244" x14ac:dyDescent="0.25">
      <c r="A333" s="374"/>
      <c r="B333" s="41">
        <f>+B332+1</f>
        <v>45197</v>
      </c>
      <c r="C333" s="10">
        <v>1</v>
      </c>
      <c r="D333" s="11"/>
      <c r="E333" s="69">
        <f t="shared" si="3072"/>
        <v>801</v>
      </c>
      <c r="F333" s="69">
        <f t="shared" si="3073"/>
        <v>62</v>
      </c>
      <c r="G333" s="11">
        <v>346</v>
      </c>
      <c r="H333" s="12">
        <f t="shared" si="3022"/>
        <v>0.46317103620474409</v>
      </c>
      <c r="I333" s="11">
        <v>25</v>
      </c>
      <c r="J333" s="12">
        <f t="shared" si="3023"/>
        <v>6.7385444743935305E-2</v>
      </c>
      <c r="K333" s="13"/>
      <c r="L333" s="13"/>
      <c r="M333" s="25"/>
      <c r="N333" s="38">
        <v>4625</v>
      </c>
      <c r="O333" s="10"/>
      <c r="P333" s="11"/>
      <c r="Q333" s="69">
        <f t="shared" si="3074"/>
        <v>735</v>
      </c>
      <c r="R333" s="69">
        <f t="shared" si="3075"/>
        <v>56</v>
      </c>
      <c r="S333" s="11">
        <v>327</v>
      </c>
      <c r="T333" s="12">
        <f t="shared" si="3024"/>
        <v>0.47755102040816327</v>
      </c>
      <c r="U333" s="11">
        <v>24</v>
      </c>
      <c r="V333" s="12">
        <f t="shared" si="3025"/>
        <v>6.8376068376068383E-2</v>
      </c>
      <c r="W333" s="13"/>
      <c r="X333" s="13"/>
      <c r="Y333" s="25"/>
      <c r="Z333" s="38">
        <v>4625</v>
      </c>
      <c r="AA333" s="10">
        <v>1</v>
      </c>
      <c r="AB333" s="11"/>
      <c r="AC333" s="69">
        <f t="shared" si="3076"/>
        <v>148</v>
      </c>
      <c r="AD333" s="69">
        <f t="shared" si="3077"/>
        <v>11</v>
      </c>
      <c r="AE333" s="11">
        <v>59</v>
      </c>
      <c r="AF333" s="12">
        <f t="shared" si="3026"/>
        <v>0.41891891891891891</v>
      </c>
      <c r="AG333" s="11">
        <v>3</v>
      </c>
      <c r="AH333" s="12">
        <f t="shared" si="3027"/>
        <v>4.8387096774193547E-2</v>
      </c>
      <c r="AI333" s="13"/>
      <c r="AJ333" s="13"/>
      <c r="AK333" s="25">
        <v>4625</v>
      </c>
      <c r="AL333" s="38"/>
      <c r="AM333" s="10"/>
      <c r="AN333" s="11"/>
      <c r="AO333" s="69">
        <f t="shared" si="3078"/>
        <v>740</v>
      </c>
      <c r="AP333" s="69">
        <f t="shared" si="3079"/>
        <v>57</v>
      </c>
      <c r="AQ333" s="11">
        <v>305</v>
      </c>
      <c r="AR333" s="12">
        <f t="shared" si="3028"/>
        <v>0.43378378378378379</v>
      </c>
      <c r="AS333" s="11">
        <v>16</v>
      </c>
      <c r="AT333" s="12">
        <f t="shared" si="3029"/>
        <v>4.9844236760124609E-2</v>
      </c>
      <c r="AU333" s="13"/>
      <c r="AV333" s="13"/>
      <c r="AW333" s="25"/>
      <c r="AX333" s="38">
        <v>4625</v>
      </c>
      <c r="AY333" s="10"/>
      <c r="AZ333" s="11"/>
      <c r="BA333" s="69">
        <f t="shared" si="3080"/>
        <v>738</v>
      </c>
      <c r="BB333" s="69">
        <f t="shared" si="3081"/>
        <v>57</v>
      </c>
      <c r="BC333" s="11">
        <v>312</v>
      </c>
      <c r="BD333" s="12">
        <f t="shared" si="3030"/>
        <v>0.44715447154471544</v>
      </c>
      <c r="BE333" s="11">
        <v>18</v>
      </c>
      <c r="BF333" s="12">
        <f t="shared" si="3031"/>
        <v>5.4545454545454543E-2</v>
      </c>
      <c r="BG333" s="13"/>
      <c r="BH333" s="13"/>
      <c r="BI333" s="25"/>
      <c r="BJ333" s="38">
        <v>4625</v>
      </c>
      <c r="BK333" s="10"/>
      <c r="BL333" s="11"/>
      <c r="BM333" s="69">
        <f t="shared" si="3082"/>
        <v>787</v>
      </c>
      <c r="BN333" s="69">
        <f t="shared" si="3083"/>
        <v>61</v>
      </c>
      <c r="BO333" s="11">
        <v>299</v>
      </c>
      <c r="BP333" s="12">
        <f t="shared" si="3032"/>
        <v>0.40660736975857686</v>
      </c>
      <c r="BQ333" s="11">
        <v>21</v>
      </c>
      <c r="BR333" s="12">
        <f t="shared" si="3033"/>
        <v>6.5625000000000003E-2</v>
      </c>
      <c r="BS333" s="13"/>
      <c r="BT333" s="13"/>
      <c r="BU333" s="25"/>
      <c r="BV333" s="38">
        <v>4625</v>
      </c>
      <c r="BW333" s="10">
        <v>2</v>
      </c>
      <c r="BX333" s="11"/>
      <c r="BY333" s="69">
        <f t="shared" si="3084"/>
        <v>725</v>
      </c>
      <c r="BZ333" s="69">
        <f t="shared" si="3085"/>
        <v>57</v>
      </c>
      <c r="CA333" s="11">
        <v>264</v>
      </c>
      <c r="CB333" s="12">
        <f t="shared" si="3034"/>
        <v>0.38344827586206898</v>
      </c>
      <c r="CC333" s="11">
        <v>14</v>
      </c>
      <c r="CD333" s="12">
        <f t="shared" si="3035"/>
        <v>5.0359712230215826E-2</v>
      </c>
      <c r="CE333" s="13"/>
      <c r="CF333" s="13"/>
      <c r="CG333" s="25"/>
      <c r="CH333" s="38">
        <v>4625</v>
      </c>
      <c r="CI333" s="10"/>
      <c r="CJ333" s="11"/>
      <c r="CK333" s="69">
        <f t="shared" si="3086"/>
        <v>124</v>
      </c>
      <c r="CL333" s="69">
        <f t="shared" si="3087"/>
        <v>10</v>
      </c>
      <c r="CM333" s="11">
        <v>59</v>
      </c>
      <c r="CN333" s="12">
        <f t="shared" si="3036"/>
        <v>0.5</v>
      </c>
      <c r="CO333" s="11">
        <v>3</v>
      </c>
      <c r="CP333" s="12">
        <f t="shared" si="3037"/>
        <v>4.8387096774193547E-2</v>
      </c>
      <c r="CQ333" s="13"/>
      <c r="CR333" s="13"/>
      <c r="CS333" s="25"/>
      <c r="CT333" s="38">
        <v>4625</v>
      </c>
      <c r="CU333" s="10"/>
      <c r="CV333" s="11"/>
      <c r="CW333" s="69">
        <f t="shared" si="3088"/>
        <v>719</v>
      </c>
      <c r="CX333" s="69">
        <f t="shared" si="3089"/>
        <v>56</v>
      </c>
      <c r="CY333" s="11">
        <v>258</v>
      </c>
      <c r="CZ333" s="12">
        <f t="shared" si="3038"/>
        <v>0.37413073713490957</v>
      </c>
      <c r="DA333" s="11">
        <v>11</v>
      </c>
      <c r="DB333" s="12">
        <f t="shared" si="3039"/>
        <v>4.0892193308550186E-2</v>
      </c>
      <c r="DC333" s="13"/>
      <c r="DD333" s="13"/>
      <c r="DE333" s="25"/>
      <c r="DF333" s="38">
        <v>4625</v>
      </c>
      <c r="DG333" s="10"/>
      <c r="DH333" s="11"/>
      <c r="DI333" s="69">
        <f t="shared" si="3090"/>
        <v>717</v>
      </c>
      <c r="DJ333" s="69">
        <f t="shared" si="3091"/>
        <v>56</v>
      </c>
      <c r="DK333" s="11">
        <v>256</v>
      </c>
      <c r="DL333" s="12">
        <f t="shared" si="3040"/>
        <v>0.39051603905160392</v>
      </c>
      <c r="DM333" s="11">
        <v>24</v>
      </c>
      <c r="DN333" s="12">
        <f t="shared" si="3041"/>
        <v>8.5714285714285715E-2</v>
      </c>
      <c r="DO333" s="13"/>
      <c r="DP333" s="13"/>
      <c r="DQ333" s="25"/>
      <c r="DR333" s="38">
        <v>4625</v>
      </c>
      <c r="DS333" s="10"/>
      <c r="DT333" s="11"/>
      <c r="DU333" s="69">
        <f t="shared" si="3092"/>
        <v>806</v>
      </c>
      <c r="DV333" s="69">
        <f t="shared" si="3093"/>
        <v>63</v>
      </c>
      <c r="DW333" s="11">
        <v>329</v>
      </c>
      <c r="DX333" s="12">
        <f t="shared" si="3042"/>
        <v>0.43672456575682383</v>
      </c>
      <c r="DY333" s="11">
        <v>23</v>
      </c>
      <c r="DZ333" s="12">
        <f t="shared" si="3043"/>
        <v>6.5340909090909088E-2</v>
      </c>
      <c r="EA333" s="13"/>
      <c r="EB333" s="13"/>
      <c r="EC333" s="25"/>
      <c r="ED333" s="38">
        <v>4625</v>
      </c>
      <c r="EE333" s="10"/>
      <c r="EF333" s="11"/>
      <c r="EG333" s="69">
        <f t="shared" si="3094"/>
        <v>831</v>
      </c>
      <c r="EH333" s="69">
        <f t="shared" si="3095"/>
        <v>62</v>
      </c>
      <c r="EI333" s="11">
        <v>338</v>
      </c>
      <c r="EJ333" s="12">
        <f t="shared" si="3044"/>
        <v>0.44163658243080628</v>
      </c>
      <c r="EK333" s="11">
        <v>29</v>
      </c>
      <c r="EL333" s="12">
        <f t="shared" si="3045"/>
        <v>7.901907356948229E-2</v>
      </c>
      <c r="EM333" s="13"/>
      <c r="EN333" s="13"/>
      <c r="EO333" s="25"/>
      <c r="EP333" s="38">
        <v>4625</v>
      </c>
      <c r="EQ333" s="10"/>
      <c r="ER333" s="11"/>
      <c r="ES333" s="69">
        <f t="shared" si="3096"/>
        <v>148</v>
      </c>
      <c r="ET333" s="69">
        <f t="shared" si="3097"/>
        <v>11</v>
      </c>
      <c r="EU333" s="11">
        <v>60</v>
      </c>
      <c r="EV333" s="12">
        <f t="shared" si="3046"/>
        <v>0.4391891891891892</v>
      </c>
      <c r="EW333" s="11">
        <v>5</v>
      </c>
      <c r="EX333" s="12">
        <f t="shared" si="3047"/>
        <v>7.6923076923076927E-2</v>
      </c>
      <c r="EY333" s="13"/>
      <c r="EZ333" s="13"/>
      <c r="FA333" s="25"/>
      <c r="FB333" s="38">
        <v>4625</v>
      </c>
      <c r="FC333" s="10"/>
      <c r="FD333" s="11"/>
      <c r="FE333" s="69">
        <f t="shared" si="3098"/>
        <v>839</v>
      </c>
      <c r="FF333" s="69">
        <f t="shared" si="3099"/>
        <v>65</v>
      </c>
      <c r="FG333" s="11">
        <v>345</v>
      </c>
      <c r="FH333" s="12">
        <f t="shared" si="3048"/>
        <v>0.42908224076281287</v>
      </c>
      <c r="FI333" s="11">
        <v>15</v>
      </c>
      <c r="FJ333" s="12">
        <f t="shared" si="3049"/>
        <v>4.1666666666666664E-2</v>
      </c>
      <c r="FK333" s="13"/>
      <c r="FL333" s="13"/>
      <c r="FM333" s="25"/>
      <c r="FN333" s="38">
        <v>4625</v>
      </c>
      <c r="FO333" s="10">
        <v>1</v>
      </c>
      <c r="FP333" s="11"/>
      <c r="FQ333" s="69">
        <f t="shared" si="3100"/>
        <v>843</v>
      </c>
      <c r="FR333" s="69">
        <f t="shared" si="3101"/>
        <v>66</v>
      </c>
      <c r="FS333" s="11">
        <v>322</v>
      </c>
      <c r="FT333" s="12">
        <f t="shared" si="3050"/>
        <v>0.41637010676156583</v>
      </c>
      <c r="FU333" s="11">
        <v>29</v>
      </c>
      <c r="FV333" s="12">
        <f t="shared" si="3051"/>
        <v>8.2621082621082614E-2</v>
      </c>
      <c r="FW333" s="13"/>
      <c r="FX333" s="13"/>
      <c r="FY333" s="25"/>
      <c r="FZ333" s="38">
        <v>4625</v>
      </c>
      <c r="GA333" s="10"/>
      <c r="GB333" s="11"/>
      <c r="GC333" s="69">
        <f t="shared" si="3102"/>
        <v>860</v>
      </c>
      <c r="GD333" s="69">
        <f t="shared" si="3103"/>
        <v>67</v>
      </c>
      <c r="GE333" s="11">
        <v>344</v>
      </c>
      <c r="GF333" s="12">
        <f t="shared" si="3052"/>
        <v>0.42209302325581394</v>
      </c>
      <c r="GG333" s="11">
        <v>19</v>
      </c>
      <c r="GH333" s="12">
        <f t="shared" si="3053"/>
        <v>5.2341597796143252E-2</v>
      </c>
      <c r="GI333" s="13"/>
      <c r="GJ333" s="13"/>
      <c r="GK333" s="25"/>
      <c r="GL333" s="38">
        <v>4625</v>
      </c>
      <c r="GM333" s="10"/>
      <c r="GN333" s="11"/>
      <c r="GO333" s="69">
        <f t="shared" si="3104"/>
        <v>127</v>
      </c>
      <c r="GP333" s="69">
        <f t="shared" si="3105"/>
        <v>9</v>
      </c>
      <c r="GQ333" s="11">
        <v>53</v>
      </c>
      <c r="GR333" s="12">
        <f t="shared" si="3054"/>
        <v>0.44881889763779526</v>
      </c>
      <c r="GS333" s="11">
        <v>4</v>
      </c>
      <c r="GT333" s="12">
        <f t="shared" si="3055"/>
        <v>7.0175438596491224E-2</v>
      </c>
      <c r="GU333" s="13"/>
      <c r="GV333" s="13"/>
      <c r="GW333" s="25"/>
      <c r="GX333" s="38">
        <v>4625</v>
      </c>
      <c r="GY333" s="10"/>
      <c r="GZ333" s="11"/>
      <c r="HA333" s="69">
        <f t="shared" si="3106"/>
        <v>889</v>
      </c>
      <c r="HB333" s="69">
        <f t="shared" si="3107"/>
        <v>69</v>
      </c>
      <c r="HC333" s="11">
        <v>367</v>
      </c>
      <c r="HD333" s="12">
        <f t="shared" si="3056"/>
        <v>0.44431946006749157</v>
      </c>
      <c r="HE333" s="11">
        <v>28</v>
      </c>
      <c r="HF333" s="12">
        <f t="shared" si="3057"/>
        <v>7.0886075949367092E-2</v>
      </c>
      <c r="HG333" s="13"/>
      <c r="HH333" s="13"/>
      <c r="HI333" s="25"/>
      <c r="HJ333" s="38">
        <v>4625</v>
      </c>
      <c r="HK333" s="10">
        <f t="shared" si="3058"/>
        <v>5</v>
      </c>
      <c r="HL333" s="11">
        <f t="shared" si="3059"/>
        <v>0</v>
      </c>
      <c r="HM333" s="11">
        <f t="shared" si="3060"/>
        <v>11577</v>
      </c>
      <c r="HN333" s="11">
        <f t="shared" si="3061"/>
        <v>895</v>
      </c>
      <c r="HO333" s="11">
        <f t="shared" si="3062"/>
        <v>4954</v>
      </c>
      <c r="HP333" s="95">
        <f t="shared" si="3063"/>
        <v>0.42791742247559816</v>
      </c>
      <c r="HQ333" s="15">
        <f t="shared" si="3064"/>
        <v>311</v>
      </c>
      <c r="HR333" s="12">
        <f t="shared" si="3065"/>
        <v>6.2777553492127575E-2</v>
      </c>
      <c r="HS333" s="16">
        <v>68.2</v>
      </c>
      <c r="HT333" s="17">
        <v>4501</v>
      </c>
      <c r="HU333" s="16">
        <f t="shared" si="3066"/>
        <v>90.855874041178836</v>
      </c>
      <c r="HV333" s="23"/>
      <c r="HW333" s="22">
        <v>4625</v>
      </c>
      <c r="HX333" s="73">
        <f t="shared" si="3067"/>
        <v>0.4538266919671094</v>
      </c>
      <c r="HY333" s="73">
        <f t="shared" si="3068"/>
        <v>0.3935546875</v>
      </c>
      <c r="HZ333" s="73">
        <f t="shared" si="3069"/>
        <v>0.43597560975609756</v>
      </c>
      <c r="IA333" s="73">
        <f t="shared" si="3070"/>
        <v>0.42883413019492461</v>
      </c>
    </row>
    <row r="334" spans="1:244" x14ac:dyDescent="0.25">
      <c r="A334" s="374"/>
      <c r="B334" s="41">
        <f t="shared" si="3071"/>
        <v>45198</v>
      </c>
      <c r="C334" s="10"/>
      <c r="D334" s="11"/>
      <c r="E334" s="69">
        <f t="shared" si="3072"/>
        <v>801</v>
      </c>
      <c r="F334" s="69">
        <f t="shared" si="3073"/>
        <v>62</v>
      </c>
      <c r="G334" s="11">
        <v>339</v>
      </c>
      <c r="H334" s="12">
        <f t="shared" si="3022"/>
        <v>0.44069912609238454</v>
      </c>
      <c r="I334" s="11">
        <v>14</v>
      </c>
      <c r="J334" s="12">
        <f t="shared" si="3023"/>
        <v>3.9660056657223795E-2</v>
      </c>
      <c r="K334" s="13"/>
      <c r="L334" s="11"/>
      <c r="M334" s="25"/>
      <c r="N334" s="38">
        <v>4974.62</v>
      </c>
      <c r="O334" s="10"/>
      <c r="P334" s="11"/>
      <c r="Q334" s="69">
        <f t="shared" si="3074"/>
        <v>735</v>
      </c>
      <c r="R334" s="69">
        <f t="shared" si="3075"/>
        <v>56</v>
      </c>
      <c r="S334" s="11">
        <v>299</v>
      </c>
      <c r="T334" s="12">
        <f t="shared" si="3024"/>
        <v>0.42721088435374149</v>
      </c>
      <c r="U334" s="11">
        <v>15</v>
      </c>
      <c r="V334" s="12">
        <f t="shared" si="3025"/>
        <v>4.7770700636942678E-2</v>
      </c>
      <c r="W334" s="13"/>
      <c r="X334" s="11"/>
      <c r="Y334" s="25"/>
      <c r="Z334" s="38">
        <v>5217.6899999999996</v>
      </c>
      <c r="AA334" s="10"/>
      <c r="AB334" s="11"/>
      <c r="AC334" s="69">
        <f t="shared" si="3076"/>
        <v>148</v>
      </c>
      <c r="AD334" s="69">
        <f t="shared" si="3077"/>
        <v>11</v>
      </c>
      <c r="AE334" s="11">
        <v>52</v>
      </c>
      <c r="AF334" s="12">
        <f t="shared" si="3026"/>
        <v>0.3783783783783784</v>
      </c>
      <c r="AG334" s="11">
        <v>4</v>
      </c>
      <c r="AH334" s="12">
        <f t="shared" si="3027"/>
        <v>7.1428571428571425E-2</v>
      </c>
      <c r="AI334" s="13"/>
      <c r="AJ334" s="11"/>
      <c r="AK334" s="25">
        <v>4866.67</v>
      </c>
      <c r="AL334" s="38"/>
      <c r="AM334" s="10"/>
      <c r="AN334" s="11"/>
      <c r="AO334" s="69">
        <f t="shared" si="3078"/>
        <v>740</v>
      </c>
      <c r="AP334" s="69">
        <f t="shared" si="3079"/>
        <v>57</v>
      </c>
      <c r="AQ334" s="11">
        <v>319</v>
      </c>
      <c r="AR334" s="12">
        <f t="shared" si="3028"/>
        <v>0.45135135135135135</v>
      </c>
      <c r="AS334" s="11">
        <v>15</v>
      </c>
      <c r="AT334" s="12">
        <f t="shared" si="3029"/>
        <v>4.4910179640718563E-2</v>
      </c>
      <c r="AU334" s="13"/>
      <c r="AV334" s="11"/>
      <c r="AW334" s="25"/>
      <c r="AX334" s="38">
        <v>5313.08</v>
      </c>
      <c r="AY334" s="10"/>
      <c r="AZ334" s="11"/>
      <c r="BA334" s="69">
        <f t="shared" si="3080"/>
        <v>738</v>
      </c>
      <c r="BB334" s="69">
        <f t="shared" si="3081"/>
        <v>57</v>
      </c>
      <c r="BC334" s="11">
        <v>287</v>
      </c>
      <c r="BD334" s="12">
        <f t="shared" si="3030"/>
        <v>0.41327913279132789</v>
      </c>
      <c r="BE334" s="11">
        <v>18</v>
      </c>
      <c r="BF334" s="12">
        <f t="shared" si="3031"/>
        <v>5.9016393442622953E-2</v>
      </c>
      <c r="BG334" s="13"/>
      <c r="BH334" s="11"/>
      <c r="BI334" s="25"/>
      <c r="BJ334" s="38">
        <v>5563.57</v>
      </c>
      <c r="BK334" s="10"/>
      <c r="BL334" s="11"/>
      <c r="BM334" s="69">
        <f t="shared" si="3082"/>
        <v>787</v>
      </c>
      <c r="BN334" s="69">
        <f t="shared" si="3083"/>
        <v>61</v>
      </c>
      <c r="BO334" s="11">
        <v>305</v>
      </c>
      <c r="BP334" s="12">
        <f t="shared" si="3032"/>
        <v>0.40660736975857686</v>
      </c>
      <c r="BQ334" s="11">
        <v>15</v>
      </c>
      <c r="BR334" s="12">
        <f t="shared" si="3033"/>
        <v>4.6875E-2</v>
      </c>
      <c r="BS334" s="13"/>
      <c r="BT334" s="11"/>
      <c r="BU334" s="25"/>
      <c r="BV334" s="38">
        <v>4865.38</v>
      </c>
      <c r="BW334" s="10"/>
      <c r="BX334" s="11"/>
      <c r="BY334" s="69">
        <f t="shared" si="3084"/>
        <v>725</v>
      </c>
      <c r="BZ334" s="69">
        <f t="shared" si="3085"/>
        <v>57</v>
      </c>
      <c r="CA334" s="11">
        <v>242</v>
      </c>
      <c r="CB334" s="12">
        <f t="shared" si="3034"/>
        <v>0.35448275862068968</v>
      </c>
      <c r="CC334" s="11">
        <v>15</v>
      </c>
      <c r="CD334" s="12">
        <f t="shared" si="3035"/>
        <v>5.8365758754863814E-2</v>
      </c>
      <c r="CE334" s="13"/>
      <c r="CF334" s="11"/>
      <c r="CG334" s="25"/>
      <c r="CH334" s="38">
        <v>5205.38</v>
      </c>
      <c r="CI334" s="10"/>
      <c r="CJ334" s="11"/>
      <c r="CK334" s="69">
        <f t="shared" si="3086"/>
        <v>124</v>
      </c>
      <c r="CL334" s="69">
        <f t="shared" si="3087"/>
        <v>10</v>
      </c>
      <c r="CM334" s="11">
        <v>39</v>
      </c>
      <c r="CN334" s="12">
        <f t="shared" si="3036"/>
        <v>0.37096774193548387</v>
      </c>
      <c r="CO334" s="11">
        <v>7</v>
      </c>
      <c r="CP334" s="12">
        <f t="shared" si="3037"/>
        <v>0.15217391304347827</v>
      </c>
      <c r="CQ334" s="13"/>
      <c r="CR334" s="11"/>
      <c r="CS334" s="25"/>
      <c r="CT334" s="38">
        <v>4990</v>
      </c>
      <c r="CU334" s="10">
        <v>3</v>
      </c>
      <c r="CV334" s="11"/>
      <c r="CW334" s="69">
        <f t="shared" si="3088"/>
        <v>716</v>
      </c>
      <c r="CX334" s="69">
        <f t="shared" si="3089"/>
        <v>56</v>
      </c>
      <c r="CY334" s="11">
        <v>259</v>
      </c>
      <c r="CZ334" s="12">
        <f t="shared" si="3038"/>
        <v>0.38128491620111732</v>
      </c>
      <c r="DA334" s="11">
        <v>14</v>
      </c>
      <c r="DB334" s="12">
        <f t="shared" si="3039"/>
        <v>5.128205128205128E-2</v>
      </c>
      <c r="DC334" s="13"/>
      <c r="DD334" s="11"/>
      <c r="DE334" s="25"/>
      <c r="DF334" s="38">
        <v>5054.62</v>
      </c>
      <c r="DG334" s="10"/>
      <c r="DH334" s="11"/>
      <c r="DI334" s="69">
        <f t="shared" si="3090"/>
        <v>717</v>
      </c>
      <c r="DJ334" s="69">
        <f t="shared" si="3091"/>
        <v>56</v>
      </c>
      <c r="DK334" s="11">
        <v>276</v>
      </c>
      <c r="DL334" s="12">
        <f t="shared" si="3040"/>
        <v>0.4086471408647141</v>
      </c>
      <c r="DM334" s="11">
        <v>17</v>
      </c>
      <c r="DN334" s="12">
        <f t="shared" si="3041"/>
        <v>5.8020477815699661E-2</v>
      </c>
      <c r="DO334" s="13"/>
      <c r="DP334" s="11"/>
      <c r="DQ334" s="25"/>
      <c r="DR334" s="38">
        <v>5400</v>
      </c>
      <c r="DS334" s="10">
        <v>1</v>
      </c>
      <c r="DT334" s="11"/>
      <c r="DU334" s="69">
        <f t="shared" si="3092"/>
        <v>805</v>
      </c>
      <c r="DV334" s="69">
        <f t="shared" si="3093"/>
        <v>63</v>
      </c>
      <c r="DW334" s="11">
        <v>318</v>
      </c>
      <c r="DX334" s="12">
        <f t="shared" si="3042"/>
        <v>0.41490683229813663</v>
      </c>
      <c r="DY334" s="11">
        <v>16</v>
      </c>
      <c r="DZ334" s="12">
        <f t="shared" si="3043"/>
        <v>4.790419161676647E-2</v>
      </c>
      <c r="EA334" s="13"/>
      <c r="EB334" s="11"/>
      <c r="EC334" s="25"/>
      <c r="ED334" s="38">
        <v>5084.62</v>
      </c>
      <c r="EE334" s="10"/>
      <c r="EF334" s="11"/>
      <c r="EG334" s="69">
        <f t="shared" si="3094"/>
        <v>831</v>
      </c>
      <c r="EH334" s="69">
        <f t="shared" si="3095"/>
        <v>62</v>
      </c>
      <c r="EI334" s="11">
        <v>345</v>
      </c>
      <c r="EJ334" s="12">
        <f t="shared" si="3044"/>
        <v>0.43922984356197353</v>
      </c>
      <c r="EK334" s="11">
        <v>20</v>
      </c>
      <c r="EL334" s="12">
        <f t="shared" si="3045"/>
        <v>5.4794520547945202E-2</v>
      </c>
      <c r="EM334" s="13"/>
      <c r="EN334" s="11"/>
      <c r="EO334" s="25"/>
      <c r="EP334" s="38">
        <v>5234.17</v>
      </c>
      <c r="EQ334" s="10"/>
      <c r="ER334" s="11"/>
      <c r="ES334" s="69">
        <f t="shared" si="3096"/>
        <v>148</v>
      </c>
      <c r="ET334" s="69">
        <f t="shared" si="3097"/>
        <v>11</v>
      </c>
      <c r="EU334" s="11">
        <v>56</v>
      </c>
      <c r="EV334" s="12">
        <f t="shared" si="3046"/>
        <v>0.40540540540540543</v>
      </c>
      <c r="EW334" s="11">
        <v>4</v>
      </c>
      <c r="EX334" s="12">
        <f t="shared" si="3047"/>
        <v>6.6666666666666666E-2</v>
      </c>
      <c r="EY334" s="13"/>
      <c r="EZ334" s="11"/>
      <c r="FA334" s="25"/>
      <c r="FB334" s="38">
        <v>4762.5</v>
      </c>
      <c r="FC334" s="10"/>
      <c r="FD334" s="11"/>
      <c r="FE334" s="69">
        <f t="shared" si="3098"/>
        <v>839</v>
      </c>
      <c r="FF334" s="69">
        <f t="shared" si="3099"/>
        <v>65</v>
      </c>
      <c r="FG334" s="11">
        <v>357</v>
      </c>
      <c r="FH334" s="12">
        <f t="shared" si="3048"/>
        <v>0.44457687723480332</v>
      </c>
      <c r="FI334" s="11">
        <v>16</v>
      </c>
      <c r="FJ334" s="12">
        <f t="shared" si="3049"/>
        <v>4.2895442359249331E-2</v>
      </c>
      <c r="FK334" s="13"/>
      <c r="FL334" s="11"/>
      <c r="FM334" s="25"/>
      <c r="FN334" s="38">
        <v>5509</v>
      </c>
      <c r="FO334" s="10"/>
      <c r="FP334" s="11"/>
      <c r="FQ334" s="69">
        <f t="shared" si="3100"/>
        <v>843</v>
      </c>
      <c r="FR334" s="69">
        <f t="shared" si="3101"/>
        <v>66</v>
      </c>
      <c r="FS334" s="11">
        <v>306</v>
      </c>
      <c r="FT334" s="12">
        <f t="shared" si="3050"/>
        <v>0.38790035587188609</v>
      </c>
      <c r="FU334" s="11">
        <v>21</v>
      </c>
      <c r="FV334" s="12">
        <f t="shared" si="3051"/>
        <v>6.4220183486238536E-2</v>
      </c>
      <c r="FW334" s="13"/>
      <c r="FX334" s="11"/>
      <c r="FY334" s="25"/>
      <c r="FZ334" s="38">
        <v>5143.08</v>
      </c>
      <c r="GA334" s="10"/>
      <c r="GB334" s="11"/>
      <c r="GC334" s="69">
        <f t="shared" si="3102"/>
        <v>860</v>
      </c>
      <c r="GD334" s="69">
        <f t="shared" si="3103"/>
        <v>67</v>
      </c>
      <c r="GE334" s="11">
        <v>360</v>
      </c>
      <c r="GF334" s="12">
        <f t="shared" si="3052"/>
        <v>0.44186046511627908</v>
      </c>
      <c r="GG334" s="11">
        <v>20</v>
      </c>
      <c r="GH334" s="12">
        <f t="shared" si="3053"/>
        <v>5.2631578947368418E-2</v>
      </c>
      <c r="GI334" s="13"/>
      <c r="GJ334" s="11"/>
      <c r="GK334" s="25"/>
      <c r="GL334" s="38">
        <v>5139.3</v>
      </c>
      <c r="GM334" s="10"/>
      <c r="GN334" s="11"/>
      <c r="GO334" s="69">
        <f t="shared" si="3104"/>
        <v>127</v>
      </c>
      <c r="GP334" s="69">
        <f t="shared" si="3105"/>
        <v>9</v>
      </c>
      <c r="GQ334" s="11">
        <v>47</v>
      </c>
      <c r="GR334" s="12">
        <f t="shared" si="3054"/>
        <v>0.41732283464566927</v>
      </c>
      <c r="GS334" s="11">
        <v>6</v>
      </c>
      <c r="GT334" s="12">
        <f t="shared" si="3055"/>
        <v>0.11320754716981132</v>
      </c>
      <c r="GU334" s="13"/>
      <c r="GV334" s="11"/>
      <c r="GW334" s="25"/>
      <c r="GX334" s="38">
        <v>4773.33</v>
      </c>
      <c r="GY334" s="10"/>
      <c r="GZ334" s="11"/>
      <c r="HA334" s="69">
        <f t="shared" si="3106"/>
        <v>889</v>
      </c>
      <c r="HB334" s="69">
        <f t="shared" si="3107"/>
        <v>69</v>
      </c>
      <c r="HC334" s="11">
        <v>359</v>
      </c>
      <c r="HD334" s="12">
        <f t="shared" si="3056"/>
        <v>0.43194600674915634</v>
      </c>
      <c r="HE334" s="11">
        <v>25</v>
      </c>
      <c r="HF334" s="12">
        <f t="shared" si="3057"/>
        <v>6.5104166666666671E-2</v>
      </c>
      <c r="HG334" s="13"/>
      <c r="HH334" s="11"/>
      <c r="HI334" s="25"/>
      <c r="HJ334" s="38">
        <v>5555.38</v>
      </c>
      <c r="HK334" s="10">
        <f t="shared" si="3058"/>
        <v>4</v>
      </c>
      <c r="HL334" s="11">
        <f t="shared" si="3059"/>
        <v>0</v>
      </c>
      <c r="HM334" s="11">
        <f t="shared" si="3060"/>
        <v>11573</v>
      </c>
      <c r="HN334" s="11">
        <f t="shared" si="3061"/>
        <v>895</v>
      </c>
      <c r="HO334" s="11">
        <f t="shared" si="3062"/>
        <v>4827</v>
      </c>
      <c r="HP334" s="95">
        <f t="shared" si="3063"/>
        <v>0.41709150609176532</v>
      </c>
      <c r="HQ334" s="15">
        <f t="shared" si="3064"/>
        <v>262</v>
      </c>
      <c r="HR334" s="12">
        <f t="shared" si="3065"/>
        <v>5.4278019473793244E-2</v>
      </c>
      <c r="HS334" s="16">
        <v>67.900000000000006</v>
      </c>
      <c r="HT334" s="17">
        <v>4405</v>
      </c>
      <c r="HU334" s="16">
        <f t="shared" si="3066"/>
        <v>91.257509840480637</v>
      </c>
      <c r="HV334" s="23"/>
      <c r="HW334" s="22">
        <v>5202.3999999999996</v>
      </c>
      <c r="HX334" s="73">
        <f t="shared" si="3067"/>
        <v>0.43074003795066412</v>
      </c>
      <c r="HY334" s="73">
        <f t="shared" si="3068"/>
        <v>0.38742261322906485</v>
      </c>
      <c r="HZ334" s="73">
        <f t="shared" si="3069"/>
        <v>0.43156690812047271</v>
      </c>
      <c r="IA334" s="73">
        <f t="shared" si="3070"/>
        <v>0.42074292019124676</v>
      </c>
    </row>
    <row r="335" spans="1:244" x14ac:dyDescent="0.25">
      <c r="A335" s="374"/>
      <c r="B335" s="41">
        <f t="shared" si="3071"/>
        <v>45199</v>
      </c>
      <c r="C335" s="10">
        <v>1</v>
      </c>
      <c r="D335" s="11"/>
      <c r="E335" s="69">
        <f t="shared" si="3072"/>
        <v>800</v>
      </c>
      <c r="F335" s="69">
        <f t="shared" si="3073"/>
        <v>62</v>
      </c>
      <c r="G335" s="11">
        <v>319</v>
      </c>
      <c r="H335" s="12">
        <f t="shared" si="3022"/>
        <v>0.42375000000000002</v>
      </c>
      <c r="I335" s="11">
        <v>20</v>
      </c>
      <c r="J335" s="12">
        <f t="shared" si="3023"/>
        <v>5.8997050147492625E-2</v>
      </c>
      <c r="K335" s="13"/>
      <c r="L335" s="11"/>
      <c r="M335" s="39"/>
      <c r="N335" s="43">
        <v>100</v>
      </c>
      <c r="O335" s="10"/>
      <c r="P335" s="11"/>
      <c r="Q335" s="69">
        <f t="shared" si="3074"/>
        <v>735</v>
      </c>
      <c r="R335" s="69">
        <f t="shared" si="3075"/>
        <v>56</v>
      </c>
      <c r="S335" s="11">
        <v>295</v>
      </c>
      <c r="T335" s="12">
        <f t="shared" si="3024"/>
        <v>0.41904761904761906</v>
      </c>
      <c r="U335" s="11">
        <v>13</v>
      </c>
      <c r="V335" s="12">
        <f t="shared" si="3025"/>
        <v>4.2207792207792208E-2</v>
      </c>
      <c r="W335" s="13"/>
      <c r="X335" s="11"/>
      <c r="Y335" s="39"/>
      <c r="Z335" s="43">
        <v>92.31</v>
      </c>
      <c r="AA335" s="10"/>
      <c r="AB335" s="11"/>
      <c r="AC335" s="69">
        <f t="shared" si="3076"/>
        <v>148</v>
      </c>
      <c r="AD335" s="69">
        <f t="shared" si="3077"/>
        <v>11</v>
      </c>
      <c r="AE335" s="11">
        <v>65</v>
      </c>
      <c r="AF335" s="12">
        <f t="shared" si="3026"/>
        <v>0.45945945945945948</v>
      </c>
      <c r="AG335" s="11">
        <v>3</v>
      </c>
      <c r="AH335" s="12">
        <f t="shared" si="3027"/>
        <v>4.4117647058823532E-2</v>
      </c>
      <c r="AI335" s="13"/>
      <c r="AJ335" s="11"/>
      <c r="AK335" s="39">
        <v>100</v>
      </c>
      <c r="AL335" s="43"/>
      <c r="AM335" s="10"/>
      <c r="AN335" s="11"/>
      <c r="AO335" s="69">
        <f t="shared" si="3078"/>
        <v>740</v>
      </c>
      <c r="AP335" s="69">
        <f t="shared" si="3079"/>
        <v>57</v>
      </c>
      <c r="AQ335" s="11">
        <v>319</v>
      </c>
      <c r="AR335" s="12">
        <f t="shared" si="3028"/>
        <v>0.44729729729729728</v>
      </c>
      <c r="AS335" s="11">
        <v>12</v>
      </c>
      <c r="AT335" s="12">
        <f t="shared" si="3029"/>
        <v>3.6253776435045321E-2</v>
      </c>
      <c r="AU335" s="13"/>
      <c r="AV335" s="11"/>
      <c r="AW335" s="39"/>
      <c r="AX335" s="43">
        <v>100</v>
      </c>
      <c r="AY335" s="10"/>
      <c r="AZ335" s="11"/>
      <c r="BA335" s="69">
        <f t="shared" si="3080"/>
        <v>738</v>
      </c>
      <c r="BB335" s="69">
        <f t="shared" si="3081"/>
        <v>57</v>
      </c>
      <c r="BC335" s="11">
        <v>275</v>
      </c>
      <c r="BD335" s="12">
        <f t="shared" si="3030"/>
        <v>0.40243902439024393</v>
      </c>
      <c r="BE335" s="11">
        <v>22</v>
      </c>
      <c r="BF335" s="12">
        <f t="shared" si="3031"/>
        <v>7.407407407407407E-2</v>
      </c>
      <c r="BG335" s="13"/>
      <c r="BH335" s="11"/>
      <c r="BI335" s="39"/>
      <c r="BJ335" s="43">
        <v>100</v>
      </c>
      <c r="BK335" s="10"/>
      <c r="BL335" s="11"/>
      <c r="BM335" s="69">
        <f t="shared" si="3082"/>
        <v>787</v>
      </c>
      <c r="BN335" s="69">
        <f t="shared" si="3083"/>
        <v>61</v>
      </c>
      <c r="BO335" s="11">
        <v>279</v>
      </c>
      <c r="BP335" s="12">
        <f t="shared" si="3032"/>
        <v>0.37865311308767469</v>
      </c>
      <c r="BQ335" s="11">
        <v>19</v>
      </c>
      <c r="BR335" s="12">
        <f t="shared" si="3033"/>
        <v>6.3758389261744972E-2</v>
      </c>
      <c r="BS335" s="13"/>
      <c r="BT335" s="11"/>
      <c r="BU335" s="39"/>
      <c r="BV335" s="43">
        <v>92.31</v>
      </c>
      <c r="BW335" s="10"/>
      <c r="BX335" s="11"/>
      <c r="BY335" s="69">
        <f t="shared" si="3084"/>
        <v>725</v>
      </c>
      <c r="BZ335" s="69">
        <f t="shared" si="3085"/>
        <v>57</v>
      </c>
      <c r="CA335" s="11">
        <v>249</v>
      </c>
      <c r="CB335" s="12">
        <f t="shared" si="3034"/>
        <v>0.36551724137931035</v>
      </c>
      <c r="CC335" s="11">
        <v>16</v>
      </c>
      <c r="CD335" s="12">
        <f t="shared" si="3035"/>
        <v>6.0377358490566038E-2</v>
      </c>
      <c r="CE335" s="13"/>
      <c r="CF335" s="11"/>
      <c r="CG335" s="39"/>
      <c r="CH335" s="43">
        <v>100</v>
      </c>
      <c r="CI335" s="10"/>
      <c r="CJ335" s="11"/>
      <c r="CK335" s="69">
        <f t="shared" si="3086"/>
        <v>124</v>
      </c>
      <c r="CL335" s="69">
        <f t="shared" si="3087"/>
        <v>10</v>
      </c>
      <c r="CM335" s="11">
        <v>36</v>
      </c>
      <c r="CN335" s="12">
        <f t="shared" si="3036"/>
        <v>0.33870967741935482</v>
      </c>
      <c r="CO335" s="11">
        <v>6</v>
      </c>
      <c r="CP335" s="12">
        <f t="shared" si="3037"/>
        <v>0.14285714285714285</v>
      </c>
      <c r="CQ335" s="13"/>
      <c r="CR335" s="11"/>
      <c r="CS335" s="39"/>
      <c r="CT335" s="43">
        <v>100</v>
      </c>
      <c r="CU335" s="10"/>
      <c r="CV335" s="11"/>
      <c r="CW335" s="69">
        <f t="shared" si="3088"/>
        <v>716</v>
      </c>
      <c r="CX335" s="69">
        <f t="shared" si="3089"/>
        <v>56</v>
      </c>
      <c r="CY335" s="11">
        <v>257</v>
      </c>
      <c r="CZ335" s="12">
        <f t="shared" si="3038"/>
        <v>0.38407821229050282</v>
      </c>
      <c r="DA335" s="11">
        <v>18</v>
      </c>
      <c r="DB335" s="12">
        <f t="shared" si="3039"/>
        <v>6.545454545454546E-2</v>
      </c>
      <c r="DC335" s="13"/>
      <c r="DD335" s="11"/>
      <c r="DE335" s="39"/>
      <c r="DF335" s="43">
        <v>100</v>
      </c>
      <c r="DG335" s="10"/>
      <c r="DH335" s="11"/>
      <c r="DI335" s="69">
        <f t="shared" si="3090"/>
        <v>717</v>
      </c>
      <c r="DJ335" s="69">
        <f t="shared" si="3091"/>
        <v>56</v>
      </c>
      <c r="DK335" s="11">
        <v>270</v>
      </c>
      <c r="DL335" s="12">
        <f t="shared" si="3040"/>
        <v>0.40306834030683403</v>
      </c>
      <c r="DM335" s="11">
        <v>19</v>
      </c>
      <c r="DN335" s="12">
        <f t="shared" si="3041"/>
        <v>6.5743944636678195E-2</v>
      </c>
      <c r="DO335" s="13"/>
      <c r="DP335" s="11"/>
      <c r="DQ335" s="39"/>
      <c r="DR335" s="43">
        <v>100</v>
      </c>
      <c r="DS335" s="10"/>
      <c r="DT335" s="11"/>
      <c r="DU335" s="69">
        <f t="shared" si="3092"/>
        <v>805</v>
      </c>
      <c r="DV335" s="69">
        <f t="shared" si="3093"/>
        <v>63</v>
      </c>
      <c r="DW335" s="11">
        <v>327</v>
      </c>
      <c r="DX335" s="12">
        <f t="shared" si="3042"/>
        <v>0.44099378881987578</v>
      </c>
      <c r="DY335" s="11">
        <v>28</v>
      </c>
      <c r="DZ335" s="12">
        <f t="shared" si="3043"/>
        <v>7.8873239436619724E-2</v>
      </c>
      <c r="EA335" s="13"/>
      <c r="EB335" s="11"/>
      <c r="EC335" s="39"/>
      <c r="ED335" s="43">
        <v>92.31</v>
      </c>
      <c r="EE335" s="10"/>
      <c r="EF335" s="11"/>
      <c r="EG335" s="69">
        <f t="shared" si="3094"/>
        <v>831</v>
      </c>
      <c r="EH335" s="69">
        <f t="shared" si="3095"/>
        <v>62</v>
      </c>
      <c r="EI335" s="11">
        <v>361</v>
      </c>
      <c r="EJ335" s="12">
        <f t="shared" si="3044"/>
        <v>0.45367027677496991</v>
      </c>
      <c r="EK335" s="11">
        <v>16</v>
      </c>
      <c r="EL335" s="12">
        <f t="shared" si="3045"/>
        <v>4.2440318302387266E-2</v>
      </c>
      <c r="EM335" s="13"/>
      <c r="EN335" s="11"/>
      <c r="EO335" s="39"/>
      <c r="EP335" s="43">
        <v>83.33</v>
      </c>
      <c r="EQ335" s="10"/>
      <c r="ER335" s="11"/>
      <c r="ES335" s="69">
        <f t="shared" si="3096"/>
        <v>148</v>
      </c>
      <c r="ET335" s="69">
        <f t="shared" si="3097"/>
        <v>11</v>
      </c>
      <c r="EU335" s="11">
        <v>59</v>
      </c>
      <c r="EV335" s="12">
        <f t="shared" si="3046"/>
        <v>0.41891891891891891</v>
      </c>
      <c r="EW335" s="11">
        <v>3</v>
      </c>
      <c r="EX335" s="12">
        <f t="shared" si="3047"/>
        <v>4.8387096774193547E-2</v>
      </c>
      <c r="EY335" s="13"/>
      <c r="EZ335" s="11"/>
      <c r="FA335" s="39"/>
      <c r="FB335" s="43">
        <v>100</v>
      </c>
      <c r="FC335" s="10"/>
      <c r="FD335" s="11"/>
      <c r="FE335" s="69">
        <f t="shared" si="3098"/>
        <v>839</v>
      </c>
      <c r="FF335" s="69">
        <f t="shared" si="3099"/>
        <v>65</v>
      </c>
      <c r="FG335" s="11">
        <v>376</v>
      </c>
      <c r="FH335" s="12">
        <f t="shared" si="3048"/>
        <v>0.46960667461263411</v>
      </c>
      <c r="FI335" s="11">
        <v>18</v>
      </c>
      <c r="FJ335" s="12">
        <f t="shared" si="3049"/>
        <v>4.5685279187817257E-2</v>
      </c>
      <c r="FK335" s="13"/>
      <c r="FL335" s="11"/>
      <c r="FM335" s="39"/>
      <c r="FN335" s="43">
        <v>90</v>
      </c>
      <c r="FO335" s="10"/>
      <c r="FP335" s="11"/>
      <c r="FQ335" s="69">
        <f t="shared" si="3100"/>
        <v>843</v>
      </c>
      <c r="FR335" s="69">
        <f t="shared" si="3101"/>
        <v>66</v>
      </c>
      <c r="FS335" s="11">
        <v>340</v>
      </c>
      <c r="FT335" s="12">
        <f t="shared" si="3050"/>
        <v>0.43416370106761565</v>
      </c>
      <c r="FU335" s="11">
        <v>26</v>
      </c>
      <c r="FV335" s="12">
        <f t="shared" si="3051"/>
        <v>7.1038251366120214E-2</v>
      </c>
      <c r="FW335" s="13"/>
      <c r="FX335" s="11"/>
      <c r="FY335" s="39"/>
      <c r="FZ335" s="43">
        <v>100</v>
      </c>
      <c r="GA335" s="10"/>
      <c r="GB335" s="11"/>
      <c r="GC335" s="69">
        <f t="shared" si="3102"/>
        <v>860</v>
      </c>
      <c r="GD335" s="69">
        <f t="shared" si="3103"/>
        <v>67</v>
      </c>
      <c r="GE335" s="11">
        <v>366</v>
      </c>
      <c r="GF335" s="12">
        <f t="shared" si="3052"/>
        <v>0.4511627906976744</v>
      </c>
      <c r="GG335" s="11">
        <v>22</v>
      </c>
      <c r="GH335" s="12">
        <f t="shared" si="3053"/>
        <v>5.6701030927835051E-2</v>
      </c>
      <c r="GI335" s="13"/>
      <c r="GJ335" s="11"/>
      <c r="GK335" s="39"/>
      <c r="GL335" s="43">
        <v>100</v>
      </c>
      <c r="GM335" s="10"/>
      <c r="GN335" s="11"/>
      <c r="GO335" s="69">
        <f t="shared" si="3104"/>
        <v>127</v>
      </c>
      <c r="GP335" s="69">
        <f t="shared" si="3105"/>
        <v>9</v>
      </c>
      <c r="GQ335" s="11">
        <v>51</v>
      </c>
      <c r="GR335" s="12">
        <f t="shared" si="3054"/>
        <v>0.40944881889763779</v>
      </c>
      <c r="GS335" s="11">
        <v>1</v>
      </c>
      <c r="GT335" s="12">
        <f t="shared" si="3055"/>
        <v>1.9230769230769232E-2</v>
      </c>
      <c r="GU335" s="13"/>
      <c r="GV335" s="11"/>
      <c r="GW335" s="39"/>
      <c r="GX335" s="43">
        <v>100</v>
      </c>
      <c r="GY335" s="10">
        <v>1</v>
      </c>
      <c r="GZ335" s="11"/>
      <c r="HA335" s="69">
        <f t="shared" si="3106"/>
        <v>888</v>
      </c>
      <c r="HB335" s="69">
        <f t="shared" si="3107"/>
        <v>69</v>
      </c>
      <c r="HC335" s="11">
        <v>381</v>
      </c>
      <c r="HD335" s="12">
        <f t="shared" si="3056"/>
        <v>0.4572072072072072</v>
      </c>
      <c r="HE335" s="11">
        <v>25</v>
      </c>
      <c r="HF335" s="12">
        <f t="shared" si="3057"/>
        <v>6.1576354679802957E-2</v>
      </c>
      <c r="HG335" s="13"/>
      <c r="HH335" s="11"/>
      <c r="HI335" s="39"/>
      <c r="HJ335" s="43">
        <v>100</v>
      </c>
      <c r="HK335" s="10">
        <f t="shared" si="3058"/>
        <v>2</v>
      </c>
      <c r="HL335" s="11">
        <f t="shared" si="3059"/>
        <v>0</v>
      </c>
      <c r="HM335" s="11">
        <f t="shared" si="3060"/>
        <v>11571</v>
      </c>
      <c r="HN335" s="11">
        <f t="shared" si="3061"/>
        <v>895</v>
      </c>
      <c r="HO335" s="11">
        <f t="shared" si="3062"/>
        <v>4912</v>
      </c>
      <c r="HP335" s="95">
        <f t="shared" si="3063"/>
        <v>0.42450954973640997</v>
      </c>
      <c r="HQ335" s="15">
        <f t="shared" si="3064"/>
        <v>287</v>
      </c>
      <c r="HR335" s="12">
        <f t="shared" si="3065"/>
        <v>5.8428338762214982E-2</v>
      </c>
      <c r="HS335" s="16">
        <v>68.400000000000006</v>
      </c>
      <c r="HT335" s="17">
        <v>4474</v>
      </c>
      <c r="HU335" s="16">
        <f t="shared" si="3066"/>
        <v>91.083061889250814</v>
      </c>
      <c r="HV335" s="23"/>
      <c r="HW335" s="22">
        <v>88.54</v>
      </c>
      <c r="HX335" s="73">
        <f t="shared" si="3067"/>
        <v>0.42486554887693767</v>
      </c>
      <c r="HY335" s="73">
        <f t="shared" si="3068"/>
        <v>0.38090583251873572</v>
      </c>
      <c r="HZ335" s="73">
        <f t="shared" si="3069"/>
        <v>0.45291650781547849</v>
      </c>
      <c r="IA335" s="73">
        <f t="shared" si="3070"/>
        <v>0.44591611479028698</v>
      </c>
      <c r="IF335" s="85">
        <f>IF336/IF337</f>
        <v>1.5792798483891346E-3</v>
      </c>
      <c r="IG335" s="85">
        <f>IG336/IG337</f>
        <v>2.2756827048114434E-3</v>
      </c>
      <c r="IH335" s="85">
        <f>IH336/IH337</f>
        <v>2.2822365918600228E-3</v>
      </c>
      <c r="II335" s="85">
        <f>II336/II337</f>
        <v>2.2026431718061676E-3</v>
      </c>
      <c r="IJ335" s="88" t="s">
        <v>90</v>
      </c>
    </row>
    <row r="336" spans="1:244" ht="19.5" thickBot="1" x14ac:dyDescent="0.3">
      <c r="A336" s="374"/>
      <c r="B336" s="42"/>
      <c r="C336" s="26">
        <f>SUM(C329:C335)</f>
        <v>2</v>
      </c>
      <c r="D336" s="27">
        <f>SUM(D329:D335)</f>
        <v>0</v>
      </c>
      <c r="E336" s="27"/>
      <c r="F336" s="27"/>
      <c r="G336" s="27">
        <f>SUM(G329:G335)</f>
        <v>2326</v>
      </c>
      <c r="H336" s="28">
        <f>((G336+I336)/7)/E335</f>
        <v>0.43767857142857147</v>
      </c>
      <c r="I336" s="27">
        <f>SUM(I329:I335)</f>
        <v>125</v>
      </c>
      <c r="J336" s="28">
        <f>(I336/(I336+G336))</f>
        <v>5.0999592003263976E-2</v>
      </c>
      <c r="K336" s="27"/>
      <c r="L336" s="27"/>
      <c r="M336" s="29" t="e">
        <f>M334/M333*100-100</f>
        <v>#DIV/0!</v>
      </c>
      <c r="N336" s="67">
        <f>N334/N333*100-100</f>
        <v>7.5593513513513528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2186</v>
      </c>
      <c r="T336" s="28">
        <f>((S336+U336)/7)/Q335</f>
        <v>0.44820213799805636</v>
      </c>
      <c r="U336" s="27">
        <f>SUM(U329:U335)</f>
        <v>120</v>
      </c>
      <c r="V336" s="28">
        <f>(U336/(U336+S336))</f>
        <v>5.2038161318300087E-2</v>
      </c>
      <c r="W336" s="27"/>
      <c r="X336" s="27"/>
      <c r="Y336" s="29" t="e">
        <f>Y334/Y333*100-100</f>
        <v>#DIV/0!</v>
      </c>
      <c r="Z336" s="67">
        <f>Z334/Z333*100-100</f>
        <v>12.814918918918906</v>
      </c>
      <c r="AA336" s="26">
        <f>SUM(AA329:AA335)</f>
        <v>1</v>
      </c>
      <c r="AB336" s="27">
        <f>SUM(AB329:AB335)</f>
        <v>0</v>
      </c>
      <c r="AC336" s="27"/>
      <c r="AD336" s="27"/>
      <c r="AE336" s="27">
        <f>SUM(AE329:AE335)</f>
        <v>443</v>
      </c>
      <c r="AF336" s="28">
        <f>((AE336+AG336)/7)/AC335</f>
        <v>0.4498069498069498</v>
      </c>
      <c r="AG336" s="27">
        <f>SUM(AG329:AG335)</f>
        <v>23</v>
      </c>
      <c r="AH336" s="28">
        <f>(AG336/(AG336+AE336))</f>
        <v>4.9356223175965663E-2</v>
      </c>
      <c r="AI336" s="27"/>
      <c r="AJ336" s="27"/>
      <c r="AK336" s="29">
        <f>AK334/AK333*100-100</f>
        <v>5.2252972972973026</v>
      </c>
      <c r="AL336" s="67" t="e">
        <f>AL334/AL333*100-100</f>
        <v>#DIV/0!</v>
      </c>
      <c r="AM336" s="26">
        <f>SUM(AM329:AM335)</f>
        <v>2</v>
      </c>
      <c r="AN336" s="27">
        <f>SUM(AN329:AN335)</f>
        <v>0</v>
      </c>
      <c r="AO336" s="27"/>
      <c r="AP336" s="27"/>
      <c r="AQ336" s="27">
        <f>SUM(AQ329:AQ335)</f>
        <v>2225</v>
      </c>
      <c r="AR336" s="28">
        <f>((AQ336+AS336)/7)/AO335</f>
        <v>0.44710424710424707</v>
      </c>
      <c r="AS336" s="27">
        <f>SUM(AS329:AS335)</f>
        <v>91</v>
      </c>
      <c r="AT336" s="28">
        <f>(AS336/(AS336+AQ336))</f>
        <v>3.9291882556131259E-2</v>
      </c>
      <c r="AU336" s="27"/>
      <c r="AV336" s="27"/>
      <c r="AW336" s="29" t="e">
        <f>AW334/AW333*100-100</f>
        <v>#DIV/0!</v>
      </c>
      <c r="AX336" s="67">
        <f>AX334/AX333*100-100</f>
        <v>14.877405405405412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2081</v>
      </c>
      <c r="BD336" s="28">
        <f>((BC336+BE336)/7)/BA335</f>
        <v>0.43050716221447932</v>
      </c>
      <c r="BE336" s="27">
        <f>SUM(BE329:BE335)</f>
        <v>143</v>
      </c>
      <c r="BF336" s="28">
        <f>(BE336/(BE336+BC336))</f>
        <v>6.4298561151079139E-2</v>
      </c>
      <c r="BG336" s="27"/>
      <c r="BH336" s="27"/>
      <c r="BI336" s="29" t="e">
        <f>BI334/BI333*100-100</f>
        <v>#DIV/0!</v>
      </c>
      <c r="BJ336" s="67">
        <f>BJ334/BJ333*100-100</f>
        <v>20.293405405405409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2087</v>
      </c>
      <c r="BP336" s="28">
        <f>((BO336+BQ336)/7)/BM335</f>
        <v>0.4029769468143039</v>
      </c>
      <c r="BQ336" s="27">
        <f>SUM(BQ329:BQ335)</f>
        <v>133</v>
      </c>
      <c r="BR336" s="28">
        <f>(BQ336/(BQ336+BO336))</f>
        <v>5.9909909909909909E-2</v>
      </c>
      <c r="BS336" s="27"/>
      <c r="BT336" s="27"/>
      <c r="BU336" s="29" t="e">
        <f>BU334/BU333*100-100</f>
        <v>#DIV/0!</v>
      </c>
      <c r="BV336" s="67">
        <f>BV334/BV333*100-100</f>
        <v>5.1974054054054051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1883</v>
      </c>
      <c r="CB336" s="28">
        <f>((CA336+CC336)/7)/BY335</f>
        <v>0.39428571428571424</v>
      </c>
      <c r="CC336" s="27">
        <f>SUM(CC329:CC335)</f>
        <v>118</v>
      </c>
      <c r="CD336" s="28">
        <f>(CC336/(CC336+CA336))</f>
        <v>5.8970514742628682E-2</v>
      </c>
      <c r="CE336" s="27"/>
      <c r="CF336" s="27"/>
      <c r="CG336" s="29" t="e">
        <f>CG334/CG333*100-100</f>
        <v>#DIV/0!</v>
      </c>
      <c r="CH336" s="67">
        <f>CH334/CH333*100-100</f>
        <v>12.548756756756745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326</v>
      </c>
      <c r="CN336" s="28">
        <f>((CM336+CO336)/7)/CK335</f>
        <v>0.42165898617511521</v>
      </c>
      <c r="CO336" s="27">
        <f>SUM(CO329:CO335)</f>
        <v>40</v>
      </c>
      <c r="CP336" s="28">
        <f>(CO336/(CO336+CM336))</f>
        <v>0.10928961748633879</v>
      </c>
      <c r="CQ336" s="27"/>
      <c r="CR336" s="27"/>
      <c r="CS336" s="29" t="e">
        <f>CS334/CS333*100-100</f>
        <v>#DIV/0!</v>
      </c>
      <c r="CT336" s="67">
        <f>CT334/CT333*100-100</f>
        <v>7.8918918918919019</v>
      </c>
      <c r="CU336" s="26">
        <f>SUM(CU329:CU335)</f>
        <v>4</v>
      </c>
      <c r="CV336" s="27">
        <f>SUM(CV329:CV335)</f>
        <v>0</v>
      </c>
      <c r="CW336" s="27"/>
      <c r="CX336" s="27"/>
      <c r="CY336" s="27">
        <f>SUM(CY329:CY335)</f>
        <v>1860</v>
      </c>
      <c r="CZ336" s="28">
        <f>((CY336+DA336)/7)/CW335</f>
        <v>0.38906624102154824</v>
      </c>
      <c r="DA336" s="27">
        <f>SUM(DA329:DA335)</f>
        <v>90</v>
      </c>
      <c r="DB336" s="28">
        <f>(DA336/(DA336+CY336))</f>
        <v>4.6153846153846156E-2</v>
      </c>
      <c r="DC336" s="27"/>
      <c r="DD336" s="27"/>
      <c r="DE336" s="29" t="e">
        <f>DE334/DE333*100-100</f>
        <v>#DIV/0!</v>
      </c>
      <c r="DF336" s="67">
        <f>DF334/DF333*100-100</f>
        <v>9.2890810810810791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1853</v>
      </c>
      <c r="DL336" s="28">
        <f>((DK336+DM336)/7)/DI335</f>
        <v>0.3954971109782825</v>
      </c>
      <c r="DM336" s="27">
        <f>SUM(DM329:DM335)</f>
        <v>132</v>
      </c>
      <c r="DN336" s="28">
        <f>(DM336/(DM336+DK336))</f>
        <v>6.6498740554156166E-2</v>
      </c>
      <c r="DO336" s="27"/>
      <c r="DP336" s="27"/>
      <c r="DQ336" s="29" t="e">
        <f>DQ334/DQ333*100-100</f>
        <v>#DIV/0!</v>
      </c>
      <c r="DR336" s="67">
        <f>DR334/DR333*100-100</f>
        <v>16.756756756756758</v>
      </c>
      <c r="DS336" s="26">
        <f>SUM(DS329:DS335)</f>
        <v>1</v>
      </c>
      <c r="DT336" s="27">
        <f>SUM(DT329:DT335)</f>
        <v>0</v>
      </c>
      <c r="DU336" s="27"/>
      <c r="DV336" s="27"/>
      <c r="DW336" s="27">
        <f>SUM(DW329:DW335)</f>
        <v>2229</v>
      </c>
      <c r="DX336" s="28">
        <f>((DW336+DY336)/7)/DU335</f>
        <v>0.42377994676131325</v>
      </c>
      <c r="DY336" s="27">
        <f>SUM(DY329:DY335)</f>
        <v>159</v>
      </c>
      <c r="DZ336" s="28">
        <f>(DY336/(DY336+DW336))</f>
        <v>6.6582914572864318E-2</v>
      </c>
      <c r="EA336" s="27"/>
      <c r="EB336" s="27"/>
      <c r="EC336" s="29" t="e">
        <f>EC334/EC333*100-100</f>
        <v>#DIV/0!</v>
      </c>
      <c r="ED336" s="67">
        <f>ED334/ED333*100-100</f>
        <v>9.9377297297297247</v>
      </c>
      <c r="EE336" s="26">
        <f>SUM(EE329:EE335)</f>
        <v>1</v>
      </c>
      <c r="EF336" s="27">
        <f>SUM(EF329:EF335)</f>
        <v>1</v>
      </c>
      <c r="EG336" s="27"/>
      <c r="EH336" s="27"/>
      <c r="EI336" s="27">
        <f>SUM(EI329:EI335)</f>
        <v>2410</v>
      </c>
      <c r="EJ336" s="28">
        <f>((EI336+EK336)/7)/EG335</f>
        <v>0.43905793364277118</v>
      </c>
      <c r="EK336" s="27">
        <f>SUM(EK329:EK335)</f>
        <v>144</v>
      </c>
      <c r="EL336" s="28">
        <f>(EK336/(EK336+EI336))</f>
        <v>5.6382145653876274E-2</v>
      </c>
      <c r="EM336" s="27"/>
      <c r="EN336" s="27"/>
      <c r="EO336" s="29" t="e">
        <f>EO334/EO333*100-100</f>
        <v>#DIV/0!</v>
      </c>
      <c r="EP336" s="67">
        <f>EP334/EP333*100-100</f>
        <v>13.171243243243239</v>
      </c>
      <c r="EQ336" s="26">
        <f>SUM(EQ329:EQ335)</f>
        <v>3</v>
      </c>
      <c r="ER336" s="27">
        <f>SUM(ER329:ER335)</f>
        <v>0</v>
      </c>
      <c r="ES336" s="27"/>
      <c r="ET336" s="27"/>
      <c r="EU336" s="27">
        <f>SUM(EU329:EU335)</f>
        <v>398</v>
      </c>
      <c r="EV336" s="28">
        <f>((EU336+EW336)/7)/ES335</f>
        <v>0.41216216216216217</v>
      </c>
      <c r="EW336" s="27">
        <f>SUM(EW329:EW335)</f>
        <v>29</v>
      </c>
      <c r="EX336" s="28">
        <f>(EW336/(EW336+EU336))</f>
        <v>6.7915690866510545E-2</v>
      </c>
      <c r="EY336" s="27"/>
      <c r="EZ336" s="27"/>
      <c r="FA336" s="29" t="e">
        <f>FA334/FA333*100-100</f>
        <v>#DIV/0!</v>
      </c>
      <c r="FB336" s="67">
        <f>FB334/FB333*100-100</f>
        <v>2.9729729729729684</v>
      </c>
      <c r="FC336" s="26">
        <f>SUM(FC329:FC335)</f>
        <v>1</v>
      </c>
      <c r="FD336" s="27">
        <f>SUM(FD329:FD335)</f>
        <v>0</v>
      </c>
      <c r="FE336" s="27"/>
      <c r="FF336" s="27"/>
      <c r="FG336" s="27">
        <f>SUM(FG329:FG335)</f>
        <v>2501</v>
      </c>
      <c r="FH336" s="28">
        <f>((FG336+FI336)/7)/FE335</f>
        <v>0.44968499914864635</v>
      </c>
      <c r="FI336" s="27">
        <f>SUM(FI329:FI335)</f>
        <v>140</v>
      </c>
      <c r="FJ336" s="28">
        <f>(FI336/(FI336+FG336))</f>
        <v>5.3010223400227187E-2</v>
      </c>
      <c r="FK336" s="27"/>
      <c r="FL336" s="27"/>
      <c r="FM336" s="29" t="e">
        <f>FM334/FM333*100-100</f>
        <v>#DIV/0!</v>
      </c>
      <c r="FN336" s="67">
        <f>FN334/FN333*100-100</f>
        <v>19.11351351351351</v>
      </c>
      <c r="FO336" s="26">
        <f>SUM(FO329:FO335)</f>
        <v>2</v>
      </c>
      <c r="FP336" s="27">
        <f>SUM(FP329:FP335)</f>
        <v>0</v>
      </c>
      <c r="FQ336" s="27"/>
      <c r="FR336" s="27"/>
      <c r="FS336" s="27">
        <f>SUM(FS329:FS335)</f>
        <v>2292</v>
      </c>
      <c r="FT336" s="28">
        <f>((FS336+FU336)/7)/FQ335</f>
        <v>0.41721742077613966</v>
      </c>
      <c r="FU336" s="27">
        <f>SUM(FU329:FU335)</f>
        <v>170</v>
      </c>
      <c r="FV336" s="28">
        <f>(FU336/(FU336+FS336))</f>
        <v>6.9049553208773359E-2</v>
      </c>
      <c r="FW336" s="27"/>
      <c r="FX336" s="27"/>
      <c r="FY336" s="29" t="e">
        <f>FY334/FY333*100-100</f>
        <v>#DIV/0!</v>
      </c>
      <c r="FZ336" s="67">
        <f>FZ334/FZ333*100-100</f>
        <v>11.20172972972972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2524</v>
      </c>
      <c r="GF336" s="28">
        <f>((GE336+GG336)/7)/GC335</f>
        <v>0.44152823920265782</v>
      </c>
      <c r="GG336" s="27">
        <f>SUM(GG329:GG335)</f>
        <v>134</v>
      </c>
      <c r="GH336" s="28">
        <f>(GG336/(GG336+GE336))</f>
        <v>5.0413844996237772E-2</v>
      </c>
      <c r="GI336" s="27"/>
      <c r="GJ336" s="27"/>
      <c r="GK336" s="29" t="e">
        <f>GK334/GK333*100-100</f>
        <v>#DIV/0!</v>
      </c>
      <c r="GL336" s="67">
        <f>GL334/GL333*100-100</f>
        <v>11.11999999999999</v>
      </c>
      <c r="GM336" s="26">
        <f>SUM(GM329:GM335)</f>
        <v>1</v>
      </c>
      <c r="GN336" s="27">
        <f>SUM(GN329:GN335)</f>
        <v>1</v>
      </c>
      <c r="GO336" s="27"/>
      <c r="GP336" s="27"/>
      <c r="GQ336" s="27">
        <f>SUM(GQ329:GQ335)</f>
        <v>340</v>
      </c>
      <c r="GR336" s="28">
        <f>((GQ336+GS336)/7)/GO335</f>
        <v>0.41844769403824522</v>
      </c>
      <c r="GS336" s="27">
        <f>SUM(GS329:GS335)</f>
        <v>32</v>
      </c>
      <c r="GT336" s="28">
        <f>(GS336/(GS336+GQ336))</f>
        <v>8.6021505376344093E-2</v>
      </c>
      <c r="GU336" s="27"/>
      <c r="GV336" s="27"/>
      <c r="GW336" s="29" t="e">
        <f>GW334/GW333*100-100</f>
        <v>#DIV/0!</v>
      </c>
      <c r="GX336" s="67">
        <f>GX334/GX333*100-100</f>
        <v>3.2071351351351325</v>
      </c>
      <c r="GY336" s="26">
        <f>SUM(GY329:GY335)</f>
        <v>1</v>
      </c>
      <c r="GZ336" s="27">
        <f>SUM(GZ329:GZ335)</f>
        <v>0</v>
      </c>
      <c r="HA336" s="27"/>
      <c r="HB336" s="27"/>
      <c r="HC336" s="27">
        <f>SUM(HC329:HC335)</f>
        <v>2665</v>
      </c>
      <c r="HD336" s="28">
        <f>((HC336+HE336)/7)/HA335</f>
        <v>0.45736808236808241</v>
      </c>
      <c r="HE336" s="27">
        <f>SUM(HE329:HE335)</f>
        <v>178</v>
      </c>
      <c r="HF336" s="28">
        <f>(HE336/(HE336+HC336))</f>
        <v>6.2609919099542735E-2</v>
      </c>
      <c r="HG336" s="27"/>
      <c r="HH336" s="27"/>
      <c r="HI336" s="29" t="e">
        <f>HI334/HI333*100-100</f>
        <v>#DIV/0!</v>
      </c>
      <c r="HJ336" s="67">
        <f>HJ334/HJ333*100-100</f>
        <v>20.116324324324324</v>
      </c>
      <c r="HK336" s="26">
        <f t="shared" si="3058"/>
        <v>24</v>
      </c>
      <c r="HL336" s="27">
        <f t="shared" si="3059"/>
        <v>2</v>
      </c>
      <c r="HM336" s="27">
        <f t="shared" si="3060"/>
        <v>0</v>
      </c>
      <c r="HN336" s="27">
        <f t="shared" si="3061"/>
        <v>0</v>
      </c>
      <c r="HO336" s="27">
        <f t="shared" si="3062"/>
        <v>34630</v>
      </c>
      <c r="HP336" s="96">
        <f>+((HO336)/HM335)/7</f>
        <v>0.42754669926046646</v>
      </c>
      <c r="HQ336" s="62">
        <f t="shared" si="3064"/>
        <v>2001</v>
      </c>
      <c r="HR336" s="52">
        <f t="shared" si="3065"/>
        <v>5.7782269708345366E-2</v>
      </c>
      <c r="HS336" s="53">
        <f>SUM(HS329:HS335)/7</f>
        <v>68.271428571428572</v>
      </c>
      <c r="HT336" s="54">
        <f>SUM(HT329:HT335)</f>
        <v>31620</v>
      </c>
      <c r="HU336" s="53">
        <f>AVERAGE(HU329:HU335)</f>
        <v>91.319336269152217</v>
      </c>
      <c r="HV336" s="63" t="e">
        <f>HV334/HV333*100-100</f>
        <v>#DIV/0!</v>
      </c>
      <c r="HW336" s="67">
        <f>HW334/HW333*100-100</f>
        <v>12.484324324324319</v>
      </c>
      <c r="HX336" s="73">
        <f>SUM(G336,I336,S336,U336,AE336,AG336,AQ336,AS336,BC336,BE336)/7/SUM(E335,Q335,AC335,AO335,BA335)</f>
        <v>0.44122565191847068</v>
      </c>
      <c r="HY336" s="73">
        <f>SUM(BO336,BQ336,CA336,CC336,CM336,CO336,CY336,DA336,DK336,DM336)/7/SUM(BM335,BY335,CK335,CW335,DI335)</f>
        <v>0.39668575152446117</v>
      </c>
      <c r="HZ336" s="73">
        <f>SUM(DW336,DY336,EI336,EK336,EU336,EW336,FG336,FI336)/7/SUM(DU335,EG335,ES335,FE335)</f>
        <v>0.43625074886988724</v>
      </c>
      <c r="IA336" s="73">
        <f>SUM(FS336,FU336,GE336,GG336,GQ336,GS336,HC336,HE336)/7/SUM(FQ335,GC335,GO335,HA335)</f>
        <v>0.43808472616419641</v>
      </c>
      <c r="IB336" s="84">
        <f>SUM(I336,U336,AG336,AS336,BE336)/SUM(G336,I336,S336,U336,AE336,AG336,AQ336,AS336,BC336,BE336)</f>
        <v>5.1418621325412271E-2</v>
      </c>
      <c r="IC336" s="84">
        <f>SUM(BQ336,CC336,CO336,DA336,DM336)/SUM(BO336,BQ336,CA336,CC336,CM336,CO336,CY336,DA336,DK336,DM336)</f>
        <v>6.0197136822342172E-2</v>
      </c>
      <c r="ID336" s="84">
        <f>SUM(DY336,EK336,EW336,FI336)/SUM(DW336,DY336,EI336,EK336,EU336,EW336,FG336,FI336)</f>
        <v>5.8926342072409488E-2</v>
      </c>
      <c r="IE336" s="84">
        <f>SUM(FU336,GG336,GS336,HE336)/SUM(FS336,FU336,GE336,GG336,GQ336,GS336,HC336,HE336)</f>
        <v>6.1667666466706655E-2</v>
      </c>
      <c r="IF336" s="86">
        <f>SUM(C336,O336,AA336,AM336,AY336)</f>
        <v>5</v>
      </c>
      <c r="IG336" s="86">
        <f>SUM(BK336,BW336,CI336,CU336,DG336)</f>
        <v>7</v>
      </c>
      <c r="IH336" s="86">
        <f>SUM(DS336,EE336,EQ336,FC336)</f>
        <v>6</v>
      </c>
      <c r="II336" s="86">
        <f>SUM(FO336,GA336,GM336,GY336)</f>
        <v>6</v>
      </c>
      <c r="IJ336" s="88" t="s">
        <v>89</v>
      </c>
    </row>
    <row r="337" spans="1:244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HK336/HM329</f>
        <v>2.070393374741201E-3</v>
      </c>
      <c r="HL337" s="66">
        <f>HL336/HN329</f>
        <v>2.232142857142857E-3</v>
      </c>
      <c r="HM337" s="45"/>
      <c r="HN337" s="45"/>
      <c r="HO337" s="45"/>
      <c r="HP337" s="98"/>
      <c r="HQ337" s="45"/>
      <c r="HR337" s="45"/>
      <c r="HS337" s="45"/>
      <c r="HT337" s="55"/>
      <c r="HU337" s="45"/>
      <c r="HV337" s="45"/>
      <c r="HW337" s="46"/>
      <c r="HY337" s="72"/>
      <c r="HZ337" s="72"/>
      <c r="IA337" s="72"/>
      <c r="IF337" s="86">
        <f>SUM(E326,Q326,AC326,AO326,BA326)</f>
        <v>3166</v>
      </c>
      <c r="IG337" s="86">
        <f>SUM(BM326,BY326,CK326,CW326,DI326)</f>
        <v>3076</v>
      </c>
      <c r="IH337" s="86">
        <f>SUM(DU326,EG326,ES326,FE326)</f>
        <v>2629</v>
      </c>
      <c r="II337" s="86">
        <f>SUM(FQ326,GC326,GO326,HA326)</f>
        <v>2724</v>
      </c>
      <c r="IJ337" s="88" t="s">
        <v>84</v>
      </c>
    </row>
    <row r="338" spans="1:244" x14ac:dyDescent="0.25">
      <c r="A338" s="373">
        <v>62</v>
      </c>
      <c r="B338" s="68">
        <f>B335+1</f>
        <v>45200</v>
      </c>
      <c r="C338" s="33"/>
      <c r="D338" s="34"/>
      <c r="E338" s="34">
        <f>E335-C338</f>
        <v>800</v>
      </c>
      <c r="F338" s="34">
        <f>F335-D338</f>
        <v>62</v>
      </c>
      <c r="G338" s="34">
        <v>305</v>
      </c>
      <c r="H338" s="35">
        <f t="shared" ref="H338:H344" si="3108">((G338+I338)/E338)</f>
        <v>0.40625</v>
      </c>
      <c r="I338" s="34">
        <v>20</v>
      </c>
      <c r="J338" s="35">
        <f t="shared" ref="J338:J344" si="3109">I338/(G338+I338)</f>
        <v>6.1538461538461542E-2</v>
      </c>
      <c r="K338" s="36"/>
      <c r="L338" s="34"/>
      <c r="M338" s="34"/>
      <c r="N338" s="37"/>
      <c r="O338" s="33">
        <v>1</v>
      </c>
      <c r="P338" s="34"/>
      <c r="Q338" s="34">
        <f>Q335-O338</f>
        <v>734</v>
      </c>
      <c r="R338" s="34">
        <f>R335-P338</f>
        <v>56</v>
      </c>
      <c r="S338" s="34">
        <v>266</v>
      </c>
      <c r="T338" s="35">
        <f t="shared" ref="T338:T344" si="3110">((S338+U338)/Q338)</f>
        <v>0.38555858310626701</v>
      </c>
      <c r="U338" s="34">
        <v>17</v>
      </c>
      <c r="V338" s="35">
        <f t="shared" ref="V338:V344" si="3111">U338/(S338+U338)</f>
        <v>6.0070671378091869E-2</v>
      </c>
      <c r="W338" s="36"/>
      <c r="X338" s="34"/>
      <c r="Y338" s="34"/>
      <c r="Z338" s="37"/>
      <c r="AA338" s="33"/>
      <c r="AB338" s="34"/>
      <c r="AC338" s="34">
        <f>AC335-AA338</f>
        <v>148</v>
      </c>
      <c r="AD338" s="34">
        <f>AD335-AB338</f>
        <v>11</v>
      </c>
      <c r="AE338" s="34">
        <v>45</v>
      </c>
      <c r="AF338" s="35">
        <f t="shared" ref="AF338:AF344" si="3112">((AE338+AG338)/AC338)</f>
        <v>0.35135135135135137</v>
      </c>
      <c r="AG338" s="34">
        <v>7</v>
      </c>
      <c r="AH338" s="35">
        <f t="shared" ref="AH338:AH344" si="3113">AG338/(AE338+AG338)</f>
        <v>0.13461538461538461</v>
      </c>
      <c r="AI338" s="36"/>
      <c r="AJ338" s="34"/>
      <c r="AK338" s="34"/>
      <c r="AL338" s="37"/>
      <c r="AM338" s="33"/>
      <c r="AN338" s="34"/>
      <c r="AO338" s="34">
        <f>AO335-AM338</f>
        <v>740</v>
      </c>
      <c r="AP338" s="34">
        <f>AP335-AN338</f>
        <v>57</v>
      </c>
      <c r="AQ338" s="34">
        <v>302</v>
      </c>
      <c r="AR338" s="35">
        <f t="shared" ref="AR338:AR344" si="3114">((AQ338+AS338)/AO338)</f>
        <v>0.42567567567567566</v>
      </c>
      <c r="AS338" s="34">
        <v>13</v>
      </c>
      <c r="AT338" s="35">
        <f t="shared" ref="AT338:AT344" si="3115">AS338/(AQ338+AS338)</f>
        <v>4.1269841269841269E-2</v>
      </c>
      <c r="AU338" s="36"/>
      <c r="AV338" s="34"/>
      <c r="AW338" s="34"/>
      <c r="AX338" s="37"/>
      <c r="AY338" s="33"/>
      <c r="AZ338" s="34"/>
      <c r="BA338" s="34">
        <f>BA335-AY338</f>
        <v>738</v>
      </c>
      <c r="BB338" s="34">
        <f>BB335-AZ338</f>
        <v>57</v>
      </c>
      <c r="BC338" s="34">
        <v>310</v>
      </c>
      <c r="BD338" s="35">
        <f t="shared" ref="BD338:BD344" si="3116">((BC338+BE338)/BA338)</f>
        <v>0.44579945799457993</v>
      </c>
      <c r="BE338" s="34">
        <v>19</v>
      </c>
      <c r="BF338" s="35">
        <f t="shared" ref="BF338:BF344" si="3117">BE338/(BC338+BE338)</f>
        <v>5.7750759878419454E-2</v>
      </c>
      <c r="BG338" s="36"/>
      <c r="BH338" s="34"/>
      <c r="BI338" s="34"/>
      <c r="BJ338" s="37"/>
      <c r="BK338" s="33"/>
      <c r="BL338" s="34"/>
      <c r="BM338" s="34">
        <f>BM335-BK338</f>
        <v>787</v>
      </c>
      <c r="BN338" s="34">
        <f>BN335-BL338</f>
        <v>61</v>
      </c>
      <c r="BO338" s="34">
        <v>256</v>
      </c>
      <c r="BP338" s="35">
        <f t="shared" ref="BP338:BP344" si="3118">((BO338+BQ338)/BM338)</f>
        <v>0.3468869123252859</v>
      </c>
      <c r="BQ338" s="34">
        <v>17</v>
      </c>
      <c r="BR338" s="35">
        <f t="shared" ref="BR338:BR344" si="3119">BQ338/(BO338+BQ338)</f>
        <v>6.2271062271062272E-2</v>
      </c>
      <c r="BS338" s="36"/>
      <c r="BT338" s="34"/>
      <c r="BU338" s="34"/>
      <c r="BV338" s="37"/>
      <c r="BW338" s="33">
        <v>1</v>
      </c>
      <c r="BX338" s="34"/>
      <c r="BY338" s="34">
        <f>BY335-BW338</f>
        <v>724</v>
      </c>
      <c r="BZ338" s="34">
        <f>BZ335-BX338</f>
        <v>57</v>
      </c>
      <c r="CA338" s="34">
        <v>237</v>
      </c>
      <c r="CB338" s="35">
        <f t="shared" ref="CB338:CB344" si="3120">((CA338+CC338)/BY338)</f>
        <v>0.35911602209944754</v>
      </c>
      <c r="CC338" s="34">
        <v>23</v>
      </c>
      <c r="CD338" s="35">
        <f t="shared" ref="CD338:CD344" si="3121">CC338/(CA338+CC338)</f>
        <v>8.8461538461538466E-2</v>
      </c>
      <c r="CE338" s="36"/>
      <c r="CF338" s="34"/>
      <c r="CG338" s="34"/>
      <c r="CH338" s="37"/>
      <c r="CI338" s="33">
        <v>1</v>
      </c>
      <c r="CJ338" s="34"/>
      <c r="CK338" s="34">
        <f>CK335-CI338</f>
        <v>123</v>
      </c>
      <c r="CL338" s="34">
        <f>CL335-CJ338</f>
        <v>10</v>
      </c>
      <c r="CM338" s="34">
        <v>38</v>
      </c>
      <c r="CN338" s="35">
        <f t="shared" ref="CN338:CN344" si="3122">((CM338+CO338)/CK338)</f>
        <v>0.34146341463414637</v>
      </c>
      <c r="CO338" s="34">
        <v>4</v>
      </c>
      <c r="CP338" s="35">
        <f t="shared" ref="CP338:CP344" si="3123">CO338/(CM338+CO338)</f>
        <v>9.5238095238095233E-2</v>
      </c>
      <c r="CQ338" s="36"/>
      <c r="CR338" s="34"/>
      <c r="CS338" s="34"/>
      <c r="CT338" s="37"/>
      <c r="CU338" s="33"/>
      <c r="CV338" s="34"/>
      <c r="CW338" s="34">
        <f>CW335-CU338</f>
        <v>716</v>
      </c>
      <c r="CX338" s="34">
        <f>CX335-CV338</f>
        <v>56</v>
      </c>
      <c r="CY338" s="34">
        <v>244</v>
      </c>
      <c r="CZ338" s="35">
        <f t="shared" ref="CZ338:CZ344" si="3124">((CY338+DA338)/CW338)</f>
        <v>0.35614525139664804</v>
      </c>
      <c r="DA338" s="34">
        <v>11</v>
      </c>
      <c r="DB338" s="35">
        <f t="shared" ref="DB338:DB344" si="3125">DA338/(CY338+DA338)</f>
        <v>4.3137254901960784E-2</v>
      </c>
      <c r="DC338" s="36"/>
      <c r="DD338" s="34"/>
      <c r="DE338" s="34"/>
      <c r="DF338" s="37"/>
      <c r="DG338" s="33"/>
      <c r="DH338" s="34"/>
      <c r="DI338" s="34">
        <f>DI335-DG338</f>
        <v>717</v>
      </c>
      <c r="DJ338" s="34">
        <f>DJ335-DH338</f>
        <v>56</v>
      </c>
      <c r="DK338" s="34">
        <v>252</v>
      </c>
      <c r="DL338" s="35">
        <f t="shared" ref="DL338:DL344" si="3126">((DK338+DM338)/DI338)</f>
        <v>0.37099023709902373</v>
      </c>
      <c r="DM338" s="34">
        <v>14</v>
      </c>
      <c r="DN338" s="35">
        <f t="shared" ref="DN338:DN344" si="3127">DM338/(DK338+DM338)</f>
        <v>5.2631578947368418E-2</v>
      </c>
      <c r="DO338" s="36"/>
      <c r="DP338" s="34"/>
      <c r="DQ338" s="34"/>
      <c r="DR338" s="37"/>
      <c r="DS338" s="33"/>
      <c r="DT338" s="34"/>
      <c r="DU338" s="34">
        <f>DU335-DS338</f>
        <v>805</v>
      </c>
      <c r="DV338" s="34">
        <f>DV335-DT338</f>
        <v>63</v>
      </c>
      <c r="DW338" s="34">
        <v>306</v>
      </c>
      <c r="DX338" s="35">
        <f t="shared" ref="DX338:DX344" si="3128">((DW338+DY338)/DU338)</f>
        <v>0.40869565217391307</v>
      </c>
      <c r="DY338" s="34">
        <v>23</v>
      </c>
      <c r="DZ338" s="35">
        <f t="shared" ref="DZ338:DZ344" si="3129">DY338/(DW338+DY338)</f>
        <v>6.9908814589665649E-2</v>
      </c>
      <c r="EA338" s="36"/>
      <c r="EB338" s="34"/>
      <c r="EC338" s="34"/>
      <c r="ED338" s="37"/>
      <c r="EE338" s="33"/>
      <c r="EF338" s="34"/>
      <c r="EG338" s="34">
        <f>EG335-EE338</f>
        <v>831</v>
      </c>
      <c r="EH338" s="34">
        <f>EH335-EF338</f>
        <v>62</v>
      </c>
      <c r="EI338" s="34">
        <v>309</v>
      </c>
      <c r="EJ338" s="35">
        <f t="shared" ref="EJ338:EJ344" si="3130">((EI338+EK338)/EG338)</f>
        <v>0.3983152827918171</v>
      </c>
      <c r="EK338" s="34">
        <v>22</v>
      </c>
      <c r="EL338" s="35">
        <f t="shared" ref="EL338:EL344" si="3131">EK338/(EI338+EK338)</f>
        <v>6.6465256797583083E-2</v>
      </c>
      <c r="EM338" s="36"/>
      <c r="EN338" s="34"/>
      <c r="EO338" s="34"/>
      <c r="EP338" s="37"/>
      <c r="EQ338" s="33"/>
      <c r="ER338" s="34"/>
      <c r="ES338" s="34">
        <f>ES335-EQ338</f>
        <v>148</v>
      </c>
      <c r="ET338" s="34">
        <f>ET335-ER338</f>
        <v>11</v>
      </c>
      <c r="EU338" s="34">
        <v>61</v>
      </c>
      <c r="EV338" s="35">
        <f t="shared" ref="EV338:EV344" si="3132">((EU338+EW338)/ES338)</f>
        <v>0.4391891891891892</v>
      </c>
      <c r="EW338" s="34">
        <v>4</v>
      </c>
      <c r="EX338" s="35">
        <f t="shared" ref="EX338:EX344" si="3133">EW338/(EU338+EW338)</f>
        <v>6.1538461538461542E-2</v>
      </c>
      <c r="EY338" s="36"/>
      <c r="EZ338" s="34"/>
      <c r="FA338" s="34"/>
      <c r="FB338" s="37"/>
      <c r="FC338" s="33">
        <v>2</v>
      </c>
      <c r="FD338" s="34"/>
      <c r="FE338" s="34">
        <f>FE335-FC338</f>
        <v>837</v>
      </c>
      <c r="FF338" s="34">
        <f>FF335-FD338</f>
        <v>65</v>
      </c>
      <c r="FG338" s="34">
        <v>334</v>
      </c>
      <c r="FH338" s="35">
        <f t="shared" ref="FH338:FH344" si="3134">((FG338+FI338)/FE338)</f>
        <v>0.42174432497013142</v>
      </c>
      <c r="FI338" s="34">
        <v>19</v>
      </c>
      <c r="FJ338" s="35">
        <f t="shared" ref="FJ338:FJ344" si="3135">FI338/(FG338+FI338)</f>
        <v>5.3824362606232294E-2</v>
      </c>
      <c r="FK338" s="36"/>
      <c r="FL338" s="34"/>
      <c r="FM338" s="34"/>
      <c r="FN338" s="37"/>
      <c r="FO338" s="33"/>
      <c r="FP338" s="34"/>
      <c r="FQ338" s="34">
        <f>FQ335-FO338</f>
        <v>843</v>
      </c>
      <c r="FR338" s="34">
        <f>FR335-FP338</f>
        <v>66</v>
      </c>
      <c r="FS338" s="34">
        <v>307</v>
      </c>
      <c r="FT338" s="35">
        <f t="shared" ref="FT338:FT344" si="3136">((FS338+FU338)/FQ338)</f>
        <v>0.39501779359430605</v>
      </c>
      <c r="FU338" s="34">
        <v>26</v>
      </c>
      <c r="FV338" s="35">
        <f t="shared" ref="FV338:FV344" si="3137">FU338/(FS338+FU338)</f>
        <v>7.8078078078078081E-2</v>
      </c>
      <c r="FW338" s="36"/>
      <c r="FX338" s="34"/>
      <c r="FY338" s="34"/>
      <c r="FZ338" s="37"/>
      <c r="GA338" s="33"/>
      <c r="GB338" s="34"/>
      <c r="GC338" s="34">
        <f>GC335-GA338</f>
        <v>860</v>
      </c>
      <c r="GD338" s="34">
        <f>GD335-GB338</f>
        <v>67</v>
      </c>
      <c r="GE338" s="34">
        <v>331</v>
      </c>
      <c r="GF338" s="35">
        <f t="shared" ref="GF338:GF344" si="3138">((GE338+GG338)/GC338)</f>
        <v>0.40697674418604651</v>
      </c>
      <c r="GG338" s="34">
        <v>19</v>
      </c>
      <c r="GH338" s="35">
        <f t="shared" ref="GH338:GH344" si="3139">GG338/(GE338+GG338)</f>
        <v>5.4285714285714284E-2</v>
      </c>
      <c r="GI338" s="36"/>
      <c r="GJ338" s="34"/>
      <c r="GK338" s="34"/>
      <c r="GL338" s="37"/>
      <c r="GM338" s="33">
        <v>1</v>
      </c>
      <c r="GN338" s="34"/>
      <c r="GO338" s="34">
        <f>GO335-GM338</f>
        <v>126</v>
      </c>
      <c r="GP338" s="34">
        <f>GP335-GN338</f>
        <v>9</v>
      </c>
      <c r="GQ338" s="34">
        <v>48</v>
      </c>
      <c r="GR338" s="35">
        <f t="shared" ref="GR338:GR344" si="3140">((GQ338+GS338)/GO338)</f>
        <v>0.41269841269841268</v>
      </c>
      <c r="GS338" s="34">
        <v>4</v>
      </c>
      <c r="GT338" s="35">
        <f t="shared" ref="GT338:GT344" si="3141">GS338/(GQ338+GS338)</f>
        <v>7.6923076923076927E-2</v>
      </c>
      <c r="GU338" s="36"/>
      <c r="GV338" s="34"/>
      <c r="GW338" s="34"/>
      <c r="GX338" s="37"/>
      <c r="GY338" s="33"/>
      <c r="GZ338" s="34"/>
      <c r="HA338" s="34">
        <f>HA335-GY338</f>
        <v>888</v>
      </c>
      <c r="HB338" s="34">
        <f>HB335-GZ338</f>
        <v>69</v>
      </c>
      <c r="HC338" s="34">
        <v>365</v>
      </c>
      <c r="HD338" s="35">
        <f t="shared" ref="HD338:HD344" si="3142">((HC338+HE338)/HA338)</f>
        <v>0.43018018018018017</v>
      </c>
      <c r="HE338" s="34">
        <v>17</v>
      </c>
      <c r="HF338" s="35">
        <f t="shared" ref="HF338:HF344" si="3143">HE338/(HC338+HE338)</f>
        <v>4.4502617801047119E-2</v>
      </c>
      <c r="HG338" s="36"/>
      <c r="HH338" s="34"/>
      <c r="HI338" s="34"/>
      <c r="HJ338" s="37"/>
      <c r="HK338" s="33">
        <f t="shared" ref="HK338:HK345" si="3144">+C338+O338+AA338+AM338+AY338+BK338+BW338+CI338+CU338+DG338+DS338+EE338+EQ338+FC338+FO338+GA338+GM338+GY338</f>
        <v>6</v>
      </c>
      <c r="HL338" s="34">
        <f t="shared" ref="HL338:HL345" si="3145">+D338+P338+AB338+AN338+AZ338+BL338+BX338+CJ338+CV338+DH338+DT338+EF338+ER338+FD338+FP338+GB338+GN338+GZ338</f>
        <v>0</v>
      </c>
      <c r="HM338" s="34">
        <f t="shared" ref="HM338:HM345" si="3146">+E338+Q338+AC338+AO338+BA338+BM338+BY338+CK338+CW338+DI338+DU338+EG338+ES338+FE338+FQ338+GC338+GO338+HA338</f>
        <v>11565</v>
      </c>
      <c r="HN338" s="34">
        <f t="shared" ref="HN338:HN345" si="3147">+F338+R338+AD338+AP338+BB338+BN338+BZ338+CL338+CX338+DJ338+DV338+EH338+ET338+FF338+FR338+GD338+GP338+HB338</f>
        <v>895</v>
      </c>
      <c r="HO338" s="34">
        <f t="shared" ref="HO338:HO345" si="3148">+G338+S338+AE338+AQ338+BC338+BO338+CA338+CM338+CY338+DK338+DW338+EI338+EU338+FG338+FS338+GE338+GQ338+HC338+I338+U338+AG338+AS338+BE338+BQ338+CC338+CO338+DA338+DM338+DY338+EK338+EW338+FI338+FU338+GG338+GS338+HE338</f>
        <v>4595</v>
      </c>
      <c r="HP338" s="94">
        <f t="shared" ref="HP338:HP344" si="3149">+(HO338)/HM338</f>
        <v>0.39731949848681364</v>
      </c>
      <c r="HQ338" s="48">
        <f t="shared" ref="HQ338:HQ345" si="3150">+I338+U338+AG338+AS338+BE338+BQ338+CC338+CO338+DA338+DM338+DY338+EK338+EW338+FI338+FU338+GG338+GS338+HE338</f>
        <v>279</v>
      </c>
      <c r="HR338" s="35">
        <f t="shared" ref="HR338:HR345" si="3151">+(HQ338/(HO338))</f>
        <v>6.071817192600653E-2</v>
      </c>
      <c r="HS338" s="49">
        <v>68.5</v>
      </c>
      <c r="HT338" s="50">
        <v>4184</v>
      </c>
      <c r="HU338" s="49">
        <f t="shared" ref="HU338:HU344" si="3152">+HT338/HO338*100</f>
        <v>91.055495103373232</v>
      </c>
      <c r="HV338" s="48"/>
      <c r="HW338" s="37"/>
      <c r="HX338" s="73">
        <f t="shared" ref="HX338:HX344" si="3153">SUM(G338,I338,S338,U338,AE338,AG338,AQ338,AS338,BC338,BE338)/SUM(E338,Q338,AC338,AO338,BA338)</f>
        <v>0.41265822784810124</v>
      </c>
      <c r="HY338" s="73">
        <f t="shared" ref="HY338:HY344" si="3154">SUM(BO338,BQ338,CA338,CC338,CM338,CO338,CY338,DA338,DK338,DM338)/SUM(BM338,BY338,CK338,CW338,DI338)</f>
        <v>0.35735246168894685</v>
      </c>
      <c r="HZ338" s="73">
        <f t="shared" ref="HZ338:HZ344" si="3155">SUM(DW338,DY338,EI338,EK338,EU338,EW338,FG338,FI338)/SUM(DU338,EG338,ES338,FE338)</f>
        <v>0.41129339946585275</v>
      </c>
      <c r="IA338" s="73">
        <f t="shared" ref="IA338:IA344" si="3156">SUM(FS338,FU338,GE338,GG338,GQ338,GS338,HC338,HE338)/SUM(FQ338,GC338,GO338,HA338)</f>
        <v>0.41111520058888479</v>
      </c>
    </row>
    <row r="339" spans="1:244" x14ac:dyDescent="0.25">
      <c r="A339" s="374"/>
      <c r="B339" s="41">
        <f t="shared" ref="B339:B344" si="3157">+B338+1</f>
        <v>45201</v>
      </c>
      <c r="C339" s="10"/>
      <c r="D339" s="11"/>
      <c r="E339" s="69">
        <f t="shared" ref="E339:E344" si="3158">E338-C339</f>
        <v>800</v>
      </c>
      <c r="F339" s="69">
        <f t="shared" ref="F339:F344" si="3159">F338-D339</f>
        <v>62</v>
      </c>
      <c r="G339" s="11">
        <v>310</v>
      </c>
      <c r="H339" s="12">
        <f t="shared" si="3108"/>
        <v>0.41249999999999998</v>
      </c>
      <c r="I339" s="11">
        <v>20</v>
      </c>
      <c r="J339" s="12">
        <f t="shared" si="3109"/>
        <v>6.0606060606060608E-2</v>
      </c>
      <c r="K339" s="13"/>
      <c r="L339" s="11"/>
      <c r="M339" s="11"/>
      <c r="N339" s="14"/>
      <c r="O339" s="10"/>
      <c r="P339" s="11"/>
      <c r="Q339" s="69">
        <f t="shared" ref="Q339:Q344" si="3160">Q338-O339</f>
        <v>734</v>
      </c>
      <c r="R339" s="69">
        <f t="shared" ref="R339:R344" si="3161">R338-P339</f>
        <v>56</v>
      </c>
      <c r="S339" s="11">
        <v>281</v>
      </c>
      <c r="T339" s="12">
        <f t="shared" si="3110"/>
        <v>0.41144414168937332</v>
      </c>
      <c r="U339" s="11">
        <v>21</v>
      </c>
      <c r="V339" s="12">
        <f t="shared" si="3111"/>
        <v>6.9536423841059597E-2</v>
      </c>
      <c r="W339" s="13"/>
      <c r="X339" s="11"/>
      <c r="Y339" s="11"/>
      <c r="Z339" s="14"/>
      <c r="AA339" s="10"/>
      <c r="AB339" s="11"/>
      <c r="AC339" s="69">
        <f t="shared" ref="AC339:AC344" si="3162">AC338-AA339</f>
        <v>148</v>
      </c>
      <c r="AD339" s="69">
        <f t="shared" ref="AD339:AD344" si="3163">AD338-AB339</f>
        <v>11</v>
      </c>
      <c r="AE339" s="11">
        <v>60</v>
      </c>
      <c r="AF339" s="12">
        <f t="shared" si="3112"/>
        <v>0.4391891891891892</v>
      </c>
      <c r="AG339" s="11">
        <v>5</v>
      </c>
      <c r="AH339" s="12">
        <f t="shared" si="3113"/>
        <v>7.6923076923076927E-2</v>
      </c>
      <c r="AI339" s="13"/>
      <c r="AJ339" s="11"/>
      <c r="AK339" s="11"/>
      <c r="AL339" s="14"/>
      <c r="AM339" s="10"/>
      <c r="AN339" s="11"/>
      <c r="AO339" s="69">
        <f t="shared" ref="AO339:AO344" si="3164">AO338-AM339</f>
        <v>740</v>
      </c>
      <c r="AP339" s="69">
        <f t="shared" ref="AP339:AP344" si="3165">AP338-AN339</f>
        <v>57</v>
      </c>
      <c r="AQ339" s="11">
        <v>323</v>
      </c>
      <c r="AR339" s="12">
        <f t="shared" si="3114"/>
        <v>0.45540540540540542</v>
      </c>
      <c r="AS339" s="11">
        <v>14</v>
      </c>
      <c r="AT339" s="12">
        <f t="shared" si="3115"/>
        <v>4.1543026706231452E-2</v>
      </c>
      <c r="AU339" s="13"/>
      <c r="AV339" s="11"/>
      <c r="AW339" s="11"/>
      <c r="AX339" s="14"/>
      <c r="AY339" s="10"/>
      <c r="AZ339" s="11"/>
      <c r="BA339" s="69">
        <f t="shared" ref="BA339:BA344" si="3166">BA338-AY339</f>
        <v>738</v>
      </c>
      <c r="BB339" s="69">
        <f t="shared" ref="BB339:BB344" si="3167">BB338-AZ339</f>
        <v>57</v>
      </c>
      <c r="BC339" s="11">
        <v>294</v>
      </c>
      <c r="BD339" s="12">
        <f t="shared" si="3116"/>
        <v>0.42547425474254741</v>
      </c>
      <c r="BE339" s="11">
        <v>20</v>
      </c>
      <c r="BF339" s="12">
        <f t="shared" si="3117"/>
        <v>6.3694267515923567E-2</v>
      </c>
      <c r="BG339" s="13"/>
      <c r="BH339" s="11"/>
      <c r="BI339" s="11"/>
      <c r="BJ339" s="14"/>
      <c r="BK339" s="10"/>
      <c r="BL339" s="11"/>
      <c r="BM339" s="69">
        <f t="shared" ref="BM339:BM344" si="3168">BM338-BK339</f>
        <v>787</v>
      </c>
      <c r="BN339" s="69">
        <f t="shared" ref="BN339:BN344" si="3169">BN338-BL339</f>
        <v>61</v>
      </c>
      <c r="BO339" s="11">
        <v>242</v>
      </c>
      <c r="BP339" s="12">
        <f t="shared" si="3118"/>
        <v>0.34434561626429477</v>
      </c>
      <c r="BQ339" s="11">
        <v>29</v>
      </c>
      <c r="BR339" s="12">
        <f t="shared" si="3119"/>
        <v>0.1070110701107011</v>
      </c>
      <c r="BS339" s="13"/>
      <c r="BT339" s="11"/>
      <c r="BU339" s="11"/>
      <c r="BV339" s="14"/>
      <c r="BW339" s="10">
        <v>1</v>
      </c>
      <c r="BX339" s="11"/>
      <c r="BY339" s="69">
        <f t="shared" ref="BY339:BY344" si="3170">BY338-BW339</f>
        <v>723</v>
      </c>
      <c r="BZ339" s="69">
        <f t="shared" ref="BZ339:BZ344" si="3171">BZ338-BX339</f>
        <v>57</v>
      </c>
      <c r="CA339" s="11">
        <v>235</v>
      </c>
      <c r="CB339" s="12">
        <f t="shared" si="3120"/>
        <v>0.34993084370677729</v>
      </c>
      <c r="CC339" s="11">
        <v>18</v>
      </c>
      <c r="CD339" s="12">
        <f t="shared" si="3121"/>
        <v>7.1146245059288543E-2</v>
      </c>
      <c r="CE339" s="13"/>
      <c r="CF339" s="11"/>
      <c r="CG339" s="11"/>
      <c r="CH339" s="14"/>
      <c r="CI339" s="10"/>
      <c r="CJ339" s="11"/>
      <c r="CK339" s="69">
        <f t="shared" ref="CK339:CK344" si="3172">CK338-CI339</f>
        <v>123</v>
      </c>
      <c r="CL339" s="69">
        <f t="shared" ref="CL339:CL344" si="3173">CL338-CJ339</f>
        <v>10</v>
      </c>
      <c r="CM339" s="11">
        <v>47</v>
      </c>
      <c r="CN339" s="12">
        <f t="shared" si="3122"/>
        <v>0.3983739837398374</v>
      </c>
      <c r="CO339" s="11">
        <v>2</v>
      </c>
      <c r="CP339" s="12">
        <f t="shared" si="3123"/>
        <v>4.0816326530612242E-2</v>
      </c>
      <c r="CQ339" s="13"/>
      <c r="CR339" s="11"/>
      <c r="CS339" s="11"/>
      <c r="CT339" s="14"/>
      <c r="CU339" s="10"/>
      <c r="CV339" s="11"/>
      <c r="CW339" s="69">
        <f t="shared" ref="CW339:CW344" si="3174">CW338-CU339</f>
        <v>716</v>
      </c>
      <c r="CX339" s="69">
        <f t="shared" ref="CX339:CX344" si="3175">CX338-CV339</f>
        <v>56</v>
      </c>
      <c r="CY339" s="11">
        <v>240</v>
      </c>
      <c r="CZ339" s="12">
        <f t="shared" si="3124"/>
        <v>0.36452513966480449</v>
      </c>
      <c r="DA339" s="11">
        <v>21</v>
      </c>
      <c r="DB339" s="12">
        <f t="shared" si="3125"/>
        <v>8.0459770114942528E-2</v>
      </c>
      <c r="DC339" s="13"/>
      <c r="DD339" s="11"/>
      <c r="DE339" s="11"/>
      <c r="DF339" s="14"/>
      <c r="DG339" s="10">
        <v>1</v>
      </c>
      <c r="DH339" s="11">
        <v>1</v>
      </c>
      <c r="DI339" s="69">
        <f t="shared" ref="DI339:DI344" si="3176">DI338-DG339</f>
        <v>716</v>
      </c>
      <c r="DJ339" s="69">
        <f t="shared" ref="DJ339:DJ344" si="3177">DJ338-DH339</f>
        <v>55</v>
      </c>
      <c r="DK339" s="11">
        <v>255</v>
      </c>
      <c r="DL339" s="12">
        <f t="shared" si="3126"/>
        <v>0.39525139664804471</v>
      </c>
      <c r="DM339" s="11">
        <v>28</v>
      </c>
      <c r="DN339" s="12">
        <f t="shared" si="3127"/>
        <v>9.8939929328621903E-2</v>
      </c>
      <c r="DO339" s="13"/>
      <c r="DP339" s="11"/>
      <c r="DQ339" s="11"/>
      <c r="DR339" s="14"/>
      <c r="DS339" s="10"/>
      <c r="DT339" s="11"/>
      <c r="DU339" s="69">
        <f t="shared" ref="DU339:DU344" si="3178">DU338-DS339</f>
        <v>805</v>
      </c>
      <c r="DV339" s="69">
        <f t="shared" ref="DV339:DV344" si="3179">DV338-DT339</f>
        <v>63</v>
      </c>
      <c r="DW339" s="11">
        <v>331</v>
      </c>
      <c r="DX339" s="12">
        <f t="shared" si="3128"/>
        <v>0.44099378881987578</v>
      </c>
      <c r="DY339" s="11">
        <v>24</v>
      </c>
      <c r="DZ339" s="12">
        <f t="shared" si="3129"/>
        <v>6.7605633802816895E-2</v>
      </c>
      <c r="EA339" s="13"/>
      <c r="EB339" s="11"/>
      <c r="EC339" s="11"/>
      <c r="ED339" s="14"/>
      <c r="EE339" s="10"/>
      <c r="EF339" s="11"/>
      <c r="EG339" s="69">
        <f t="shared" ref="EG339:EG344" si="3180">EG338-EE339</f>
        <v>831</v>
      </c>
      <c r="EH339" s="69">
        <f t="shared" ref="EH339:EH344" si="3181">EH338-EF339</f>
        <v>62</v>
      </c>
      <c r="EI339" s="11">
        <v>359</v>
      </c>
      <c r="EJ339" s="12">
        <f t="shared" si="3130"/>
        <v>0.46450060168471718</v>
      </c>
      <c r="EK339" s="11">
        <v>27</v>
      </c>
      <c r="EL339" s="12">
        <f t="shared" si="3131"/>
        <v>6.9948186528497408E-2</v>
      </c>
      <c r="EM339" s="13"/>
      <c r="EN339" s="11"/>
      <c r="EO339" s="11"/>
      <c r="EP339" s="14"/>
      <c r="EQ339" s="10">
        <v>1</v>
      </c>
      <c r="ER339" s="11"/>
      <c r="ES339" s="69">
        <f t="shared" ref="ES339:ES344" si="3182">ES338-EQ339</f>
        <v>147</v>
      </c>
      <c r="ET339" s="69">
        <f t="shared" ref="ET339:ET344" si="3183">ET338-ER339</f>
        <v>11</v>
      </c>
      <c r="EU339" s="11">
        <v>42</v>
      </c>
      <c r="EV339" s="12">
        <f t="shared" si="3132"/>
        <v>0.31292517006802723</v>
      </c>
      <c r="EW339" s="11">
        <v>4</v>
      </c>
      <c r="EX339" s="12">
        <f t="shared" si="3133"/>
        <v>8.6956521739130432E-2</v>
      </c>
      <c r="EY339" s="13"/>
      <c r="EZ339" s="11"/>
      <c r="FA339" s="11"/>
      <c r="FB339" s="14"/>
      <c r="FC339" s="10"/>
      <c r="FD339" s="11"/>
      <c r="FE339" s="69">
        <f t="shared" ref="FE339:FE344" si="3184">FE338-FC339</f>
        <v>837</v>
      </c>
      <c r="FF339" s="69">
        <f t="shared" ref="FF339:FF344" si="3185">FF338-FD339</f>
        <v>65</v>
      </c>
      <c r="FG339" s="11">
        <v>346</v>
      </c>
      <c r="FH339" s="12">
        <f t="shared" si="3134"/>
        <v>0.44444444444444442</v>
      </c>
      <c r="FI339" s="11">
        <v>26</v>
      </c>
      <c r="FJ339" s="12">
        <f t="shared" si="3135"/>
        <v>6.9892473118279563E-2</v>
      </c>
      <c r="FK339" s="13"/>
      <c r="FL339" s="11"/>
      <c r="FM339" s="11"/>
      <c r="FN339" s="14"/>
      <c r="FO339" s="10">
        <v>2</v>
      </c>
      <c r="FP339" s="11"/>
      <c r="FQ339" s="69">
        <f t="shared" ref="FQ339:FQ344" si="3186">FQ338-FO339</f>
        <v>841</v>
      </c>
      <c r="FR339" s="69">
        <f t="shared" ref="FR339:FR344" si="3187">FR338-FP339</f>
        <v>66</v>
      </c>
      <c r="FS339" s="11">
        <v>323</v>
      </c>
      <c r="FT339" s="12">
        <f t="shared" si="3136"/>
        <v>0.41617122473246138</v>
      </c>
      <c r="FU339" s="11">
        <v>27</v>
      </c>
      <c r="FV339" s="12">
        <f t="shared" si="3137"/>
        <v>7.7142857142857138E-2</v>
      </c>
      <c r="FW339" s="13"/>
      <c r="FX339" s="11"/>
      <c r="FY339" s="11"/>
      <c r="FZ339" s="14"/>
      <c r="GA339" s="10">
        <v>1</v>
      </c>
      <c r="GB339" s="11"/>
      <c r="GC339" s="69">
        <f t="shared" ref="GC339:GC344" si="3188">GC338-GA339</f>
        <v>859</v>
      </c>
      <c r="GD339" s="69">
        <f t="shared" ref="GD339:GD344" si="3189">GD338-GB339</f>
        <v>67</v>
      </c>
      <c r="GE339" s="11">
        <v>351</v>
      </c>
      <c r="GF339" s="12">
        <f t="shared" si="3138"/>
        <v>0.44353899883585562</v>
      </c>
      <c r="GG339" s="11">
        <v>30</v>
      </c>
      <c r="GH339" s="12">
        <f t="shared" si="3139"/>
        <v>7.874015748031496E-2</v>
      </c>
      <c r="GI339" s="13"/>
      <c r="GJ339" s="11"/>
      <c r="GK339" s="11"/>
      <c r="GL339" s="14"/>
      <c r="GM339" s="10"/>
      <c r="GN339" s="11"/>
      <c r="GO339" s="69">
        <f t="shared" ref="GO339:GO344" si="3190">GO338-GM339</f>
        <v>126</v>
      </c>
      <c r="GP339" s="69">
        <f t="shared" ref="GP339:GP344" si="3191">GP338-GN339</f>
        <v>9</v>
      </c>
      <c r="GQ339" s="11">
        <v>50</v>
      </c>
      <c r="GR339" s="12">
        <f t="shared" si="3140"/>
        <v>0.42063492063492064</v>
      </c>
      <c r="GS339" s="11">
        <v>3</v>
      </c>
      <c r="GT339" s="12">
        <f t="shared" si="3141"/>
        <v>5.6603773584905662E-2</v>
      </c>
      <c r="GU339" s="13"/>
      <c r="GV339" s="11"/>
      <c r="GW339" s="11"/>
      <c r="GX339" s="14"/>
      <c r="GY339" s="10">
        <v>1</v>
      </c>
      <c r="GZ339" s="11"/>
      <c r="HA339" s="69">
        <f t="shared" ref="HA339:HA344" si="3192">HA338-GY339</f>
        <v>887</v>
      </c>
      <c r="HB339" s="69">
        <f t="shared" ref="HB339:HB344" si="3193">HB338-GZ339</f>
        <v>69</v>
      </c>
      <c r="HC339" s="11">
        <v>335</v>
      </c>
      <c r="HD339" s="12">
        <f t="shared" si="3142"/>
        <v>0.41488162344983087</v>
      </c>
      <c r="HE339" s="11">
        <v>33</v>
      </c>
      <c r="HF339" s="12">
        <f t="shared" si="3143"/>
        <v>8.9673913043478257E-2</v>
      </c>
      <c r="HG339" s="13"/>
      <c r="HH339" s="11"/>
      <c r="HI339" s="11"/>
      <c r="HJ339" s="14"/>
      <c r="HK339" s="10">
        <f t="shared" si="3144"/>
        <v>7</v>
      </c>
      <c r="HL339" s="11">
        <f t="shared" si="3145"/>
        <v>1</v>
      </c>
      <c r="HM339" s="11">
        <f t="shared" si="3146"/>
        <v>11558</v>
      </c>
      <c r="HN339" s="11">
        <f t="shared" si="3147"/>
        <v>894</v>
      </c>
      <c r="HO339" s="11">
        <f t="shared" si="3148"/>
        <v>4776</v>
      </c>
      <c r="HP339" s="95">
        <f t="shared" si="3149"/>
        <v>0.41322028032531583</v>
      </c>
      <c r="HQ339" s="15">
        <f t="shared" si="3150"/>
        <v>352</v>
      </c>
      <c r="HR339" s="12">
        <f t="shared" si="3151"/>
        <v>7.3701842546063656E-2</v>
      </c>
      <c r="HS339" s="16">
        <v>68.400000000000006</v>
      </c>
      <c r="HT339" s="17">
        <v>4308</v>
      </c>
      <c r="HU339" s="16">
        <f t="shared" si="3152"/>
        <v>90.201005025125625</v>
      </c>
      <c r="HV339" s="15"/>
      <c r="HW339" s="14"/>
      <c r="HX339" s="73">
        <f t="shared" si="3153"/>
        <v>0.42658227848101266</v>
      </c>
      <c r="HY339" s="73">
        <f t="shared" si="3154"/>
        <v>0.36443719412724307</v>
      </c>
      <c r="HZ339" s="73">
        <f t="shared" si="3155"/>
        <v>0.44236641221374046</v>
      </c>
      <c r="IA339" s="73">
        <f t="shared" si="3156"/>
        <v>0.42462218945816438</v>
      </c>
    </row>
    <row r="340" spans="1:244" x14ac:dyDescent="0.25">
      <c r="A340" s="374"/>
      <c r="B340" s="41">
        <f t="shared" si="3157"/>
        <v>45202</v>
      </c>
      <c r="C340" s="10"/>
      <c r="D340" s="11"/>
      <c r="E340" s="69">
        <f t="shared" si="3158"/>
        <v>800</v>
      </c>
      <c r="F340" s="69">
        <f t="shared" si="3159"/>
        <v>62</v>
      </c>
      <c r="G340" s="11">
        <v>335</v>
      </c>
      <c r="H340" s="12">
        <f t="shared" si="3108"/>
        <v>0.43625000000000003</v>
      </c>
      <c r="I340" s="11">
        <v>14</v>
      </c>
      <c r="J340" s="12">
        <f t="shared" si="3109"/>
        <v>4.0114613180515762E-2</v>
      </c>
      <c r="K340" s="13"/>
      <c r="L340" s="11"/>
      <c r="M340" s="11"/>
      <c r="N340" s="14"/>
      <c r="O340" s="10">
        <v>1</v>
      </c>
      <c r="P340" s="11"/>
      <c r="Q340" s="69">
        <f t="shared" si="3160"/>
        <v>733</v>
      </c>
      <c r="R340" s="69">
        <f t="shared" si="3161"/>
        <v>56</v>
      </c>
      <c r="S340" s="11">
        <v>295</v>
      </c>
      <c r="T340" s="12">
        <f t="shared" si="3110"/>
        <v>0.42019099590723058</v>
      </c>
      <c r="U340" s="11">
        <v>13</v>
      </c>
      <c r="V340" s="12">
        <f t="shared" si="3111"/>
        <v>4.2207792207792208E-2</v>
      </c>
      <c r="W340" s="13"/>
      <c r="X340" s="11"/>
      <c r="Y340" s="11"/>
      <c r="Z340" s="14"/>
      <c r="AA340" s="10"/>
      <c r="AB340" s="11"/>
      <c r="AC340" s="69">
        <f t="shared" si="3162"/>
        <v>148</v>
      </c>
      <c r="AD340" s="69">
        <f t="shared" si="3163"/>
        <v>11</v>
      </c>
      <c r="AE340" s="11">
        <v>51</v>
      </c>
      <c r="AF340" s="12">
        <f t="shared" si="3112"/>
        <v>0.39189189189189189</v>
      </c>
      <c r="AG340" s="11">
        <v>7</v>
      </c>
      <c r="AH340" s="12">
        <f t="shared" si="3113"/>
        <v>0.1206896551724138</v>
      </c>
      <c r="AI340" s="13"/>
      <c r="AJ340" s="11"/>
      <c r="AK340" s="11"/>
      <c r="AL340" s="14"/>
      <c r="AM340" s="10"/>
      <c r="AN340" s="11"/>
      <c r="AO340" s="69">
        <f t="shared" si="3164"/>
        <v>740</v>
      </c>
      <c r="AP340" s="69">
        <f t="shared" si="3165"/>
        <v>57</v>
      </c>
      <c r="AQ340" s="11">
        <v>314</v>
      </c>
      <c r="AR340" s="12">
        <f t="shared" si="3114"/>
        <v>0.44054054054054054</v>
      </c>
      <c r="AS340" s="11">
        <v>12</v>
      </c>
      <c r="AT340" s="12">
        <f t="shared" si="3115"/>
        <v>3.6809815950920248E-2</v>
      </c>
      <c r="AU340" s="13"/>
      <c r="AV340" s="11"/>
      <c r="AW340" s="11"/>
      <c r="AX340" s="14"/>
      <c r="AY340" s="10">
        <v>1</v>
      </c>
      <c r="AZ340" s="11"/>
      <c r="BA340" s="69">
        <f t="shared" si="3166"/>
        <v>737</v>
      </c>
      <c r="BB340" s="69">
        <f t="shared" si="3167"/>
        <v>57</v>
      </c>
      <c r="BC340" s="11">
        <v>303</v>
      </c>
      <c r="BD340" s="12">
        <f t="shared" si="3116"/>
        <v>0.43690637720488468</v>
      </c>
      <c r="BE340" s="11">
        <v>19</v>
      </c>
      <c r="BF340" s="12">
        <f t="shared" si="3117"/>
        <v>5.9006211180124224E-2</v>
      </c>
      <c r="BG340" s="13"/>
      <c r="BH340" s="11"/>
      <c r="BI340" s="11"/>
      <c r="BJ340" s="14"/>
      <c r="BK340" s="10"/>
      <c r="BL340" s="11"/>
      <c r="BM340" s="69">
        <f t="shared" si="3168"/>
        <v>787</v>
      </c>
      <c r="BN340" s="69">
        <f t="shared" si="3169"/>
        <v>61</v>
      </c>
      <c r="BO340" s="11">
        <v>269</v>
      </c>
      <c r="BP340" s="12">
        <f t="shared" si="3118"/>
        <v>0.37357052096569249</v>
      </c>
      <c r="BQ340" s="11">
        <v>25</v>
      </c>
      <c r="BR340" s="12">
        <f t="shared" si="3119"/>
        <v>8.5034013605442174E-2</v>
      </c>
      <c r="BS340" s="13"/>
      <c r="BT340" s="11"/>
      <c r="BU340" s="11"/>
      <c r="BV340" s="14"/>
      <c r="BW340" s="10"/>
      <c r="BX340" s="11"/>
      <c r="BY340" s="69">
        <f t="shared" si="3170"/>
        <v>723</v>
      </c>
      <c r="BZ340" s="69">
        <f t="shared" si="3171"/>
        <v>57</v>
      </c>
      <c r="CA340" s="11">
        <v>257</v>
      </c>
      <c r="CB340" s="12">
        <f t="shared" si="3120"/>
        <v>0.38035961272475793</v>
      </c>
      <c r="CC340" s="11">
        <v>18</v>
      </c>
      <c r="CD340" s="12">
        <f t="shared" si="3121"/>
        <v>6.545454545454546E-2</v>
      </c>
      <c r="CE340" s="13"/>
      <c r="CF340" s="11"/>
      <c r="CG340" s="11"/>
      <c r="CH340" s="14"/>
      <c r="CI340" s="10"/>
      <c r="CJ340" s="11"/>
      <c r="CK340" s="69">
        <f t="shared" si="3172"/>
        <v>123</v>
      </c>
      <c r="CL340" s="69">
        <f t="shared" si="3173"/>
        <v>10</v>
      </c>
      <c r="CM340" s="11">
        <v>42</v>
      </c>
      <c r="CN340" s="12">
        <f t="shared" si="3122"/>
        <v>0.35772357723577236</v>
      </c>
      <c r="CO340" s="11">
        <v>2</v>
      </c>
      <c r="CP340" s="12">
        <f t="shared" si="3123"/>
        <v>4.5454545454545456E-2</v>
      </c>
      <c r="CQ340" s="13"/>
      <c r="CR340" s="11"/>
      <c r="CS340" s="11"/>
      <c r="CT340" s="14"/>
      <c r="CU340" s="10">
        <v>2</v>
      </c>
      <c r="CV340" s="11"/>
      <c r="CW340" s="69">
        <f t="shared" si="3174"/>
        <v>714</v>
      </c>
      <c r="CX340" s="69">
        <f t="shared" si="3175"/>
        <v>56</v>
      </c>
      <c r="CY340" s="11">
        <v>251</v>
      </c>
      <c r="CZ340" s="12">
        <f t="shared" si="3124"/>
        <v>0.36834733893557425</v>
      </c>
      <c r="DA340" s="11">
        <v>12</v>
      </c>
      <c r="DB340" s="12">
        <f t="shared" si="3125"/>
        <v>4.5627376425855515E-2</v>
      </c>
      <c r="DC340" s="13"/>
      <c r="DD340" s="11"/>
      <c r="DE340" s="11"/>
      <c r="DF340" s="14"/>
      <c r="DG340" s="10"/>
      <c r="DH340" s="11"/>
      <c r="DI340" s="69">
        <f t="shared" si="3176"/>
        <v>716</v>
      </c>
      <c r="DJ340" s="69">
        <f t="shared" si="3177"/>
        <v>55</v>
      </c>
      <c r="DK340" s="11">
        <v>281</v>
      </c>
      <c r="DL340" s="12">
        <f t="shared" si="3126"/>
        <v>0.41340782122905029</v>
      </c>
      <c r="DM340" s="11">
        <v>15</v>
      </c>
      <c r="DN340" s="12">
        <f t="shared" si="3127"/>
        <v>5.0675675675675678E-2</v>
      </c>
      <c r="DO340" s="13"/>
      <c r="DP340" s="11"/>
      <c r="DQ340" s="11"/>
      <c r="DR340" s="14"/>
      <c r="DS340" s="10"/>
      <c r="DT340" s="11"/>
      <c r="DU340" s="69">
        <v>1636</v>
      </c>
      <c r="DV340" s="69">
        <v>125</v>
      </c>
      <c r="DW340" s="11">
        <v>686</v>
      </c>
      <c r="DX340" s="12">
        <f t="shared" si="3128"/>
        <v>0.44132029339853301</v>
      </c>
      <c r="DY340" s="11">
        <v>36</v>
      </c>
      <c r="DZ340" s="12">
        <f t="shared" si="3129"/>
        <v>4.9861495844875349E-2</v>
      </c>
      <c r="EA340" s="13"/>
      <c r="EB340" s="11"/>
      <c r="EC340" s="11"/>
      <c r="ED340" s="14"/>
      <c r="EE340" s="10"/>
      <c r="EF340" s="11"/>
      <c r="EG340" s="69">
        <v>147</v>
      </c>
      <c r="EH340" s="69">
        <v>11</v>
      </c>
      <c r="EI340" s="11">
        <v>71</v>
      </c>
      <c r="EJ340" s="12">
        <f t="shared" si="3130"/>
        <v>0.51700680272108845</v>
      </c>
      <c r="EK340" s="11">
        <v>5</v>
      </c>
      <c r="EL340" s="12">
        <f t="shared" si="3131"/>
        <v>6.5789473684210523E-2</v>
      </c>
      <c r="EM340" s="13"/>
      <c r="EN340" s="11"/>
      <c r="EO340" s="11"/>
      <c r="EP340" s="14"/>
      <c r="EQ340" s="10"/>
      <c r="ER340" s="11"/>
      <c r="ES340" s="69">
        <v>837</v>
      </c>
      <c r="ET340" s="69">
        <v>65</v>
      </c>
      <c r="EU340" s="11">
        <v>369</v>
      </c>
      <c r="EV340" s="12">
        <f t="shared" si="3132"/>
        <v>0.46714456391875747</v>
      </c>
      <c r="EW340" s="11">
        <v>22</v>
      </c>
      <c r="EX340" s="12">
        <f t="shared" si="3133"/>
        <v>5.6265984654731455E-2</v>
      </c>
      <c r="EY340" s="13"/>
      <c r="EZ340" s="11"/>
      <c r="FA340" s="11"/>
      <c r="FB340" s="14"/>
      <c r="FC340" s="10"/>
      <c r="FD340" s="11"/>
      <c r="FE340" s="69">
        <v>0</v>
      </c>
      <c r="FF340" s="69">
        <v>0</v>
      </c>
      <c r="FG340" s="11"/>
      <c r="FH340" s="12" t="e">
        <f t="shared" si="3134"/>
        <v>#DIV/0!</v>
      </c>
      <c r="FI340" s="11"/>
      <c r="FJ340" s="12" t="e">
        <f t="shared" si="3135"/>
        <v>#DIV/0!</v>
      </c>
      <c r="FK340" s="13"/>
      <c r="FL340" s="11"/>
      <c r="FM340" s="11"/>
      <c r="FN340" s="14"/>
      <c r="FO340" s="10"/>
      <c r="FP340" s="11"/>
      <c r="FQ340" s="69">
        <v>1700</v>
      </c>
      <c r="FR340" s="69">
        <v>133</v>
      </c>
      <c r="FS340" s="11">
        <v>406</v>
      </c>
      <c r="FT340" s="12">
        <f t="shared" si="3136"/>
        <v>0.25352941176470589</v>
      </c>
      <c r="FU340" s="11">
        <v>25</v>
      </c>
      <c r="FV340" s="12">
        <f t="shared" si="3137"/>
        <v>5.8004640371229696E-2</v>
      </c>
      <c r="FW340" s="13"/>
      <c r="FX340" s="11"/>
      <c r="FY340" s="11"/>
      <c r="FZ340" s="14"/>
      <c r="GA340" s="10"/>
      <c r="GB340" s="11"/>
      <c r="GC340" s="69">
        <v>126</v>
      </c>
      <c r="GD340" s="69">
        <v>9</v>
      </c>
      <c r="GE340" s="11">
        <v>50</v>
      </c>
      <c r="GF340" s="12">
        <f t="shared" si="3138"/>
        <v>0.41269841269841268</v>
      </c>
      <c r="GG340" s="11">
        <v>2</v>
      </c>
      <c r="GH340" s="12">
        <f t="shared" si="3139"/>
        <v>3.8461538461538464E-2</v>
      </c>
      <c r="GI340" s="13"/>
      <c r="GJ340" s="11"/>
      <c r="GK340" s="11"/>
      <c r="GL340" s="14"/>
      <c r="GM340" s="10">
        <v>1</v>
      </c>
      <c r="GN340" s="11"/>
      <c r="GO340" s="69">
        <v>886</v>
      </c>
      <c r="GP340" s="69">
        <v>69</v>
      </c>
      <c r="GQ340" s="11">
        <v>662</v>
      </c>
      <c r="GR340" s="12">
        <f t="shared" si="3140"/>
        <v>0.79909706546275394</v>
      </c>
      <c r="GS340" s="11">
        <v>46</v>
      </c>
      <c r="GT340" s="12">
        <f t="shared" si="3141"/>
        <v>6.4971751412429377E-2</v>
      </c>
      <c r="GU340" s="13"/>
      <c r="GV340" s="11"/>
      <c r="GW340" s="11"/>
      <c r="GX340" s="14"/>
      <c r="GY340" s="10"/>
      <c r="GZ340" s="11"/>
      <c r="HA340" s="69">
        <v>0</v>
      </c>
      <c r="HB340" s="69">
        <v>0</v>
      </c>
      <c r="HC340" s="11"/>
      <c r="HD340" s="12" t="e">
        <f t="shared" si="3142"/>
        <v>#DIV/0!</v>
      </c>
      <c r="HE340" s="11"/>
      <c r="HF340" s="12" t="e">
        <f t="shared" si="3143"/>
        <v>#DIV/0!</v>
      </c>
      <c r="HG340" s="13"/>
      <c r="HH340" s="11"/>
      <c r="HI340" s="11"/>
      <c r="HJ340" s="14"/>
      <c r="HK340" s="10">
        <f t="shared" si="3144"/>
        <v>5</v>
      </c>
      <c r="HL340" s="11">
        <f t="shared" si="3145"/>
        <v>0</v>
      </c>
      <c r="HM340" s="11">
        <f t="shared" si="3146"/>
        <v>11553</v>
      </c>
      <c r="HN340" s="11">
        <f t="shared" si="3147"/>
        <v>894</v>
      </c>
      <c r="HO340" s="11">
        <f t="shared" si="3148"/>
        <v>4915</v>
      </c>
      <c r="HP340" s="95">
        <f t="shared" si="3149"/>
        <v>0.42543062408032545</v>
      </c>
      <c r="HQ340" s="15">
        <f t="shared" si="3150"/>
        <v>273</v>
      </c>
      <c r="HR340" s="12">
        <f t="shared" si="3151"/>
        <v>5.5544252288911494E-2</v>
      </c>
      <c r="HS340" s="16">
        <v>68.3</v>
      </c>
      <c r="HT340" s="17">
        <v>4514</v>
      </c>
      <c r="HU340" s="16">
        <f t="shared" si="3152"/>
        <v>91.841302136317395</v>
      </c>
      <c r="HV340" s="15"/>
      <c r="HW340" s="14"/>
      <c r="HX340" s="73">
        <f t="shared" si="3153"/>
        <v>0.43160227992400252</v>
      </c>
      <c r="HY340" s="73">
        <f t="shared" si="3154"/>
        <v>0.38263140711720534</v>
      </c>
      <c r="HZ340" s="73">
        <f t="shared" si="3155"/>
        <v>0.45381679389312979</v>
      </c>
      <c r="IA340" s="73">
        <f t="shared" si="3156"/>
        <v>0.43915929203539822</v>
      </c>
    </row>
    <row r="341" spans="1:244" x14ac:dyDescent="0.25">
      <c r="A341" s="374"/>
      <c r="B341" s="41">
        <f t="shared" si="3157"/>
        <v>45203</v>
      </c>
      <c r="C341" s="10">
        <v>1</v>
      </c>
      <c r="D341" s="11"/>
      <c r="E341" s="69">
        <f t="shared" si="3158"/>
        <v>799</v>
      </c>
      <c r="F341" s="69">
        <f t="shared" si="3159"/>
        <v>62</v>
      </c>
      <c r="G341" s="11">
        <v>299</v>
      </c>
      <c r="H341" s="12">
        <f t="shared" si="3108"/>
        <v>0.3904881101376721</v>
      </c>
      <c r="I341" s="11">
        <v>13</v>
      </c>
      <c r="J341" s="12">
        <f t="shared" si="3109"/>
        <v>4.1666666666666664E-2</v>
      </c>
      <c r="K341" s="11"/>
      <c r="L341" s="11"/>
      <c r="M341" s="18"/>
      <c r="N341" s="20"/>
      <c r="O341" s="10"/>
      <c r="P341" s="11"/>
      <c r="Q341" s="69">
        <f t="shared" si="3160"/>
        <v>733</v>
      </c>
      <c r="R341" s="69">
        <f t="shared" si="3161"/>
        <v>56</v>
      </c>
      <c r="S341" s="11">
        <v>257</v>
      </c>
      <c r="T341" s="12">
        <f t="shared" si="3110"/>
        <v>0.36971350613915416</v>
      </c>
      <c r="U341" s="11">
        <v>14</v>
      </c>
      <c r="V341" s="12">
        <f t="shared" si="3111"/>
        <v>5.1660516605166053E-2</v>
      </c>
      <c r="W341" s="11"/>
      <c r="X341" s="11"/>
      <c r="Y341" s="18"/>
      <c r="Z341" s="20"/>
      <c r="AA341" s="10"/>
      <c r="AB341" s="11"/>
      <c r="AC341" s="69">
        <f t="shared" si="3162"/>
        <v>148</v>
      </c>
      <c r="AD341" s="69">
        <f t="shared" si="3163"/>
        <v>11</v>
      </c>
      <c r="AE341" s="11">
        <v>61</v>
      </c>
      <c r="AF341" s="12">
        <f t="shared" si="3112"/>
        <v>0.44594594594594594</v>
      </c>
      <c r="AG341" s="11">
        <v>5</v>
      </c>
      <c r="AH341" s="12">
        <f t="shared" si="3113"/>
        <v>7.575757575757576E-2</v>
      </c>
      <c r="AI341" s="11"/>
      <c r="AJ341" s="11"/>
      <c r="AK341" s="18"/>
      <c r="AL341" s="20"/>
      <c r="AM341" s="10"/>
      <c r="AN341" s="11"/>
      <c r="AO341" s="69">
        <f t="shared" si="3164"/>
        <v>740</v>
      </c>
      <c r="AP341" s="69">
        <f t="shared" si="3165"/>
        <v>57</v>
      </c>
      <c r="AQ341" s="11">
        <v>288</v>
      </c>
      <c r="AR341" s="12">
        <f t="shared" si="3114"/>
        <v>0.40135135135135136</v>
      </c>
      <c r="AS341" s="11">
        <v>9</v>
      </c>
      <c r="AT341" s="12">
        <f t="shared" si="3115"/>
        <v>3.0303030303030304E-2</v>
      </c>
      <c r="AU341" s="11"/>
      <c r="AV341" s="11"/>
      <c r="AW341" s="18"/>
      <c r="AX341" s="20"/>
      <c r="AY341" s="10"/>
      <c r="AZ341" s="11"/>
      <c r="BA341" s="69">
        <f t="shared" si="3166"/>
        <v>737</v>
      </c>
      <c r="BB341" s="69">
        <f t="shared" si="3167"/>
        <v>57</v>
      </c>
      <c r="BC341" s="11">
        <v>246</v>
      </c>
      <c r="BD341" s="12">
        <f t="shared" si="3116"/>
        <v>0.36227951153324289</v>
      </c>
      <c r="BE341" s="11">
        <v>21</v>
      </c>
      <c r="BF341" s="12">
        <f t="shared" si="3117"/>
        <v>7.8651685393258425E-2</v>
      </c>
      <c r="BG341" s="11"/>
      <c r="BH341" s="11"/>
      <c r="BI341" s="18"/>
      <c r="BJ341" s="20"/>
      <c r="BK341" s="10">
        <v>1</v>
      </c>
      <c r="BL341" s="11"/>
      <c r="BM341" s="69">
        <f t="shared" si="3168"/>
        <v>786</v>
      </c>
      <c r="BN341" s="69">
        <f t="shared" si="3169"/>
        <v>61</v>
      </c>
      <c r="BO341" s="11">
        <v>262</v>
      </c>
      <c r="BP341" s="12">
        <f t="shared" si="3118"/>
        <v>0.34351145038167941</v>
      </c>
      <c r="BQ341" s="11">
        <v>8</v>
      </c>
      <c r="BR341" s="12">
        <f t="shared" si="3119"/>
        <v>2.9629629629629631E-2</v>
      </c>
      <c r="BS341" s="11"/>
      <c r="BT341" s="11"/>
      <c r="BU341" s="18"/>
      <c r="BV341" s="20"/>
      <c r="BW341" s="10"/>
      <c r="BX341" s="11"/>
      <c r="BY341" s="69">
        <f t="shared" si="3170"/>
        <v>723</v>
      </c>
      <c r="BZ341" s="69">
        <f t="shared" si="3171"/>
        <v>57</v>
      </c>
      <c r="CA341" s="11">
        <v>243</v>
      </c>
      <c r="CB341" s="12">
        <f t="shared" si="3120"/>
        <v>0.35546334716459199</v>
      </c>
      <c r="CC341" s="11">
        <v>14</v>
      </c>
      <c r="CD341" s="12">
        <f t="shared" si="3121"/>
        <v>5.4474708171206226E-2</v>
      </c>
      <c r="CE341" s="11"/>
      <c r="CF341" s="11"/>
      <c r="CG341" s="18"/>
      <c r="CH341" s="20"/>
      <c r="CI341" s="10"/>
      <c r="CJ341" s="11"/>
      <c r="CK341" s="69">
        <f t="shared" si="3172"/>
        <v>123</v>
      </c>
      <c r="CL341" s="69">
        <f t="shared" si="3173"/>
        <v>10</v>
      </c>
      <c r="CM341" s="11">
        <v>52</v>
      </c>
      <c r="CN341" s="12">
        <f t="shared" si="3122"/>
        <v>0.44715447154471544</v>
      </c>
      <c r="CO341" s="11">
        <v>3</v>
      </c>
      <c r="CP341" s="12">
        <f t="shared" si="3123"/>
        <v>5.4545454545454543E-2</v>
      </c>
      <c r="CQ341" s="11"/>
      <c r="CR341" s="11"/>
      <c r="CS341" s="18"/>
      <c r="CT341" s="20"/>
      <c r="CU341" s="10"/>
      <c r="CV341" s="11"/>
      <c r="CW341" s="69">
        <f t="shared" si="3174"/>
        <v>714</v>
      </c>
      <c r="CX341" s="69">
        <f t="shared" si="3175"/>
        <v>56</v>
      </c>
      <c r="CY341" s="11">
        <v>263</v>
      </c>
      <c r="CZ341" s="12">
        <f t="shared" si="3124"/>
        <v>0.38515406162464988</v>
      </c>
      <c r="DA341" s="11">
        <v>12</v>
      </c>
      <c r="DB341" s="12">
        <f t="shared" si="3125"/>
        <v>4.363636363636364E-2</v>
      </c>
      <c r="DC341" s="11"/>
      <c r="DD341" s="11"/>
      <c r="DE341" s="18"/>
      <c r="DF341" s="20"/>
      <c r="DG341" s="10"/>
      <c r="DH341" s="11"/>
      <c r="DI341" s="69">
        <f t="shared" si="3176"/>
        <v>716</v>
      </c>
      <c r="DJ341" s="69">
        <f t="shared" si="3177"/>
        <v>55</v>
      </c>
      <c r="DK341" s="11">
        <v>272</v>
      </c>
      <c r="DL341" s="12">
        <f t="shared" si="3126"/>
        <v>0.39664804469273746</v>
      </c>
      <c r="DM341" s="11">
        <v>12</v>
      </c>
      <c r="DN341" s="12">
        <f t="shared" si="3127"/>
        <v>4.2253521126760563E-2</v>
      </c>
      <c r="DO341" s="11"/>
      <c r="DP341" s="11"/>
      <c r="DQ341" s="18"/>
      <c r="DR341" s="20"/>
      <c r="DS341" s="10"/>
      <c r="DT341" s="11"/>
      <c r="DU341" s="69">
        <f t="shared" si="3178"/>
        <v>1636</v>
      </c>
      <c r="DV341" s="69">
        <f t="shared" si="3179"/>
        <v>125</v>
      </c>
      <c r="DW341" s="11">
        <v>621</v>
      </c>
      <c r="DX341" s="12">
        <f t="shared" si="3128"/>
        <v>0.40647921760391198</v>
      </c>
      <c r="DY341" s="11">
        <v>44</v>
      </c>
      <c r="DZ341" s="12">
        <f t="shared" si="3129"/>
        <v>6.616541353383458E-2</v>
      </c>
      <c r="EA341" s="11"/>
      <c r="EB341" s="11"/>
      <c r="EC341" s="18"/>
      <c r="ED341" s="20"/>
      <c r="EE341" s="10"/>
      <c r="EF341" s="11"/>
      <c r="EG341" s="69">
        <f t="shared" si="3180"/>
        <v>147</v>
      </c>
      <c r="EH341" s="69">
        <f t="shared" si="3181"/>
        <v>11</v>
      </c>
      <c r="EI341" s="11">
        <v>57</v>
      </c>
      <c r="EJ341" s="12">
        <f t="shared" si="3130"/>
        <v>0.40136054421768708</v>
      </c>
      <c r="EK341" s="11">
        <v>2</v>
      </c>
      <c r="EL341" s="12">
        <f t="shared" si="3131"/>
        <v>3.3898305084745763E-2</v>
      </c>
      <c r="EM341" s="11"/>
      <c r="EN341" s="11"/>
      <c r="EO341" s="18"/>
      <c r="EP341" s="20"/>
      <c r="EQ341" s="10"/>
      <c r="ER341" s="11"/>
      <c r="ES341" s="69">
        <f t="shared" si="3182"/>
        <v>837</v>
      </c>
      <c r="ET341" s="69">
        <f t="shared" si="3183"/>
        <v>65</v>
      </c>
      <c r="EU341" s="11">
        <v>314</v>
      </c>
      <c r="EV341" s="12">
        <f t="shared" si="3132"/>
        <v>0.39904420549581837</v>
      </c>
      <c r="EW341" s="11">
        <v>20</v>
      </c>
      <c r="EX341" s="12">
        <f t="shared" si="3133"/>
        <v>5.9880239520958084E-2</v>
      </c>
      <c r="EY341" s="11"/>
      <c r="EZ341" s="11"/>
      <c r="FA341" s="18"/>
      <c r="FB341" s="20"/>
      <c r="FC341" s="10"/>
      <c r="FD341" s="11"/>
      <c r="FE341" s="69">
        <f t="shared" si="3184"/>
        <v>0</v>
      </c>
      <c r="FF341" s="69">
        <f t="shared" si="3185"/>
        <v>0</v>
      </c>
      <c r="FG341" s="11"/>
      <c r="FH341" s="12" t="e">
        <f t="shared" si="3134"/>
        <v>#DIV/0!</v>
      </c>
      <c r="FI341" s="11"/>
      <c r="FJ341" s="12" t="e">
        <f t="shared" si="3135"/>
        <v>#DIV/0!</v>
      </c>
      <c r="FK341" s="11"/>
      <c r="FL341" s="11"/>
      <c r="FM341" s="18"/>
      <c r="FN341" s="20"/>
      <c r="FO341" s="10"/>
      <c r="FP341" s="11">
        <v>1</v>
      </c>
      <c r="FQ341" s="69">
        <f t="shared" si="3186"/>
        <v>1700</v>
      </c>
      <c r="FR341" s="69">
        <f t="shared" si="3187"/>
        <v>132</v>
      </c>
      <c r="FS341" s="11">
        <v>635</v>
      </c>
      <c r="FT341" s="12">
        <f t="shared" si="3136"/>
        <v>0.40470588235294119</v>
      </c>
      <c r="FU341" s="11">
        <v>53</v>
      </c>
      <c r="FV341" s="12">
        <f t="shared" si="3137"/>
        <v>7.7034883720930231E-2</v>
      </c>
      <c r="FW341" s="11"/>
      <c r="FX341" s="11"/>
      <c r="FY341" s="18"/>
      <c r="FZ341" s="20"/>
      <c r="GA341" s="10"/>
      <c r="GB341" s="11"/>
      <c r="GC341" s="69">
        <f t="shared" si="3188"/>
        <v>126</v>
      </c>
      <c r="GD341" s="69">
        <f t="shared" si="3189"/>
        <v>9</v>
      </c>
      <c r="GE341" s="11">
        <v>52</v>
      </c>
      <c r="GF341" s="12">
        <f t="shared" si="3138"/>
        <v>0.43650793650793651</v>
      </c>
      <c r="GG341" s="11">
        <v>3</v>
      </c>
      <c r="GH341" s="12">
        <f t="shared" si="3139"/>
        <v>5.4545454545454543E-2</v>
      </c>
      <c r="GI341" s="11"/>
      <c r="GJ341" s="11"/>
      <c r="GK341" s="18"/>
      <c r="GL341" s="20"/>
      <c r="GM341" s="10"/>
      <c r="GN341" s="11"/>
      <c r="GO341" s="69">
        <f t="shared" si="3190"/>
        <v>886</v>
      </c>
      <c r="GP341" s="69">
        <f t="shared" si="3191"/>
        <v>69</v>
      </c>
      <c r="GQ341" s="11">
        <v>365</v>
      </c>
      <c r="GR341" s="12">
        <f t="shared" si="3140"/>
        <v>0.44243792325056436</v>
      </c>
      <c r="GS341" s="11">
        <v>27</v>
      </c>
      <c r="GT341" s="12">
        <f t="shared" si="3141"/>
        <v>6.8877551020408156E-2</v>
      </c>
      <c r="GU341" s="11"/>
      <c r="GV341" s="11"/>
      <c r="GW341" s="18"/>
      <c r="GX341" s="20"/>
      <c r="GY341" s="10"/>
      <c r="GZ341" s="11"/>
      <c r="HA341" s="69">
        <f t="shared" si="3192"/>
        <v>0</v>
      </c>
      <c r="HB341" s="69">
        <f t="shared" si="3193"/>
        <v>0</v>
      </c>
      <c r="HC341" s="11"/>
      <c r="HD341" s="12" t="e">
        <f t="shared" si="3142"/>
        <v>#DIV/0!</v>
      </c>
      <c r="HE341" s="11"/>
      <c r="HF341" s="12" t="e">
        <f t="shared" si="3143"/>
        <v>#DIV/0!</v>
      </c>
      <c r="HG341" s="11"/>
      <c r="HH341" s="11"/>
      <c r="HI341" s="18"/>
      <c r="HJ341" s="20"/>
      <c r="HK341" s="10">
        <f t="shared" si="3144"/>
        <v>2</v>
      </c>
      <c r="HL341" s="11">
        <f t="shared" si="3145"/>
        <v>1</v>
      </c>
      <c r="HM341" s="11">
        <f t="shared" si="3146"/>
        <v>11551</v>
      </c>
      <c r="HN341" s="11">
        <f t="shared" si="3147"/>
        <v>893</v>
      </c>
      <c r="HO341" s="11">
        <f t="shared" si="3148"/>
        <v>4547</v>
      </c>
      <c r="HP341" s="95">
        <f t="shared" si="3149"/>
        <v>0.39364557181196436</v>
      </c>
      <c r="HQ341" s="15">
        <f t="shared" si="3150"/>
        <v>260</v>
      </c>
      <c r="HR341" s="12">
        <f t="shared" si="3151"/>
        <v>5.7180558610072575E-2</v>
      </c>
      <c r="HS341" s="16">
        <v>68.5</v>
      </c>
      <c r="HT341" s="17">
        <v>4156</v>
      </c>
      <c r="HU341" s="16">
        <f t="shared" si="3152"/>
        <v>91.400923685946779</v>
      </c>
      <c r="HV341" s="18"/>
      <c r="HW341" s="20"/>
      <c r="HX341" s="73">
        <f t="shared" si="3153"/>
        <v>0.38422553056699399</v>
      </c>
      <c r="HY341" s="73">
        <f t="shared" si="3154"/>
        <v>0.3726322664924886</v>
      </c>
      <c r="HZ341" s="73">
        <f t="shared" si="3155"/>
        <v>0.40381679389312974</v>
      </c>
      <c r="IA341" s="73">
        <f t="shared" si="3156"/>
        <v>0.41851032448377579</v>
      </c>
    </row>
    <row r="342" spans="1:244" x14ac:dyDescent="0.25">
      <c r="A342" s="374"/>
      <c r="B342" s="41">
        <f>+B341+1</f>
        <v>45204</v>
      </c>
      <c r="C342" s="10"/>
      <c r="D342" s="11"/>
      <c r="E342" s="69">
        <f t="shared" si="3158"/>
        <v>799</v>
      </c>
      <c r="F342" s="69">
        <f t="shared" si="3159"/>
        <v>62</v>
      </c>
      <c r="G342" s="11">
        <v>319</v>
      </c>
      <c r="H342" s="12">
        <f t="shared" si="3108"/>
        <v>0.42428035043804757</v>
      </c>
      <c r="I342" s="11">
        <v>20</v>
      </c>
      <c r="J342" s="12">
        <f t="shared" si="3109"/>
        <v>5.8997050147492625E-2</v>
      </c>
      <c r="K342" s="13"/>
      <c r="L342" s="13"/>
      <c r="M342" s="25">
        <v>4428</v>
      </c>
      <c r="N342" s="38">
        <v>4640</v>
      </c>
      <c r="O342" s="10"/>
      <c r="P342" s="11"/>
      <c r="Q342" s="69">
        <f t="shared" si="3160"/>
        <v>733</v>
      </c>
      <c r="R342" s="69">
        <f t="shared" si="3161"/>
        <v>56</v>
      </c>
      <c r="S342" s="11">
        <v>294</v>
      </c>
      <c r="T342" s="12">
        <f t="shared" si="3110"/>
        <v>0.43792633015006821</v>
      </c>
      <c r="U342" s="11">
        <v>27</v>
      </c>
      <c r="V342" s="12">
        <f t="shared" si="3111"/>
        <v>8.4112149532710276E-2</v>
      </c>
      <c r="W342" s="13"/>
      <c r="X342" s="13"/>
      <c r="Y342" s="25">
        <v>4428</v>
      </c>
      <c r="Z342" s="38">
        <v>4640</v>
      </c>
      <c r="AA342" s="10"/>
      <c r="AB342" s="11"/>
      <c r="AC342" s="69">
        <f t="shared" si="3162"/>
        <v>148</v>
      </c>
      <c r="AD342" s="69">
        <f t="shared" si="3163"/>
        <v>11</v>
      </c>
      <c r="AE342" s="11">
        <v>52</v>
      </c>
      <c r="AF342" s="12">
        <f t="shared" si="3112"/>
        <v>0.38513513513513514</v>
      </c>
      <c r="AG342" s="11">
        <v>5</v>
      </c>
      <c r="AH342" s="12">
        <f t="shared" si="3113"/>
        <v>8.771929824561403E-2</v>
      </c>
      <c r="AI342" s="13"/>
      <c r="AJ342" s="13"/>
      <c r="AK342" s="25">
        <v>4428</v>
      </c>
      <c r="AL342" s="38">
        <v>4640</v>
      </c>
      <c r="AM342" s="10"/>
      <c r="AN342" s="11"/>
      <c r="AO342" s="69">
        <f t="shared" si="3164"/>
        <v>740</v>
      </c>
      <c r="AP342" s="69">
        <f t="shared" si="3165"/>
        <v>57</v>
      </c>
      <c r="AQ342" s="11">
        <v>300</v>
      </c>
      <c r="AR342" s="12">
        <f t="shared" si="3114"/>
        <v>0.43513513513513513</v>
      </c>
      <c r="AS342" s="11">
        <v>22</v>
      </c>
      <c r="AT342" s="12">
        <f t="shared" si="3115"/>
        <v>6.8322981366459631E-2</v>
      </c>
      <c r="AU342" s="13"/>
      <c r="AV342" s="13"/>
      <c r="AW342" s="25">
        <v>4428</v>
      </c>
      <c r="AX342" s="38">
        <v>4640</v>
      </c>
      <c r="AY342" s="10"/>
      <c r="AZ342" s="11"/>
      <c r="BA342" s="69">
        <f t="shared" si="3166"/>
        <v>737</v>
      </c>
      <c r="BB342" s="69">
        <f t="shared" si="3167"/>
        <v>57</v>
      </c>
      <c r="BC342" s="11">
        <v>277</v>
      </c>
      <c r="BD342" s="12">
        <f t="shared" si="3116"/>
        <v>0.40705563093622793</v>
      </c>
      <c r="BE342" s="11">
        <v>23</v>
      </c>
      <c r="BF342" s="12">
        <f t="shared" si="3117"/>
        <v>7.6666666666666661E-2</v>
      </c>
      <c r="BG342" s="13"/>
      <c r="BH342" s="13"/>
      <c r="BI342" s="25">
        <v>4428</v>
      </c>
      <c r="BJ342" s="38">
        <v>4640</v>
      </c>
      <c r="BK342" s="10"/>
      <c r="BL342" s="11"/>
      <c r="BM342" s="69">
        <f t="shared" si="3168"/>
        <v>786</v>
      </c>
      <c r="BN342" s="69">
        <f t="shared" si="3169"/>
        <v>61</v>
      </c>
      <c r="BO342" s="11">
        <v>287</v>
      </c>
      <c r="BP342" s="12">
        <f t="shared" si="3118"/>
        <v>0.38295165394402036</v>
      </c>
      <c r="BQ342" s="11">
        <v>14</v>
      </c>
      <c r="BR342" s="12">
        <f t="shared" si="3119"/>
        <v>4.6511627906976744E-2</v>
      </c>
      <c r="BS342" s="13"/>
      <c r="BT342" s="13"/>
      <c r="BU342" s="25">
        <v>4428</v>
      </c>
      <c r="BV342" s="38">
        <v>4640</v>
      </c>
      <c r="BW342" s="10"/>
      <c r="BX342" s="11"/>
      <c r="BY342" s="69">
        <f t="shared" si="3170"/>
        <v>723</v>
      </c>
      <c r="BZ342" s="69">
        <f t="shared" si="3171"/>
        <v>57</v>
      </c>
      <c r="CA342" s="11">
        <v>247</v>
      </c>
      <c r="CB342" s="12">
        <f t="shared" si="3120"/>
        <v>0.36099585062240663</v>
      </c>
      <c r="CC342" s="11">
        <v>14</v>
      </c>
      <c r="CD342" s="12">
        <f t="shared" si="3121"/>
        <v>5.3639846743295021E-2</v>
      </c>
      <c r="CE342" s="13"/>
      <c r="CF342" s="13"/>
      <c r="CG342" s="25">
        <v>4428</v>
      </c>
      <c r="CH342" s="38">
        <v>4640</v>
      </c>
      <c r="CI342" s="10"/>
      <c r="CJ342" s="11"/>
      <c r="CK342" s="69">
        <f t="shared" si="3172"/>
        <v>123</v>
      </c>
      <c r="CL342" s="69">
        <f t="shared" si="3173"/>
        <v>10</v>
      </c>
      <c r="CM342" s="11">
        <v>43</v>
      </c>
      <c r="CN342" s="12">
        <f t="shared" si="3122"/>
        <v>0.38211382113821141</v>
      </c>
      <c r="CO342" s="11">
        <v>4</v>
      </c>
      <c r="CP342" s="12">
        <f t="shared" si="3123"/>
        <v>8.5106382978723402E-2</v>
      </c>
      <c r="CQ342" s="13"/>
      <c r="CR342" s="13"/>
      <c r="CS342" s="25">
        <v>4428</v>
      </c>
      <c r="CT342" s="38">
        <v>4640</v>
      </c>
      <c r="CU342" s="10"/>
      <c r="CV342" s="11"/>
      <c r="CW342" s="69">
        <f t="shared" si="3174"/>
        <v>714</v>
      </c>
      <c r="CX342" s="69">
        <f t="shared" si="3175"/>
        <v>56</v>
      </c>
      <c r="CY342" s="11">
        <v>267</v>
      </c>
      <c r="CZ342" s="12">
        <f t="shared" si="3124"/>
        <v>0.3907563025210084</v>
      </c>
      <c r="DA342" s="11">
        <v>12</v>
      </c>
      <c r="DB342" s="12">
        <f t="shared" si="3125"/>
        <v>4.3010752688172046E-2</v>
      </c>
      <c r="DC342" s="13"/>
      <c r="DD342" s="13"/>
      <c r="DE342" s="25">
        <v>4428</v>
      </c>
      <c r="DF342" s="38">
        <v>4640</v>
      </c>
      <c r="DG342" s="10">
        <v>3</v>
      </c>
      <c r="DH342" s="11"/>
      <c r="DI342" s="69">
        <f t="shared" si="3176"/>
        <v>713</v>
      </c>
      <c r="DJ342" s="69">
        <f t="shared" si="3177"/>
        <v>55</v>
      </c>
      <c r="DK342" s="11">
        <v>268</v>
      </c>
      <c r="DL342" s="12">
        <f t="shared" si="3126"/>
        <v>0.40112201963534361</v>
      </c>
      <c r="DM342" s="11">
        <v>18</v>
      </c>
      <c r="DN342" s="12">
        <f t="shared" si="3127"/>
        <v>6.2937062937062943E-2</v>
      </c>
      <c r="DO342" s="13"/>
      <c r="DP342" s="13"/>
      <c r="DQ342" s="25">
        <v>4428</v>
      </c>
      <c r="DR342" s="38">
        <v>4640</v>
      </c>
      <c r="DS342" s="10"/>
      <c r="DT342" s="11"/>
      <c r="DU342" s="69">
        <f t="shared" si="3178"/>
        <v>1636</v>
      </c>
      <c r="DV342" s="69">
        <f t="shared" si="3179"/>
        <v>125</v>
      </c>
      <c r="DW342" s="11">
        <v>680</v>
      </c>
      <c r="DX342" s="12">
        <f t="shared" si="3128"/>
        <v>0.44070904645476772</v>
      </c>
      <c r="DY342" s="11">
        <v>41</v>
      </c>
      <c r="DZ342" s="12">
        <f t="shared" si="3129"/>
        <v>5.6865464632454926E-2</v>
      </c>
      <c r="EA342" s="13"/>
      <c r="EB342" s="13"/>
      <c r="EC342" s="25">
        <v>4428</v>
      </c>
      <c r="ED342" s="38">
        <v>4640</v>
      </c>
      <c r="EE342" s="10"/>
      <c r="EF342" s="11"/>
      <c r="EG342" s="69">
        <f t="shared" si="3180"/>
        <v>147</v>
      </c>
      <c r="EH342" s="69">
        <f t="shared" si="3181"/>
        <v>11</v>
      </c>
      <c r="EI342" s="11">
        <v>62</v>
      </c>
      <c r="EJ342" s="12">
        <f t="shared" si="3130"/>
        <v>0.45578231292517007</v>
      </c>
      <c r="EK342" s="11">
        <v>5</v>
      </c>
      <c r="EL342" s="12">
        <f t="shared" si="3131"/>
        <v>7.4626865671641784E-2</v>
      </c>
      <c r="EM342" s="13"/>
      <c r="EN342" s="13"/>
      <c r="EO342" s="25">
        <v>4428</v>
      </c>
      <c r="EP342" s="38">
        <v>4640</v>
      </c>
      <c r="EQ342" s="10"/>
      <c r="ER342" s="11"/>
      <c r="ES342" s="69">
        <f t="shared" si="3182"/>
        <v>837</v>
      </c>
      <c r="ET342" s="69">
        <f t="shared" si="3183"/>
        <v>65</v>
      </c>
      <c r="EU342" s="11">
        <v>345</v>
      </c>
      <c r="EV342" s="12">
        <f t="shared" si="3132"/>
        <v>0.44563918757467147</v>
      </c>
      <c r="EW342" s="11">
        <v>28</v>
      </c>
      <c r="EX342" s="12">
        <f t="shared" si="3133"/>
        <v>7.5067024128686322E-2</v>
      </c>
      <c r="EY342" s="13"/>
      <c r="EZ342" s="13"/>
      <c r="FA342" s="25">
        <v>4428</v>
      </c>
      <c r="FB342" s="38">
        <v>4640</v>
      </c>
      <c r="FC342" s="10"/>
      <c r="FD342" s="11"/>
      <c r="FE342" s="69">
        <f t="shared" si="3184"/>
        <v>0</v>
      </c>
      <c r="FF342" s="69">
        <f t="shared" si="3185"/>
        <v>0</v>
      </c>
      <c r="FG342" s="11"/>
      <c r="FH342" s="12" t="e">
        <f t="shared" si="3134"/>
        <v>#DIV/0!</v>
      </c>
      <c r="FI342" s="11"/>
      <c r="FJ342" s="12" t="e">
        <f t="shared" si="3135"/>
        <v>#DIV/0!</v>
      </c>
      <c r="FK342" s="13"/>
      <c r="FL342" s="13"/>
      <c r="FM342" s="25"/>
      <c r="FN342" s="38"/>
      <c r="FO342" s="10"/>
      <c r="FP342" s="11"/>
      <c r="FQ342" s="69">
        <f t="shared" si="3186"/>
        <v>1700</v>
      </c>
      <c r="FR342" s="69">
        <f t="shared" si="3187"/>
        <v>132</v>
      </c>
      <c r="FS342" s="11">
        <v>644</v>
      </c>
      <c r="FT342" s="12">
        <f t="shared" si="3136"/>
        <v>0.40352941176470586</v>
      </c>
      <c r="FU342" s="11">
        <v>42</v>
      </c>
      <c r="FV342" s="12">
        <f t="shared" si="3137"/>
        <v>6.1224489795918366E-2</v>
      </c>
      <c r="FW342" s="13"/>
      <c r="FX342" s="13"/>
      <c r="FY342" s="25">
        <v>4428</v>
      </c>
      <c r="FZ342" s="38">
        <v>4640</v>
      </c>
      <c r="GA342" s="10"/>
      <c r="GB342" s="11"/>
      <c r="GC342" s="69">
        <f t="shared" si="3188"/>
        <v>126</v>
      </c>
      <c r="GD342" s="69">
        <f t="shared" si="3189"/>
        <v>9</v>
      </c>
      <c r="GE342" s="11">
        <v>50</v>
      </c>
      <c r="GF342" s="12">
        <f t="shared" si="3138"/>
        <v>0.44444444444444442</v>
      </c>
      <c r="GG342" s="11">
        <v>6</v>
      </c>
      <c r="GH342" s="12">
        <f t="shared" si="3139"/>
        <v>0.10714285714285714</v>
      </c>
      <c r="GI342" s="13"/>
      <c r="GJ342" s="13"/>
      <c r="GK342" s="25">
        <v>4428</v>
      </c>
      <c r="GL342" s="38">
        <v>4640</v>
      </c>
      <c r="GM342" s="10"/>
      <c r="GN342" s="11"/>
      <c r="GO342" s="69">
        <f t="shared" si="3190"/>
        <v>886</v>
      </c>
      <c r="GP342" s="69">
        <f t="shared" si="3191"/>
        <v>69</v>
      </c>
      <c r="GQ342" s="11">
        <v>368</v>
      </c>
      <c r="GR342" s="12">
        <f t="shared" si="3140"/>
        <v>0.44469525959367945</v>
      </c>
      <c r="GS342" s="11">
        <v>26</v>
      </c>
      <c r="GT342" s="12">
        <f t="shared" si="3141"/>
        <v>6.5989847715736044E-2</v>
      </c>
      <c r="GU342" s="13"/>
      <c r="GV342" s="13"/>
      <c r="GW342" s="25">
        <v>4428</v>
      </c>
      <c r="GX342" s="38">
        <v>4640</v>
      </c>
      <c r="GY342" s="10"/>
      <c r="GZ342" s="11"/>
      <c r="HA342" s="69">
        <f t="shared" si="3192"/>
        <v>0</v>
      </c>
      <c r="HB342" s="69">
        <f t="shared" si="3193"/>
        <v>0</v>
      </c>
      <c r="HC342" s="11"/>
      <c r="HD342" s="12" t="e">
        <f t="shared" si="3142"/>
        <v>#DIV/0!</v>
      </c>
      <c r="HE342" s="11"/>
      <c r="HF342" s="12" t="e">
        <f t="shared" si="3143"/>
        <v>#DIV/0!</v>
      </c>
      <c r="HG342" s="13"/>
      <c r="HH342" s="13"/>
      <c r="HI342" s="25"/>
      <c r="HJ342" s="38"/>
      <c r="HK342" s="10">
        <f t="shared" si="3144"/>
        <v>3</v>
      </c>
      <c r="HL342" s="11">
        <f t="shared" si="3145"/>
        <v>0</v>
      </c>
      <c r="HM342" s="11">
        <f t="shared" si="3146"/>
        <v>11548</v>
      </c>
      <c r="HN342" s="11">
        <f t="shared" si="3147"/>
        <v>893</v>
      </c>
      <c r="HO342" s="11">
        <f t="shared" si="3148"/>
        <v>4810</v>
      </c>
      <c r="HP342" s="95">
        <f t="shared" si="3149"/>
        <v>0.41652234153100104</v>
      </c>
      <c r="HQ342" s="15">
        <f t="shared" si="3150"/>
        <v>307</v>
      </c>
      <c r="HR342" s="12">
        <f t="shared" si="3151"/>
        <v>6.3825363825363829E-2</v>
      </c>
      <c r="HS342" s="16">
        <v>68.400000000000006</v>
      </c>
      <c r="HT342" s="17">
        <v>4388</v>
      </c>
      <c r="HU342" s="16">
        <f t="shared" si="3152"/>
        <v>91.226611226611226</v>
      </c>
      <c r="HV342" s="23">
        <v>4428</v>
      </c>
      <c r="HW342" s="22">
        <v>4640</v>
      </c>
      <c r="HX342" s="73">
        <f t="shared" si="3153"/>
        <v>0.42413683877098513</v>
      </c>
      <c r="HY342" s="73">
        <f t="shared" si="3154"/>
        <v>0.38378555083360577</v>
      </c>
      <c r="HZ342" s="73">
        <f t="shared" si="3155"/>
        <v>0.44312977099236639</v>
      </c>
      <c r="IA342" s="73">
        <f t="shared" si="3156"/>
        <v>0.41887905604719766</v>
      </c>
    </row>
    <row r="343" spans="1:244" x14ac:dyDescent="0.25">
      <c r="A343" s="374"/>
      <c r="B343" s="41">
        <f t="shared" si="3157"/>
        <v>45205</v>
      </c>
      <c r="C343" s="10">
        <v>1</v>
      </c>
      <c r="D343" s="11"/>
      <c r="E343" s="69">
        <f t="shared" si="3158"/>
        <v>798</v>
      </c>
      <c r="F343" s="69">
        <f t="shared" si="3159"/>
        <v>62</v>
      </c>
      <c r="G343" s="11">
        <v>332</v>
      </c>
      <c r="H343" s="12">
        <f t="shared" si="3108"/>
        <v>0.44235588972431078</v>
      </c>
      <c r="I343" s="11">
        <v>21</v>
      </c>
      <c r="J343" s="12">
        <f t="shared" si="3109"/>
        <v>5.9490084985835696E-2</v>
      </c>
      <c r="K343" s="13"/>
      <c r="L343" s="11"/>
      <c r="M343" s="25">
        <v>5061.9399999999996</v>
      </c>
      <c r="N343" s="38">
        <v>4942.5</v>
      </c>
      <c r="O343" s="10">
        <v>1</v>
      </c>
      <c r="P343" s="11"/>
      <c r="Q343" s="69">
        <f t="shared" si="3160"/>
        <v>732</v>
      </c>
      <c r="R343" s="69">
        <f t="shared" si="3161"/>
        <v>56</v>
      </c>
      <c r="S343" s="11">
        <v>280</v>
      </c>
      <c r="T343" s="12">
        <f t="shared" si="3110"/>
        <v>0.40710382513661203</v>
      </c>
      <c r="U343" s="11">
        <v>18</v>
      </c>
      <c r="V343" s="12">
        <f t="shared" si="3111"/>
        <v>6.0402684563758392E-2</v>
      </c>
      <c r="W343" s="13"/>
      <c r="X343" s="11"/>
      <c r="Y343" s="25">
        <v>4940.28</v>
      </c>
      <c r="Z343" s="38">
        <v>5237.5</v>
      </c>
      <c r="AA343" s="10"/>
      <c r="AB343" s="11"/>
      <c r="AC343" s="69">
        <f t="shared" si="3162"/>
        <v>148</v>
      </c>
      <c r="AD343" s="69">
        <f t="shared" si="3163"/>
        <v>11</v>
      </c>
      <c r="AE343" s="11">
        <v>61</v>
      </c>
      <c r="AF343" s="12">
        <f t="shared" si="3112"/>
        <v>0.43243243243243246</v>
      </c>
      <c r="AG343" s="11">
        <v>3</v>
      </c>
      <c r="AH343" s="12">
        <f t="shared" si="3113"/>
        <v>4.6875E-2</v>
      </c>
      <c r="AI343" s="13"/>
      <c r="AJ343" s="11"/>
      <c r="AK343" s="25">
        <v>4980</v>
      </c>
      <c r="AL343" s="38">
        <v>4620</v>
      </c>
      <c r="AM343" s="10"/>
      <c r="AN343" s="11"/>
      <c r="AO343" s="69">
        <f t="shared" si="3164"/>
        <v>740</v>
      </c>
      <c r="AP343" s="69">
        <f t="shared" si="3165"/>
        <v>57</v>
      </c>
      <c r="AQ343" s="11">
        <v>297</v>
      </c>
      <c r="AR343" s="12">
        <f t="shared" si="3114"/>
        <v>0.42162162162162165</v>
      </c>
      <c r="AS343" s="11">
        <v>15</v>
      </c>
      <c r="AT343" s="12">
        <f t="shared" si="3115"/>
        <v>4.807692307692308E-2</v>
      </c>
      <c r="AU343" s="13"/>
      <c r="AV343" s="11"/>
      <c r="AW343" s="25">
        <v>5068.7</v>
      </c>
      <c r="AX343" s="38">
        <v>5409.17</v>
      </c>
      <c r="AY343" s="10"/>
      <c r="AZ343" s="11"/>
      <c r="BA343" s="69">
        <f t="shared" si="3166"/>
        <v>737</v>
      </c>
      <c r="BB343" s="69">
        <f t="shared" si="3167"/>
        <v>57</v>
      </c>
      <c r="BC343" s="11">
        <v>290</v>
      </c>
      <c r="BD343" s="12">
        <f t="shared" si="3116"/>
        <v>0.41926729986431477</v>
      </c>
      <c r="BE343" s="11">
        <v>19</v>
      </c>
      <c r="BF343" s="12">
        <f t="shared" si="3117"/>
        <v>6.1488673139158574E-2</v>
      </c>
      <c r="BG343" s="13"/>
      <c r="BH343" s="11"/>
      <c r="BI343" s="25">
        <v>5105.67</v>
      </c>
      <c r="BJ343" s="38">
        <v>5546.92</v>
      </c>
      <c r="BK343" s="10"/>
      <c r="BL343" s="11"/>
      <c r="BM343" s="69">
        <f t="shared" si="3168"/>
        <v>786</v>
      </c>
      <c r="BN343" s="69">
        <f t="shared" si="3169"/>
        <v>61</v>
      </c>
      <c r="BO343" s="11">
        <v>288</v>
      </c>
      <c r="BP343" s="12">
        <f t="shared" si="3118"/>
        <v>0.38422391857506361</v>
      </c>
      <c r="BQ343" s="11">
        <v>14</v>
      </c>
      <c r="BR343" s="12">
        <f t="shared" si="3119"/>
        <v>4.6357615894039736E-2</v>
      </c>
      <c r="BS343" s="13"/>
      <c r="BT343" s="11"/>
      <c r="BU343" s="25">
        <v>4851.47</v>
      </c>
      <c r="BV343" s="38">
        <v>5171.67</v>
      </c>
      <c r="BW343" s="10"/>
      <c r="BX343" s="11"/>
      <c r="BY343" s="69">
        <f t="shared" si="3170"/>
        <v>723</v>
      </c>
      <c r="BZ343" s="69">
        <f t="shared" si="3171"/>
        <v>57</v>
      </c>
      <c r="CA343" s="11">
        <v>264</v>
      </c>
      <c r="CB343" s="12">
        <f t="shared" si="3120"/>
        <v>0.37621023513139695</v>
      </c>
      <c r="CC343" s="11">
        <v>8</v>
      </c>
      <c r="CD343" s="12">
        <f t="shared" si="3121"/>
        <v>2.9411764705882353E-2</v>
      </c>
      <c r="CE343" s="13"/>
      <c r="CF343" s="11"/>
      <c r="CG343" s="25">
        <v>4896.67</v>
      </c>
      <c r="CH343" s="38">
        <v>5483.64</v>
      </c>
      <c r="CI343" s="10"/>
      <c r="CJ343" s="11"/>
      <c r="CK343" s="69">
        <f t="shared" si="3172"/>
        <v>123</v>
      </c>
      <c r="CL343" s="69">
        <f t="shared" si="3173"/>
        <v>10</v>
      </c>
      <c r="CM343" s="11">
        <v>39</v>
      </c>
      <c r="CN343" s="12">
        <f t="shared" si="3122"/>
        <v>0.33333333333333331</v>
      </c>
      <c r="CO343" s="11">
        <v>2</v>
      </c>
      <c r="CP343" s="12">
        <f t="shared" si="3123"/>
        <v>4.878048780487805E-2</v>
      </c>
      <c r="CQ343" s="13"/>
      <c r="CR343" s="11"/>
      <c r="CS343" s="25">
        <v>4804.4399999999996</v>
      </c>
      <c r="CT343" s="38">
        <v>4830</v>
      </c>
      <c r="CU343" s="10"/>
      <c r="CV343" s="11"/>
      <c r="CW343" s="69">
        <f t="shared" si="3174"/>
        <v>714</v>
      </c>
      <c r="CX343" s="69">
        <f t="shared" si="3175"/>
        <v>56</v>
      </c>
      <c r="CY343" s="11">
        <v>260</v>
      </c>
      <c r="CZ343" s="12">
        <f t="shared" si="3124"/>
        <v>0.38235294117647056</v>
      </c>
      <c r="DA343" s="11">
        <v>13</v>
      </c>
      <c r="DB343" s="12">
        <f t="shared" si="3125"/>
        <v>4.7619047619047616E-2</v>
      </c>
      <c r="DC343" s="13"/>
      <c r="DD343" s="11"/>
      <c r="DE343" s="25">
        <v>4951.5600000000004</v>
      </c>
      <c r="DF343" s="38">
        <v>5126.67</v>
      </c>
      <c r="DG343" s="10">
        <v>1</v>
      </c>
      <c r="DH343" s="11"/>
      <c r="DI343" s="69">
        <f t="shared" si="3176"/>
        <v>712</v>
      </c>
      <c r="DJ343" s="69">
        <f t="shared" si="3177"/>
        <v>55</v>
      </c>
      <c r="DK343" s="11">
        <v>270</v>
      </c>
      <c r="DL343" s="12">
        <f t="shared" si="3126"/>
        <v>0.3960674157303371</v>
      </c>
      <c r="DM343" s="11">
        <v>12</v>
      </c>
      <c r="DN343" s="12">
        <f t="shared" si="3127"/>
        <v>4.2553191489361701E-2</v>
      </c>
      <c r="DO343" s="13"/>
      <c r="DP343" s="11"/>
      <c r="DQ343" s="25">
        <v>5222</v>
      </c>
      <c r="DR343" s="38">
        <v>5697.27</v>
      </c>
      <c r="DS343" s="10">
        <v>1</v>
      </c>
      <c r="DT343" s="11"/>
      <c r="DU343" s="69">
        <f t="shared" si="3178"/>
        <v>1635</v>
      </c>
      <c r="DV343" s="69">
        <f t="shared" si="3179"/>
        <v>125</v>
      </c>
      <c r="DW343" s="11">
        <v>652</v>
      </c>
      <c r="DX343" s="12">
        <f t="shared" si="3128"/>
        <v>0.42079510703363915</v>
      </c>
      <c r="DY343" s="11">
        <v>36</v>
      </c>
      <c r="DZ343" s="12">
        <f t="shared" si="3129"/>
        <v>5.232558139534884E-2</v>
      </c>
      <c r="EA343" s="13"/>
      <c r="EB343" s="11"/>
      <c r="EC343" s="25">
        <v>4975.68</v>
      </c>
      <c r="ED343" s="38">
        <v>5305.77</v>
      </c>
      <c r="EE343" s="10"/>
      <c r="EF343" s="11"/>
      <c r="EG343" s="69">
        <f t="shared" si="3180"/>
        <v>147</v>
      </c>
      <c r="EH343" s="69">
        <f t="shared" si="3181"/>
        <v>11</v>
      </c>
      <c r="EI343" s="11">
        <v>65</v>
      </c>
      <c r="EJ343" s="12">
        <f t="shared" si="3130"/>
        <v>0.48979591836734693</v>
      </c>
      <c r="EK343" s="11">
        <v>7</v>
      </c>
      <c r="EL343" s="12">
        <f t="shared" si="3131"/>
        <v>9.7222222222222224E-2</v>
      </c>
      <c r="EM343" s="13"/>
      <c r="EN343" s="11"/>
      <c r="EO343" s="25">
        <v>4674.55</v>
      </c>
      <c r="EP343" s="38">
        <v>4495</v>
      </c>
      <c r="EQ343" s="10"/>
      <c r="ER343" s="11"/>
      <c r="ES343" s="69">
        <f t="shared" si="3182"/>
        <v>837</v>
      </c>
      <c r="ET343" s="69">
        <f t="shared" si="3183"/>
        <v>65</v>
      </c>
      <c r="EU343" s="11">
        <v>357</v>
      </c>
      <c r="EV343" s="12">
        <f t="shared" si="3132"/>
        <v>0.45758661887694146</v>
      </c>
      <c r="EW343" s="11">
        <v>26</v>
      </c>
      <c r="EX343" s="12">
        <f t="shared" si="3133"/>
        <v>6.7885117493472591E-2</v>
      </c>
      <c r="EY343" s="13"/>
      <c r="EZ343" s="11"/>
      <c r="FA343" s="25">
        <v>5233.26</v>
      </c>
      <c r="FB343" s="38">
        <v>5545</v>
      </c>
      <c r="FC343" s="10"/>
      <c r="FD343" s="11"/>
      <c r="FE343" s="69">
        <f t="shared" si="3184"/>
        <v>0</v>
      </c>
      <c r="FF343" s="69">
        <f t="shared" si="3185"/>
        <v>0</v>
      </c>
      <c r="FG343" s="11"/>
      <c r="FH343" s="12" t="e">
        <f t="shared" si="3134"/>
        <v>#DIV/0!</v>
      </c>
      <c r="FI343" s="11"/>
      <c r="FJ343" s="12" t="e">
        <f t="shared" si="3135"/>
        <v>#DIV/0!</v>
      </c>
      <c r="FK343" s="13"/>
      <c r="FL343" s="11"/>
      <c r="FM343" s="25"/>
      <c r="FN343" s="38"/>
      <c r="FO343" s="10">
        <v>1</v>
      </c>
      <c r="FP343" s="11"/>
      <c r="FQ343" s="69">
        <f t="shared" si="3186"/>
        <v>1699</v>
      </c>
      <c r="FR343" s="69">
        <f t="shared" si="3187"/>
        <v>132</v>
      </c>
      <c r="FS343" s="11">
        <v>653</v>
      </c>
      <c r="FT343" s="12">
        <f t="shared" si="3136"/>
        <v>0.41082989994114183</v>
      </c>
      <c r="FU343" s="11">
        <v>45</v>
      </c>
      <c r="FV343" s="12">
        <f t="shared" si="3137"/>
        <v>6.4469914040114609E-2</v>
      </c>
      <c r="FW343" s="13"/>
      <c r="FX343" s="11"/>
      <c r="FY343" s="25">
        <v>5032.6000000000004</v>
      </c>
      <c r="FZ343" s="38">
        <v>5102.1899999999996</v>
      </c>
      <c r="GA343" s="10"/>
      <c r="GB343" s="11"/>
      <c r="GC343" s="69">
        <f t="shared" si="3188"/>
        <v>126</v>
      </c>
      <c r="GD343" s="69">
        <f t="shared" si="3189"/>
        <v>9</v>
      </c>
      <c r="GE343" s="11">
        <v>45</v>
      </c>
      <c r="GF343" s="12">
        <f t="shared" si="3138"/>
        <v>0.38095238095238093</v>
      </c>
      <c r="GG343" s="11">
        <v>3</v>
      </c>
      <c r="GH343" s="12">
        <f t="shared" si="3139"/>
        <v>6.25E-2</v>
      </c>
      <c r="GI343" s="13"/>
      <c r="GJ343" s="11"/>
      <c r="GK343" s="25">
        <v>5105.83</v>
      </c>
      <c r="GL343" s="38">
        <v>5300</v>
      </c>
      <c r="GM343" s="10"/>
      <c r="GN343" s="11"/>
      <c r="GO343" s="69">
        <f t="shared" si="3190"/>
        <v>886</v>
      </c>
      <c r="GP343" s="69">
        <f t="shared" si="3191"/>
        <v>69</v>
      </c>
      <c r="GQ343" s="11">
        <v>390</v>
      </c>
      <c r="GR343" s="12">
        <f t="shared" si="3140"/>
        <v>0.47065462753950338</v>
      </c>
      <c r="GS343" s="11">
        <v>27</v>
      </c>
      <c r="GT343" s="12">
        <f t="shared" si="3141"/>
        <v>6.4748201438848921E-2</v>
      </c>
      <c r="GU343" s="13"/>
      <c r="GV343" s="11"/>
      <c r="GW343" s="25">
        <v>4929.6000000000004</v>
      </c>
      <c r="GX343" s="38">
        <v>5550.7</v>
      </c>
      <c r="GY343" s="10"/>
      <c r="GZ343" s="11"/>
      <c r="HA343" s="69">
        <f t="shared" si="3192"/>
        <v>0</v>
      </c>
      <c r="HB343" s="69">
        <f t="shared" si="3193"/>
        <v>0</v>
      </c>
      <c r="HC343" s="11"/>
      <c r="HD343" s="12" t="e">
        <f t="shared" si="3142"/>
        <v>#DIV/0!</v>
      </c>
      <c r="HE343" s="11"/>
      <c r="HF343" s="12" t="e">
        <f t="shared" si="3143"/>
        <v>#DIV/0!</v>
      </c>
      <c r="HG343" s="13"/>
      <c r="HH343" s="11"/>
      <c r="HI343" s="25"/>
      <c r="HJ343" s="38"/>
      <c r="HK343" s="10">
        <f t="shared" si="3144"/>
        <v>5</v>
      </c>
      <c r="HL343" s="11">
        <f t="shared" si="3145"/>
        <v>0</v>
      </c>
      <c r="HM343" s="11">
        <f t="shared" si="3146"/>
        <v>11543</v>
      </c>
      <c r="HN343" s="11">
        <f t="shared" si="3147"/>
        <v>893</v>
      </c>
      <c r="HO343" s="11">
        <f t="shared" si="3148"/>
        <v>4812</v>
      </c>
      <c r="HP343" s="95">
        <f t="shared" si="3149"/>
        <v>0.41687602876202029</v>
      </c>
      <c r="HQ343" s="15">
        <f t="shared" si="3150"/>
        <v>269</v>
      </c>
      <c r="HR343" s="12">
        <f t="shared" si="3151"/>
        <v>5.590191188694929E-2</v>
      </c>
      <c r="HS343" s="16">
        <v>68.900000000000006</v>
      </c>
      <c r="HT343" s="17">
        <v>4451</v>
      </c>
      <c r="HU343" s="16">
        <f t="shared" si="3152"/>
        <v>92.497921862011637</v>
      </c>
      <c r="HV343" s="23">
        <v>5008.26</v>
      </c>
      <c r="HW343" s="22">
        <v>5286</v>
      </c>
      <c r="HX343" s="73">
        <f t="shared" si="3153"/>
        <v>0.42345483359746433</v>
      </c>
      <c r="HY343" s="73">
        <f t="shared" si="3154"/>
        <v>0.38260300850228907</v>
      </c>
      <c r="HZ343" s="73">
        <f t="shared" si="3155"/>
        <v>0.43642611683848798</v>
      </c>
      <c r="IA343" s="73">
        <f t="shared" si="3156"/>
        <v>0.42899299151604575</v>
      </c>
    </row>
    <row r="344" spans="1:244" x14ac:dyDescent="0.25">
      <c r="A344" s="374"/>
      <c r="B344" s="41">
        <f t="shared" si="3157"/>
        <v>45206</v>
      </c>
      <c r="C344" s="10"/>
      <c r="D344" s="11"/>
      <c r="E344" s="69">
        <f t="shared" si="3158"/>
        <v>798</v>
      </c>
      <c r="F344" s="69">
        <f t="shared" si="3159"/>
        <v>62</v>
      </c>
      <c r="G344" s="11">
        <v>308</v>
      </c>
      <c r="H344" s="12">
        <f t="shared" si="3108"/>
        <v>0.41604010025062654</v>
      </c>
      <c r="I344" s="11">
        <v>24</v>
      </c>
      <c r="J344" s="12">
        <f t="shared" si="3109"/>
        <v>7.2289156626506021E-2</v>
      </c>
      <c r="K344" s="13"/>
      <c r="L344" s="11"/>
      <c r="M344" s="39">
        <v>90.3</v>
      </c>
      <c r="N344" s="43">
        <v>100</v>
      </c>
      <c r="O344" s="10"/>
      <c r="P344" s="11"/>
      <c r="Q344" s="69">
        <f t="shared" si="3160"/>
        <v>732</v>
      </c>
      <c r="R344" s="69">
        <f t="shared" si="3161"/>
        <v>56</v>
      </c>
      <c r="S344" s="11">
        <v>269</v>
      </c>
      <c r="T344" s="12">
        <f t="shared" si="3110"/>
        <v>0.40846994535519127</v>
      </c>
      <c r="U344" s="11">
        <v>30</v>
      </c>
      <c r="V344" s="12">
        <f t="shared" si="3111"/>
        <v>0.10033444816053512</v>
      </c>
      <c r="W344" s="13"/>
      <c r="X344" s="11"/>
      <c r="Y344" s="39">
        <v>77.78</v>
      </c>
      <c r="Z344" s="43">
        <v>100</v>
      </c>
      <c r="AA344" s="10"/>
      <c r="AB344" s="11"/>
      <c r="AC344" s="69">
        <f t="shared" si="3162"/>
        <v>148</v>
      </c>
      <c r="AD344" s="69">
        <f t="shared" si="3163"/>
        <v>11</v>
      </c>
      <c r="AE344" s="11">
        <v>56</v>
      </c>
      <c r="AF344" s="12">
        <f t="shared" si="3112"/>
        <v>0.3783783783783784</v>
      </c>
      <c r="AG344" s="11">
        <v>0</v>
      </c>
      <c r="AH344" s="12">
        <f t="shared" si="3113"/>
        <v>0</v>
      </c>
      <c r="AI344" s="13"/>
      <c r="AJ344" s="11"/>
      <c r="AK344" s="39">
        <v>60</v>
      </c>
      <c r="AL344" s="43">
        <v>100</v>
      </c>
      <c r="AM344" s="10">
        <v>2</v>
      </c>
      <c r="AN344" s="11"/>
      <c r="AO344" s="69">
        <f t="shared" si="3164"/>
        <v>738</v>
      </c>
      <c r="AP344" s="69">
        <f t="shared" si="3165"/>
        <v>57</v>
      </c>
      <c r="AQ344" s="11">
        <v>252</v>
      </c>
      <c r="AR344" s="12">
        <f t="shared" si="3114"/>
        <v>0.36720867208672087</v>
      </c>
      <c r="AS344" s="11">
        <v>19</v>
      </c>
      <c r="AT344" s="12">
        <f t="shared" si="3115"/>
        <v>7.0110701107011064E-2</v>
      </c>
      <c r="AU344" s="13"/>
      <c r="AV344" s="11"/>
      <c r="AW344" s="39">
        <v>87</v>
      </c>
      <c r="AX344" s="43">
        <v>100</v>
      </c>
      <c r="AY344" s="10">
        <v>1</v>
      </c>
      <c r="AZ344" s="11"/>
      <c r="BA344" s="69">
        <f t="shared" si="3166"/>
        <v>736</v>
      </c>
      <c r="BB344" s="69">
        <f t="shared" si="3167"/>
        <v>57</v>
      </c>
      <c r="BC344" s="11">
        <v>265</v>
      </c>
      <c r="BD344" s="12">
        <f t="shared" si="3116"/>
        <v>0.39809782608695654</v>
      </c>
      <c r="BE344" s="11">
        <v>28</v>
      </c>
      <c r="BF344" s="12">
        <f t="shared" si="3117"/>
        <v>9.556313993174062E-2</v>
      </c>
      <c r="BG344" s="13"/>
      <c r="BH344" s="11"/>
      <c r="BI344" s="39">
        <v>63.33</v>
      </c>
      <c r="BJ344" s="43">
        <v>100</v>
      </c>
      <c r="BK344" s="10">
        <v>2</v>
      </c>
      <c r="BL344" s="11"/>
      <c r="BM344" s="69">
        <f t="shared" si="3168"/>
        <v>784</v>
      </c>
      <c r="BN344" s="69">
        <f t="shared" si="3169"/>
        <v>61</v>
      </c>
      <c r="BO344" s="11">
        <v>258</v>
      </c>
      <c r="BP344" s="12">
        <f t="shared" si="3118"/>
        <v>0.34693877551020408</v>
      </c>
      <c r="BQ344" s="11">
        <v>14</v>
      </c>
      <c r="BR344" s="12">
        <f t="shared" si="3119"/>
        <v>5.1470588235294115E-2</v>
      </c>
      <c r="BS344" s="13"/>
      <c r="BT344" s="11"/>
      <c r="BU344" s="39">
        <v>94.12</v>
      </c>
      <c r="BV344" s="43">
        <v>100</v>
      </c>
      <c r="BW344" s="10"/>
      <c r="BX344" s="11"/>
      <c r="BY344" s="69">
        <f t="shared" si="3170"/>
        <v>723</v>
      </c>
      <c r="BZ344" s="69">
        <f t="shared" si="3171"/>
        <v>57</v>
      </c>
      <c r="CA344" s="11">
        <v>244</v>
      </c>
      <c r="CB344" s="12">
        <f t="shared" si="3120"/>
        <v>0.36099585062240663</v>
      </c>
      <c r="CC344" s="11">
        <v>17</v>
      </c>
      <c r="CD344" s="12">
        <f t="shared" si="3121"/>
        <v>6.5134099616858232E-2</v>
      </c>
      <c r="CE344" s="13"/>
      <c r="CF344" s="11"/>
      <c r="CG344" s="39">
        <v>78.790000000000006</v>
      </c>
      <c r="CH344" s="43">
        <v>100</v>
      </c>
      <c r="CI344" s="10"/>
      <c r="CJ344" s="11"/>
      <c r="CK344" s="69">
        <f t="shared" si="3172"/>
        <v>123</v>
      </c>
      <c r="CL344" s="69">
        <f t="shared" si="3173"/>
        <v>10</v>
      </c>
      <c r="CM344" s="11">
        <v>53</v>
      </c>
      <c r="CN344" s="12">
        <f t="shared" si="3122"/>
        <v>0.47154471544715448</v>
      </c>
      <c r="CO344" s="11">
        <v>5</v>
      </c>
      <c r="CP344" s="12">
        <f t="shared" si="3123"/>
        <v>8.6206896551724144E-2</v>
      </c>
      <c r="CQ344" s="13"/>
      <c r="CR344" s="11"/>
      <c r="CS344" s="39">
        <v>66.67</v>
      </c>
      <c r="CT344" s="43">
        <v>100</v>
      </c>
      <c r="CU344" s="10">
        <v>1</v>
      </c>
      <c r="CV344" s="11"/>
      <c r="CW344" s="69">
        <f t="shared" si="3174"/>
        <v>713</v>
      </c>
      <c r="CX344" s="69">
        <f t="shared" si="3175"/>
        <v>56</v>
      </c>
      <c r="CY344" s="11">
        <v>269</v>
      </c>
      <c r="CZ344" s="12">
        <f t="shared" si="3124"/>
        <v>0.38709677419354838</v>
      </c>
      <c r="DA344" s="11">
        <v>7</v>
      </c>
      <c r="DB344" s="12">
        <f t="shared" si="3125"/>
        <v>2.5362318840579712E-2</v>
      </c>
      <c r="DC344" s="13"/>
      <c r="DD344" s="11"/>
      <c r="DE344" s="39">
        <v>78.13</v>
      </c>
      <c r="DF344" s="43">
        <v>100</v>
      </c>
      <c r="DG344" s="10"/>
      <c r="DH344" s="11"/>
      <c r="DI344" s="69">
        <f t="shared" si="3176"/>
        <v>712</v>
      </c>
      <c r="DJ344" s="69">
        <f t="shared" si="3177"/>
        <v>55</v>
      </c>
      <c r="DK344" s="11">
        <v>268</v>
      </c>
      <c r="DL344" s="12">
        <f t="shared" si="3126"/>
        <v>0.3890449438202247</v>
      </c>
      <c r="DM344" s="11">
        <v>9</v>
      </c>
      <c r="DN344" s="12">
        <f t="shared" si="3127"/>
        <v>3.2490974729241874E-2</v>
      </c>
      <c r="DO344" s="13"/>
      <c r="DP344" s="11"/>
      <c r="DQ344" s="39">
        <v>83.33</v>
      </c>
      <c r="DR344" s="43">
        <v>100</v>
      </c>
      <c r="DS344" s="10"/>
      <c r="DT344" s="11"/>
      <c r="DU344" s="69">
        <f t="shared" si="3178"/>
        <v>1635</v>
      </c>
      <c r="DV344" s="69">
        <f t="shared" si="3179"/>
        <v>125</v>
      </c>
      <c r="DW344" s="11">
        <v>667</v>
      </c>
      <c r="DX344" s="12">
        <f t="shared" si="3128"/>
        <v>0.42996941896024465</v>
      </c>
      <c r="DY344" s="11">
        <v>36</v>
      </c>
      <c r="DZ344" s="12">
        <f t="shared" si="3129"/>
        <v>5.1209103840682786E-2</v>
      </c>
      <c r="EA344" s="13"/>
      <c r="EB344" s="11"/>
      <c r="EC344" s="39">
        <v>69.14</v>
      </c>
      <c r="ED344" s="43">
        <v>100</v>
      </c>
      <c r="EE344" s="10">
        <v>1</v>
      </c>
      <c r="EF344" s="11"/>
      <c r="EG344" s="69">
        <f t="shared" si="3180"/>
        <v>146</v>
      </c>
      <c r="EH344" s="69">
        <f t="shared" si="3181"/>
        <v>11</v>
      </c>
      <c r="EI344" s="11">
        <v>66</v>
      </c>
      <c r="EJ344" s="12">
        <f t="shared" si="3130"/>
        <v>0.47945205479452052</v>
      </c>
      <c r="EK344" s="11">
        <v>4</v>
      </c>
      <c r="EL344" s="12">
        <f t="shared" si="3131"/>
        <v>5.7142857142857141E-2</v>
      </c>
      <c r="EM344" s="13"/>
      <c r="EN344" s="11"/>
      <c r="EO344" s="39">
        <v>100</v>
      </c>
      <c r="EP344" s="43">
        <v>100</v>
      </c>
      <c r="EQ344" s="10"/>
      <c r="ER344" s="11"/>
      <c r="ES344" s="69">
        <f t="shared" si="3182"/>
        <v>837</v>
      </c>
      <c r="ET344" s="69">
        <f t="shared" si="3183"/>
        <v>65</v>
      </c>
      <c r="EU344" s="11">
        <v>346</v>
      </c>
      <c r="EV344" s="12">
        <f t="shared" si="3132"/>
        <v>0.43727598566308246</v>
      </c>
      <c r="EW344" s="11">
        <v>20</v>
      </c>
      <c r="EX344" s="12">
        <f t="shared" si="3133"/>
        <v>5.4644808743169397E-2</v>
      </c>
      <c r="EY344" s="13"/>
      <c r="EZ344" s="11"/>
      <c r="FA344" s="39">
        <v>67.44</v>
      </c>
      <c r="FB344" s="43">
        <v>100</v>
      </c>
      <c r="FC344" s="10"/>
      <c r="FD344" s="11"/>
      <c r="FE344" s="69">
        <f t="shared" si="3184"/>
        <v>0</v>
      </c>
      <c r="FF344" s="69">
        <f t="shared" si="3185"/>
        <v>0</v>
      </c>
      <c r="FG344" s="11"/>
      <c r="FH344" s="12" t="e">
        <f t="shared" si="3134"/>
        <v>#DIV/0!</v>
      </c>
      <c r="FI344" s="11"/>
      <c r="FJ344" s="12" t="e">
        <f t="shared" si="3135"/>
        <v>#DIV/0!</v>
      </c>
      <c r="FK344" s="13"/>
      <c r="FL344" s="11"/>
      <c r="FM344" s="39"/>
      <c r="FN344" s="43"/>
      <c r="FO344" s="10">
        <v>1</v>
      </c>
      <c r="FP344" s="11"/>
      <c r="FQ344" s="69">
        <f t="shared" si="3186"/>
        <v>1698</v>
      </c>
      <c r="FR344" s="69">
        <f t="shared" si="3187"/>
        <v>132</v>
      </c>
      <c r="FS344" s="11">
        <v>669</v>
      </c>
      <c r="FT344" s="12">
        <f t="shared" si="3136"/>
        <v>0.41931684334511188</v>
      </c>
      <c r="FU344" s="11">
        <v>43</v>
      </c>
      <c r="FV344" s="12">
        <f t="shared" si="3137"/>
        <v>6.0393258426966294E-2</v>
      </c>
      <c r="FW344" s="13"/>
      <c r="FX344" s="11"/>
      <c r="FY344" s="39">
        <v>66.28</v>
      </c>
      <c r="FZ344" s="43">
        <v>96.88</v>
      </c>
      <c r="GA344" s="10"/>
      <c r="GB344" s="11"/>
      <c r="GC344" s="69">
        <f t="shared" si="3188"/>
        <v>126</v>
      </c>
      <c r="GD344" s="69">
        <f t="shared" si="3189"/>
        <v>9</v>
      </c>
      <c r="GE344" s="11">
        <v>49</v>
      </c>
      <c r="GF344" s="12">
        <f t="shared" si="3138"/>
        <v>0.42063492063492064</v>
      </c>
      <c r="GG344" s="11">
        <v>4</v>
      </c>
      <c r="GH344" s="12">
        <f t="shared" si="3139"/>
        <v>7.5471698113207544E-2</v>
      </c>
      <c r="GI344" s="13"/>
      <c r="GJ344" s="11"/>
      <c r="GK344" s="39">
        <v>91.67</v>
      </c>
      <c r="GL344" s="43">
        <v>100</v>
      </c>
      <c r="GM344" s="10"/>
      <c r="GN344" s="11"/>
      <c r="GO344" s="69">
        <f t="shared" si="3190"/>
        <v>886</v>
      </c>
      <c r="GP344" s="69">
        <f t="shared" si="3191"/>
        <v>69</v>
      </c>
      <c r="GQ344" s="11">
        <v>383</v>
      </c>
      <c r="GR344" s="12">
        <f t="shared" si="3140"/>
        <v>0.45372460496613998</v>
      </c>
      <c r="GS344" s="11">
        <v>19</v>
      </c>
      <c r="GT344" s="12">
        <f t="shared" si="3141"/>
        <v>4.7263681592039801E-2</v>
      </c>
      <c r="GU344" s="13"/>
      <c r="GV344" s="11"/>
      <c r="GW344" s="39">
        <v>78.260000000000005</v>
      </c>
      <c r="GX344" s="43">
        <v>100</v>
      </c>
      <c r="GY344" s="10"/>
      <c r="GZ344" s="11"/>
      <c r="HA344" s="69">
        <f t="shared" si="3192"/>
        <v>0</v>
      </c>
      <c r="HB344" s="69">
        <f t="shared" si="3193"/>
        <v>0</v>
      </c>
      <c r="HC344" s="11"/>
      <c r="HD344" s="12" t="e">
        <f t="shared" si="3142"/>
        <v>#DIV/0!</v>
      </c>
      <c r="HE344" s="11"/>
      <c r="HF344" s="12" t="e">
        <f t="shared" si="3143"/>
        <v>#DIV/0!</v>
      </c>
      <c r="HG344" s="13"/>
      <c r="HH344" s="11"/>
      <c r="HI344" s="39"/>
      <c r="HJ344" s="43"/>
      <c r="HK344" s="10">
        <f t="shared" si="3144"/>
        <v>8</v>
      </c>
      <c r="HL344" s="11">
        <f t="shared" si="3145"/>
        <v>0</v>
      </c>
      <c r="HM344" s="11">
        <f t="shared" si="3146"/>
        <v>11535</v>
      </c>
      <c r="HN344" s="11">
        <f t="shared" si="3147"/>
        <v>893</v>
      </c>
      <c r="HO344" s="11">
        <f t="shared" si="3148"/>
        <v>4701</v>
      </c>
      <c r="HP344" s="95">
        <f t="shared" si="3149"/>
        <v>0.40754226267880367</v>
      </c>
      <c r="HQ344" s="15">
        <f t="shared" si="3150"/>
        <v>279</v>
      </c>
      <c r="HR344" s="12">
        <f t="shared" si="3151"/>
        <v>5.9349074664964904E-2</v>
      </c>
      <c r="HS344" s="16">
        <v>68.8</v>
      </c>
      <c r="HT344" s="17">
        <v>4281</v>
      </c>
      <c r="HU344" s="16">
        <f t="shared" si="3152"/>
        <v>91.065730695596685</v>
      </c>
      <c r="HV344" s="23">
        <v>73.13</v>
      </c>
      <c r="HW344" s="22">
        <v>88.21</v>
      </c>
      <c r="HX344" s="73">
        <f t="shared" si="3153"/>
        <v>0.39689086294416243</v>
      </c>
      <c r="HY344" s="73">
        <f t="shared" si="3154"/>
        <v>0.37446808510638296</v>
      </c>
      <c r="HZ344" s="73">
        <f t="shared" si="3155"/>
        <v>0.43506493506493504</v>
      </c>
      <c r="IA344" s="73">
        <f t="shared" si="3156"/>
        <v>0.43062730627306273</v>
      </c>
      <c r="IF344" s="85">
        <f>IF345/IF346</f>
        <v>2.8472002530844668E-3</v>
      </c>
      <c r="IG344" s="85">
        <f>IG345/IG346</f>
        <v>4.5617464972303682E-3</v>
      </c>
      <c r="IH344" s="85">
        <f>IH345/IH346</f>
        <v>1.9062142584826535E-3</v>
      </c>
      <c r="II344" s="85">
        <f>II345/II346</f>
        <v>2.9433406916850625E-3</v>
      </c>
      <c r="IJ344" s="88" t="s">
        <v>90</v>
      </c>
    </row>
    <row r="345" spans="1:244" ht="19.5" thickBot="1" x14ac:dyDescent="0.3">
      <c r="A345" s="374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2208</v>
      </c>
      <c r="H345" s="28">
        <f>((G345+I345)/7)/E344</f>
        <v>0.41890440386680988</v>
      </c>
      <c r="I345" s="27">
        <f>SUM(I338:I344)</f>
        <v>132</v>
      </c>
      <c r="J345" s="28">
        <f>(I345/(I345+G345))</f>
        <v>5.6410256410256411E-2</v>
      </c>
      <c r="K345" s="27"/>
      <c r="L345" s="27"/>
      <c r="M345" s="29">
        <f>M343/M342*100-100</f>
        <v>14.316621499548305</v>
      </c>
      <c r="N345" s="67">
        <f>N343/N342*100-100</f>
        <v>6.5193965517241281</v>
      </c>
      <c r="O345" s="26">
        <f>SUM(O338:O344)</f>
        <v>3</v>
      </c>
      <c r="P345" s="27">
        <f>SUM(P338:P344)</f>
        <v>0</v>
      </c>
      <c r="Q345" s="27"/>
      <c r="R345" s="27"/>
      <c r="S345" s="27">
        <f>SUM(S338:S344)</f>
        <v>1942</v>
      </c>
      <c r="T345" s="28">
        <f>((S345+U345)/7)/Q344</f>
        <v>0.40632318501170961</v>
      </c>
      <c r="U345" s="27">
        <f>SUM(U338:U344)</f>
        <v>140</v>
      </c>
      <c r="V345" s="28">
        <f>(U345/(U345+S345))</f>
        <v>6.7243035542747354E-2</v>
      </c>
      <c r="W345" s="27"/>
      <c r="X345" s="27"/>
      <c r="Y345" s="29">
        <f>Y343/Y342*100-100</f>
        <v>11.569105691056919</v>
      </c>
      <c r="Z345" s="67">
        <f>Z343/Z342*100-100</f>
        <v>12.877155172413794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386</v>
      </c>
      <c r="AF345" s="28">
        <f>((AE345+AG345)/7)/AC344</f>
        <v>0.4034749034749035</v>
      </c>
      <c r="AG345" s="27">
        <f>SUM(AG338:AG344)</f>
        <v>32</v>
      </c>
      <c r="AH345" s="28">
        <f>(AG345/(AG345+AE345))</f>
        <v>7.6555023923444973E-2</v>
      </c>
      <c r="AI345" s="27"/>
      <c r="AJ345" s="27"/>
      <c r="AK345" s="29">
        <f>AK343/AK342*100-100</f>
        <v>12.46612466124661</v>
      </c>
      <c r="AL345" s="67">
        <f>AL343/AL342*100-100</f>
        <v>-0.43103448275861922</v>
      </c>
      <c r="AM345" s="26">
        <f>SUM(AM338:AM344)</f>
        <v>2</v>
      </c>
      <c r="AN345" s="27">
        <f>SUM(AN338:AN344)</f>
        <v>0</v>
      </c>
      <c r="AO345" s="27"/>
      <c r="AP345" s="27"/>
      <c r="AQ345" s="27">
        <f>SUM(AQ338:AQ344)</f>
        <v>2076</v>
      </c>
      <c r="AR345" s="28">
        <f>((AQ345+AS345)/7)/AO344</f>
        <v>0.42198993418505615</v>
      </c>
      <c r="AS345" s="27">
        <f>SUM(AS338:AS344)</f>
        <v>104</v>
      </c>
      <c r="AT345" s="28">
        <f>(AS345/(AS345+AQ345))</f>
        <v>4.7706422018348627E-2</v>
      </c>
      <c r="AU345" s="27"/>
      <c r="AV345" s="27"/>
      <c r="AW345" s="29">
        <f>AW343/AW342*100-100</f>
        <v>14.469286359530258</v>
      </c>
      <c r="AX345" s="67">
        <f>AX343/AX342*100-100</f>
        <v>16.576939655172424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1985</v>
      </c>
      <c r="BD345" s="28">
        <f>((BC345+BE345)/7)/BA344</f>
        <v>0.41420807453416147</v>
      </c>
      <c r="BE345" s="27">
        <f>SUM(BE338:BE344)</f>
        <v>149</v>
      </c>
      <c r="BF345" s="28">
        <f>(BE345/(BE345+BC345))</f>
        <v>6.9821930646672914E-2</v>
      </c>
      <c r="BG345" s="27"/>
      <c r="BH345" s="27"/>
      <c r="BI345" s="29">
        <f>BI343/BI342*100-100</f>
        <v>15.304200542005432</v>
      </c>
      <c r="BJ345" s="67">
        <f>BJ343/BJ342*100-100</f>
        <v>19.54568965517241</v>
      </c>
      <c r="BK345" s="26">
        <f>SUM(BK338:BK344)</f>
        <v>3</v>
      </c>
      <c r="BL345" s="27">
        <f>SUM(BL338:BL344)</f>
        <v>0</v>
      </c>
      <c r="BM345" s="27"/>
      <c r="BN345" s="27"/>
      <c r="BO345" s="27">
        <f>SUM(BO338:BO344)</f>
        <v>1862</v>
      </c>
      <c r="BP345" s="28">
        <f>((BO345+BQ345)/7)/BM344</f>
        <v>0.36133381924198249</v>
      </c>
      <c r="BQ345" s="27">
        <f>SUM(BQ338:BQ344)</f>
        <v>121</v>
      </c>
      <c r="BR345" s="28">
        <f>(BQ345/(BQ345+BO345))</f>
        <v>6.1018658598083711E-2</v>
      </c>
      <c r="BS345" s="27"/>
      <c r="BT345" s="27"/>
      <c r="BU345" s="29">
        <f>BU343/BU342*100-100</f>
        <v>9.563459801264699</v>
      </c>
      <c r="BV345" s="67">
        <f>BV343/BV342*100-100</f>
        <v>11.458405172413791</v>
      </c>
      <c r="BW345" s="26">
        <f>SUM(BW338:BW344)</f>
        <v>2</v>
      </c>
      <c r="BX345" s="27">
        <f>SUM(BX338:BX344)</f>
        <v>0</v>
      </c>
      <c r="BY345" s="27"/>
      <c r="BZ345" s="27"/>
      <c r="CA345" s="27">
        <f>SUM(CA338:CA344)</f>
        <v>1727</v>
      </c>
      <c r="CB345" s="28">
        <f>((CA345+CC345)/7)/BY344</f>
        <v>0.36336692353289862</v>
      </c>
      <c r="CC345" s="27">
        <f>SUM(CC338:CC344)</f>
        <v>112</v>
      </c>
      <c r="CD345" s="28">
        <f>(CC345/(CC345+CA345))</f>
        <v>6.0902664491571508E-2</v>
      </c>
      <c r="CE345" s="27"/>
      <c r="CF345" s="27"/>
      <c r="CG345" s="29">
        <f>CG343/CG342*100-100</f>
        <v>10.584236675700097</v>
      </c>
      <c r="CH345" s="67">
        <f>CH343/CH342*100-100</f>
        <v>18.181896551724151</v>
      </c>
      <c r="CI345" s="26">
        <f>SUM(CI338:CI344)</f>
        <v>1</v>
      </c>
      <c r="CJ345" s="27">
        <f>SUM(CJ338:CJ344)</f>
        <v>0</v>
      </c>
      <c r="CK345" s="27"/>
      <c r="CL345" s="27"/>
      <c r="CM345" s="27">
        <f>SUM(CM338:CM344)</f>
        <v>314</v>
      </c>
      <c r="CN345" s="28">
        <f>((CM345+CO345)/7)/CK344</f>
        <v>0.3902439024390244</v>
      </c>
      <c r="CO345" s="27">
        <f>SUM(CO338:CO344)</f>
        <v>22</v>
      </c>
      <c r="CP345" s="28">
        <f>(CO345/(CO345+CM345))</f>
        <v>6.5476190476190479E-2</v>
      </c>
      <c r="CQ345" s="27"/>
      <c r="CR345" s="27"/>
      <c r="CS345" s="29">
        <f>CS343/CS342*100-100</f>
        <v>8.5013550135501106</v>
      </c>
      <c r="CT345" s="67">
        <f>CT343/CT342*100-100</f>
        <v>4.0948275862068897</v>
      </c>
      <c r="CU345" s="26">
        <f>SUM(CU338:CU344)</f>
        <v>3</v>
      </c>
      <c r="CV345" s="27">
        <f>SUM(CV338:CV344)</f>
        <v>0</v>
      </c>
      <c r="CW345" s="27"/>
      <c r="CX345" s="27"/>
      <c r="CY345" s="27">
        <f>SUM(CY338:CY344)</f>
        <v>1794</v>
      </c>
      <c r="CZ345" s="28">
        <f>((CY345+DA345)/7)/CW344</f>
        <v>0.37707874173512318</v>
      </c>
      <c r="DA345" s="27">
        <f>SUM(DA338:DA344)</f>
        <v>88</v>
      </c>
      <c r="DB345" s="28">
        <f>(DA345/(DA345+CY345))</f>
        <v>4.6758767268862911E-2</v>
      </c>
      <c r="DC345" s="27"/>
      <c r="DD345" s="27"/>
      <c r="DE345" s="29">
        <f>DE343/DE342*100-100</f>
        <v>11.823848238482398</v>
      </c>
      <c r="DF345" s="67">
        <f>DF343/DF342*100-100</f>
        <v>10.488577586206887</v>
      </c>
      <c r="DG345" s="26">
        <f>SUM(DG338:DG344)</f>
        <v>5</v>
      </c>
      <c r="DH345" s="27">
        <f>SUM(DH338:DH344)</f>
        <v>1</v>
      </c>
      <c r="DI345" s="27"/>
      <c r="DJ345" s="27"/>
      <c r="DK345" s="27">
        <f>SUM(DK338:DK344)</f>
        <v>1866</v>
      </c>
      <c r="DL345" s="28">
        <f>((DK345+DM345)/7)/DI344</f>
        <v>0.3960674157303371</v>
      </c>
      <c r="DM345" s="27">
        <f>SUM(DM338:DM344)</f>
        <v>108</v>
      </c>
      <c r="DN345" s="28">
        <f>(DM345/(DM345+DK345))</f>
        <v>5.4711246200607903E-2</v>
      </c>
      <c r="DO345" s="27"/>
      <c r="DP345" s="27"/>
      <c r="DQ345" s="29">
        <f>DQ343/DQ342*100-100</f>
        <v>17.931345980126466</v>
      </c>
      <c r="DR345" s="67">
        <f>DR343/DR342*100-100</f>
        <v>22.785991379310346</v>
      </c>
      <c r="DS345" s="26">
        <f>SUM(DS338:DS344)</f>
        <v>1</v>
      </c>
      <c r="DT345" s="27">
        <f>SUM(DT338:DT344)</f>
        <v>0</v>
      </c>
      <c r="DU345" s="27"/>
      <c r="DV345" s="27"/>
      <c r="DW345" s="27">
        <f>SUM(DW338:DW344)</f>
        <v>3943</v>
      </c>
      <c r="DX345" s="28">
        <f>((DW345+DY345)/7)/DU344</f>
        <v>0.36548711227610309</v>
      </c>
      <c r="DY345" s="27">
        <f>SUM(DY338:DY344)</f>
        <v>240</v>
      </c>
      <c r="DZ345" s="28">
        <f>(DY345/(DY345+DW345))</f>
        <v>5.7375089648577578E-2</v>
      </c>
      <c r="EA345" s="27"/>
      <c r="EB345" s="27"/>
      <c r="EC345" s="29">
        <f>EC343/EC342*100-100</f>
        <v>12.368563685636857</v>
      </c>
      <c r="ED345" s="67">
        <f>ED343/ED342*100-100</f>
        <v>14.34849137931036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989</v>
      </c>
      <c r="EJ345" s="28">
        <f>((EI345+EK345)/7)/EG344</f>
        <v>1.038160469667319</v>
      </c>
      <c r="EK345" s="27">
        <f>SUM(EK338:EK344)</f>
        <v>72</v>
      </c>
      <c r="EL345" s="28">
        <f>(EK345/(EK345+EI345))</f>
        <v>6.786050895381715E-2</v>
      </c>
      <c r="EM345" s="27"/>
      <c r="EN345" s="27"/>
      <c r="EO345" s="29">
        <f>EO343/EO342*100-100</f>
        <v>5.5679765130984578</v>
      </c>
      <c r="EP345" s="67">
        <f>EP343/EP342*100-100</f>
        <v>-3.125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1834</v>
      </c>
      <c r="EV345" s="28">
        <f>((EU345+EW345)/7)/ES344</f>
        <v>0.33418672128349547</v>
      </c>
      <c r="EW345" s="27">
        <f>SUM(EW338:EW344)</f>
        <v>124</v>
      </c>
      <c r="EX345" s="28">
        <f>(EW345/(EW345+EU345))</f>
        <v>6.332992849846783E-2</v>
      </c>
      <c r="EY345" s="27"/>
      <c r="EZ345" s="27"/>
      <c r="FA345" s="29">
        <f>FA343/FA342*100-100</f>
        <v>18.185636856368561</v>
      </c>
      <c r="FB345" s="67">
        <f>FB343/FB342*100-100</f>
        <v>19.504310344827587</v>
      </c>
      <c r="FC345" s="26">
        <f>SUM(FC338:FC344)</f>
        <v>2</v>
      </c>
      <c r="FD345" s="27">
        <f>SUM(FD338:FD344)</f>
        <v>0</v>
      </c>
      <c r="FE345" s="27"/>
      <c r="FF345" s="27"/>
      <c r="FG345" s="27">
        <f>SUM(FG338:FG344)</f>
        <v>680</v>
      </c>
      <c r="FH345" s="28" t="e">
        <f>((FG345+FI345)/7)/FE344</f>
        <v>#DIV/0!</v>
      </c>
      <c r="FI345" s="27">
        <f>SUM(FI338:FI344)</f>
        <v>45</v>
      </c>
      <c r="FJ345" s="28">
        <f>(FI345/(FI345+FG345))</f>
        <v>6.2068965517241378E-2</v>
      </c>
      <c r="FK345" s="27"/>
      <c r="FL345" s="27"/>
      <c r="FM345" s="29" t="e">
        <f>FM343/FM342*100-100</f>
        <v>#DIV/0!</v>
      </c>
      <c r="FN345" s="67" t="e">
        <f>FN343/FN342*100-100</f>
        <v>#DIV/0!</v>
      </c>
      <c r="FO345" s="26">
        <f>SUM(FO338:FO344)</f>
        <v>4</v>
      </c>
      <c r="FP345" s="27">
        <f>SUM(FP338:FP344)</f>
        <v>1</v>
      </c>
      <c r="FQ345" s="27"/>
      <c r="FR345" s="27"/>
      <c r="FS345" s="27">
        <f>SUM(FS338:FS344)</f>
        <v>3637</v>
      </c>
      <c r="FT345" s="28">
        <f>((FS345+FU345)/7)/FQ344</f>
        <v>0.32794884738347641</v>
      </c>
      <c r="FU345" s="27">
        <f>SUM(FU338:FU344)</f>
        <v>261</v>
      </c>
      <c r="FV345" s="28">
        <f>(FU345/(FU345+FS345))</f>
        <v>6.6957414058491538E-2</v>
      </c>
      <c r="FW345" s="27"/>
      <c r="FX345" s="27"/>
      <c r="FY345" s="29">
        <f>FY343/FY342*100-100</f>
        <v>13.654019873532079</v>
      </c>
      <c r="FZ345" s="67">
        <f>FZ343/FZ342*100-100</f>
        <v>9.9609913793103431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928</v>
      </c>
      <c r="GF345" s="28">
        <f>((GE345+GG345)/7)/GC344</f>
        <v>1.1281179138321995</v>
      </c>
      <c r="GG345" s="27">
        <f>SUM(GG338:GG344)</f>
        <v>67</v>
      </c>
      <c r="GH345" s="28">
        <f>(GG345/(GG345+GE345))</f>
        <v>6.733668341708543E-2</v>
      </c>
      <c r="GI345" s="27"/>
      <c r="GJ345" s="27"/>
      <c r="GK345" s="29">
        <f>GK343/GK342*100-100</f>
        <v>15.307813911472451</v>
      </c>
      <c r="GL345" s="67">
        <f>GL343/GL342*100-100</f>
        <v>14.224137931034477</v>
      </c>
      <c r="GM345" s="26">
        <f>SUM(GM338:GM344)</f>
        <v>2</v>
      </c>
      <c r="GN345" s="27">
        <f>SUM(GN338:GN344)</f>
        <v>0</v>
      </c>
      <c r="GO345" s="27"/>
      <c r="GP345" s="27"/>
      <c r="GQ345" s="27">
        <f>SUM(GQ338:GQ344)</f>
        <v>2266</v>
      </c>
      <c r="GR345" s="28">
        <f>((GQ345+GS345)/7)/GO344</f>
        <v>0.38987423411802646</v>
      </c>
      <c r="GS345" s="27">
        <f>SUM(GS338:GS344)</f>
        <v>152</v>
      </c>
      <c r="GT345" s="28">
        <f>(GS345/(GS345+GQ345))</f>
        <v>6.2861869313482213E-2</v>
      </c>
      <c r="GU345" s="27"/>
      <c r="GV345" s="27"/>
      <c r="GW345" s="29">
        <f>GW343/GW342*100-100</f>
        <v>11.327913279132801</v>
      </c>
      <c r="GX345" s="67">
        <f>GX343/GX342*100-100</f>
        <v>19.627155172413779</v>
      </c>
      <c r="GY345" s="26">
        <f>SUM(GY338:GY344)</f>
        <v>1</v>
      </c>
      <c r="GZ345" s="27">
        <f>SUM(GZ338:GZ344)</f>
        <v>0</v>
      </c>
      <c r="HA345" s="27"/>
      <c r="HB345" s="27"/>
      <c r="HC345" s="27">
        <f>SUM(HC338:HC344)</f>
        <v>700</v>
      </c>
      <c r="HD345" s="28" t="e">
        <f>((HC345+HE345)/7)/HA344</f>
        <v>#DIV/0!</v>
      </c>
      <c r="HE345" s="27">
        <f>SUM(HE338:HE344)</f>
        <v>50</v>
      </c>
      <c r="HF345" s="28">
        <f>(HE345/(HE345+HC345))</f>
        <v>6.6666666666666666E-2</v>
      </c>
      <c r="HG345" s="27"/>
      <c r="HH345" s="27"/>
      <c r="HI345" s="29" t="e">
        <f>HI343/HI342*100-100</f>
        <v>#DIV/0!</v>
      </c>
      <c r="HJ345" s="67" t="e">
        <f>HJ343/HJ342*100-100</f>
        <v>#DIV/0!</v>
      </c>
      <c r="HK345" s="26">
        <f t="shared" si="3144"/>
        <v>36</v>
      </c>
      <c r="HL345" s="27">
        <f t="shared" si="3145"/>
        <v>2</v>
      </c>
      <c r="HM345" s="27">
        <f t="shared" si="3146"/>
        <v>0</v>
      </c>
      <c r="HN345" s="27">
        <f t="shared" si="3147"/>
        <v>0</v>
      </c>
      <c r="HO345" s="27">
        <f t="shared" si="3148"/>
        <v>33156</v>
      </c>
      <c r="HP345" s="96">
        <f>+((HO345)/HM344)/7</f>
        <v>0.41062604495634408</v>
      </c>
      <c r="HQ345" s="62">
        <f t="shared" si="3150"/>
        <v>2019</v>
      </c>
      <c r="HR345" s="52">
        <f t="shared" si="3151"/>
        <v>6.089395584509591E-2</v>
      </c>
      <c r="HS345" s="53">
        <f>SUM(HS338:HS344)/7</f>
        <v>68.542857142857144</v>
      </c>
      <c r="HT345" s="54">
        <f>SUM(HT338:HT344)</f>
        <v>30282</v>
      </c>
      <c r="HU345" s="53">
        <f>AVERAGE(HU338:HU344)</f>
        <v>91.32699853356894</v>
      </c>
      <c r="HV345" s="63">
        <f>HV343/HV342*100-100</f>
        <v>13.104336043360433</v>
      </c>
      <c r="HW345" s="67">
        <f>HW343/HW342*100-100</f>
        <v>13.922413793103445</v>
      </c>
      <c r="HX345" s="73">
        <f>SUM(G345,I345,S345,U345,AE345,AG345,AQ345,AS345,BC345,BE345)/7/SUM(E344,Q344,AC344,AO344,BA344)</f>
        <v>0.41488397389412618</v>
      </c>
      <c r="HY345" s="73">
        <f>SUM(BO345,BQ345,CA345,CC345,CM345,CO345,CY345,DA345,DK345,DM345)/7/SUM(BM344,BY344,CK344,CW344,DI344)</f>
        <v>0.37474865559971943</v>
      </c>
      <c r="HZ345" s="73">
        <f>SUM(DW345,DY345,EI345,EK345,EU345,EW345,FG345,FI345)/7/SUM(DU344,EG344,ES344,FE344)</f>
        <v>0.43255484011786527</v>
      </c>
      <c r="IA345" s="73">
        <f>SUM(FS345,FU345,GE345,GG345,GQ345,GS345,HC345,HE345)/7/SUM(FQ344,GC344,GO344,HA344)</f>
        <v>0.42493410648392199</v>
      </c>
      <c r="IB345" s="84">
        <f>SUM(I345,U345,AG345,AS345,BE345)/SUM(G345,I345,S345,U345,AE345,AG345,AQ345,AS345,BC345,BE345)</f>
        <v>6.0847716845095039E-2</v>
      </c>
      <c r="IC345" s="84">
        <f>SUM(BQ345,CC345,CO345,DA345,DM345)/SUM(BO345,BQ345,CA345,CC345,CM345,CO345,CY345,DA345,DK345,DM345)</f>
        <v>5.6276516096830549E-2</v>
      </c>
      <c r="ID345" s="84">
        <f>SUM(DY345,EK345,EW345,FI345)/SUM(DW345,DY345,EI345,EK345,EU345,EW345,FG345,FI345)</f>
        <v>6.0678693074303014E-2</v>
      </c>
      <c r="IE345" s="84">
        <f>SUM(FU345,GG345,GS345,HE345)/SUM(FS345,FU345,GE345,GG345,GQ345,GS345,HC345,HE345)</f>
        <v>6.5748666418558491E-2</v>
      </c>
      <c r="IF345" s="86">
        <f>SUM(C345,O345,AA345,AM345,AY345)</f>
        <v>9</v>
      </c>
      <c r="IG345" s="86">
        <f>SUM(BK345,BW345,CI345,CU345,DG345)</f>
        <v>14</v>
      </c>
      <c r="IH345" s="86">
        <f>SUM(DS345,EE345,EQ345,FC345)</f>
        <v>5</v>
      </c>
      <c r="II345" s="86">
        <f>SUM(FO345,GA345,GM345,GY345)</f>
        <v>8</v>
      </c>
      <c r="IJ345" s="88" t="s">
        <v>89</v>
      </c>
    </row>
    <row r="346" spans="1:244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HK345/HM338</f>
        <v>3.1128404669260703E-3</v>
      </c>
      <c r="HL346" s="66">
        <f>HL345/HN338</f>
        <v>2.2346368715083797E-3</v>
      </c>
      <c r="HM346" s="45"/>
      <c r="HN346" s="45"/>
      <c r="HO346" s="45"/>
      <c r="HP346" s="98"/>
      <c r="HQ346" s="45"/>
      <c r="HR346" s="45"/>
      <c r="HS346" s="45"/>
      <c r="HT346" s="55"/>
      <c r="HU346" s="45"/>
      <c r="HV346" s="45"/>
      <c r="HW346" s="46"/>
      <c r="HY346" s="72"/>
      <c r="HZ346" s="72"/>
      <c r="IA346" s="72"/>
      <c r="IF346" s="86">
        <f>SUM(E335,Q335,AC335,AO335,BA335)</f>
        <v>3161</v>
      </c>
      <c r="IG346" s="86">
        <f>SUM(BM335,BY335,CK335,CW335,DI335)</f>
        <v>3069</v>
      </c>
      <c r="IH346" s="86">
        <f>SUM(DU335,EG335,ES335,FE335)</f>
        <v>2623</v>
      </c>
      <c r="II346" s="86">
        <f>SUM(FQ335,GC335,GO335,HA335)</f>
        <v>2718</v>
      </c>
      <c r="IJ346" s="88" t="s">
        <v>84</v>
      </c>
    </row>
    <row r="347" spans="1:244" x14ac:dyDescent="0.25">
      <c r="A347" s="373">
        <v>63</v>
      </c>
      <c r="B347" s="40">
        <f>B344+1</f>
        <v>45207</v>
      </c>
      <c r="C347" s="33"/>
      <c r="D347" s="34"/>
      <c r="E347" s="34">
        <f>E344-C347</f>
        <v>798</v>
      </c>
      <c r="F347" s="34">
        <f>F344-D347</f>
        <v>62</v>
      </c>
      <c r="G347" s="34">
        <v>335</v>
      </c>
      <c r="H347" s="35">
        <f t="shared" ref="H347:H353" si="3194">((G347+I347)/E347)</f>
        <v>0.44486215538847118</v>
      </c>
      <c r="I347" s="34">
        <v>20</v>
      </c>
      <c r="J347" s="35">
        <f t="shared" ref="J347:J353" si="3195">I347/(G347+I347)</f>
        <v>5.6338028169014086E-2</v>
      </c>
      <c r="K347" s="36"/>
      <c r="L347" s="34"/>
      <c r="M347" s="34"/>
      <c r="N347" s="37"/>
      <c r="O347" s="33"/>
      <c r="P347" s="34"/>
      <c r="Q347" s="34">
        <f>Q344-O347</f>
        <v>732</v>
      </c>
      <c r="R347" s="34">
        <f>R344-P347</f>
        <v>56</v>
      </c>
      <c r="S347" s="34">
        <v>275</v>
      </c>
      <c r="T347" s="35">
        <f t="shared" ref="T347:T353" si="3196">((S347+U347)/Q347)</f>
        <v>0.40163934426229508</v>
      </c>
      <c r="U347" s="34">
        <v>19</v>
      </c>
      <c r="V347" s="35">
        <f t="shared" ref="V347:V353" si="3197">U347/(S347+U347)</f>
        <v>6.4625850340136057E-2</v>
      </c>
      <c r="W347" s="36"/>
      <c r="X347" s="34"/>
      <c r="Y347" s="34"/>
      <c r="Z347" s="37"/>
      <c r="AA347" s="33"/>
      <c r="AB347" s="34"/>
      <c r="AC347" s="34">
        <f>AC344-AA347</f>
        <v>148</v>
      </c>
      <c r="AD347" s="34">
        <f>AD344-AB347</f>
        <v>11</v>
      </c>
      <c r="AE347" s="34">
        <v>53</v>
      </c>
      <c r="AF347" s="35">
        <f t="shared" ref="AF347:AF353" si="3198">((AE347+AG347)/AC347)</f>
        <v>0.39864864864864863</v>
      </c>
      <c r="AG347" s="34">
        <v>6</v>
      </c>
      <c r="AH347" s="35">
        <f t="shared" ref="AH347:AH353" si="3199">AG347/(AE347+AG347)</f>
        <v>0.10169491525423729</v>
      </c>
      <c r="AI347" s="36"/>
      <c r="AJ347" s="34"/>
      <c r="AK347" s="34"/>
      <c r="AL347" s="37"/>
      <c r="AM347" s="33"/>
      <c r="AN347" s="34"/>
      <c r="AO347" s="34">
        <f>AO344-AM347</f>
        <v>738</v>
      </c>
      <c r="AP347" s="34">
        <f>AP344-AN347</f>
        <v>57</v>
      </c>
      <c r="AQ347" s="34">
        <v>293</v>
      </c>
      <c r="AR347" s="35">
        <f t="shared" ref="AR347:AR353" si="3200">((AQ347+AS347)/AO347)</f>
        <v>0.4241192411924119</v>
      </c>
      <c r="AS347" s="34">
        <v>20</v>
      </c>
      <c r="AT347" s="35">
        <f t="shared" ref="AT347:AT353" si="3201">AS347/(AQ347+AS347)</f>
        <v>6.3897763578274758E-2</v>
      </c>
      <c r="AU347" s="36"/>
      <c r="AV347" s="34"/>
      <c r="AW347" s="34"/>
      <c r="AX347" s="37"/>
      <c r="AY347" s="33">
        <v>1</v>
      </c>
      <c r="AZ347" s="34"/>
      <c r="BA347" s="34">
        <f>BA344-AY347</f>
        <v>735</v>
      </c>
      <c r="BB347" s="34">
        <f>BB344-AZ347</f>
        <v>57</v>
      </c>
      <c r="BC347" s="34">
        <v>293</v>
      </c>
      <c r="BD347" s="35">
        <f t="shared" ref="BD347:BD353" si="3202">((BC347+BE347)/BA347)</f>
        <v>0.42857142857142855</v>
      </c>
      <c r="BE347" s="34">
        <v>22</v>
      </c>
      <c r="BF347" s="35">
        <f t="shared" ref="BF347:BF353" si="3203">BE347/(BC347+BE347)</f>
        <v>6.9841269841269843E-2</v>
      </c>
      <c r="BG347" s="36"/>
      <c r="BH347" s="34"/>
      <c r="BI347" s="34"/>
      <c r="BJ347" s="37"/>
      <c r="BK347" s="33"/>
      <c r="BL347" s="34"/>
      <c r="BM347" s="34">
        <f>BM344-BK347</f>
        <v>784</v>
      </c>
      <c r="BN347" s="34">
        <f>BN344-BL347</f>
        <v>61</v>
      </c>
      <c r="BO347" s="34">
        <v>266</v>
      </c>
      <c r="BP347" s="35">
        <f t="shared" ref="BP347:BP353" si="3204">((BO347+BQ347)/BM347)</f>
        <v>0.36607142857142855</v>
      </c>
      <c r="BQ347" s="34">
        <v>21</v>
      </c>
      <c r="BR347" s="35">
        <f t="shared" ref="BR347:BR353" si="3205">BQ347/(BO347+BQ347)</f>
        <v>7.3170731707317069E-2</v>
      </c>
      <c r="BS347" s="36"/>
      <c r="BT347" s="34"/>
      <c r="BU347" s="34"/>
      <c r="BV347" s="37"/>
      <c r="BW347" s="33"/>
      <c r="BX347" s="34"/>
      <c r="BY347" s="34">
        <f>BY344-BW347</f>
        <v>723</v>
      </c>
      <c r="BZ347" s="34">
        <f>BZ344-BX347</f>
        <v>57</v>
      </c>
      <c r="CA347" s="34">
        <v>265</v>
      </c>
      <c r="CB347" s="35">
        <f t="shared" ref="CB347:CB353" si="3206">((CA347+CC347)/BY347)</f>
        <v>0.38589211618257263</v>
      </c>
      <c r="CC347" s="34">
        <v>14</v>
      </c>
      <c r="CD347" s="35">
        <f t="shared" ref="CD347:CD353" si="3207">CC347/(CA347+CC347)</f>
        <v>5.0179211469534052E-2</v>
      </c>
      <c r="CE347" s="36"/>
      <c r="CF347" s="34"/>
      <c r="CG347" s="34"/>
      <c r="CH347" s="37"/>
      <c r="CI347" s="33">
        <v>2</v>
      </c>
      <c r="CJ347" s="34"/>
      <c r="CK347" s="34">
        <f>CK344-CI347</f>
        <v>121</v>
      </c>
      <c r="CL347" s="34">
        <f>CL344-CJ347</f>
        <v>10</v>
      </c>
      <c r="CM347" s="34">
        <v>41</v>
      </c>
      <c r="CN347" s="35">
        <f t="shared" ref="CN347:CN353" si="3208">((CM347+CO347)/CK347)</f>
        <v>0.38016528925619836</v>
      </c>
      <c r="CO347" s="34">
        <v>5</v>
      </c>
      <c r="CP347" s="35">
        <f t="shared" ref="CP347:CP353" si="3209">CO347/(CM347+CO347)</f>
        <v>0.10869565217391304</v>
      </c>
      <c r="CQ347" s="36"/>
      <c r="CR347" s="34"/>
      <c r="CS347" s="34"/>
      <c r="CT347" s="37"/>
      <c r="CU347" s="33"/>
      <c r="CV347" s="34"/>
      <c r="CW347" s="34">
        <f>CW344-CU347</f>
        <v>713</v>
      </c>
      <c r="CX347" s="34">
        <f>CX344-CV347</f>
        <v>56</v>
      </c>
      <c r="CY347" s="34">
        <v>263</v>
      </c>
      <c r="CZ347" s="35">
        <f t="shared" ref="CZ347:CZ353" si="3210">((CY347+DA347)/CW347)</f>
        <v>0.38849929873772793</v>
      </c>
      <c r="DA347" s="34">
        <v>14</v>
      </c>
      <c r="DB347" s="35">
        <f t="shared" ref="DB347:DB353" si="3211">DA347/(CY347+DA347)</f>
        <v>5.0541516245487361E-2</v>
      </c>
      <c r="DC347" s="36"/>
      <c r="DD347" s="34"/>
      <c r="DE347" s="34"/>
      <c r="DF347" s="37"/>
      <c r="DG347" s="33"/>
      <c r="DH347" s="34"/>
      <c r="DI347" s="34">
        <f>DI344-DG347</f>
        <v>712</v>
      </c>
      <c r="DJ347" s="34">
        <f>DJ344-DH347</f>
        <v>55</v>
      </c>
      <c r="DK347" s="34">
        <v>260</v>
      </c>
      <c r="DL347" s="35">
        <f t="shared" ref="DL347:DL353" si="3212">((DK347+DM347)/DI347)</f>
        <v>0.39185393258426965</v>
      </c>
      <c r="DM347" s="34">
        <v>19</v>
      </c>
      <c r="DN347" s="35">
        <f t="shared" ref="DN347:DN353" si="3213">DM347/(DK347+DM347)</f>
        <v>6.8100358422939072E-2</v>
      </c>
      <c r="DO347" s="36"/>
      <c r="DP347" s="34"/>
      <c r="DQ347" s="34"/>
      <c r="DR347" s="37"/>
      <c r="DS347" s="33"/>
      <c r="DT347" s="34"/>
      <c r="DU347" s="34">
        <f>DU344-DS347</f>
        <v>1635</v>
      </c>
      <c r="DV347" s="34">
        <f>DV344-DT347</f>
        <v>125</v>
      </c>
      <c r="DW347" s="34">
        <v>645</v>
      </c>
      <c r="DX347" s="35">
        <f t="shared" ref="DX347:DX353" si="3214">((DW347+DY347)/DU347)</f>
        <v>0.42874617737003057</v>
      </c>
      <c r="DY347" s="34">
        <v>56</v>
      </c>
      <c r="DZ347" s="35">
        <f t="shared" ref="DZ347:DZ353" si="3215">DY347/(DW347+DY347)</f>
        <v>7.9885877318116971E-2</v>
      </c>
      <c r="EA347" s="36"/>
      <c r="EB347" s="34"/>
      <c r="EC347" s="34"/>
      <c r="ED347" s="37"/>
      <c r="EE347" s="33"/>
      <c r="EF347" s="34"/>
      <c r="EG347" s="34">
        <f>EG344-EE347</f>
        <v>146</v>
      </c>
      <c r="EH347" s="34">
        <f>EH344-EF347</f>
        <v>11</v>
      </c>
      <c r="EI347" s="34">
        <v>56</v>
      </c>
      <c r="EJ347" s="35">
        <f t="shared" ref="EJ347:EJ353" si="3216">((EI347+EK347)/EG347)</f>
        <v>0.4041095890410959</v>
      </c>
      <c r="EK347" s="34">
        <v>3</v>
      </c>
      <c r="EL347" s="35">
        <f t="shared" ref="EL347:EL353" si="3217">EK347/(EI347+EK347)</f>
        <v>5.0847457627118647E-2</v>
      </c>
      <c r="EM347" s="36"/>
      <c r="EN347" s="34"/>
      <c r="EO347" s="34"/>
      <c r="EP347" s="37"/>
      <c r="EQ347" s="33"/>
      <c r="ER347" s="34"/>
      <c r="ES347" s="34">
        <f>ES344-EQ347</f>
        <v>837</v>
      </c>
      <c r="ET347" s="34">
        <f>ET344-ER347</f>
        <v>65</v>
      </c>
      <c r="EU347" s="34">
        <v>398</v>
      </c>
      <c r="EV347" s="35">
        <f t="shared" ref="EV347:EV353" si="3218">((EU347+EW347)/ES347)</f>
        <v>0.50059737156511352</v>
      </c>
      <c r="EW347" s="34">
        <v>21</v>
      </c>
      <c r="EX347" s="35">
        <f t="shared" ref="EX347:EX353" si="3219">EW347/(EU347+EW347)</f>
        <v>5.0119331742243436E-2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3220">((FG347+FI347)/FE347)</f>
        <v>#DIV/0!</v>
      </c>
      <c r="FI347" s="34"/>
      <c r="FJ347" s="35" t="e">
        <f t="shared" ref="FJ347:FJ353" si="322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1698</v>
      </c>
      <c r="FR347" s="34">
        <f>FR344-FP347</f>
        <v>132</v>
      </c>
      <c r="FS347" s="34">
        <v>676</v>
      </c>
      <c r="FT347" s="35">
        <f t="shared" ref="FT347:FT353" si="3222">((FS347+FU347)/FQ347)</f>
        <v>0.42638398115429915</v>
      </c>
      <c r="FU347" s="34">
        <v>48</v>
      </c>
      <c r="FV347" s="35">
        <f t="shared" ref="FV347:FV353" si="3223">FU347/(FS347+FU347)</f>
        <v>6.6298342541436461E-2</v>
      </c>
      <c r="FW347" s="36"/>
      <c r="FX347" s="34"/>
      <c r="FY347" s="34"/>
      <c r="FZ347" s="37"/>
      <c r="GA347" s="33">
        <v>1</v>
      </c>
      <c r="GB347" s="34"/>
      <c r="GC347" s="34">
        <f>GC344-GA347</f>
        <v>125</v>
      </c>
      <c r="GD347" s="34">
        <f>GD344-GB347</f>
        <v>9</v>
      </c>
      <c r="GE347" s="34">
        <v>52</v>
      </c>
      <c r="GF347" s="35">
        <f t="shared" ref="GF347:GF353" si="3224">((GE347+GG347)/GC347)</f>
        <v>0.45600000000000002</v>
      </c>
      <c r="GG347" s="34">
        <v>5</v>
      </c>
      <c r="GH347" s="35">
        <f t="shared" ref="GH347:GH353" si="3225">GG347/(GE347+GG347)</f>
        <v>8.771929824561403E-2</v>
      </c>
      <c r="GI347" s="36"/>
      <c r="GJ347" s="34"/>
      <c r="GK347" s="34"/>
      <c r="GL347" s="37"/>
      <c r="GM347" s="33"/>
      <c r="GN347" s="34"/>
      <c r="GO347" s="34">
        <f>GO344-GM347</f>
        <v>886</v>
      </c>
      <c r="GP347" s="34">
        <f>GP344-GN347</f>
        <v>69</v>
      </c>
      <c r="GQ347" s="34">
        <v>380</v>
      </c>
      <c r="GR347" s="35">
        <f t="shared" ref="GR347:GR353" si="3226">((GQ347+GS347)/GO347)</f>
        <v>0.45823927765237021</v>
      </c>
      <c r="GS347" s="34">
        <v>26</v>
      </c>
      <c r="GT347" s="35">
        <f t="shared" ref="GT347:GT353" si="3227">GS347/(GQ347+GS347)</f>
        <v>6.4039408866995079E-2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3228">((HC347+HE347)/HA347)</f>
        <v>#DIV/0!</v>
      </c>
      <c r="HE347" s="34"/>
      <c r="HF347" s="35" t="e">
        <f t="shared" ref="HF347:HF353" si="3229">HE347/(HC347+HE347)</f>
        <v>#DIV/0!</v>
      </c>
      <c r="HG347" s="36"/>
      <c r="HH347" s="34"/>
      <c r="HI347" s="34"/>
      <c r="HJ347" s="37"/>
      <c r="HK347" s="33">
        <f t="shared" ref="HK347:HK354" si="3230">+C347+O347+AA347+AM347+AY347+BK347+BW347+CI347+CU347+DG347+DS347+EE347+EQ347+FC347+FO347+GA347+GM347+GY347</f>
        <v>4</v>
      </c>
      <c r="HL347" s="34">
        <f t="shared" ref="HL347:HL354" si="3231">+D347+P347+AB347+AN347+AZ347+BL347+BX347+CJ347+CV347+DH347+DT347+EF347+ER347+FD347+FP347+GB347+GN347+GZ347</f>
        <v>0</v>
      </c>
      <c r="HM347" s="34">
        <f t="shared" ref="HM347:HM354" si="3232">+E347+Q347+AC347+AO347+BA347+BM347+BY347+CK347+CW347+DI347+DU347+EG347+ES347+FE347+FQ347+GC347+GO347+HA347</f>
        <v>11531</v>
      </c>
      <c r="HN347" s="34">
        <f t="shared" ref="HN347:HN354" si="3233">+F347+R347+AD347+AP347+BB347+BN347+BZ347+CL347+CX347+DJ347+DV347+EH347+ET347+FF347+FR347+GD347+GP347+HB347</f>
        <v>893</v>
      </c>
      <c r="HO347" s="34">
        <f t="shared" ref="HO347:HO354" si="3234">+G347+S347+AE347+AQ347+BC347+BO347+CA347+CM347+CY347+DK347+DW347+EI347+EU347+FG347+FS347+GE347+GQ347+HC347+I347+U347+AG347+AS347+BE347+BQ347+CC347+CO347+DA347+DM347+DY347+EK347+EW347+FI347+FU347+GG347+GS347+HE347</f>
        <v>4870</v>
      </c>
      <c r="HP347" s="94">
        <f t="shared" ref="HP347:HP353" si="3235">+(HO347)/HM347</f>
        <v>0.42233977972422165</v>
      </c>
      <c r="HQ347" s="48">
        <f t="shared" ref="HQ347:HQ354" si="3236">+I347+U347+AG347+AS347+BE347+BQ347+CC347+CO347+DA347+DM347+DY347+EK347+EW347+FI347+FU347+GG347+GS347+HE347</f>
        <v>319</v>
      </c>
      <c r="HR347" s="35">
        <f t="shared" ref="HR347:HR354" si="3237">+(HQ347/(HO347))</f>
        <v>6.5503080082135526E-2</v>
      </c>
      <c r="HS347" s="49">
        <v>68.900000000000006</v>
      </c>
      <c r="HT347" s="50">
        <v>4441</v>
      </c>
      <c r="HU347" s="49">
        <f t="shared" ref="HU347:HU353" si="3238">+HT347/HO347*100</f>
        <v>91.190965092402465</v>
      </c>
      <c r="HV347" s="48"/>
      <c r="HW347" s="37"/>
      <c r="HX347" s="73">
        <f t="shared" ref="HX347:HX353" si="3239">SUM(G347,I347,S347,U347,AE347,AG347,AQ347,AS347,BC347,BE347)/SUM(E347,Q347,AC347,AO347,BA347)</f>
        <v>0.42399238337035861</v>
      </c>
      <c r="HY347" s="73">
        <f t="shared" ref="HY347:HY353" si="3240">SUM(BO347,BQ347,CA347,CC347,CM347,CO347,CY347,DA347,DK347,DM347)/SUM(BM347,BY347,CK347,CW347,DI347)</f>
        <v>0.38257451686865379</v>
      </c>
      <c r="HZ347" s="73">
        <f t="shared" ref="HZ347:HZ353" si="3241">SUM(DW347,DY347,EI347,EK347,EU347,EW347,FG347,FI347)/SUM(DU347,EG347,ES347,FE347)</f>
        <v>0.45034377387318564</v>
      </c>
      <c r="IA347" s="73">
        <f t="shared" ref="IA347:IA353" si="3242">SUM(FS347,FU347,GE347,GG347,GQ347,GS347,HC347,HE347)/SUM(FQ347,GC347,GO347,HA347)</f>
        <v>0.43816906607604283</v>
      </c>
    </row>
    <row r="348" spans="1:244" x14ac:dyDescent="0.25">
      <c r="A348" s="374"/>
      <c r="B348" s="41">
        <f t="shared" ref="B348:B353" si="3243">+B347+1</f>
        <v>45208</v>
      </c>
      <c r="C348" s="10"/>
      <c r="D348" s="11"/>
      <c r="E348" s="69">
        <f t="shared" ref="E348:E353" si="3244">E347-C348</f>
        <v>798</v>
      </c>
      <c r="F348" s="69">
        <f t="shared" ref="F348:F353" si="3245">F347-D348</f>
        <v>62</v>
      </c>
      <c r="G348" s="11">
        <v>318</v>
      </c>
      <c r="H348" s="12">
        <f t="shared" si="3194"/>
        <v>0.42230576441102757</v>
      </c>
      <c r="I348" s="11">
        <v>19</v>
      </c>
      <c r="J348" s="12">
        <f t="shared" si="3195"/>
        <v>5.637982195845697E-2</v>
      </c>
      <c r="K348" s="13"/>
      <c r="L348" s="11"/>
      <c r="M348" s="11"/>
      <c r="N348" s="14"/>
      <c r="O348" s="10"/>
      <c r="P348" s="11"/>
      <c r="Q348" s="69">
        <f t="shared" ref="Q348:Q353" si="3246">Q347-O348</f>
        <v>732</v>
      </c>
      <c r="R348" s="69">
        <f t="shared" ref="R348:R353" si="3247">R347-P348</f>
        <v>56</v>
      </c>
      <c r="S348" s="11">
        <v>281</v>
      </c>
      <c r="T348" s="12">
        <f t="shared" si="3196"/>
        <v>0.40027322404371585</v>
      </c>
      <c r="U348" s="11">
        <v>12</v>
      </c>
      <c r="V348" s="12">
        <f t="shared" si="3197"/>
        <v>4.0955631399317405E-2</v>
      </c>
      <c r="W348" s="13"/>
      <c r="X348" s="11"/>
      <c r="Y348" s="11"/>
      <c r="Z348" s="14"/>
      <c r="AA348" s="10">
        <v>1</v>
      </c>
      <c r="AB348" s="11"/>
      <c r="AC348" s="69">
        <f t="shared" ref="AC348:AC353" si="3248">AC347-AA348</f>
        <v>147</v>
      </c>
      <c r="AD348" s="69">
        <f t="shared" ref="AD348:AD353" si="3249">AD347-AB348</f>
        <v>11</v>
      </c>
      <c r="AE348" s="11">
        <v>57</v>
      </c>
      <c r="AF348" s="12">
        <f t="shared" si="3198"/>
        <v>0.44217687074829931</v>
      </c>
      <c r="AG348" s="11">
        <v>8</v>
      </c>
      <c r="AH348" s="12">
        <f t="shared" si="3199"/>
        <v>0.12307692307692308</v>
      </c>
      <c r="AI348" s="13"/>
      <c r="AJ348" s="11"/>
      <c r="AK348" s="11"/>
      <c r="AL348" s="14"/>
      <c r="AM348" s="10"/>
      <c r="AN348" s="11"/>
      <c r="AO348" s="69">
        <f t="shared" ref="AO348:AO353" si="3250">AO347-AM348</f>
        <v>738</v>
      </c>
      <c r="AP348" s="69">
        <f t="shared" ref="AP348:AP353" si="3251">AP347-AN348</f>
        <v>57</v>
      </c>
      <c r="AQ348" s="11">
        <v>295</v>
      </c>
      <c r="AR348" s="12">
        <f t="shared" si="3200"/>
        <v>0.43495934959349591</v>
      </c>
      <c r="AS348" s="11">
        <v>26</v>
      </c>
      <c r="AT348" s="12">
        <f t="shared" si="3201"/>
        <v>8.0996884735202487E-2</v>
      </c>
      <c r="AU348" s="13"/>
      <c r="AV348" s="11"/>
      <c r="AW348" s="11"/>
      <c r="AX348" s="14"/>
      <c r="AY348" s="10"/>
      <c r="AZ348" s="11"/>
      <c r="BA348" s="69">
        <f t="shared" ref="BA348:BA353" si="3252">BA347-AY348</f>
        <v>735</v>
      </c>
      <c r="BB348" s="69">
        <f t="shared" ref="BB348:BB353" si="3253">BB347-AZ348</f>
        <v>57</v>
      </c>
      <c r="BC348" s="11">
        <v>275</v>
      </c>
      <c r="BD348" s="12">
        <f t="shared" si="3202"/>
        <v>0.42448979591836733</v>
      </c>
      <c r="BE348" s="11">
        <v>37</v>
      </c>
      <c r="BF348" s="12">
        <f t="shared" si="3203"/>
        <v>0.11858974358974358</v>
      </c>
      <c r="BG348" s="13"/>
      <c r="BH348" s="11"/>
      <c r="BI348" s="11"/>
      <c r="BJ348" s="14"/>
      <c r="BK348" s="10"/>
      <c r="BL348" s="11"/>
      <c r="BM348" s="69">
        <f t="shared" ref="BM348:BM353" si="3254">BM347-BK348</f>
        <v>784</v>
      </c>
      <c r="BN348" s="69">
        <f t="shared" ref="BN348:BN353" si="3255">BN347-BL348</f>
        <v>61</v>
      </c>
      <c r="BO348" s="11">
        <v>247</v>
      </c>
      <c r="BP348" s="12">
        <f t="shared" si="3204"/>
        <v>0.3392857142857143</v>
      </c>
      <c r="BQ348" s="11">
        <v>19</v>
      </c>
      <c r="BR348" s="12">
        <f t="shared" si="3205"/>
        <v>7.1428571428571425E-2</v>
      </c>
      <c r="BS348" s="13"/>
      <c r="BT348" s="11"/>
      <c r="BU348" s="11"/>
      <c r="BV348" s="14"/>
      <c r="BW348" s="10">
        <v>2</v>
      </c>
      <c r="BX348" s="11"/>
      <c r="BY348" s="69">
        <f t="shared" ref="BY348:BY353" si="3256">BY347-BW348</f>
        <v>721</v>
      </c>
      <c r="BZ348" s="69">
        <f t="shared" ref="BZ348:BZ353" si="3257">BZ347-BX348</f>
        <v>57</v>
      </c>
      <c r="CA348" s="11">
        <v>236</v>
      </c>
      <c r="CB348" s="12">
        <f t="shared" si="3206"/>
        <v>0.34535367545076284</v>
      </c>
      <c r="CC348" s="11">
        <v>13</v>
      </c>
      <c r="CD348" s="12">
        <f t="shared" si="3207"/>
        <v>5.2208835341365459E-2</v>
      </c>
      <c r="CE348" s="13"/>
      <c r="CF348" s="11"/>
      <c r="CG348" s="11"/>
      <c r="CH348" s="14"/>
      <c r="CI348" s="10"/>
      <c r="CJ348" s="11"/>
      <c r="CK348" s="69">
        <f t="shared" ref="CK348:CK353" si="3258">CK347-CI348</f>
        <v>121</v>
      </c>
      <c r="CL348" s="69">
        <f t="shared" ref="CL348:CL353" si="3259">CL347-CJ348</f>
        <v>10</v>
      </c>
      <c r="CM348" s="11">
        <v>40</v>
      </c>
      <c r="CN348" s="12">
        <f t="shared" si="3208"/>
        <v>0.35537190082644626</v>
      </c>
      <c r="CO348" s="11">
        <v>3</v>
      </c>
      <c r="CP348" s="12">
        <f t="shared" si="3209"/>
        <v>6.9767441860465115E-2</v>
      </c>
      <c r="CQ348" s="13"/>
      <c r="CR348" s="11"/>
      <c r="CS348" s="11"/>
      <c r="CT348" s="14"/>
      <c r="CU348" s="10">
        <v>1</v>
      </c>
      <c r="CV348" s="11"/>
      <c r="CW348" s="69">
        <f t="shared" ref="CW348:CW353" si="3260">CW347-CU348</f>
        <v>712</v>
      </c>
      <c r="CX348" s="69">
        <f t="shared" ref="CX348:CX353" si="3261">CX347-CV348</f>
        <v>56</v>
      </c>
      <c r="CY348" s="11">
        <v>249</v>
      </c>
      <c r="CZ348" s="12">
        <f t="shared" si="3210"/>
        <v>0.3595505617977528</v>
      </c>
      <c r="DA348" s="11">
        <v>7</v>
      </c>
      <c r="DB348" s="12">
        <f t="shared" si="3211"/>
        <v>2.734375E-2</v>
      </c>
      <c r="DC348" s="13"/>
      <c r="DD348" s="11"/>
      <c r="DE348" s="11"/>
      <c r="DF348" s="14"/>
      <c r="DG348" s="10"/>
      <c r="DH348" s="11"/>
      <c r="DI348" s="69">
        <f t="shared" ref="DI348:DI353" si="3262">DI347-DG348</f>
        <v>712</v>
      </c>
      <c r="DJ348" s="69">
        <f t="shared" ref="DJ348:DJ353" si="3263">DJ347-DH348</f>
        <v>55</v>
      </c>
      <c r="DK348" s="11">
        <v>261</v>
      </c>
      <c r="DL348" s="12">
        <f t="shared" si="3212"/>
        <v>0.39185393258426965</v>
      </c>
      <c r="DM348" s="11">
        <v>18</v>
      </c>
      <c r="DN348" s="12">
        <f t="shared" si="3213"/>
        <v>6.4516129032258063E-2</v>
      </c>
      <c r="DO348" s="13"/>
      <c r="DP348" s="11"/>
      <c r="DQ348" s="11"/>
      <c r="DR348" s="14"/>
      <c r="DS348" s="10"/>
      <c r="DT348" s="11"/>
      <c r="DU348" s="69">
        <f t="shared" ref="DU348:DU353" si="3264">DU347-DS348</f>
        <v>1635</v>
      </c>
      <c r="DV348" s="69">
        <f t="shared" ref="DV348:DV353" si="3265">DV347-DT348</f>
        <v>125</v>
      </c>
      <c r="DW348" s="11">
        <v>650</v>
      </c>
      <c r="DX348" s="12">
        <f t="shared" si="3214"/>
        <v>0.42385321100917434</v>
      </c>
      <c r="DY348" s="11">
        <v>43</v>
      </c>
      <c r="DZ348" s="12">
        <f t="shared" si="3215"/>
        <v>6.2049062049062048E-2</v>
      </c>
      <c r="EA348" s="13"/>
      <c r="EB348" s="11"/>
      <c r="EC348" s="11"/>
      <c r="ED348" s="14"/>
      <c r="EE348" s="10">
        <v>3</v>
      </c>
      <c r="EF348" s="11"/>
      <c r="EG348" s="69">
        <f t="shared" ref="EG348:EG353" si="3266">EG347-EE348</f>
        <v>143</v>
      </c>
      <c r="EH348" s="69">
        <f t="shared" ref="EH348:EH353" si="3267">EH347-EF348</f>
        <v>11</v>
      </c>
      <c r="EI348" s="11">
        <v>62</v>
      </c>
      <c r="EJ348" s="12">
        <f t="shared" si="3216"/>
        <v>0.45454545454545453</v>
      </c>
      <c r="EK348" s="11">
        <v>3</v>
      </c>
      <c r="EL348" s="12">
        <f t="shared" si="3217"/>
        <v>4.6153846153846156E-2</v>
      </c>
      <c r="EM348" s="13"/>
      <c r="EN348" s="11"/>
      <c r="EO348" s="11"/>
      <c r="EP348" s="14"/>
      <c r="EQ348" s="10">
        <v>1</v>
      </c>
      <c r="ER348" s="11"/>
      <c r="ES348" s="69">
        <f t="shared" ref="ES348:ES353" si="3268">ES347-EQ348</f>
        <v>836</v>
      </c>
      <c r="ET348" s="69">
        <f t="shared" ref="ET348:ET353" si="3269">ET347-ER348</f>
        <v>65</v>
      </c>
      <c r="EU348" s="11">
        <v>351</v>
      </c>
      <c r="EV348" s="12">
        <f t="shared" si="3218"/>
        <v>0.45095693779904306</v>
      </c>
      <c r="EW348" s="11">
        <v>26</v>
      </c>
      <c r="EX348" s="12">
        <f t="shared" si="3219"/>
        <v>6.8965517241379309E-2</v>
      </c>
      <c r="EY348" s="13"/>
      <c r="EZ348" s="11"/>
      <c r="FA348" s="11"/>
      <c r="FB348" s="14"/>
      <c r="FC348" s="10"/>
      <c r="FD348" s="11"/>
      <c r="FE348" s="69">
        <f t="shared" ref="FE348:FE353" si="3270">FE347-FC348</f>
        <v>0</v>
      </c>
      <c r="FF348" s="69">
        <f t="shared" ref="FF348:FF353" si="3271">FF347-FD348</f>
        <v>0</v>
      </c>
      <c r="FG348" s="11"/>
      <c r="FH348" s="12" t="e">
        <f t="shared" si="3220"/>
        <v>#DIV/0!</v>
      </c>
      <c r="FI348" s="11"/>
      <c r="FJ348" s="12" t="e">
        <f t="shared" si="3221"/>
        <v>#DIV/0!</v>
      </c>
      <c r="FK348" s="13"/>
      <c r="FL348" s="11"/>
      <c r="FM348" s="11"/>
      <c r="FN348" s="14"/>
      <c r="FO348" s="10"/>
      <c r="FP348" s="11"/>
      <c r="FQ348" s="69">
        <f t="shared" ref="FQ348:FQ353" si="3272">FQ347-FO348</f>
        <v>1698</v>
      </c>
      <c r="FR348" s="69">
        <f t="shared" ref="FR348:FR353" si="3273">FR347-FP348</f>
        <v>132</v>
      </c>
      <c r="FS348" s="11">
        <v>609</v>
      </c>
      <c r="FT348" s="12">
        <f t="shared" si="3222"/>
        <v>0.38103651354534745</v>
      </c>
      <c r="FU348" s="11">
        <v>38</v>
      </c>
      <c r="FV348" s="12">
        <f t="shared" si="3223"/>
        <v>5.8732612055641419E-2</v>
      </c>
      <c r="FW348" s="13"/>
      <c r="FX348" s="11"/>
      <c r="FY348" s="11"/>
      <c r="FZ348" s="14"/>
      <c r="GA348" s="10"/>
      <c r="GB348" s="11"/>
      <c r="GC348" s="69">
        <f t="shared" ref="GC348:GC353" si="3274">GC347-GA348</f>
        <v>125</v>
      </c>
      <c r="GD348" s="69">
        <f t="shared" ref="GD348:GD353" si="3275">GD347-GB348</f>
        <v>9</v>
      </c>
      <c r="GE348" s="11">
        <v>44</v>
      </c>
      <c r="GF348" s="12">
        <f t="shared" si="3224"/>
        <v>0.38400000000000001</v>
      </c>
      <c r="GG348" s="11">
        <v>4</v>
      </c>
      <c r="GH348" s="12">
        <f t="shared" si="3225"/>
        <v>8.3333333333333329E-2</v>
      </c>
      <c r="GI348" s="13"/>
      <c r="GJ348" s="11"/>
      <c r="GK348" s="11"/>
      <c r="GL348" s="14"/>
      <c r="GM348" s="10"/>
      <c r="GN348" s="11"/>
      <c r="GO348" s="69">
        <f t="shared" ref="GO348:GO353" si="3276">GO347-GM348</f>
        <v>886</v>
      </c>
      <c r="GP348" s="69">
        <f t="shared" ref="GP348:GP353" si="3277">GP347-GN348</f>
        <v>69</v>
      </c>
      <c r="GQ348" s="11">
        <v>380</v>
      </c>
      <c r="GR348" s="12">
        <f t="shared" si="3226"/>
        <v>0.4604966139954853</v>
      </c>
      <c r="GS348" s="11">
        <v>28</v>
      </c>
      <c r="GT348" s="12">
        <f t="shared" si="3227"/>
        <v>6.8627450980392163E-2</v>
      </c>
      <c r="GU348" s="13"/>
      <c r="GV348" s="11"/>
      <c r="GW348" s="11"/>
      <c r="GX348" s="14"/>
      <c r="GY348" s="10"/>
      <c r="GZ348" s="11"/>
      <c r="HA348" s="69">
        <f t="shared" ref="HA348:HA353" si="3278">HA347-GY348</f>
        <v>0</v>
      </c>
      <c r="HB348" s="69">
        <f t="shared" ref="HB348:HB353" si="3279">HB347-GZ348</f>
        <v>0</v>
      </c>
      <c r="HC348" s="11"/>
      <c r="HD348" s="12" t="e">
        <f t="shared" si="3228"/>
        <v>#DIV/0!</v>
      </c>
      <c r="HE348" s="11"/>
      <c r="HF348" s="12" t="e">
        <f t="shared" si="3229"/>
        <v>#DIV/0!</v>
      </c>
      <c r="HG348" s="13"/>
      <c r="HH348" s="11"/>
      <c r="HI348" s="11"/>
      <c r="HJ348" s="14"/>
      <c r="HK348" s="10">
        <f t="shared" si="3230"/>
        <v>8</v>
      </c>
      <c r="HL348" s="11">
        <f t="shared" si="3231"/>
        <v>0</v>
      </c>
      <c r="HM348" s="11">
        <f t="shared" si="3232"/>
        <v>11523</v>
      </c>
      <c r="HN348" s="11">
        <f t="shared" si="3233"/>
        <v>893</v>
      </c>
      <c r="HO348" s="11">
        <f t="shared" si="3234"/>
        <v>4659</v>
      </c>
      <c r="HP348" s="95">
        <f t="shared" si="3235"/>
        <v>0.40432179120020828</v>
      </c>
      <c r="HQ348" s="15">
        <f t="shared" si="3236"/>
        <v>304</v>
      </c>
      <c r="HR348" s="12">
        <f t="shared" si="3237"/>
        <v>6.5250053659583598E-2</v>
      </c>
      <c r="HS348" s="16">
        <v>68.900000000000006</v>
      </c>
      <c r="HT348" s="17">
        <v>4240</v>
      </c>
      <c r="HU348" s="16">
        <f t="shared" si="3238"/>
        <v>91.006653788366592</v>
      </c>
      <c r="HV348" s="15"/>
      <c r="HW348" s="14"/>
      <c r="HX348" s="73">
        <f t="shared" si="3239"/>
        <v>0.42158730158730157</v>
      </c>
      <c r="HY348" s="73">
        <f t="shared" si="3240"/>
        <v>0.35836065573770493</v>
      </c>
      <c r="HZ348" s="73">
        <f t="shared" si="3241"/>
        <v>0.43420045906656463</v>
      </c>
      <c r="IA348" s="73">
        <f t="shared" si="3242"/>
        <v>0.40716131413805834</v>
      </c>
    </row>
    <row r="349" spans="1:244" x14ac:dyDescent="0.25">
      <c r="A349" s="374"/>
      <c r="B349" s="41">
        <f t="shared" si="3243"/>
        <v>45209</v>
      </c>
      <c r="C349" s="10"/>
      <c r="D349" s="11"/>
      <c r="E349" s="69">
        <f t="shared" si="3244"/>
        <v>798</v>
      </c>
      <c r="F349" s="69">
        <f t="shared" si="3245"/>
        <v>62</v>
      </c>
      <c r="G349" s="11">
        <v>264</v>
      </c>
      <c r="H349" s="12">
        <f t="shared" si="3194"/>
        <v>0.34586466165413532</v>
      </c>
      <c r="I349" s="11">
        <v>12</v>
      </c>
      <c r="J349" s="12">
        <f t="shared" si="3195"/>
        <v>4.3478260869565216E-2</v>
      </c>
      <c r="K349" s="13"/>
      <c r="L349" s="11"/>
      <c r="M349" s="11"/>
      <c r="N349" s="14"/>
      <c r="O349" s="10">
        <v>1</v>
      </c>
      <c r="P349" s="11"/>
      <c r="Q349" s="69">
        <f t="shared" si="3246"/>
        <v>731</v>
      </c>
      <c r="R349" s="69">
        <f t="shared" si="3247"/>
        <v>56</v>
      </c>
      <c r="S349" s="11">
        <v>263</v>
      </c>
      <c r="T349" s="12">
        <f t="shared" si="3196"/>
        <v>0.38166894664842682</v>
      </c>
      <c r="U349" s="11">
        <v>16</v>
      </c>
      <c r="V349" s="12">
        <f t="shared" si="3197"/>
        <v>5.7347670250896057E-2</v>
      </c>
      <c r="W349" s="13"/>
      <c r="X349" s="11"/>
      <c r="Y349" s="11"/>
      <c r="Z349" s="14"/>
      <c r="AA349" s="10"/>
      <c r="AB349" s="11"/>
      <c r="AC349" s="69">
        <f t="shared" si="3248"/>
        <v>147</v>
      </c>
      <c r="AD349" s="69">
        <f t="shared" si="3249"/>
        <v>11</v>
      </c>
      <c r="AE349" s="11">
        <v>61</v>
      </c>
      <c r="AF349" s="12">
        <f t="shared" si="3198"/>
        <v>0.43537414965986393</v>
      </c>
      <c r="AG349" s="11">
        <v>3</v>
      </c>
      <c r="AH349" s="12">
        <f t="shared" si="3199"/>
        <v>4.6875E-2</v>
      </c>
      <c r="AI349" s="13"/>
      <c r="AJ349" s="11"/>
      <c r="AK349" s="11"/>
      <c r="AL349" s="14"/>
      <c r="AM349" s="10">
        <v>1</v>
      </c>
      <c r="AN349" s="11"/>
      <c r="AO349" s="69">
        <f t="shared" si="3250"/>
        <v>737</v>
      </c>
      <c r="AP349" s="69">
        <f t="shared" si="3251"/>
        <v>57</v>
      </c>
      <c r="AQ349" s="11">
        <v>281</v>
      </c>
      <c r="AR349" s="12">
        <f t="shared" si="3200"/>
        <v>0.40705563093622793</v>
      </c>
      <c r="AS349" s="11">
        <v>19</v>
      </c>
      <c r="AT349" s="12">
        <f t="shared" si="3201"/>
        <v>6.3333333333333339E-2</v>
      </c>
      <c r="AU349" s="13"/>
      <c r="AV349" s="11"/>
      <c r="AW349" s="11"/>
      <c r="AX349" s="14"/>
      <c r="AY349" s="10"/>
      <c r="AZ349" s="11"/>
      <c r="BA349" s="69">
        <f t="shared" si="3252"/>
        <v>735</v>
      </c>
      <c r="BB349" s="69">
        <f t="shared" si="3253"/>
        <v>57</v>
      </c>
      <c r="BC349" s="11">
        <v>271</v>
      </c>
      <c r="BD349" s="12">
        <f t="shared" si="3202"/>
        <v>0.4</v>
      </c>
      <c r="BE349" s="11">
        <v>23</v>
      </c>
      <c r="BF349" s="12">
        <f t="shared" si="3203"/>
        <v>7.8231292517006806E-2</v>
      </c>
      <c r="BG349" s="13"/>
      <c r="BH349" s="11"/>
      <c r="BI349" s="11"/>
      <c r="BJ349" s="14"/>
      <c r="BK349" s="10">
        <v>1</v>
      </c>
      <c r="BL349" s="11"/>
      <c r="BM349" s="69">
        <f t="shared" si="3254"/>
        <v>783</v>
      </c>
      <c r="BN349" s="69">
        <f t="shared" si="3255"/>
        <v>61</v>
      </c>
      <c r="BO349" s="11">
        <v>238</v>
      </c>
      <c r="BP349" s="12">
        <f t="shared" si="3204"/>
        <v>0.32822477650063858</v>
      </c>
      <c r="BQ349" s="11">
        <v>19</v>
      </c>
      <c r="BR349" s="12">
        <f t="shared" si="3205"/>
        <v>7.3929961089494164E-2</v>
      </c>
      <c r="BS349" s="13"/>
      <c r="BT349" s="11"/>
      <c r="BU349" s="11"/>
      <c r="BV349" s="14"/>
      <c r="BW349" s="10"/>
      <c r="BX349" s="11"/>
      <c r="BY349" s="69">
        <f t="shared" si="3256"/>
        <v>721</v>
      </c>
      <c r="BZ349" s="69">
        <f t="shared" si="3257"/>
        <v>57</v>
      </c>
      <c r="CA349" s="11">
        <v>244</v>
      </c>
      <c r="CB349" s="12">
        <f t="shared" si="3206"/>
        <v>0.36338418862690708</v>
      </c>
      <c r="CC349" s="11">
        <v>18</v>
      </c>
      <c r="CD349" s="12">
        <f t="shared" si="3207"/>
        <v>6.8702290076335881E-2</v>
      </c>
      <c r="CE349" s="13"/>
      <c r="CF349" s="11"/>
      <c r="CG349" s="11"/>
      <c r="CH349" s="14"/>
      <c r="CI349" s="10"/>
      <c r="CJ349" s="11"/>
      <c r="CK349" s="69">
        <f t="shared" si="3258"/>
        <v>121</v>
      </c>
      <c r="CL349" s="69">
        <f t="shared" si="3259"/>
        <v>10</v>
      </c>
      <c r="CM349" s="11">
        <v>33</v>
      </c>
      <c r="CN349" s="12">
        <f t="shared" si="3208"/>
        <v>0.33884297520661155</v>
      </c>
      <c r="CO349" s="11">
        <v>8</v>
      </c>
      <c r="CP349" s="12">
        <f t="shared" si="3209"/>
        <v>0.1951219512195122</v>
      </c>
      <c r="CQ349" s="13"/>
      <c r="CR349" s="11"/>
      <c r="CS349" s="11"/>
      <c r="CT349" s="14"/>
      <c r="CU349" s="10"/>
      <c r="CV349" s="11"/>
      <c r="CW349" s="69">
        <f t="shared" si="3260"/>
        <v>712</v>
      </c>
      <c r="CX349" s="69">
        <f t="shared" si="3261"/>
        <v>56</v>
      </c>
      <c r="CY349" s="11">
        <v>264</v>
      </c>
      <c r="CZ349" s="12">
        <f t="shared" si="3210"/>
        <v>0.3904494382022472</v>
      </c>
      <c r="DA349" s="11">
        <v>14</v>
      </c>
      <c r="DB349" s="12">
        <f t="shared" si="3211"/>
        <v>5.0359712230215826E-2</v>
      </c>
      <c r="DC349" s="13"/>
      <c r="DD349" s="11"/>
      <c r="DE349" s="11"/>
      <c r="DF349" s="14"/>
      <c r="DG349" s="10"/>
      <c r="DH349" s="11"/>
      <c r="DI349" s="69">
        <f t="shared" si="3262"/>
        <v>712</v>
      </c>
      <c r="DJ349" s="69">
        <f t="shared" si="3263"/>
        <v>55</v>
      </c>
      <c r="DK349" s="11">
        <v>270</v>
      </c>
      <c r="DL349" s="12">
        <f t="shared" si="3212"/>
        <v>0.4058988764044944</v>
      </c>
      <c r="DM349" s="11">
        <v>19</v>
      </c>
      <c r="DN349" s="12">
        <f t="shared" si="3213"/>
        <v>6.5743944636678195E-2</v>
      </c>
      <c r="DO349" s="13"/>
      <c r="DP349" s="11"/>
      <c r="DQ349" s="11"/>
      <c r="DR349" s="14"/>
      <c r="DS349" s="10">
        <v>2</v>
      </c>
      <c r="DT349" s="11"/>
      <c r="DU349" s="69">
        <f t="shared" si="3264"/>
        <v>1633</v>
      </c>
      <c r="DV349" s="69">
        <f t="shared" si="3265"/>
        <v>125</v>
      </c>
      <c r="DW349" s="11">
        <v>615</v>
      </c>
      <c r="DX349" s="12">
        <f t="shared" si="3214"/>
        <v>0.39742804654011021</v>
      </c>
      <c r="DY349" s="11">
        <v>34</v>
      </c>
      <c r="DZ349" s="12">
        <f t="shared" si="3215"/>
        <v>5.2388289676425268E-2</v>
      </c>
      <c r="EA349" s="13"/>
      <c r="EB349" s="11"/>
      <c r="EC349" s="11"/>
      <c r="ED349" s="14"/>
      <c r="EE349" s="10">
        <v>2</v>
      </c>
      <c r="EF349" s="11"/>
      <c r="EG349" s="69">
        <f t="shared" si="3266"/>
        <v>141</v>
      </c>
      <c r="EH349" s="69">
        <f t="shared" si="3267"/>
        <v>11</v>
      </c>
      <c r="EI349" s="11">
        <v>52</v>
      </c>
      <c r="EJ349" s="12">
        <f t="shared" si="3216"/>
        <v>0.40425531914893614</v>
      </c>
      <c r="EK349" s="11">
        <v>5</v>
      </c>
      <c r="EL349" s="12">
        <f t="shared" si="3217"/>
        <v>8.771929824561403E-2</v>
      </c>
      <c r="EM349" s="13"/>
      <c r="EN349" s="11"/>
      <c r="EO349" s="11"/>
      <c r="EP349" s="14"/>
      <c r="EQ349" s="10"/>
      <c r="ER349" s="11"/>
      <c r="ES349" s="69">
        <f t="shared" si="3268"/>
        <v>836</v>
      </c>
      <c r="ET349" s="69">
        <f t="shared" si="3269"/>
        <v>65</v>
      </c>
      <c r="EU349" s="11">
        <v>358</v>
      </c>
      <c r="EV349" s="12">
        <f t="shared" si="3218"/>
        <v>0.46052631578947367</v>
      </c>
      <c r="EW349" s="11">
        <v>27</v>
      </c>
      <c r="EX349" s="12">
        <f t="shared" si="3219"/>
        <v>7.0129870129870125E-2</v>
      </c>
      <c r="EY349" s="13"/>
      <c r="EZ349" s="11"/>
      <c r="FA349" s="11"/>
      <c r="FB349" s="14"/>
      <c r="FC349" s="10"/>
      <c r="FD349" s="11"/>
      <c r="FE349" s="69">
        <f t="shared" si="3270"/>
        <v>0</v>
      </c>
      <c r="FF349" s="69">
        <f t="shared" si="3271"/>
        <v>0</v>
      </c>
      <c r="FG349" s="11"/>
      <c r="FH349" s="12" t="e">
        <f t="shared" si="3220"/>
        <v>#DIV/0!</v>
      </c>
      <c r="FI349" s="11"/>
      <c r="FJ349" s="12" t="e">
        <f t="shared" si="3221"/>
        <v>#DIV/0!</v>
      </c>
      <c r="FK349" s="13"/>
      <c r="FL349" s="11"/>
      <c r="FM349" s="11"/>
      <c r="FN349" s="14"/>
      <c r="FO349" s="10"/>
      <c r="FP349" s="11"/>
      <c r="FQ349" s="69">
        <f t="shared" si="3272"/>
        <v>1698</v>
      </c>
      <c r="FR349" s="69">
        <f t="shared" si="3273"/>
        <v>132</v>
      </c>
      <c r="FS349" s="11">
        <v>622</v>
      </c>
      <c r="FT349" s="12">
        <f t="shared" si="3222"/>
        <v>0.40930506478209661</v>
      </c>
      <c r="FU349" s="11">
        <v>73</v>
      </c>
      <c r="FV349" s="12">
        <f t="shared" si="3223"/>
        <v>0.10503597122302158</v>
      </c>
      <c r="FW349" s="13"/>
      <c r="FX349" s="11"/>
      <c r="FY349" s="11"/>
      <c r="FZ349" s="14"/>
      <c r="GA349" s="10"/>
      <c r="GB349" s="11"/>
      <c r="GC349" s="69">
        <f t="shared" si="3274"/>
        <v>125</v>
      </c>
      <c r="GD349" s="69">
        <f t="shared" si="3275"/>
        <v>9</v>
      </c>
      <c r="GE349" s="11">
        <v>59</v>
      </c>
      <c r="GF349" s="12">
        <f t="shared" si="3224"/>
        <v>0.496</v>
      </c>
      <c r="GG349" s="11">
        <v>3</v>
      </c>
      <c r="GH349" s="12">
        <f t="shared" si="3225"/>
        <v>4.8387096774193547E-2</v>
      </c>
      <c r="GI349" s="13"/>
      <c r="GJ349" s="11"/>
      <c r="GK349" s="11"/>
      <c r="GL349" s="14"/>
      <c r="GM349" s="10">
        <v>1</v>
      </c>
      <c r="GN349" s="11"/>
      <c r="GO349" s="69">
        <f t="shared" si="3276"/>
        <v>885</v>
      </c>
      <c r="GP349" s="69">
        <f t="shared" si="3277"/>
        <v>69</v>
      </c>
      <c r="GQ349" s="11">
        <v>384</v>
      </c>
      <c r="GR349" s="12">
        <f t="shared" si="3226"/>
        <v>0.45875706214689266</v>
      </c>
      <c r="GS349" s="11">
        <v>22</v>
      </c>
      <c r="GT349" s="12">
        <f t="shared" si="3227"/>
        <v>5.4187192118226604E-2</v>
      </c>
      <c r="GU349" s="13"/>
      <c r="GV349" s="11"/>
      <c r="GW349" s="11"/>
      <c r="GX349" s="14"/>
      <c r="GY349" s="10"/>
      <c r="GZ349" s="11"/>
      <c r="HA349" s="69">
        <f t="shared" si="3278"/>
        <v>0</v>
      </c>
      <c r="HB349" s="69">
        <f t="shared" si="3279"/>
        <v>0</v>
      </c>
      <c r="HC349" s="11"/>
      <c r="HD349" s="12" t="e">
        <f t="shared" si="3228"/>
        <v>#DIV/0!</v>
      </c>
      <c r="HE349" s="11"/>
      <c r="HF349" s="12" t="e">
        <f t="shared" si="3229"/>
        <v>#DIV/0!</v>
      </c>
      <c r="HG349" s="13"/>
      <c r="HH349" s="11"/>
      <c r="HI349" s="11"/>
      <c r="HJ349" s="14"/>
      <c r="HK349" s="10">
        <f t="shared" si="3230"/>
        <v>8</v>
      </c>
      <c r="HL349" s="11">
        <f t="shared" si="3231"/>
        <v>0</v>
      </c>
      <c r="HM349" s="11">
        <f t="shared" si="3232"/>
        <v>11515</v>
      </c>
      <c r="HN349" s="11">
        <f t="shared" si="3233"/>
        <v>893</v>
      </c>
      <c r="HO349" s="11">
        <f t="shared" si="3234"/>
        <v>4594</v>
      </c>
      <c r="HP349" s="95">
        <f t="shared" si="3235"/>
        <v>0.39895788102475033</v>
      </c>
      <c r="HQ349" s="15">
        <f t="shared" si="3236"/>
        <v>315</v>
      </c>
      <c r="HR349" s="12">
        <f t="shared" si="3237"/>
        <v>6.8567696996081839E-2</v>
      </c>
      <c r="HS349" s="16">
        <v>68.2</v>
      </c>
      <c r="HT349" s="17">
        <v>4161</v>
      </c>
      <c r="HU349" s="16">
        <f t="shared" si="3238"/>
        <v>90.574662603395723</v>
      </c>
      <c r="HV349" s="15"/>
      <c r="HW349" s="14"/>
      <c r="HX349" s="73">
        <f t="shared" si="3239"/>
        <v>0.38532401524777637</v>
      </c>
      <c r="HY349" s="73">
        <f t="shared" si="3240"/>
        <v>0.36962938668415873</v>
      </c>
      <c r="HZ349" s="73">
        <f t="shared" si="3241"/>
        <v>0.41800766283524904</v>
      </c>
      <c r="IA349" s="73">
        <f t="shared" si="3242"/>
        <v>0.42946824224519942</v>
      </c>
    </row>
    <row r="350" spans="1:244" x14ac:dyDescent="0.25">
      <c r="A350" s="374"/>
      <c r="B350" s="41">
        <f t="shared" si="3243"/>
        <v>45210</v>
      </c>
      <c r="C350" s="10"/>
      <c r="D350" s="11"/>
      <c r="E350" s="69">
        <f t="shared" si="3244"/>
        <v>798</v>
      </c>
      <c r="F350" s="69">
        <f t="shared" si="3245"/>
        <v>62</v>
      </c>
      <c r="G350" s="11">
        <v>309</v>
      </c>
      <c r="H350" s="12">
        <f t="shared" si="3194"/>
        <v>0.40601503759398494</v>
      </c>
      <c r="I350" s="11">
        <v>15</v>
      </c>
      <c r="J350" s="12">
        <f t="shared" si="3195"/>
        <v>4.6296296296296294E-2</v>
      </c>
      <c r="K350" s="11"/>
      <c r="L350" s="11"/>
      <c r="M350" s="18"/>
      <c r="N350" s="20"/>
      <c r="O350" s="10"/>
      <c r="P350" s="11"/>
      <c r="Q350" s="69">
        <f t="shared" si="3246"/>
        <v>731</v>
      </c>
      <c r="R350" s="69">
        <f t="shared" si="3247"/>
        <v>56</v>
      </c>
      <c r="S350" s="11">
        <v>267</v>
      </c>
      <c r="T350" s="12">
        <f t="shared" si="3196"/>
        <v>0.38303693570451436</v>
      </c>
      <c r="U350" s="11">
        <v>13</v>
      </c>
      <c r="V350" s="12">
        <f t="shared" si="3197"/>
        <v>4.642857142857143E-2</v>
      </c>
      <c r="W350" s="11"/>
      <c r="X350" s="11"/>
      <c r="Y350" s="18"/>
      <c r="Z350" s="20"/>
      <c r="AA350" s="10"/>
      <c r="AB350" s="11"/>
      <c r="AC350" s="69">
        <f t="shared" si="3248"/>
        <v>147</v>
      </c>
      <c r="AD350" s="69">
        <f t="shared" si="3249"/>
        <v>11</v>
      </c>
      <c r="AE350" s="11">
        <v>50</v>
      </c>
      <c r="AF350" s="12">
        <f t="shared" si="3198"/>
        <v>0.36054421768707484</v>
      </c>
      <c r="AG350" s="11">
        <v>3</v>
      </c>
      <c r="AH350" s="12">
        <f t="shared" si="3199"/>
        <v>5.6603773584905662E-2</v>
      </c>
      <c r="AI350" s="11"/>
      <c r="AJ350" s="11"/>
      <c r="AK350" s="18"/>
      <c r="AL350" s="20"/>
      <c r="AM350" s="10"/>
      <c r="AN350" s="11"/>
      <c r="AO350" s="69">
        <f t="shared" si="3250"/>
        <v>737</v>
      </c>
      <c r="AP350" s="69">
        <f t="shared" si="3251"/>
        <v>57</v>
      </c>
      <c r="AQ350" s="11">
        <v>260</v>
      </c>
      <c r="AR350" s="12">
        <f t="shared" si="3200"/>
        <v>0.37042062415196741</v>
      </c>
      <c r="AS350" s="11">
        <v>13</v>
      </c>
      <c r="AT350" s="12">
        <f t="shared" si="3201"/>
        <v>4.7619047619047616E-2</v>
      </c>
      <c r="AU350" s="11"/>
      <c r="AV350" s="11"/>
      <c r="AW350" s="18"/>
      <c r="AX350" s="20"/>
      <c r="AY350" s="10"/>
      <c r="AZ350" s="11"/>
      <c r="BA350" s="69">
        <f t="shared" si="3252"/>
        <v>735</v>
      </c>
      <c r="BB350" s="69">
        <f t="shared" si="3253"/>
        <v>57</v>
      </c>
      <c r="BC350" s="11">
        <v>262</v>
      </c>
      <c r="BD350" s="12">
        <f t="shared" si="3202"/>
        <v>0.38231292517006804</v>
      </c>
      <c r="BE350" s="11">
        <v>19</v>
      </c>
      <c r="BF350" s="12">
        <f t="shared" si="3203"/>
        <v>6.7615658362989328E-2</v>
      </c>
      <c r="BG350" s="11"/>
      <c r="BH350" s="11"/>
      <c r="BI350" s="18"/>
      <c r="BJ350" s="20"/>
      <c r="BK350" s="10"/>
      <c r="BL350" s="11"/>
      <c r="BM350" s="69">
        <f t="shared" si="3254"/>
        <v>783</v>
      </c>
      <c r="BN350" s="69">
        <f t="shared" si="3255"/>
        <v>61</v>
      </c>
      <c r="BO350" s="11">
        <v>237</v>
      </c>
      <c r="BP350" s="12">
        <f t="shared" si="3204"/>
        <v>0.32311621966794379</v>
      </c>
      <c r="BQ350" s="11">
        <v>16</v>
      </c>
      <c r="BR350" s="12">
        <f t="shared" si="3205"/>
        <v>6.3241106719367585E-2</v>
      </c>
      <c r="BS350" s="11"/>
      <c r="BT350" s="11"/>
      <c r="BU350" s="18"/>
      <c r="BV350" s="20"/>
      <c r="BW350" s="10"/>
      <c r="BX350" s="11"/>
      <c r="BY350" s="69">
        <f t="shared" si="3256"/>
        <v>721</v>
      </c>
      <c r="BZ350" s="69">
        <f t="shared" si="3257"/>
        <v>57</v>
      </c>
      <c r="CA350" s="11">
        <v>238</v>
      </c>
      <c r="CB350" s="12">
        <f t="shared" si="3206"/>
        <v>0.34951456310679613</v>
      </c>
      <c r="CC350" s="11">
        <v>14</v>
      </c>
      <c r="CD350" s="12">
        <f t="shared" si="3207"/>
        <v>5.5555555555555552E-2</v>
      </c>
      <c r="CE350" s="11"/>
      <c r="CF350" s="11"/>
      <c r="CG350" s="18"/>
      <c r="CH350" s="20"/>
      <c r="CI350" s="10"/>
      <c r="CJ350" s="11"/>
      <c r="CK350" s="69">
        <f t="shared" si="3258"/>
        <v>121</v>
      </c>
      <c r="CL350" s="69">
        <f t="shared" si="3259"/>
        <v>10</v>
      </c>
      <c r="CM350" s="11">
        <v>46</v>
      </c>
      <c r="CN350" s="12">
        <f t="shared" si="3208"/>
        <v>0.39669421487603307</v>
      </c>
      <c r="CO350" s="11">
        <v>2</v>
      </c>
      <c r="CP350" s="12">
        <f t="shared" si="3209"/>
        <v>4.1666666666666664E-2</v>
      </c>
      <c r="CQ350" s="11"/>
      <c r="CR350" s="11"/>
      <c r="CS350" s="18"/>
      <c r="CT350" s="20"/>
      <c r="CU350" s="10">
        <v>1</v>
      </c>
      <c r="CV350" s="11"/>
      <c r="CW350" s="69">
        <f t="shared" si="3260"/>
        <v>711</v>
      </c>
      <c r="CX350" s="69">
        <f t="shared" si="3261"/>
        <v>56</v>
      </c>
      <c r="CY350" s="11">
        <v>233</v>
      </c>
      <c r="CZ350" s="12">
        <f t="shared" si="3210"/>
        <v>0.3530239099859353</v>
      </c>
      <c r="DA350" s="11">
        <v>18</v>
      </c>
      <c r="DB350" s="12">
        <f t="shared" si="3211"/>
        <v>7.1713147410358571E-2</v>
      </c>
      <c r="DC350" s="11"/>
      <c r="DD350" s="11"/>
      <c r="DE350" s="18"/>
      <c r="DF350" s="20"/>
      <c r="DG350" s="10"/>
      <c r="DH350" s="11"/>
      <c r="DI350" s="69">
        <f t="shared" si="3262"/>
        <v>712</v>
      </c>
      <c r="DJ350" s="69">
        <f t="shared" si="3263"/>
        <v>55</v>
      </c>
      <c r="DK350" s="11">
        <v>258</v>
      </c>
      <c r="DL350" s="12">
        <f t="shared" si="3212"/>
        <v>0.39747191011235955</v>
      </c>
      <c r="DM350" s="11">
        <v>25</v>
      </c>
      <c r="DN350" s="12">
        <f t="shared" si="3213"/>
        <v>8.8339222614840993E-2</v>
      </c>
      <c r="DO350" s="11"/>
      <c r="DP350" s="11"/>
      <c r="DQ350" s="18"/>
      <c r="DR350" s="20"/>
      <c r="DS350" s="10">
        <v>1</v>
      </c>
      <c r="DT350" s="11"/>
      <c r="DU350" s="69">
        <f t="shared" si="3264"/>
        <v>1632</v>
      </c>
      <c r="DV350" s="69">
        <f t="shared" si="3265"/>
        <v>125</v>
      </c>
      <c r="DW350" s="11">
        <v>623</v>
      </c>
      <c r="DX350" s="12">
        <f t="shared" si="3214"/>
        <v>0.41421568627450983</v>
      </c>
      <c r="DY350" s="11">
        <v>53</v>
      </c>
      <c r="DZ350" s="12">
        <f t="shared" si="3215"/>
        <v>7.8402366863905323E-2</v>
      </c>
      <c r="EA350" s="11"/>
      <c r="EB350" s="11"/>
      <c r="EC350" s="18"/>
      <c r="ED350" s="20"/>
      <c r="EE350" s="10"/>
      <c r="EF350" s="11"/>
      <c r="EG350" s="69">
        <f t="shared" si="3266"/>
        <v>141</v>
      </c>
      <c r="EH350" s="69">
        <f t="shared" si="3267"/>
        <v>11</v>
      </c>
      <c r="EI350" s="11">
        <v>57</v>
      </c>
      <c r="EJ350" s="12">
        <f t="shared" si="3216"/>
        <v>0.42553191489361702</v>
      </c>
      <c r="EK350" s="11">
        <v>3</v>
      </c>
      <c r="EL350" s="12">
        <f t="shared" si="3217"/>
        <v>0.05</v>
      </c>
      <c r="EM350" s="11"/>
      <c r="EN350" s="11"/>
      <c r="EO350" s="18"/>
      <c r="EP350" s="20"/>
      <c r="EQ350" s="10"/>
      <c r="ER350" s="11">
        <v>1</v>
      </c>
      <c r="ES350" s="69">
        <f t="shared" si="3268"/>
        <v>836</v>
      </c>
      <c r="ET350" s="69">
        <f t="shared" si="3269"/>
        <v>64</v>
      </c>
      <c r="EU350" s="11">
        <v>378</v>
      </c>
      <c r="EV350" s="12">
        <f t="shared" si="3218"/>
        <v>0.47248803827751196</v>
      </c>
      <c r="EW350" s="11">
        <v>17</v>
      </c>
      <c r="EX350" s="12">
        <f t="shared" si="3219"/>
        <v>4.3037974683544304E-2</v>
      </c>
      <c r="EY350" s="11"/>
      <c r="EZ350" s="11"/>
      <c r="FA350" s="18"/>
      <c r="FB350" s="20"/>
      <c r="FC350" s="10"/>
      <c r="FD350" s="11"/>
      <c r="FE350" s="69">
        <f t="shared" si="3270"/>
        <v>0</v>
      </c>
      <c r="FF350" s="69">
        <f t="shared" si="3271"/>
        <v>0</v>
      </c>
      <c r="FG350" s="11"/>
      <c r="FH350" s="12" t="e">
        <f t="shared" si="3220"/>
        <v>#DIV/0!</v>
      </c>
      <c r="FI350" s="11"/>
      <c r="FJ350" s="12" t="e">
        <f t="shared" si="3221"/>
        <v>#DIV/0!</v>
      </c>
      <c r="FK350" s="11"/>
      <c r="FL350" s="11"/>
      <c r="FM350" s="18"/>
      <c r="FN350" s="20"/>
      <c r="FO350" s="10">
        <v>1</v>
      </c>
      <c r="FP350" s="11"/>
      <c r="FQ350" s="69">
        <f t="shared" si="3272"/>
        <v>1697</v>
      </c>
      <c r="FR350" s="69">
        <f t="shared" si="3273"/>
        <v>132</v>
      </c>
      <c r="FS350" s="11">
        <v>666</v>
      </c>
      <c r="FT350" s="12">
        <f t="shared" si="3222"/>
        <v>0.42486741308190923</v>
      </c>
      <c r="FU350" s="11">
        <v>55</v>
      </c>
      <c r="FV350" s="12">
        <f t="shared" si="3223"/>
        <v>7.6282940360610257E-2</v>
      </c>
      <c r="FW350" s="11"/>
      <c r="FX350" s="11"/>
      <c r="FY350" s="18"/>
      <c r="FZ350" s="20"/>
      <c r="GA350" s="10"/>
      <c r="GB350" s="11"/>
      <c r="GC350" s="69">
        <f t="shared" si="3274"/>
        <v>125</v>
      </c>
      <c r="GD350" s="69">
        <f t="shared" si="3275"/>
        <v>9</v>
      </c>
      <c r="GE350" s="11">
        <v>53</v>
      </c>
      <c r="GF350" s="12">
        <f t="shared" si="3224"/>
        <v>0.44800000000000001</v>
      </c>
      <c r="GG350" s="11">
        <v>3</v>
      </c>
      <c r="GH350" s="12">
        <f t="shared" si="3225"/>
        <v>5.3571428571428568E-2</v>
      </c>
      <c r="GI350" s="11"/>
      <c r="GJ350" s="11"/>
      <c r="GK350" s="18"/>
      <c r="GL350" s="20"/>
      <c r="GM350" s="10"/>
      <c r="GN350" s="11"/>
      <c r="GO350" s="69">
        <f t="shared" si="3276"/>
        <v>885</v>
      </c>
      <c r="GP350" s="69">
        <f t="shared" si="3277"/>
        <v>69</v>
      </c>
      <c r="GQ350" s="11">
        <v>403</v>
      </c>
      <c r="GR350" s="12">
        <f t="shared" si="3226"/>
        <v>0.47570621468926555</v>
      </c>
      <c r="GS350" s="11">
        <v>18</v>
      </c>
      <c r="GT350" s="12">
        <f t="shared" si="3227"/>
        <v>4.2755344418052253E-2</v>
      </c>
      <c r="GU350" s="11"/>
      <c r="GV350" s="11"/>
      <c r="GW350" s="18"/>
      <c r="GX350" s="20"/>
      <c r="GY350" s="10"/>
      <c r="GZ350" s="11"/>
      <c r="HA350" s="69">
        <f t="shared" si="3278"/>
        <v>0</v>
      </c>
      <c r="HB350" s="69">
        <f t="shared" si="3279"/>
        <v>0</v>
      </c>
      <c r="HC350" s="11"/>
      <c r="HD350" s="12" t="e">
        <f t="shared" si="3228"/>
        <v>#DIV/0!</v>
      </c>
      <c r="HE350" s="11"/>
      <c r="HF350" s="12" t="e">
        <f t="shared" si="3229"/>
        <v>#DIV/0!</v>
      </c>
      <c r="HG350" s="11"/>
      <c r="HH350" s="11"/>
      <c r="HI350" s="18"/>
      <c r="HJ350" s="20"/>
      <c r="HK350" s="10">
        <f t="shared" si="3230"/>
        <v>3</v>
      </c>
      <c r="HL350" s="11">
        <f t="shared" si="3231"/>
        <v>1</v>
      </c>
      <c r="HM350" s="11">
        <f t="shared" si="3232"/>
        <v>11512</v>
      </c>
      <c r="HN350" s="11">
        <f t="shared" si="3233"/>
        <v>892</v>
      </c>
      <c r="HO350" s="11">
        <f t="shared" si="3234"/>
        <v>4627</v>
      </c>
      <c r="HP350" s="95">
        <f t="shared" si="3235"/>
        <v>0.40192842251563587</v>
      </c>
      <c r="HQ350" s="15">
        <f t="shared" si="3236"/>
        <v>287</v>
      </c>
      <c r="HR350" s="12">
        <f t="shared" si="3237"/>
        <v>6.2027231467473527E-2</v>
      </c>
      <c r="HS350" s="16">
        <v>68.3</v>
      </c>
      <c r="HT350" s="17">
        <v>4240</v>
      </c>
      <c r="HU350" s="16">
        <f t="shared" si="3238"/>
        <v>91.636049275988768</v>
      </c>
      <c r="HV350" s="18"/>
      <c r="HW350" s="20"/>
      <c r="HX350" s="73">
        <f t="shared" si="3239"/>
        <v>0.38468869123252858</v>
      </c>
      <c r="HY350" s="73">
        <f t="shared" si="3240"/>
        <v>0.35662729658792652</v>
      </c>
      <c r="HZ350" s="73">
        <f t="shared" si="3241"/>
        <v>0.43349942506707551</v>
      </c>
      <c r="IA350" s="73">
        <f t="shared" si="3242"/>
        <v>0.44255633542667161</v>
      </c>
    </row>
    <row r="351" spans="1:244" x14ac:dyDescent="0.25">
      <c r="A351" s="374"/>
      <c r="B351" s="41">
        <f>+B350+1</f>
        <v>45211</v>
      </c>
      <c r="C351" s="10">
        <v>1</v>
      </c>
      <c r="D351" s="11"/>
      <c r="E351" s="69">
        <f t="shared" si="3244"/>
        <v>797</v>
      </c>
      <c r="F351" s="69">
        <f t="shared" si="3245"/>
        <v>62</v>
      </c>
      <c r="G351" s="11">
        <v>292</v>
      </c>
      <c r="H351" s="12">
        <f t="shared" si="3194"/>
        <v>0.40025094102885822</v>
      </c>
      <c r="I351" s="11">
        <v>27</v>
      </c>
      <c r="J351" s="12">
        <f t="shared" si="3195"/>
        <v>8.4639498432601878E-2</v>
      </c>
      <c r="K351" s="13"/>
      <c r="L351" s="13"/>
      <c r="M351" s="25"/>
      <c r="N351" s="38"/>
      <c r="O351" s="10"/>
      <c r="P351" s="11"/>
      <c r="Q351" s="69">
        <f t="shared" si="3246"/>
        <v>731</v>
      </c>
      <c r="R351" s="69">
        <f t="shared" si="3247"/>
        <v>56</v>
      </c>
      <c r="S351" s="11">
        <v>270</v>
      </c>
      <c r="T351" s="12">
        <f t="shared" si="3196"/>
        <v>0.40492476060191518</v>
      </c>
      <c r="U351" s="11">
        <v>26</v>
      </c>
      <c r="V351" s="12">
        <f t="shared" si="3197"/>
        <v>8.7837837837837843E-2</v>
      </c>
      <c r="W351" s="13"/>
      <c r="X351" s="13"/>
      <c r="Y351" s="25"/>
      <c r="Z351" s="38"/>
      <c r="AA351" s="10"/>
      <c r="AB351" s="11"/>
      <c r="AC351" s="69">
        <f t="shared" si="3248"/>
        <v>147</v>
      </c>
      <c r="AD351" s="69">
        <f t="shared" si="3249"/>
        <v>11</v>
      </c>
      <c r="AE351" s="11">
        <v>48</v>
      </c>
      <c r="AF351" s="12">
        <f t="shared" si="3198"/>
        <v>0.34693877551020408</v>
      </c>
      <c r="AG351" s="11">
        <v>3</v>
      </c>
      <c r="AH351" s="12">
        <f t="shared" si="3199"/>
        <v>5.8823529411764705E-2</v>
      </c>
      <c r="AI351" s="13"/>
      <c r="AJ351" s="13"/>
      <c r="AK351" s="25"/>
      <c r="AL351" s="38"/>
      <c r="AM351" s="10"/>
      <c r="AN351" s="11"/>
      <c r="AO351" s="69">
        <f t="shared" si="3250"/>
        <v>737</v>
      </c>
      <c r="AP351" s="69">
        <f t="shared" si="3251"/>
        <v>57</v>
      </c>
      <c r="AQ351" s="11">
        <v>266</v>
      </c>
      <c r="AR351" s="12">
        <f t="shared" si="3200"/>
        <v>0.40162822252374492</v>
      </c>
      <c r="AS351" s="11">
        <v>30</v>
      </c>
      <c r="AT351" s="12">
        <f t="shared" si="3201"/>
        <v>0.10135135135135136</v>
      </c>
      <c r="AU351" s="13"/>
      <c r="AV351" s="13"/>
      <c r="AW351" s="25"/>
      <c r="AX351" s="38"/>
      <c r="AY351" s="10">
        <v>1</v>
      </c>
      <c r="AZ351" s="11"/>
      <c r="BA351" s="69">
        <f t="shared" si="3252"/>
        <v>734</v>
      </c>
      <c r="BB351" s="69">
        <f t="shared" si="3253"/>
        <v>57</v>
      </c>
      <c r="BC351" s="11">
        <v>241</v>
      </c>
      <c r="BD351" s="12">
        <f t="shared" si="3202"/>
        <v>0.35694822888283378</v>
      </c>
      <c r="BE351" s="11">
        <v>21</v>
      </c>
      <c r="BF351" s="12">
        <f t="shared" si="3203"/>
        <v>8.0152671755725186E-2</v>
      </c>
      <c r="BG351" s="13"/>
      <c r="BH351" s="13"/>
      <c r="BI351" s="25"/>
      <c r="BJ351" s="38"/>
      <c r="BK351" s="10">
        <v>1</v>
      </c>
      <c r="BL351" s="11"/>
      <c r="BM351" s="69">
        <f t="shared" si="3254"/>
        <v>782</v>
      </c>
      <c r="BN351" s="69">
        <f t="shared" si="3255"/>
        <v>61</v>
      </c>
      <c r="BO351" s="11">
        <v>245</v>
      </c>
      <c r="BP351" s="12">
        <f t="shared" si="3204"/>
        <v>0.33120204603580561</v>
      </c>
      <c r="BQ351" s="11">
        <v>14</v>
      </c>
      <c r="BR351" s="12">
        <f t="shared" si="3205"/>
        <v>5.4054054054054057E-2</v>
      </c>
      <c r="BS351" s="13"/>
      <c r="BT351" s="13"/>
      <c r="BU351" s="25"/>
      <c r="BV351" s="38"/>
      <c r="BW351" s="10">
        <v>1</v>
      </c>
      <c r="BX351" s="11"/>
      <c r="BY351" s="69">
        <f t="shared" si="3256"/>
        <v>720</v>
      </c>
      <c r="BZ351" s="69">
        <f t="shared" si="3257"/>
        <v>57</v>
      </c>
      <c r="CA351" s="11">
        <v>229</v>
      </c>
      <c r="CB351" s="12">
        <f t="shared" si="3206"/>
        <v>0.33750000000000002</v>
      </c>
      <c r="CC351" s="11">
        <v>14</v>
      </c>
      <c r="CD351" s="12">
        <f t="shared" si="3207"/>
        <v>5.7613168724279837E-2</v>
      </c>
      <c r="CE351" s="13"/>
      <c r="CF351" s="13"/>
      <c r="CG351" s="25"/>
      <c r="CH351" s="38"/>
      <c r="CI351" s="10"/>
      <c r="CJ351" s="11"/>
      <c r="CK351" s="69">
        <f t="shared" si="3258"/>
        <v>121</v>
      </c>
      <c r="CL351" s="69">
        <f t="shared" si="3259"/>
        <v>10</v>
      </c>
      <c r="CM351" s="11">
        <v>40</v>
      </c>
      <c r="CN351" s="12">
        <f t="shared" si="3208"/>
        <v>0.38016528925619836</v>
      </c>
      <c r="CO351" s="11">
        <v>6</v>
      </c>
      <c r="CP351" s="12">
        <f t="shared" si="3209"/>
        <v>0.13043478260869565</v>
      </c>
      <c r="CQ351" s="13"/>
      <c r="CR351" s="13"/>
      <c r="CS351" s="25"/>
      <c r="CT351" s="38"/>
      <c r="CU351" s="10"/>
      <c r="CV351" s="11"/>
      <c r="CW351" s="69">
        <f t="shared" si="3260"/>
        <v>711</v>
      </c>
      <c r="CX351" s="69">
        <f t="shared" si="3261"/>
        <v>56</v>
      </c>
      <c r="CY351" s="11">
        <v>235</v>
      </c>
      <c r="CZ351" s="12">
        <f t="shared" si="3210"/>
        <v>0.34036568213783402</v>
      </c>
      <c r="DA351" s="11">
        <v>7</v>
      </c>
      <c r="DB351" s="12">
        <f t="shared" si="3211"/>
        <v>2.8925619834710745E-2</v>
      </c>
      <c r="DC351" s="13"/>
      <c r="DD351" s="13"/>
      <c r="DE351" s="25"/>
      <c r="DF351" s="38"/>
      <c r="DG351" s="10"/>
      <c r="DH351" s="11"/>
      <c r="DI351" s="69">
        <f t="shared" si="3262"/>
        <v>712</v>
      </c>
      <c r="DJ351" s="69">
        <f t="shared" si="3263"/>
        <v>55</v>
      </c>
      <c r="DK351" s="11">
        <v>258</v>
      </c>
      <c r="DL351" s="12">
        <f t="shared" si="3212"/>
        <v>0.38202247191011235</v>
      </c>
      <c r="DM351" s="11">
        <v>14</v>
      </c>
      <c r="DN351" s="12">
        <f t="shared" si="3213"/>
        <v>5.1470588235294115E-2</v>
      </c>
      <c r="DO351" s="13"/>
      <c r="DP351" s="13"/>
      <c r="DQ351" s="25"/>
      <c r="DR351" s="38"/>
      <c r="DS351" s="10"/>
      <c r="DT351" s="11"/>
      <c r="DU351" s="69">
        <f t="shared" si="3264"/>
        <v>1632</v>
      </c>
      <c r="DV351" s="69">
        <f t="shared" si="3265"/>
        <v>125</v>
      </c>
      <c r="DW351" s="11">
        <v>611</v>
      </c>
      <c r="DX351" s="12">
        <f t="shared" si="3214"/>
        <v>0.40196078431372551</v>
      </c>
      <c r="DY351" s="11">
        <v>45</v>
      </c>
      <c r="DZ351" s="12">
        <f t="shared" si="3215"/>
        <v>6.8597560975609762E-2</v>
      </c>
      <c r="EA351" s="13"/>
      <c r="EB351" s="13"/>
      <c r="EC351" s="25"/>
      <c r="ED351" s="38"/>
      <c r="EE351" s="10"/>
      <c r="EF351" s="11"/>
      <c r="EG351" s="69">
        <f t="shared" si="3266"/>
        <v>141</v>
      </c>
      <c r="EH351" s="69">
        <f t="shared" si="3267"/>
        <v>11</v>
      </c>
      <c r="EI351" s="11">
        <v>51</v>
      </c>
      <c r="EJ351" s="12">
        <f t="shared" si="3216"/>
        <v>0.37588652482269502</v>
      </c>
      <c r="EK351" s="11">
        <v>2</v>
      </c>
      <c r="EL351" s="12">
        <f t="shared" si="3217"/>
        <v>3.7735849056603772E-2</v>
      </c>
      <c r="EM351" s="13"/>
      <c r="EN351" s="13"/>
      <c r="EO351" s="25"/>
      <c r="EP351" s="38"/>
      <c r="EQ351" s="10"/>
      <c r="ER351" s="11"/>
      <c r="ES351" s="69">
        <f t="shared" si="3268"/>
        <v>836</v>
      </c>
      <c r="ET351" s="69">
        <f t="shared" si="3269"/>
        <v>64</v>
      </c>
      <c r="EU351" s="11">
        <v>332</v>
      </c>
      <c r="EV351" s="12">
        <f t="shared" si="3218"/>
        <v>0.41985645933014354</v>
      </c>
      <c r="EW351" s="11">
        <v>19</v>
      </c>
      <c r="EX351" s="12">
        <f t="shared" si="3219"/>
        <v>5.4131054131054131E-2</v>
      </c>
      <c r="EY351" s="13"/>
      <c r="EZ351" s="13"/>
      <c r="FA351" s="25"/>
      <c r="FB351" s="38"/>
      <c r="FC351" s="10"/>
      <c r="FD351" s="11"/>
      <c r="FE351" s="69">
        <f t="shared" si="3270"/>
        <v>0</v>
      </c>
      <c r="FF351" s="69">
        <f t="shared" si="3271"/>
        <v>0</v>
      </c>
      <c r="FG351" s="11"/>
      <c r="FH351" s="12" t="e">
        <f t="shared" si="3220"/>
        <v>#DIV/0!</v>
      </c>
      <c r="FI351" s="11"/>
      <c r="FJ351" s="12" t="e">
        <f t="shared" si="3221"/>
        <v>#DIV/0!</v>
      </c>
      <c r="FK351" s="13"/>
      <c r="FL351" s="13"/>
      <c r="FM351" s="25"/>
      <c r="FN351" s="38"/>
      <c r="FO351" s="10"/>
      <c r="FP351" s="11"/>
      <c r="FQ351" s="69">
        <f t="shared" si="3272"/>
        <v>1697</v>
      </c>
      <c r="FR351" s="69">
        <f t="shared" si="3273"/>
        <v>132</v>
      </c>
      <c r="FS351" s="11">
        <v>596</v>
      </c>
      <c r="FT351" s="12">
        <f t="shared" si="3222"/>
        <v>0.38479670005892752</v>
      </c>
      <c r="FU351" s="11">
        <v>57</v>
      </c>
      <c r="FV351" s="12">
        <f t="shared" si="3223"/>
        <v>8.7289433384379791E-2</v>
      </c>
      <c r="FW351" s="13"/>
      <c r="FX351" s="13"/>
      <c r="FY351" s="25"/>
      <c r="FZ351" s="38"/>
      <c r="GA351" s="10"/>
      <c r="GB351" s="11"/>
      <c r="GC351" s="69">
        <f t="shared" si="3274"/>
        <v>125</v>
      </c>
      <c r="GD351" s="69">
        <f t="shared" si="3275"/>
        <v>9</v>
      </c>
      <c r="GE351" s="11">
        <v>47</v>
      </c>
      <c r="GF351" s="12">
        <f t="shared" si="3224"/>
        <v>0.41599999999999998</v>
      </c>
      <c r="GG351" s="11">
        <v>5</v>
      </c>
      <c r="GH351" s="12">
        <f t="shared" si="3225"/>
        <v>9.6153846153846159E-2</v>
      </c>
      <c r="GI351" s="13"/>
      <c r="GJ351" s="13"/>
      <c r="GK351" s="25"/>
      <c r="GL351" s="38"/>
      <c r="GM351" s="10"/>
      <c r="GN351" s="11"/>
      <c r="GO351" s="69">
        <f t="shared" si="3276"/>
        <v>885</v>
      </c>
      <c r="GP351" s="69">
        <f t="shared" si="3277"/>
        <v>69</v>
      </c>
      <c r="GQ351" s="11">
        <v>367</v>
      </c>
      <c r="GR351" s="12">
        <f t="shared" si="3226"/>
        <v>0.4463276836158192</v>
      </c>
      <c r="GS351" s="11">
        <v>28</v>
      </c>
      <c r="GT351" s="12">
        <f t="shared" si="3227"/>
        <v>7.0886075949367092E-2</v>
      </c>
      <c r="GU351" s="13"/>
      <c r="GV351" s="13"/>
      <c r="GW351" s="25"/>
      <c r="GX351" s="38"/>
      <c r="GY351" s="10"/>
      <c r="GZ351" s="11"/>
      <c r="HA351" s="69">
        <f t="shared" si="3278"/>
        <v>0</v>
      </c>
      <c r="HB351" s="69">
        <f t="shared" si="3279"/>
        <v>0</v>
      </c>
      <c r="HC351" s="11"/>
      <c r="HD351" s="12" t="e">
        <f t="shared" si="3228"/>
        <v>#DIV/0!</v>
      </c>
      <c r="HE351" s="11"/>
      <c r="HF351" s="12" t="e">
        <f t="shared" si="3229"/>
        <v>#DIV/0!</v>
      </c>
      <c r="HG351" s="13"/>
      <c r="HH351" s="13"/>
      <c r="HI351" s="25"/>
      <c r="HJ351" s="38"/>
      <c r="HK351" s="10">
        <f t="shared" si="3230"/>
        <v>4</v>
      </c>
      <c r="HL351" s="11">
        <f t="shared" si="3231"/>
        <v>0</v>
      </c>
      <c r="HM351" s="11">
        <f t="shared" si="3232"/>
        <v>11508</v>
      </c>
      <c r="HN351" s="11">
        <f t="shared" si="3233"/>
        <v>892</v>
      </c>
      <c r="HO351" s="11">
        <f t="shared" si="3234"/>
        <v>4446</v>
      </c>
      <c r="HP351" s="95">
        <f t="shared" si="3235"/>
        <v>0.38633993743482792</v>
      </c>
      <c r="HQ351" s="15">
        <f t="shared" si="3236"/>
        <v>318</v>
      </c>
      <c r="HR351" s="12">
        <f t="shared" si="3237"/>
        <v>7.1524966261808362E-2</v>
      </c>
      <c r="HS351" s="16">
        <v>68.5</v>
      </c>
      <c r="HT351" s="17">
        <v>4014</v>
      </c>
      <c r="HU351" s="16">
        <f t="shared" si="3238"/>
        <v>90.283400809716596</v>
      </c>
      <c r="HV351" s="23"/>
      <c r="HW351" s="22"/>
      <c r="HX351" s="73">
        <f t="shared" si="3239"/>
        <v>0.38906547997457086</v>
      </c>
      <c r="HY351" s="73">
        <f t="shared" si="3240"/>
        <v>0.34865397242284962</v>
      </c>
      <c r="HZ351" s="73">
        <f t="shared" si="3241"/>
        <v>0.40628593330778073</v>
      </c>
      <c r="IA351" s="73">
        <f t="shared" si="3242"/>
        <v>0.40635389730328775</v>
      </c>
    </row>
    <row r="352" spans="1:244" x14ac:dyDescent="0.25">
      <c r="A352" s="374"/>
      <c r="B352" s="41">
        <f t="shared" si="3243"/>
        <v>45212</v>
      </c>
      <c r="C352" s="10"/>
      <c r="D352" s="11"/>
      <c r="E352" s="69">
        <f t="shared" si="3244"/>
        <v>797</v>
      </c>
      <c r="F352" s="69">
        <f t="shared" si="3245"/>
        <v>62</v>
      </c>
      <c r="G352" s="11">
        <v>281</v>
      </c>
      <c r="H352" s="12">
        <f t="shared" si="3194"/>
        <v>0.36888331242158096</v>
      </c>
      <c r="I352" s="11">
        <v>13</v>
      </c>
      <c r="J352" s="12">
        <f t="shared" si="3195"/>
        <v>4.4217687074829932E-2</v>
      </c>
      <c r="K352" s="13"/>
      <c r="L352" s="11"/>
      <c r="M352" s="25"/>
      <c r="N352" s="38"/>
      <c r="O352" s="10"/>
      <c r="P352" s="11"/>
      <c r="Q352" s="69">
        <f t="shared" si="3246"/>
        <v>731</v>
      </c>
      <c r="R352" s="69">
        <f t="shared" si="3247"/>
        <v>56</v>
      </c>
      <c r="S352" s="11">
        <v>287</v>
      </c>
      <c r="T352" s="12">
        <f t="shared" si="3196"/>
        <v>0.40902872777017785</v>
      </c>
      <c r="U352" s="11">
        <v>12</v>
      </c>
      <c r="V352" s="12">
        <f t="shared" si="3197"/>
        <v>4.0133779264214048E-2</v>
      </c>
      <c r="W352" s="13"/>
      <c r="X352" s="11"/>
      <c r="Y352" s="25"/>
      <c r="Z352" s="38"/>
      <c r="AA352" s="10"/>
      <c r="AB352" s="11"/>
      <c r="AC352" s="69">
        <f t="shared" si="3248"/>
        <v>147</v>
      </c>
      <c r="AD352" s="69">
        <f t="shared" si="3249"/>
        <v>11</v>
      </c>
      <c r="AE352" s="11">
        <v>57</v>
      </c>
      <c r="AF352" s="12">
        <f t="shared" si="3198"/>
        <v>0.44217687074829931</v>
      </c>
      <c r="AG352" s="11">
        <v>8</v>
      </c>
      <c r="AH352" s="12">
        <f t="shared" si="3199"/>
        <v>0.12307692307692308</v>
      </c>
      <c r="AI352" s="13"/>
      <c r="AJ352" s="11"/>
      <c r="AK352" s="25"/>
      <c r="AL352" s="38"/>
      <c r="AM352" s="10">
        <v>1</v>
      </c>
      <c r="AN352" s="11"/>
      <c r="AO352" s="69">
        <f t="shared" si="3250"/>
        <v>736</v>
      </c>
      <c r="AP352" s="69">
        <f t="shared" si="3251"/>
        <v>57</v>
      </c>
      <c r="AQ352" s="11">
        <v>264</v>
      </c>
      <c r="AR352" s="12">
        <f t="shared" si="3200"/>
        <v>0.38043478260869568</v>
      </c>
      <c r="AS352" s="11">
        <v>16</v>
      </c>
      <c r="AT352" s="12">
        <f t="shared" si="3201"/>
        <v>5.7142857142857141E-2</v>
      </c>
      <c r="AU352" s="13"/>
      <c r="AV352" s="11"/>
      <c r="AW352" s="25"/>
      <c r="AX352" s="38"/>
      <c r="AY352" s="10"/>
      <c r="AZ352" s="11"/>
      <c r="BA352" s="69">
        <f t="shared" si="3252"/>
        <v>734</v>
      </c>
      <c r="BB352" s="69">
        <f t="shared" si="3253"/>
        <v>57</v>
      </c>
      <c r="BC352" s="11">
        <v>263</v>
      </c>
      <c r="BD352" s="12">
        <f t="shared" si="3202"/>
        <v>0.42643051771117169</v>
      </c>
      <c r="BE352" s="11">
        <v>50</v>
      </c>
      <c r="BF352" s="12">
        <f t="shared" si="3203"/>
        <v>0.15974440894568689</v>
      </c>
      <c r="BG352" s="13"/>
      <c r="BH352" s="11"/>
      <c r="BI352" s="25"/>
      <c r="BJ352" s="38"/>
      <c r="BK352" s="10"/>
      <c r="BL352" s="11"/>
      <c r="BM352" s="69">
        <f t="shared" si="3254"/>
        <v>782</v>
      </c>
      <c r="BN352" s="69">
        <f t="shared" si="3255"/>
        <v>61</v>
      </c>
      <c r="BO352" s="11">
        <v>228</v>
      </c>
      <c r="BP352" s="12">
        <f t="shared" si="3204"/>
        <v>0.31202046035805625</v>
      </c>
      <c r="BQ352" s="11">
        <v>16</v>
      </c>
      <c r="BR352" s="12">
        <f t="shared" si="3205"/>
        <v>6.5573770491803282E-2</v>
      </c>
      <c r="BS352" s="13"/>
      <c r="BT352" s="11"/>
      <c r="BU352" s="25"/>
      <c r="BV352" s="38"/>
      <c r="BW352" s="10"/>
      <c r="BX352" s="11"/>
      <c r="BY352" s="69">
        <f t="shared" si="3256"/>
        <v>720</v>
      </c>
      <c r="BZ352" s="69">
        <f t="shared" si="3257"/>
        <v>57</v>
      </c>
      <c r="CA352" s="11">
        <v>220</v>
      </c>
      <c r="CB352" s="12">
        <f t="shared" si="3206"/>
        <v>0.32916666666666666</v>
      </c>
      <c r="CC352" s="11">
        <v>17</v>
      </c>
      <c r="CD352" s="12">
        <f t="shared" si="3207"/>
        <v>7.1729957805907171E-2</v>
      </c>
      <c r="CE352" s="13"/>
      <c r="CF352" s="11"/>
      <c r="CG352" s="25"/>
      <c r="CH352" s="38"/>
      <c r="CI352" s="10"/>
      <c r="CJ352" s="11"/>
      <c r="CK352" s="69">
        <f t="shared" si="3258"/>
        <v>121</v>
      </c>
      <c r="CL352" s="69">
        <f t="shared" si="3259"/>
        <v>10</v>
      </c>
      <c r="CM352" s="11">
        <v>38</v>
      </c>
      <c r="CN352" s="12">
        <f t="shared" si="3208"/>
        <v>0.34710743801652894</v>
      </c>
      <c r="CO352" s="11">
        <v>4</v>
      </c>
      <c r="CP352" s="12">
        <f t="shared" si="3209"/>
        <v>9.5238095238095233E-2</v>
      </c>
      <c r="CQ352" s="13"/>
      <c r="CR352" s="11"/>
      <c r="CS352" s="25"/>
      <c r="CT352" s="38"/>
      <c r="CU352" s="10"/>
      <c r="CV352" s="11"/>
      <c r="CW352" s="69">
        <f t="shared" si="3260"/>
        <v>711</v>
      </c>
      <c r="CX352" s="69">
        <f t="shared" si="3261"/>
        <v>56</v>
      </c>
      <c r="CY352" s="11">
        <v>221</v>
      </c>
      <c r="CZ352" s="12">
        <f t="shared" si="3210"/>
        <v>0.32489451476793246</v>
      </c>
      <c r="DA352" s="11">
        <v>10</v>
      </c>
      <c r="DB352" s="12">
        <f t="shared" si="3211"/>
        <v>4.3290043290043288E-2</v>
      </c>
      <c r="DC352" s="13"/>
      <c r="DD352" s="11"/>
      <c r="DE352" s="25"/>
      <c r="DF352" s="38"/>
      <c r="DG352" s="10"/>
      <c r="DH352" s="11"/>
      <c r="DI352" s="69">
        <f t="shared" si="3262"/>
        <v>712</v>
      </c>
      <c r="DJ352" s="69">
        <f t="shared" si="3263"/>
        <v>55</v>
      </c>
      <c r="DK352" s="11">
        <v>262</v>
      </c>
      <c r="DL352" s="12">
        <f t="shared" si="3212"/>
        <v>0.39185393258426965</v>
      </c>
      <c r="DM352" s="11">
        <v>17</v>
      </c>
      <c r="DN352" s="12">
        <f t="shared" si="3213"/>
        <v>6.093189964157706E-2</v>
      </c>
      <c r="DO352" s="13"/>
      <c r="DP352" s="11"/>
      <c r="DQ352" s="25"/>
      <c r="DR352" s="38"/>
      <c r="DS352" s="10">
        <v>2</v>
      </c>
      <c r="DT352" s="11"/>
      <c r="DU352" s="69">
        <f t="shared" si="3264"/>
        <v>1630</v>
      </c>
      <c r="DV352" s="69">
        <f t="shared" si="3265"/>
        <v>125</v>
      </c>
      <c r="DW352" s="11">
        <v>597</v>
      </c>
      <c r="DX352" s="12">
        <f t="shared" si="3214"/>
        <v>0.39386503067484663</v>
      </c>
      <c r="DY352" s="11">
        <v>45</v>
      </c>
      <c r="DZ352" s="12">
        <f t="shared" si="3215"/>
        <v>7.0093457943925228E-2</v>
      </c>
      <c r="EA352" s="13"/>
      <c r="EB352" s="11"/>
      <c r="EC352" s="25"/>
      <c r="ED352" s="38"/>
      <c r="EE352" s="10"/>
      <c r="EF352" s="11"/>
      <c r="EG352" s="69">
        <f t="shared" si="3266"/>
        <v>141</v>
      </c>
      <c r="EH352" s="69">
        <f t="shared" si="3267"/>
        <v>11</v>
      </c>
      <c r="EI352" s="11">
        <v>50</v>
      </c>
      <c r="EJ352" s="12">
        <f t="shared" si="3216"/>
        <v>0.39007092198581561</v>
      </c>
      <c r="EK352" s="11">
        <v>5</v>
      </c>
      <c r="EL352" s="12">
        <f t="shared" si="3217"/>
        <v>9.0909090909090912E-2</v>
      </c>
      <c r="EM352" s="13"/>
      <c r="EN352" s="11"/>
      <c r="EO352" s="25"/>
      <c r="EP352" s="38"/>
      <c r="EQ352" s="10">
        <v>1</v>
      </c>
      <c r="ER352" s="11"/>
      <c r="ES352" s="69">
        <f t="shared" si="3268"/>
        <v>835</v>
      </c>
      <c r="ET352" s="69">
        <f t="shared" si="3269"/>
        <v>64</v>
      </c>
      <c r="EU352" s="11">
        <v>330</v>
      </c>
      <c r="EV352" s="12">
        <f t="shared" si="3218"/>
        <v>0.42395209580838322</v>
      </c>
      <c r="EW352" s="11">
        <v>24</v>
      </c>
      <c r="EX352" s="12">
        <f t="shared" si="3219"/>
        <v>6.7796610169491525E-2</v>
      </c>
      <c r="EY352" s="13"/>
      <c r="EZ352" s="11"/>
      <c r="FA352" s="25"/>
      <c r="FB352" s="38"/>
      <c r="FC352" s="10"/>
      <c r="FD352" s="11"/>
      <c r="FE352" s="69">
        <f t="shared" si="3270"/>
        <v>0</v>
      </c>
      <c r="FF352" s="69">
        <f t="shared" si="3271"/>
        <v>0</v>
      </c>
      <c r="FG352" s="11"/>
      <c r="FH352" s="12" t="e">
        <f t="shared" si="3220"/>
        <v>#DIV/0!</v>
      </c>
      <c r="FI352" s="11"/>
      <c r="FJ352" s="12" t="e">
        <f t="shared" si="3221"/>
        <v>#DIV/0!</v>
      </c>
      <c r="FK352" s="13"/>
      <c r="FL352" s="11"/>
      <c r="FM352" s="25"/>
      <c r="FN352" s="38"/>
      <c r="FO352" s="10">
        <v>1</v>
      </c>
      <c r="FP352" s="11"/>
      <c r="FQ352" s="69">
        <f t="shared" si="3272"/>
        <v>1696</v>
      </c>
      <c r="FR352" s="69">
        <f t="shared" si="3273"/>
        <v>132</v>
      </c>
      <c r="FS352" s="11">
        <v>610</v>
      </c>
      <c r="FT352" s="12">
        <f t="shared" si="3222"/>
        <v>0.3944575471698113</v>
      </c>
      <c r="FU352" s="11">
        <v>59</v>
      </c>
      <c r="FV352" s="12">
        <f t="shared" si="3223"/>
        <v>8.8191330343796712E-2</v>
      </c>
      <c r="FW352" s="13"/>
      <c r="FX352" s="11"/>
      <c r="FY352" s="25"/>
      <c r="FZ352" s="38"/>
      <c r="GA352" s="10"/>
      <c r="GB352" s="11"/>
      <c r="GC352" s="69">
        <f t="shared" si="3274"/>
        <v>125</v>
      </c>
      <c r="GD352" s="69">
        <f t="shared" si="3275"/>
        <v>9</v>
      </c>
      <c r="GE352" s="11">
        <v>48</v>
      </c>
      <c r="GF352" s="12">
        <f t="shared" si="3224"/>
        <v>0.40799999999999997</v>
      </c>
      <c r="GG352" s="11">
        <v>3</v>
      </c>
      <c r="GH352" s="12">
        <f t="shared" si="3225"/>
        <v>5.8823529411764705E-2</v>
      </c>
      <c r="GI352" s="13"/>
      <c r="GJ352" s="11"/>
      <c r="GK352" s="25"/>
      <c r="GL352" s="38"/>
      <c r="GM352" s="10"/>
      <c r="GN352" s="11"/>
      <c r="GO352" s="69">
        <f t="shared" si="3276"/>
        <v>885</v>
      </c>
      <c r="GP352" s="69">
        <f t="shared" si="3277"/>
        <v>69</v>
      </c>
      <c r="GQ352" s="11">
        <v>374</v>
      </c>
      <c r="GR352" s="12">
        <f t="shared" si="3226"/>
        <v>0.4463276836158192</v>
      </c>
      <c r="GS352" s="11">
        <v>21</v>
      </c>
      <c r="GT352" s="12">
        <f t="shared" si="3227"/>
        <v>5.3164556962025315E-2</v>
      </c>
      <c r="GU352" s="13"/>
      <c r="GV352" s="11"/>
      <c r="GW352" s="25"/>
      <c r="GX352" s="38"/>
      <c r="GY352" s="10"/>
      <c r="GZ352" s="11"/>
      <c r="HA352" s="69">
        <f t="shared" si="3278"/>
        <v>0</v>
      </c>
      <c r="HB352" s="69">
        <f t="shared" si="3279"/>
        <v>0</v>
      </c>
      <c r="HC352" s="11"/>
      <c r="HD352" s="12" t="e">
        <f t="shared" si="3228"/>
        <v>#DIV/0!</v>
      </c>
      <c r="HE352" s="11"/>
      <c r="HF352" s="12" t="e">
        <f t="shared" si="3229"/>
        <v>#DIV/0!</v>
      </c>
      <c r="HG352" s="13"/>
      <c r="HH352" s="11"/>
      <c r="HI352" s="25"/>
      <c r="HJ352" s="38"/>
      <c r="HK352" s="10">
        <f t="shared" si="3230"/>
        <v>5</v>
      </c>
      <c r="HL352" s="11">
        <f t="shared" si="3231"/>
        <v>0</v>
      </c>
      <c r="HM352" s="11">
        <f t="shared" si="3232"/>
        <v>11503</v>
      </c>
      <c r="HN352" s="11">
        <f t="shared" si="3233"/>
        <v>892</v>
      </c>
      <c r="HO352" s="11">
        <f t="shared" si="3234"/>
        <v>4450</v>
      </c>
      <c r="HP352" s="95">
        <f t="shared" si="3235"/>
        <v>0.38685560288620358</v>
      </c>
      <c r="HQ352" s="15">
        <f t="shared" si="3236"/>
        <v>320</v>
      </c>
      <c r="HR352" s="12">
        <f t="shared" si="3237"/>
        <v>7.1910112359550568E-2</v>
      </c>
      <c r="HS352" s="16">
        <v>68.5</v>
      </c>
      <c r="HT352" s="17">
        <v>3998</v>
      </c>
      <c r="HU352" s="16">
        <f t="shared" si="3238"/>
        <v>89.842696629213478</v>
      </c>
      <c r="HV352" s="23"/>
      <c r="HW352" s="22"/>
      <c r="HX352" s="73">
        <f t="shared" si="3239"/>
        <v>0.39777424483306834</v>
      </c>
      <c r="HY352" s="73">
        <f t="shared" si="3240"/>
        <v>0.33913328956007877</v>
      </c>
      <c r="HZ352" s="73">
        <f t="shared" si="3241"/>
        <v>0.40330007674597085</v>
      </c>
      <c r="IA352" s="73">
        <f t="shared" si="3242"/>
        <v>0.41204730229120473</v>
      </c>
    </row>
    <row r="353" spans="1:244" x14ac:dyDescent="0.25">
      <c r="A353" s="374"/>
      <c r="B353" s="41">
        <f t="shared" si="3243"/>
        <v>45213</v>
      </c>
      <c r="C353" s="10"/>
      <c r="D353" s="11"/>
      <c r="E353" s="69">
        <f t="shared" si="3244"/>
        <v>797</v>
      </c>
      <c r="F353" s="69">
        <f t="shared" si="3245"/>
        <v>62</v>
      </c>
      <c r="G353" s="11">
        <v>275</v>
      </c>
      <c r="H353" s="12">
        <f t="shared" si="3194"/>
        <v>0.36888331242158096</v>
      </c>
      <c r="I353" s="11">
        <v>19</v>
      </c>
      <c r="J353" s="12">
        <f t="shared" si="3195"/>
        <v>6.4625850340136057E-2</v>
      </c>
      <c r="K353" s="13"/>
      <c r="L353" s="11"/>
      <c r="M353" s="39"/>
      <c r="N353" s="43"/>
      <c r="O353" s="10">
        <v>1</v>
      </c>
      <c r="P353" s="11"/>
      <c r="Q353" s="69">
        <f t="shared" si="3246"/>
        <v>730</v>
      </c>
      <c r="R353" s="69">
        <f t="shared" si="3247"/>
        <v>56</v>
      </c>
      <c r="S353" s="11">
        <v>252</v>
      </c>
      <c r="T353" s="12">
        <f t="shared" si="3196"/>
        <v>0.37534246575342467</v>
      </c>
      <c r="U353" s="11">
        <v>22</v>
      </c>
      <c r="V353" s="12">
        <f t="shared" si="3197"/>
        <v>8.0291970802919707E-2</v>
      </c>
      <c r="W353" s="13"/>
      <c r="X353" s="11"/>
      <c r="Y353" s="39"/>
      <c r="Z353" s="43"/>
      <c r="AA353" s="10"/>
      <c r="AB353" s="11"/>
      <c r="AC353" s="69">
        <f t="shared" si="3248"/>
        <v>147</v>
      </c>
      <c r="AD353" s="69">
        <f t="shared" si="3249"/>
        <v>11</v>
      </c>
      <c r="AE353" s="11">
        <v>47</v>
      </c>
      <c r="AF353" s="12">
        <f t="shared" si="3198"/>
        <v>0.34693877551020408</v>
      </c>
      <c r="AG353" s="11">
        <v>4</v>
      </c>
      <c r="AH353" s="12">
        <f t="shared" si="3199"/>
        <v>7.8431372549019607E-2</v>
      </c>
      <c r="AI353" s="13"/>
      <c r="AJ353" s="11"/>
      <c r="AK353" s="39"/>
      <c r="AL353" s="43"/>
      <c r="AM353" s="10"/>
      <c r="AN353" s="11"/>
      <c r="AO353" s="69">
        <f t="shared" si="3250"/>
        <v>736</v>
      </c>
      <c r="AP353" s="69">
        <f t="shared" si="3251"/>
        <v>57</v>
      </c>
      <c r="AQ353" s="11">
        <v>271</v>
      </c>
      <c r="AR353" s="12">
        <f t="shared" si="3200"/>
        <v>0.40760869565217389</v>
      </c>
      <c r="AS353" s="11">
        <v>29</v>
      </c>
      <c r="AT353" s="12">
        <f t="shared" si="3201"/>
        <v>9.6666666666666665E-2</v>
      </c>
      <c r="AU353" s="13"/>
      <c r="AV353" s="11"/>
      <c r="AW353" s="39"/>
      <c r="AX353" s="43"/>
      <c r="AY353" s="10"/>
      <c r="AZ353" s="11"/>
      <c r="BA353" s="69">
        <f t="shared" si="3252"/>
        <v>734</v>
      </c>
      <c r="BB353" s="69">
        <f t="shared" si="3253"/>
        <v>57</v>
      </c>
      <c r="BC353" s="11">
        <v>238</v>
      </c>
      <c r="BD353" s="12">
        <f t="shared" si="3202"/>
        <v>0.35831062670299729</v>
      </c>
      <c r="BE353" s="11">
        <v>25</v>
      </c>
      <c r="BF353" s="12">
        <f t="shared" si="3203"/>
        <v>9.5057034220532313E-2</v>
      </c>
      <c r="BG353" s="13"/>
      <c r="BH353" s="11"/>
      <c r="BI353" s="39"/>
      <c r="BJ353" s="43"/>
      <c r="BK353" s="10"/>
      <c r="BL353" s="11"/>
      <c r="BM353" s="69">
        <f t="shared" si="3254"/>
        <v>782</v>
      </c>
      <c r="BN353" s="69">
        <f t="shared" si="3255"/>
        <v>61</v>
      </c>
      <c r="BO353" s="11">
        <v>225</v>
      </c>
      <c r="BP353" s="12">
        <f t="shared" si="3204"/>
        <v>0.30434782608695654</v>
      </c>
      <c r="BQ353" s="11">
        <v>13</v>
      </c>
      <c r="BR353" s="12">
        <f t="shared" si="3205"/>
        <v>5.4621848739495799E-2</v>
      </c>
      <c r="BS353" s="13"/>
      <c r="BT353" s="11"/>
      <c r="BU353" s="39"/>
      <c r="BV353" s="43"/>
      <c r="BW353" s="10"/>
      <c r="BX353" s="11"/>
      <c r="BY353" s="69">
        <f t="shared" si="3256"/>
        <v>720</v>
      </c>
      <c r="BZ353" s="69">
        <f t="shared" si="3257"/>
        <v>57</v>
      </c>
      <c r="CA353" s="11">
        <v>240</v>
      </c>
      <c r="CB353" s="12">
        <f t="shared" si="3206"/>
        <v>0.35833333333333334</v>
      </c>
      <c r="CC353" s="11">
        <v>18</v>
      </c>
      <c r="CD353" s="12">
        <f t="shared" si="3207"/>
        <v>6.9767441860465115E-2</v>
      </c>
      <c r="CE353" s="13"/>
      <c r="CF353" s="11"/>
      <c r="CG353" s="39"/>
      <c r="CH353" s="43"/>
      <c r="CI353" s="10"/>
      <c r="CJ353" s="11"/>
      <c r="CK353" s="69">
        <f t="shared" si="3258"/>
        <v>121</v>
      </c>
      <c r="CL353" s="69">
        <f t="shared" si="3259"/>
        <v>10</v>
      </c>
      <c r="CM353" s="11">
        <v>40</v>
      </c>
      <c r="CN353" s="12">
        <f t="shared" si="3208"/>
        <v>0.33884297520661155</v>
      </c>
      <c r="CO353" s="11">
        <v>1</v>
      </c>
      <c r="CP353" s="12">
        <f t="shared" si="3209"/>
        <v>2.4390243902439025E-2</v>
      </c>
      <c r="CQ353" s="13"/>
      <c r="CR353" s="11"/>
      <c r="CS353" s="39"/>
      <c r="CT353" s="43"/>
      <c r="CU353" s="10"/>
      <c r="CV353" s="11"/>
      <c r="CW353" s="69">
        <f t="shared" si="3260"/>
        <v>711</v>
      </c>
      <c r="CX353" s="69">
        <f t="shared" si="3261"/>
        <v>56</v>
      </c>
      <c r="CY353" s="11">
        <v>240</v>
      </c>
      <c r="CZ353" s="12">
        <f t="shared" si="3210"/>
        <v>0.36708860759493672</v>
      </c>
      <c r="DA353" s="11">
        <v>21</v>
      </c>
      <c r="DB353" s="12">
        <f t="shared" si="3211"/>
        <v>8.0459770114942528E-2</v>
      </c>
      <c r="DC353" s="13"/>
      <c r="DD353" s="11"/>
      <c r="DE353" s="39"/>
      <c r="DF353" s="43"/>
      <c r="DG353" s="10"/>
      <c r="DH353" s="11"/>
      <c r="DI353" s="69">
        <f t="shared" si="3262"/>
        <v>712</v>
      </c>
      <c r="DJ353" s="69">
        <f t="shared" si="3263"/>
        <v>55</v>
      </c>
      <c r="DK353" s="11">
        <v>272</v>
      </c>
      <c r="DL353" s="12">
        <f t="shared" si="3212"/>
        <v>0.4157303370786517</v>
      </c>
      <c r="DM353" s="11">
        <v>24</v>
      </c>
      <c r="DN353" s="12">
        <f t="shared" si="3213"/>
        <v>8.1081081081081086E-2</v>
      </c>
      <c r="DO353" s="13"/>
      <c r="DP353" s="11"/>
      <c r="DQ353" s="39"/>
      <c r="DR353" s="43"/>
      <c r="DS353" s="10"/>
      <c r="DT353" s="11"/>
      <c r="DU353" s="69">
        <f t="shared" si="3264"/>
        <v>1630</v>
      </c>
      <c r="DV353" s="69">
        <f t="shared" si="3265"/>
        <v>125</v>
      </c>
      <c r="DW353" s="11">
        <v>612</v>
      </c>
      <c r="DX353" s="12">
        <f t="shared" si="3214"/>
        <v>0.39631901840490796</v>
      </c>
      <c r="DY353" s="11">
        <v>34</v>
      </c>
      <c r="DZ353" s="12">
        <f t="shared" si="3215"/>
        <v>5.2631578947368418E-2</v>
      </c>
      <c r="EA353" s="13"/>
      <c r="EB353" s="11"/>
      <c r="EC353" s="39"/>
      <c r="ED353" s="43"/>
      <c r="EE353" s="10"/>
      <c r="EF353" s="11"/>
      <c r="EG353" s="69">
        <f t="shared" si="3266"/>
        <v>141</v>
      </c>
      <c r="EH353" s="69">
        <f t="shared" si="3267"/>
        <v>11</v>
      </c>
      <c r="EI353" s="11">
        <v>62</v>
      </c>
      <c r="EJ353" s="12">
        <f t="shared" si="3216"/>
        <v>0.45390070921985815</v>
      </c>
      <c r="EK353" s="11">
        <v>2</v>
      </c>
      <c r="EL353" s="12">
        <f t="shared" si="3217"/>
        <v>3.125E-2</v>
      </c>
      <c r="EM353" s="13"/>
      <c r="EN353" s="11"/>
      <c r="EO353" s="39"/>
      <c r="EP353" s="43"/>
      <c r="EQ353" s="10"/>
      <c r="ER353" s="11"/>
      <c r="ES353" s="69">
        <f t="shared" si="3268"/>
        <v>835</v>
      </c>
      <c r="ET353" s="69">
        <f t="shared" si="3269"/>
        <v>64</v>
      </c>
      <c r="EU353" s="11">
        <v>339</v>
      </c>
      <c r="EV353" s="12">
        <f t="shared" si="3218"/>
        <v>0.43712574850299402</v>
      </c>
      <c r="EW353" s="11">
        <v>26</v>
      </c>
      <c r="EX353" s="12">
        <f t="shared" si="3219"/>
        <v>7.1232876712328766E-2</v>
      </c>
      <c r="EY353" s="13"/>
      <c r="EZ353" s="11"/>
      <c r="FA353" s="39"/>
      <c r="FB353" s="43"/>
      <c r="FC353" s="10"/>
      <c r="FD353" s="11"/>
      <c r="FE353" s="69">
        <f t="shared" si="3270"/>
        <v>0</v>
      </c>
      <c r="FF353" s="69">
        <f t="shared" si="3271"/>
        <v>0</v>
      </c>
      <c r="FG353" s="11"/>
      <c r="FH353" s="12" t="e">
        <f t="shared" si="3220"/>
        <v>#DIV/0!</v>
      </c>
      <c r="FI353" s="11"/>
      <c r="FJ353" s="12" t="e">
        <f t="shared" si="3221"/>
        <v>#DIV/0!</v>
      </c>
      <c r="FK353" s="13"/>
      <c r="FL353" s="11"/>
      <c r="FM353" s="39"/>
      <c r="FN353" s="43"/>
      <c r="FO353" s="10">
        <v>3</v>
      </c>
      <c r="FP353" s="11"/>
      <c r="FQ353" s="69">
        <f t="shared" si="3272"/>
        <v>1693</v>
      </c>
      <c r="FR353" s="69">
        <f t="shared" si="3273"/>
        <v>132</v>
      </c>
      <c r="FS353" s="11">
        <v>603</v>
      </c>
      <c r="FT353" s="12">
        <f t="shared" si="3222"/>
        <v>0.38157117542823388</v>
      </c>
      <c r="FU353" s="11">
        <v>43</v>
      </c>
      <c r="FV353" s="12">
        <f t="shared" si="3223"/>
        <v>6.6563467492260067E-2</v>
      </c>
      <c r="FW353" s="13"/>
      <c r="FX353" s="11"/>
      <c r="FY353" s="39"/>
      <c r="FZ353" s="43"/>
      <c r="GA353" s="10"/>
      <c r="GB353" s="11"/>
      <c r="GC353" s="69">
        <f t="shared" si="3274"/>
        <v>125</v>
      </c>
      <c r="GD353" s="69">
        <f t="shared" si="3275"/>
        <v>9</v>
      </c>
      <c r="GE353" s="11">
        <v>46</v>
      </c>
      <c r="GF353" s="12">
        <f t="shared" si="3224"/>
        <v>0.38400000000000001</v>
      </c>
      <c r="GG353" s="11">
        <v>2</v>
      </c>
      <c r="GH353" s="12">
        <f t="shared" si="3225"/>
        <v>4.1666666666666664E-2</v>
      </c>
      <c r="GI353" s="13"/>
      <c r="GJ353" s="11"/>
      <c r="GK353" s="39"/>
      <c r="GL353" s="43"/>
      <c r="GM353" s="10"/>
      <c r="GN353" s="11"/>
      <c r="GO353" s="69">
        <f t="shared" si="3276"/>
        <v>885</v>
      </c>
      <c r="GP353" s="69">
        <f t="shared" si="3277"/>
        <v>69</v>
      </c>
      <c r="GQ353" s="11">
        <v>380</v>
      </c>
      <c r="GR353" s="12">
        <f t="shared" si="3226"/>
        <v>0.45423728813559322</v>
      </c>
      <c r="GS353" s="11">
        <v>22</v>
      </c>
      <c r="GT353" s="12">
        <f t="shared" si="3227"/>
        <v>5.4726368159203981E-2</v>
      </c>
      <c r="GU353" s="13"/>
      <c r="GV353" s="11"/>
      <c r="GW353" s="39"/>
      <c r="GX353" s="43"/>
      <c r="GY353" s="10"/>
      <c r="GZ353" s="11"/>
      <c r="HA353" s="69">
        <f t="shared" si="3278"/>
        <v>0</v>
      </c>
      <c r="HB353" s="69">
        <f t="shared" si="3279"/>
        <v>0</v>
      </c>
      <c r="HC353" s="11"/>
      <c r="HD353" s="12" t="e">
        <f t="shared" si="3228"/>
        <v>#DIV/0!</v>
      </c>
      <c r="HE353" s="11"/>
      <c r="HF353" s="12" t="e">
        <f t="shared" si="3229"/>
        <v>#DIV/0!</v>
      </c>
      <c r="HG353" s="13"/>
      <c r="HH353" s="11"/>
      <c r="HI353" s="39"/>
      <c r="HJ353" s="43"/>
      <c r="HK353" s="10">
        <f t="shared" si="3230"/>
        <v>4</v>
      </c>
      <c r="HL353" s="11">
        <f t="shared" si="3231"/>
        <v>0</v>
      </c>
      <c r="HM353" s="11">
        <f t="shared" si="3232"/>
        <v>11499</v>
      </c>
      <c r="HN353" s="11">
        <f t="shared" si="3233"/>
        <v>892</v>
      </c>
      <c r="HO353" s="11">
        <f t="shared" si="3234"/>
        <v>4447</v>
      </c>
      <c r="HP353" s="95">
        <f t="shared" si="3235"/>
        <v>0.38672928080702668</v>
      </c>
      <c r="HQ353" s="15">
        <f t="shared" si="3236"/>
        <v>305</v>
      </c>
      <c r="HR353" s="12">
        <f t="shared" si="3237"/>
        <v>6.8585563301101868E-2</v>
      </c>
      <c r="HS353" s="16">
        <v>68.599999999999994</v>
      </c>
      <c r="HT353" s="17">
        <v>4014</v>
      </c>
      <c r="HU353" s="16">
        <f t="shared" si="3238"/>
        <v>90.263098718237018</v>
      </c>
      <c r="HV353" s="23"/>
      <c r="HW353" s="22"/>
      <c r="HX353" s="73">
        <f t="shared" si="3239"/>
        <v>0.37595419847328243</v>
      </c>
      <c r="HY353" s="73">
        <f t="shared" si="3240"/>
        <v>0.35915955351280365</v>
      </c>
      <c r="HZ353" s="73">
        <f t="shared" si="3241"/>
        <v>0.41250959324635456</v>
      </c>
      <c r="IA353" s="73">
        <f t="shared" si="3242"/>
        <v>0.40547539770625229</v>
      </c>
      <c r="IF353" s="85">
        <f>IF354/IF355</f>
        <v>2.5380710659898475E-3</v>
      </c>
      <c r="IG353" s="85">
        <f>IG354/IG355</f>
        <v>2.9459901800327334E-3</v>
      </c>
      <c r="IH353" s="85">
        <f>IH354/IH355</f>
        <v>4.5836516424751722E-3</v>
      </c>
      <c r="II353" s="85">
        <f>II354/II355</f>
        <v>2.5830258302583027E-3</v>
      </c>
      <c r="IJ353" s="88" t="s">
        <v>90</v>
      </c>
    </row>
    <row r="354" spans="1:244" ht="19.5" thickBot="1" x14ac:dyDescent="0.3">
      <c r="A354" s="374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2074</v>
      </c>
      <c r="H354" s="28">
        <f>((G354+I354)/7)/E353</f>
        <v>0.3941566588994444</v>
      </c>
      <c r="I354" s="27">
        <f>SUM(I347:I353)</f>
        <v>125</v>
      </c>
      <c r="J354" s="28">
        <f>(I354/(I354+G354))</f>
        <v>5.6844020009095046E-2</v>
      </c>
      <c r="K354" s="27"/>
      <c r="L354" s="27"/>
      <c r="M354" s="29" t="e">
        <f>M352/M351*100-100</f>
        <v>#DIV/0!</v>
      </c>
      <c r="N354" s="67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1895</v>
      </c>
      <c r="T354" s="28">
        <f>((S354+U354)/7)/Q353</f>
        <v>0.39432485322896277</v>
      </c>
      <c r="U354" s="27">
        <f>SUM(U347:U353)</f>
        <v>120</v>
      </c>
      <c r="V354" s="28">
        <f>(U354/(U354+S354))</f>
        <v>5.9553349875930521E-2</v>
      </c>
      <c r="W354" s="27"/>
      <c r="X354" s="27"/>
      <c r="Y354" s="29" t="e">
        <f>Y352/Y351*100-100</f>
        <v>#DIV/0!</v>
      </c>
      <c r="Z354" s="67" t="e">
        <f>Z352/Z351*100-100</f>
        <v>#DIV/0!</v>
      </c>
      <c r="AA354" s="26">
        <f>SUM(AA347:AA353)</f>
        <v>1</v>
      </c>
      <c r="AB354" s="27">
        <f>SUM(AB347:AB353)</f>
        <v>0</v>
      </c>
      <c r="AC354" s="27"/>
      <c r="AD354" s="27"/>
      <c r="AE354" s="27">
        <f>SUM(AE347:AE353)</f>
        <v>373</v>
      </c>
      <c r="AF354" s="28">
        <f>((AE354+AG354)/7)/AC353</f>
        <v>0.39650145772594753</v>
      </c>
      <c r="AG354" s="27">
        <f>SUM(AG347:AG353)</f>
        <v>35</v>
      </c>
      <c r="AH354" s="28">
        <f>(AG354/(AG354+AE354))</f>
        <v>8.5784313725490197E-2</v>
      </c>
      <c r="AI354" s="27"/>
      <c r="AJ354" s="27"/>
      <c r="AK354" s="29" t="e">
        <f>AK352/AK351*100-100</f>
        <v>#DIV/0!</v>
      </c>
      <c r="AL354" s="67" t="e">
        <f>AL352/AL351*100-100</f>
        <v>#DIV/0!</v>
      </c>
      <c r="AM354" s="26">
        <f>SUM(AM347:AM353)</f>
        <v>2</v>
      </c>
      <c r="AN354" s="27">
        <f>SUM(AN347:AN353)</f>
        <v>0</v>
      </c>
      <c r="AO354" s="27"/>
      <c r="AP354" s="27"/>
      <c r="AQ354" s="27">
        <f>SUM(AQ347:AQ353)</f>
        <v>1930</v>
      </c>
      <c r="AR354" s="28">
        <f>((AQ354+AS354)/7)/AO353</f>
        <v>0.4043090062111801</v>
      </c>
      <c r="AS354" s="27">
        <f>SUM(AS347:AS353)</f>
        <v>153</v>
      </c>
      <c r="AT354" s="28">
        <f>(AS354/(AS354+AQ354))</f>
        <v>7.3451752280364851E-2</v>
      </c>
      <c r="AU354" s="27"/>
      <c r="AV354" s="27"/>
      <c r="AW354" s="29" t="e">
        <f>AW352/AW351*100-100</f>
        <v>#DIV/0!</v>
      </c>
      <c r="AX354" s="67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1843</v>
      </c>
      <c r="BD354" s="28">
        <f>((BC354+BE354)/7)/BA353</f>
        <v>0.397041650447645</v>
      </c>
      <c r="BE354" s="27">
        <f>SUM(BE347:BE353)</f>
        <v>197</v>
      </c>
      <c r="BF354" s="28">
        <f>(BE354/(BE354+BC354))</f>
        <v>9.6568627450980396E-2</v>
      </c>
      <c r="BG354" s="27"/>
      <c r="BH354" s="27"/>
      <c r="BI354" s="29" t="e">
        <f>BI352/BI351*100-100</f>
        <v>#DIV/0!</v>
      </c>
      <c r="BJ354" s="67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1686</v>
      </c>
      <c r="BP354" s="28">
        <f>((BO354+BQ354)/7)/BM353</f>
        <v>0.32955791012056995</v>
      </c>
      <c r="BQ354" s="27">
        <f>SUM(BQ347:BQ353)</f>
        <v>118</v>
      </c>
      <c r="BR354" s="28">
        <f>(BQ354/(BQ354+BO354))</f>
        <v>6.5410199556541024E-2</v>
      </c>
      <c r="BS354" s="27"/>
      <c r="BT354" s="27"/>
      <c r="BU354" s="29" t="e">
        <f>BU352/BU351*100-100</f>
        <v>#DIV/0!</v>
      </c>
      <c r="BV354" s="67" t="e">
        <f>BV352/BV351*100-100</f>
        <v>#DIV/0!</v>
      </c>
      <c r="BW354" s="26">
        <f>SUM(BW347:BW353)</f>
        <v>3</v>
      </c>
      <c r="BX354" s="27">
        <f>SUM(BX347:BX353)</f>
        <v>0</v>
      </c>
      <c r="BY354" s="27"/>
      <c r="BZ354" s="27"/>
      <c r="CA354" s="27">
        <f>SUM(CA347:CA353)</f>
        <v>1672</v>
      </c>
      <c r="CB354" s="28">
        <f>((CA354+CC354)/7)/BY353</f>
        <v>0.35317460317460314</v>
      </c>
      <c r="CC354" s="27">
        <f>SUM(CC347:CC353)</f>
        <v>108</v>
      </c>
      <c r="CD354" s="28">
        <f>(CC354/(CC354+CA354))</f>
        <v>6.0674157303370786E-2</v>
      </c>
      <c r="CE354" s="27"/>
      <c r="CF354" s="27"/>
      <c r="CG354" s="29" t="e">
        <f>CG352/CG351*100-100</f>
        <v>#DIV/0!</v>
      </c>
      <c r="CH354" s="67" t="e">
        <f>CH352/CH351*100-100</f>
        <v>#DIV/0!</v>
      </c>
      <c r="CI354" s="26">
        <f>SUM(CI347:CI353)</f>
        <v>2</v>
      </c>
      <c r="CJ354" s="27">
        <f>SUM(CJ347:CJ353)</f>
        <v>0</v>
      </c>
      <c r="CK354" s="27"/>
      <c r="CL354" s="27"/>
      <c r="CM354" s="27">
        <f>SUM(CM347:CM353)</f>
        <v>278</v>
      </c>
      <c r="CN354" s="28">
        <f>((CM354+CO354)/7)/CK353</f>
        <v>0.3624557260920897</v>
      </c>
      <c r="CO354" s="27">
        <f>SUM(CO347:CO353)</f>
        <v>29</v>
      </c>
      <c r="CP354" s="28">
        <f>(CO354/(CO354+CM354))</f>
        <v>9.4462540716612378E-2</v>
      </c>
      <c r="CQ354" s="27"/>
      <c r="CR354" s="27"/>
      <c r="CS354" s="29" t="e">
        <f>CS352/CS351*100-100</f>
        <v>#DIV/0!</v>
      </c>
      <c r="CT354" s="67" t="e">
        <f>CT352/CT351*100-100</f>
        <v>#DIV/0!</v>
      </c>
      <c r="CU354" s="26">
        <f>SUM(CU347:CU353)</f>
        <v>2</v>
      </c>
      <c r="CV354" s="27">
        <f>SUM(CV347:CV353)</f>
        <v>0</v>
      </c>
      <c r="CW354" s="27"/>
      <c r="CX354" s="27"/>
      <c r="CY354" s="27">
        <f>SUM(CY347:CY353)</f>
        <v>1705</v>
      </c>
      <c r="CZ354" s="28">
        <f>((CY354+DA354)/7)/CW353</f>
        <v>0.36085995579666463</v>
      </c>
      <c r="DA354" s="27">
        <f>SUM(DA347:DA353)</f>
        <v>91</v>
      </c>
      <c r="DB354" s="28">
        <f>(DA354/(DA354+CY354))</f>
        <v>5.0668151447661472E-2</v>
      </c>
      <c r="DC354" s="27"/>
      <c r="DD354" s="27"/>
      <c r="DE354" s="29" t="e">
        <f>DE352/DE351*100-100</f>
        <v>#DIV/0!</v>
      </c>
      <c r="DF354" s="67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1841</v>
      </c>
      <c r="DL354" s="28">
        <f>((DK354+DM354)/7)/DI353</f>
        <v>0.396669341894061</v>
      </c>
      <c r="DM354" s="27">
        <f>SUM(DM347:DM353)</f>
        <v>136</v>
      </c>
      <c r="DN354" s="28">
        <f>(DM354/(DM354+DK354))</f>
        <v>6.8791097622660599E-2</v>
      </c>
      <c r="DO354" s="27"/>
      <c r="DP354" s="27"/>
      <c r="DQ354" s="29" t="e">
        <f>DQ352/DQ351*100-100</f>
        <v>#DIV/0!</v>
      </c>
      <c r="DR354" s="67" t="e">
        <f>DR352/DR351*100-100</f>
        <v>#DIV/0!</v>
      </c>
      <c r="DS354" s="26">
        <f>SUM(DS347:DS353)</f>
        <v>5</v>
      </c>
      <c r="DT354" s="27">
        <f>SUM(DT347:DT353)</f>
        <v>0</v>
      </c>
      <c r="DU354" s="27"/>
      <c r="DV354" s="27"/>
      <c r="DW354" s="27">
        <f>SUM(DW347:DW353)</f>
        <v>4353</v>
      </c>
      <c r="DX354" s="28">
        <f>((DW354+DY354)/7)/DU353</f>
        <v>0.40867659947414547</v>
      </c>
      <c r="DY354" s="27">
        <f>SUM(DY347:DY353)</f>
        <v>310</v>
      </c>
      <c r="DZ354" s="28">
        <f>(DY354/(DY354+DW354))</f>
        <v>6.6480806347844729E-2</v>
      </c>
      <c r="EA354" s="27"/>
      <c r="EB354" s="27"/>
      <c r="EC354" s="29" t="e">
        <f>EC352/EC351*100-100</f>
        <v>#DIV/0!</v>
      </c>
      <c r="ED354" s="67" t="e">
        <f>ED352/ED351*100-100</f>
        <v>#DIV/0!</v>
      </c>
      <c r="EE354" s="26">
        <f>SUM(EE347:EE353)</f>
        <v>5</v>
      </c>
      <c r="EF354" s="27">
        <f>SUM(EF347:EF353)</f>
        <v>0</v>
      </c>
      <c r="EG354" s="27"/>
      <c r="EH354" s="27"/>
      <c r="EI354" s="27">
        <f>SUM(EI347:EI353)</f>
        <v>390</v>
      </c>
      <c r="EJ354" s="28">
        <f>((EI354+EK354)/7)/EG353</f>
        <v>0.41843971631205673</v>
      </c>
      <c r="EK354" s="27">
        <f>SUM(EK347:EK353)</f>
        <v>23</v>
      </c>
      <c r="EL354" s="28">
        <f>(EK354/(EK354+EI354))</f>
        <v>5.569007263922518E-2</v>
      </c>
      <c r="EM354" s="27"/>
      <c r="EN354" s="27"/>
      <c r="EO354" s="29" t="e">
        <f>EO352/EO351*100-100</f>
        <v>#DIV/0!</v>
      </c>
      <c r="EP354" s="67" t="e">
        <f>EP352/EP351*100-100</f>
        <v>#DIV/0!</v>
      </c>
      <c r="EQ354" s="26">
        <f>SUM(EQ347:EQ353)</f>
        <v>2</v>
      </c>
      <c r="ER354" s="27">
        <f>SUM(ER347:ER353)</f>
        <v>1</v>
      </c>
      <c r="ES354" s="27"/>
      <c r="ET354" s="27"/>
      <c r="EU354" s="27">
        <f>SUM(EU347:EU353)</f>
        <v>2486</v>
      </c>
      <c r="EV354" s="28">
        <f>((EU354+EW354)/7)/ES353</f>
        <v>0.45269461077844314</v>
      </c>
      <c r="EW354" s="27">
        <f>SUM(EW347:EW353)</f>
        <v>160</v>
      </c>
      <c r="EX354" s="28">
        <f>(EW354/(EW354+EU354))</f>
        <v>6.0468631897203327E-2</v>
      </c>
      <c r="EY354" s="27"/>
      <c r="EZ354" s="27"/>
      <c r="FA354" s="29" t="e">
        <f>FA352/FA351*100-100</f>
        <v>#DIV/0!</v>
      </c>
      <c r="FB354" s="67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7" t="e">
        <f>FN352/FN351*100-100</f>
        <v>#DIV/0!</v>
      </c>
      <c r="FO354" s="26">
        <f>SUM(FO347:FO353)</f>
        <v>5</v>
      </c>
      <c r="FP354" s="27">
        <f>SUM(FP347:FP353)</f>
        <v>0</v>
      </c>
      <c r="FQ354" s="27"/>
      <c r="FR354" s="27"/>
      <c r="FS354" s="27">
        <f>SUM(FS347:FS353)</f>
        <v>4382</v>
      </c>
      <c r="FT354" s="28">
        <f>((FS354+FU354)/7)/FQ353</f>
        <v>0.40123196354738</v>
      </c>
      <c r="FU354" s="27">
        <f>SUM(FU347:FU353)</f>
        <v>373</v>
      </c>
      <c r="FV354" s="28">
        <f>(FU354/(FU354+FS354))</f>
        <v>7.8443743427970558E-2</v>
      </c>
      <c r="FW354" s="27"/>
      <c r="FX354" s="27"/>
      <c r="FY354" s="29" t="e">
        <f>FY352/FY351*100-100</f>
        <v>#DIV/0!</v>
      </c>
      <c r="FZ354" s="67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349</v>
      </c>
      <c r="GF354" s="28">
        <f>((GE354+GG354)/7)/GC353</f>
        <v>0.42742857142857144</v>
      </c>
      <c r="GG354" s="27">
        <f>SUM(GG347:GG353)</f>
        <v>25</v>
      </c>
      <c r="GH354" s="28">
        <f>(GG354/(GG354+GE354))</f>
        <v>6.684491978609626E-2</v>
      </c>
      <c r="GI354" s="27"/>
      <c r="GJ354" s="27"/>
      <c r="GK354" s="29" t="e">
        <f>GK352/GK351*100-100</f>
        <v>#DIV/0!</v>
      </c>
      <c r="GL354" s="67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2668</v>
      </c>
      <c r="GR354" s="28">
        <f>((GQ354+GS354)/7)/GO353</f>
        <v>0.4573042776432607</v>
      </c>
      <c r="GS354" s="27">
        <f>SUM(GS347:GS353)</f>
        <v>165</v>
      </c>
      <c r="GT354" s="28">
        <f>(GS354/(GS354+GQ354))</f>
        <v>5.8242146134839391E-2</v>
      </c>
      <c r="GU354" s="27"/>
      <c r="GV354" s="27"/>
      <c r="GW354" s="29" t="e">
        <f>GW352/GW351*100-100</f>
        <v>#DIV/0!</v>
      </c>
      <c r="GX354" s="67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7" t="e">
        <f>HJ352/HJ351*100-100</f>
        <v>#DIV/0!</v>
      </c>
      <c r="HK354" s="26">
        <f t="shared" si="3230"/>
        <v>36</v>
      </c>
      <c r="HL354" s="27">
        <f t="shared" si="3231"/>
        <v>1</v>
      </c>
      <c r="HM354" s="27">
        <f t="shared" si="3232"/>
        <v>0</v>
      </c>
      <c r="HN354" s="27">
        <f t="shared" si="3233"/>
        <v>0</v>
      </c>
      <c r="HO354" s="27">
        <f t="shared" si="3234"/>
        <v>32093</v>
      </c>
      <c r="HP354" s="96">
        <f>+((HO354)/HM353)/7</f>
        <v>0.39870547749493745</v>
      </c>
      <c r="HQ354" s="62">
        <f t="shared" si="3236"/>
        <v>2168</v>
      </c>
      <c r="HR354" s="52">
        <f t="shared" si="3237"/>
        <v>6.7553672140342136E-2</v>
      </c>
      <c r="HS354" s="53">
        <f>SUM(HS347:HS353)/7</f>
        <v>68.55714285714285</v>
      </c>
      <c r="HT354" s="54">
        <f>SUM(HT347:HT353)</f>
        <v>29108</v>
      </c>
      <c r="HU354" s="53">
        <f>AVERAGE(HU347:HU353)</f>
        <v>90.685360988188648</v>
      </c>
      <c r="HV354" s="63" t="e">
        <f>HV352/HV351*100-100</f>
        <v>#DIV/0!</v>
      </c>
      <c r="HW354" s="67" t="e">
        <f>HW352/HW351*100-100</f>
        <v>#DIV/0!</v>
      </c>
      <c r="HX354" s="73">
        <f>SUM(G354,I354,S354,U354,AE354,AG354,AQ354,AS354,BC354,BE354)/7/SUM(E353,Q353,AC353,AO353,BA353)</f>
        <v>0.39735550708833151</v>
      </c>
      <c r="HY354" s="73">
        <f>SUM(BO354,BQ354,CA354,CC354,CM354,CO354,CY354,DA354,DK354,DM354)/7/SUM(BM353,BY353,CK353,CW353,DI353)</f>
        <v>0.35944095300628459</v>
      </c>
      <c r="HZ354" s="73">
        <f>SUM(DW354,DY354,EI354,EK354,EU354,EW354,FG354,FI354)/7/SUM(DU353,EG353,ES353,FE353)</f>
        <v>0.42330884771406641</v>
      </c>
      <c r="IA354" s="73">
        <f>SUM(FS354,FU354,GE354,GG354,GQ354,GS354,HC354,HE354)/7/SUM(FQ353,GC353,GO353,HA353)</f>
        <v>0.42080228317742185</v>
      </c>
      <c r="IB354" s="84">
        <f>SUM(I354,U354,AG354,AS354,BE354)/SUM(G354,I354,S354,U354,AE354,AG354,AQ354,AS354,BC354,BE354)</f>
        <v>7.2041166380789029E-2</v>
      </c>
      <c r="IC354" s="84">
        <f>SUM(BQ354,CC354,CO354,DA354,DM354)/SUM(BO354,BQ354,CA354,CC354,CM354,CO354,CY354,DA354,DK354,DM354)</f>
        <v>6.2891440501043838E-2</v>
      </c>
      <c r="ID354" s="84">
        <f>SUM(DY354,EK354,EW354,FI354)/SUM(DW354,DY354,EI354,EK354,EU354,EW354,FG354,FI354)</f>
        <v>6.384356384356385E-2</v>
      </c>
      <c r="IE354" s="84">
        <f>SUM(FU354,GG354,GS354,HE354)/SUM(FS354,FU354,GE354,GG354,GQ354,GS354,HC354,HE354)</f>
        <v>7.0710876664154737E-2</v>
      </c>
      <c r="IF354" s="86">
        <f>SUM(C354,O354,AA354,AM354,AY354)</f>
        <v>8</v>
      </c>
      <c r="IG354" s="86">
        <f>SUM(BK354,BW354,CI354,CU354,DG354)</f>
        <v>9</v>
      </c>
      <c r="IH354" s="86">
        <f>SUM(DS354,EE354,EQ354,FC354)</f>
        <v>12</v>
      </c>
      <c r="II354" s="86">
        <f>SUM(FO354,GA354,GM354,GY354)</f>
        <v>7</v>
      </c>
      <c r="IJ354" s="88" t="s">
        <v>89</v>
      </c>
    </row>
    <row r="355" spans="1:244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105">
        <f>HK354/HM347</f>
        <v>3.122018905558928E-3</v>
      </c>
      <c r="HL355" s="106">
        <f>HL354/HN347</f>
        <v>1.1198208286674132E-3</v>
      </c>
      <c r="HM355" s="45"/>
      <c r="HN355" s="45"/>
      <c r="HO355" s="45"/>
      <c r="HP355" s="98"/>
      <c r="HQ355" s="45"/>
      <c r="HR355" s="45"/>
      <c r="HS355" s="45"/>
      <c r="HT355" s="55"/>
      <c r="HU355" s="45"/>
      <c r="HV355" s="45"/>
      <c r="HW355" s="46"/>
      <c r="HY355" s="72"/>
      <c r="HZ355" s="72"/>
      <c r="IA355" s="72"/>
      <c r="IF355" s="86">
        <f>SUM(E344,Q344,AC344,AO344,BA344)</f>
        <v>3152</v>
      </c>
      <c r="IG355" s="86">
        <f>SUM(BM344,BY344,CK344,CW344,DI344)</f>
        <v>3055</v>
      </c>
      <c r="IH355" s="86">
        <f>SUM(DU344,EG344,ES344,FE344)</f>
        <v>2618</v>
      </c>
      <c r="II355" s="86">
        <f>SUM(FQ344,GC344,GO344,HA344)</f>
        <v>2710</v>
      </c>
      <c r="IJ355" s="88" t="s">
        <v>84</v>
      </c>
    </row>
    <row r="356" spans="1:244" x14ac:dyDescent="0.25">
      <c r="A356" s="373">
        <v>64</v>
      </c>
      <c r="B356" s="40">
        <f>B353+1</f>
        <v>45214</v>
      </c>
      <c r="C356" s="33">
        <v>1</v>
      </c>
      <c r="D356" s="34"/>
      <c r="E356" s="34">
        <f>E353-C356</f>
        <v>796</v>
      </c>
      <c r="F356" s="34">
        <f>F353-D356</f>
        <v>62</v>
      </c>
      <c r="G356" s="34">
        <v>295</v>
      </c>
      <c r="H356" s="35">
        <f t="shared" ref="H356:H362" si="3280">((G356+I356)/E356)</f>
        <v>0.39698492462311558</v>
      </c>
      <c r="I356" s="34">
        <v>21</v>
      </c>
      <c r="J356" s="35">
        <f t="shared" ref="J356:J362" si="3281">I356/(G356+I356)</f>
        <v>6.6455696202531639E-2</v>
      </c>
      <c r="K356" s="36"/>
      <c r="L356" s="34"/>
      <c r="M356" s="34"/>
      <c r="N356" s="37"/>
      <c r="O356" s="33">
        <v>1</v>
      </c>
      <c r="P356" s="34"/>
      <c r="Q356" s="34">
        <f>Q353-O356</f>
        <v>729</v>
      </c>
      <c r="R356" s="34">
        <f>R353-P356</f>
        <v>56</v>
      </c>
      <c r="S356" s="34">
        <v>254</v>
      </c>
      <c r="T356" s="35">
        <f t="shared" ref="T356:T362" si="3282">((S356+U356)/Q356)</f>
        <v>0.38545953360768176</v>
      </c>
      <c r="U356" s="34">
        <v>27</v>
      </c>
      <c r="V356" s="35">
        <f t="shared" ref="V356:V362" si="3283">U356/(S356+U356)</f>
        <v>9.6085409252669035E-2</v>
      </c>
      <c r="W356" s="36"/>
      <c r="X356" s="34"/>
      <c r="Y356" s="34"/>
      <c r="Z356" s="37"/>
      <c r="AA356" s="33"/>
      <c r="AB356" s="34"/>
      <c r="AC356" s="34">
        <f>AC353-AA356</f>
        <v>147</v>
      </c>
      <c r="AD356" s="34">
        <f>AD353-AB356</f>
        <v>11</v>
      </c>
      <c r="AE356" s="34">
        <v>54</v>
      </c>
      <c r="AF356" s="35">
        <f t="shared" ref="AF356:AF362" si="3284">((AE356+AG356)/AC356)</f>
        <v>0.37414965986394561</v>
      </c>
      <c r="AG356" s="34">
        <v>1</v>
      </c>
      <c r="AH356" s="35">
        <f t="shared" ref="AH356:AH362" si="3285">AG356/(AE356+AG356)</f>
        <v>1.8181818181818181E-2</v>
      </c>
      <c r="AI356" s="36"/>
      <c r="AJ356" s="34"/>
      <c r="AK356" s="34"/>
      <c r="AL356" s="37"/>
      <c r="AM356" s="33"/>
      <c r="AN356" s="34"/>
      <c r="AO356" s="34">
        <f>AO353-AM356</f>
        <v>736</v>
      </c>
      <c r="AP356" s="34">
        <f>AP353-AN356</f>
        <v>57</v>
      </c>
      <c r="AQ356" s="34">
        <v>268</v>
      </c>
      <c r="AR356" s="35">
        <f t="shared" ref="AR356:AR362" si="3286">((AQ356+AS356)/AO356)</f>
        <v>0.38858695652173914</v>
      </c>
      <c r="AS356" s="34">
        <v>18</v>
      </c>
      <c r="AT356" s="35">
        <f t="shared" ref="AT356:AT362" si="3287">AS356/(AQ356+AS356)</f>
        <v>6.2937062937062943E-2</v>
      </c>
      <c r="AU356" s="36"/>
      <c r="AV356" s="34"/>
      <c r="AW356" s="34"/>
      <c r="AX356" s="37"/>
      <c r="AY356" s="33">
        <v>1</v>
      </c>
      <c r="AZ356" s="34"/>
      <c r="BA356" s="34">
        <f>BA353-AY356</f>
        <v>733</v>
      </c>
      <c r="BB356" s="34">
        <f>BB353-AZ356</f>
        <v>57</v>
      </c>
      <c r="BC356" s="34">
        <v>268</v>
      </c>
      <c r="BD356" s="35">
        <f t="shared" ref="BD356:BD362" si="3288">((BC356+BE356)/BA356)</f>
        <v>0.39699863574351979</v>
      </c>
      <c r="BE356" s="34">
        <v>23</v>
      </c>
      <c r="BF356" s="35">
        <f t="shared" ref="BF356:BF362" si="3289">BE356/(BC356+BE356)</f>
        <v>7.903780068728522E-2</v>
      </c>
      <c r="BG356" s="36"/>
      <c r="BH356" s="34"/>
      <c r="BI356" s="34"/>
      <c r="BJ356" s="37"/>
      <c r="BK356" s="33"/>
      <c r="BL356" s="34"/>
      <c r="BM356" s="34">
        <f>BM353-BK356</f>
        <v>782</v>
      </c>
      <c r="BN356" s="34">
        <f>BN353-BL356</f>
        <v>61</v>
      </c>
      <c r="BO356" s="34">
        <v>252</v>
      </c>
      <c r="BP356" s="35">
        <f t="shared" ref="BP356:BP362" si="3290">((BO356+BQ356)/BM356)</f>
        <v>0.34398976982097185</v>
      </c>
      <c r="BQ356" s="34">
        <v>17</v>
      </c>
      <c r="BR356" s="35">
        <f t="shared" ref="BR356:BR362" si="3291">BQ356/(BO356+BQ356)</f>
        <v>6.3197026022304828E-2</v>
      </c>
      <c r="BS356" s="36"/>
      <c r="BT356" s="34"/>
      <c r="BU356" s="34"/>
      <c r="BV356" s="37"/>
      <c r="BW356" s="33"/>
      <c r="BX356" s="34"/>
      <c r="BY356" s="34">
        <f>BY353-BW356</f>
        <v>720</v>
      </c>
      <c r="BZ356" s="34">
        <f>BZ353-BX356</f>
        <v>57</v>
      </c>
      <c r="CA356" s="34">
        <v>231</v>
      </c>
      <c r="CB356" s="35">
        <f t="shared" ref="CB356:CB362" si="3292">((CA356+CC356)/BY356)</f>
        <v>0.33611111111111114</v>
      </c>
      <c r="CC356" s="34">
        <v>11</v>
      </c>
      <c r="CD356" s="35">
        <f t="shared" ref="CD356:CD362" si="3293">CC356/(CA356+CC356)</f>
        <v>4.5454545454545456E-2</v>
      </c>
      <c r="CE356" s="36"/>
      <c r="CF356" s="34"/>
      <c r="CG356" s="34"/>
      <c r="CH356" s="37"/>
      <c r="CI356" s="33"/>
      <c r="CJ356" s="34"/>
      <c r="CK356" s="34">
        <f>CK353-CI356</f>
        <v>121</v>
      </c>
      <c r="CL356" s="34">
        <f>CL353-CJ356</f>
        <v>10</v>
      </c>
      <c r="CM356" s="34">
        <v>37</v>
      </c>
      <c r="CN356" s="35">
        <f t="shared" ref="CN356:CN362" si="3294">((CM356+CO356)/CK356)</f>
        <v>0.32231404958677684</v>
      </c>
      <c r="CO356" s="34">
        <v>2</v>
      </c>
      <c r="CP356" s="35">
        <f t="shared" ref="CP356:CP362" si="3295">CO356/(CM356+CO356)</f>
        <v>5.128205128205128E-2</v>
      </c>
      <c r="CQ356" s="36"/>
      <c r="CR356" s="34"/>
      <c r="CS356" s="34"/>
      <c r="CT356" s="37"/>
      <c r="CU356" s="33"/>
      <c r="CV356" s="34"/>
      <c r="CW356" s="34">
        <f>CW353-CU356</f>
        <v>711</v>
      </c>
      <c r="CX356" s="34">
        <f>CX353-CV356</f>
        <v>56</v>
      </c>
      <c r="CY356" s="34">
        <v>263</v>
      </c>
      <c r="CZ356" s="35">
        <f t="shared" ref="CZ356:CZ362" si="3296">((CY356+DA356)/CW356)</f>
        <v>0.39240506329113922</v>
      </c>
      <c r="DA356" s="34">
        <v>16</v>
      </c>
      <c r="DB356" s="35">
        <f t="shared" ref="DB356:DB362" si="3297">DA356/(CY356+DA356)</f>
        <v>5.7347670250896057E-2</v>
      </c>
      <c r="DC356" s="36"/>
      <c r="DD356" s="34"/>
      <c r="DE356" s="34"/>
      <c r="DF356" s="37"/>
      <c r="DG356" s="33"/>
      <c r="DH356" s="34"/>
      <c r="DI356" s="34">
        <f>DI353-DG356</f>
        <v>712</v>
      </c>
      <c r="DJ356" s="34">
        <f>DJ353-DH356</f>
        <v>55</v>
      </c>
      <c r="DK356" s="34">
        <v>261</v>
      </c>
      <c r="DL356" s="35">
        <f t="shared" ref="DL356:DL362" si="3298">((DK356+DM356)/DI356)</f>
        <v>0.40168539325842695</v>
      </c>
      <c r="DM356" s="34">
        <v>25</v>
      </c>
      <c r="DN356" s="35">
        <f t="shared" ref="DN356:DN362" si="3299">DM356/(DK356+DM356)</f>
        <v>8.7412587412587409E-2</v>
      </c>
      <c r="DO356" s="36"/>
      <c r="DP356" s="34"/>
      <c r="DQ356" s="34"/>
      <c r="DR356" s="37"/>
      <c r="DS356" s="33"/>
      <c r="DT356" s="34"/>
      <c r="DU356" s="34">
        <f>DU353-DS356</f>
        <v>1630</v>
      </c>
      <c r="DV356" s="34">
        <f>DV353-DT356</f>
        <v>125</v>
      </c>
      <c r="DW356" s="34">
        <v>610</v>
      </c>
      <c r="DX356" s="35">
        <f t="shared" ref="DX356:DX362" si="3300">((DW356+DY356)/DU356)</f>
        <v>0.39325153374233129</v>
      </c>
      <c r="DY356" s="34">
        <v>31</v>
      </c>
      <c r="DZ356" s="35">
        <f t="shared" ref="DZ356:DZ362" si="3301">DY356/(DW356+DY356)</f>
        <v>4.8361934477379097E-2</v>
      </c>
      <c r="EA356" s="36"/>
      <c r="EB356" s="34"/>
      <c r="EC356" s="34"/>
      <c r="ED356" s="37"/>
      <c r="EE356" s="33"/>
      <c r="EF356" s="34"/>
      <c r="EG356" s="34">
        <f>EG353-EE356</f>
        <v>141</v>
      </c>
      <c r="EH356" s="34">
        <f>EH353-EF356</f>
        <v>11</v>
      </c>
      <c r="EI356" s="34">
        <v>49</v>
      </c>
      <c r="EJ356" s="35">
        <f t="shared" ref="EJ356:EJ362" si="3302">((EI356+EK356)/EG356)</f>
        <v>0.37588652482269502</v>
      </c>
      <c r="EK356" s="34">
        <v>4</v>
      </c>
      <c r="EL356" s="35">
        <f t="shared" ref="EL356:EL362" si="3303">EK356/(EI356+EK356)</f>
        <v>7.5471698113207544E-2</v>
      </c>
      <c r="EM356" s="36"/>
      <c r="EN356" s="34"/>
      <c r="EO356" s="34"/>
      <c r="EP356" s="37"/>
      <c r="EQ356" s="33"/>
      <c r="ER356" s="34"/>
      <c r="ES356" s="34">
        <f>ES353-EQ356</f>
        <v>835</v>
      </c>
      <c r="ET356" s="34">
        <f>ET353-ER356</f>
        <v>64</v>
      </c>
      <c r="EU356" s="34">
        <v>326</v>
      </c>
      <c r="EV356" s="35">
        <f t="shared" ref="EV356:EV362" si="3304">((EU356+EW356)/ES356)</f>
        <v>0.41556886227544909</v>
      </c>
      <c r="EW356" s="34">
        <v>21</v>
      </c>
      <c r="EX356" s="35">
        <f t="shared" ref="EX356:EX362" si="3305">EW356/(EU356+EW356)</f>
        <v>6.0518731988472622E-2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3306">((FG356+FI356)/FE356)</f>
        <v>#DIV/0!</v>
      </c>
      <c r="FI356" s="34"/>
      <c r="FJ356" s="35" t="e">
        <f t="shared" ref="FJ356:FJ362" si="3307">FI356/(FG356+FI356)</f>
        <v>#DIV/0!</v>
      </c>
      <c r="FK356" s="36"/>
      <c r="FL356" s="34"/>
      <c r="FM356" s="34"/>
      <c r="FN356" s="37"/>
      <c r="FO356" s="33">
        <v>1</v>
      </c>
      <c r="FP356" s="34"/>
      <c r="FQ356" s="34">
        <f>FQ353-FO356</f>
        <v>1692</v>
      </c>
      <c r="FR356" s="34">
        <f>FR353-FP356</f>
        <v>132</v>
      </c>
      <c r="FS356" s="34">
        <v>590</v>
      </c>
      <c r="FT356" s="35">
        <f t="shared" ref="FT356:FT362" si="3308">((FS356+FU356)/FQ356)</f>
        <v>0.39066193853427894</v>
      </c>
      <c r="FU356" s="34">
        <v>71</v>
      </c>
      <c r="FV356" s="35">
        <f t="shared" ref="FV356:FV362" si="3309">FU356/(FS356+FU356)</f>
        <v>0.10741301059001512</v>
      </c>
      <c r="FW356" s="36"/>
      <c r="FX356" s="34"/>
      <c r="FY356" s="34"/>
      <c r="FZ356" s="37"/>
      <c r="GA356" s="33"/>
      <c r="GB356" s="34"/>
      <c r="GC356" s="34">
        <f>GC353-GA356</f>
        <v>125</v>
      </c>
      <c r="GD356" s="34">
        <f>GD353-GB356</f>
        <v>9</v>
      </c>
      <c r="GE356" s="34">
        <v>43</v>
      </c>
      <c r="GF356" s="35">
        <f t="shared" ref="GF356:GF362" si="3310">((GE356+GG356)/GC356)</f>
        <v>0.4</v>
      </c>
      <c r="GG356" s="34">
        <v>7</v>
      </c>
      <c r="GH356" s="35">
        <f t="shared" ref="GH356:GH362" si="3311">GG356/(GE356+GG356)</f>
        <v>0.14000000000000001</v>
      </c>
      <c r="GI356" s="36"/>
      <c r="GJ356" s="34"/>
      <c r="GK356" s="34"/>
      <c r="GL356" s="37"/>
      <c r="GM356" s="33"/>
      <c r="GN356" s="34"/>
      <c r="GO356" s="34">
        <f>GO353-GM356</f>
        <v>885</v>
      </c>
      <c r="GP356" s="34">
        <f>GP353-GN356</f>
        <v>69</v>
      </c>
      <c r="GQ356" s="34">
        <v>334</v>
      </c>
      <c r="GR356" s="35">
        <f t="shared" ref="GR356:GR362" si="3312">((GQ356+GS356)/GO356)</f>
        <v>0.40112994350282488</v>
      </c>
      <c r="GS356" s="34">
        <v>21</v>
      </c>
      <c r="GT356" s="35">
        <f t="shared" ref="GT356:GT362" si="3313">GS356/(GQ356+GS356)</f>
        <v>5.9154929577464786E-2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3314">((HC356+HE356)/HA356)</f>
        <v>#DIV/0!</v>
      </c>
      <c r="HE356" s="34"/>
      <c r="HF356" s="35" t="e">
        <f t="shared" ref="HF356:HF362" si="3315">HE356/(HC356+HE356)</f>
        <v>#DIV/0!</v>
      </c>
      <c r="HG356" s="36"/>
      <c r="HH356" s="34"/>
      <c r="HI356" s="34"/>
      <c r="HJ356" s="37"/>
      <c r="HK356" s="33">
        <f t="shared" ref="HK356:HK363" si="3316">+C356+O356+AA356+AM356+AY356+BK356+BW356+CI356+CU356+DG356+DS356+EE356+EQ356+FC356+FO356+GA356+GM356+GY356</f>
        <v>4</v>
      </c>
      <c r="HL356" s="34">
        <f t="shared" ref="HL356:HL363" si="3317">+D356+P356+AB356+AN356+AZ356+BL356+BX356+CJ356+CV356+DH356+DT356+EF356+ER356+FD356+FP356+GB356+GN356+GZ356</f>
        <v>0</v>
      </c>
      <c r="HM356" s="34">
        <f t="shared" ref="HM356:HM363" si="3318">+E356+Q356+AC356+AO356+BA356+BM356+BY356+CK356+CW356+DI356+DU356+EG356+ES356+FE356+FQ356+GC356+GO356+HA356</f>
        <v>11495</v>
      </c>
      <c r="HN356" s="34">
        <f t="shared" ref="HN356:HN363" si="3319">+F356+R356+AD356+AP356+BB356+BN356+BZ356+CL356+CX356+DJ356+DV356+EH356+ET356+FF356+FR356+GD356+GP356+HB356</f>
        <v>892</v>
      </c>
      <c r="HO356" s="34">
        <f t="shared" ref="HO356:HO363" si="3320">+G356+S356+AE356+AQ356+BC356+BO356+CA356+CM356+CY356+DK356+DW356+EI356+EU356+FG356+FS356+GE356+GQ356+HC356+I356+U356+AG356+AS356+BE356+BQ356+CC356+CO356+DA356+DM356+DY356+EK356+EW356+FI356+FU356+GG356+GS356+HE356</f>
        <v>4451</v>
      </c>
      <c r="HP356" s="94">
        <f t="shared" ref="HP356:HP362" si="3321">+(HO356)/HM356</f>
        <v>0.38721183123096997</v>
      </c>
      <c r="HQ356" s="48">
        <f t="shared" ref="HQ356:HQ363" si="3322">+I356+U356+AG356+AS356+BE356+BQ356+CC356+CO356+DA356+DM356+DY356+EK356+EW356+FI356+FU356+GG356+GS356+HE356</f>
        <v>316</v>
      </c>
      <c r="HR356" s="35">
        <f t="shared" ref="HR356:HR363" si="3323">+(HQ356/(HO356))</f>
        <v>7.0995281959110312E-2</v>
      </c>
      <c r="HS356" s="49">
        <v>68.599999999999994</v>
      </c>
      <c r="HT356" s="50">
        <v>4014</v>
      </c>
      <c r="HU356" s="49">
        <f t="shared" ref="HU356:HU362" si="3324">+HT356/HO356*100</f>
        <v>90.181981577173659</v>
      </c>
      <c r="HV356" s="48"/>
      <c r="HW356" s="37"/>
      <c r="HX356" s="73">
        <f t="shared" ref="HX356:HX362" si="3325">SUM(G356,I356,S356,U356,AE356,AG356,AQ356,AS356,BC356,BE356)/SUM(E356,Q356,AC356,AO356,BA356)</f>
        <v>0.39127666348296719</v>
      </c>
      <c r="HY356" s="73">
        <f t="shared" ref="HY356:HY362" si="3326">SUM(BO356,BQ356,CA356,CC356,CM356,CO356,CY356,DA356,DK356,DM356)/SUM(BM356,BY356,CK356,CW356,DI356)</f>
        <v>0.36605384110308603</v>
      </c>
      <c r="HZ356" s="73">
        <f t="shared" ref="HZ356:HZ362" si="3327">SUM(DW356,DY356,EI356,EK356,EU356,EW356,FG356,FI356)/SUM(DU356,EG356,ES356,FE356)</f>
        <v>0.39946277820414428</v>
      </c>
      <c r="IA356" s="73">
        <f t="shared" ref="IA356:IA362" si="3328">SUM(FS356,FU356,GE356,GG356,GQ356,GS356,HC356,HE356)/SUM(FQ356,GC356,GO356,HA356)</f>
        <v>0.39452257586972611</v>
      </c>
    </row>
    <row r="357" spans="1:244" x14ac:dyDescent="0.25">
      <c r="A357" s="374"/>
      <c r="B357" s="41">
        <f t="shared" ref="B357:B362" si="3329">+B356+1</f>
        <v>45215</v>
      </c>
      <c r="C357" s="10"/>
      <c r="D357" s="11"/>
      <c r="E357" s="69">
        <f t="shared" ref="E357:E362" si="3330">E356-C357</f>
        <v>796</v>
      </c>
      <c r="F357" s="69">
        <f t="shared" ref="F357:F362" si="3331">F356-D357</f>
        <v>62</v>
      </c>
      <c r="G357" s="11">
        <v>282</v>
      </c>
      <c r="H357" s="12">
        <f t="shared" si="3280"/>
        <v>0.37562814070351758</v>
      </c>
      <c r="I357" s="11">
        <v>17</v>
      </c>
      <c r="J357" s="12">
        <f t="shared" si="3281"/>
        <v>5.6856187290969896E-2</v>
      </c>
      <c r="K357" s="13"/>
      <c r="L357" s="11"/>
      <c r="M357" s="11"/>
      <c r="N357" s="14"/>
      <c r="O357" s="10"/>
      <c r="P357" s="11"/>
      <c r="Q357" s="69">
        <f t="shared" ref="Q357:Q362" si="3332">Q356-O357</f>
        <v>729</v>
      </c>
      <c r="R357" s="69">
        <f t="shared" ref="R357:R362" si="3333">R356-P357</f>
        <v>56</v>
      </c>
      <c r="S357" s="11">
        <v>260</v>
      </c>
      <c r="T357" s="12">
        <f t="shared" si="3282"/>
        <v>0.3936899862825789</v>
      </c>
      <c r="U357" s="11">
        <v>27</v>
      </c>
      <c r="V357" s="12">
        <f t="shared" si="3283"/>
        <v>9.4076655052264813E-2</v>
      </c>
      <c r="W357" s="13"/>
      <c r="X357" s="11"/>
      <c r="Y357" s="11"/>
      <c r="Z357" s="14"/>
      <c r="AA357" s="10"/>
      <c r="AB357" s="11"/>
      <c r="AC357" s="69">
        <f t="shared" ref="AC357:AC362" si="3334">AC356-AA357</f>
        <v>147</v>
      </c>
      <c r="AD357" s="69">
        <f t="shared" ref="AD357:AD362" si="3335">AD356-AB357</f>
        <v>11</v>
      </c>
      <c r="AE357" s="11">
        <v>55</v>
      </c>
      <c r="AF357" s="12">
        <f t="shared" si="3284"/>
        <v>0.42857142857142855</v>
      </c>
      <c r="AG357" s="11">
        <v>8</v>
      </c>
      <c r="AH357" s="12">
        <f t="shared" si="3285"/>
        <v>0.12698412698412698</v>
      </c>
      <c r="AI357" s="13"/>
      <c r="AJ357" s="11"/>
      <c r="AK357" s="11"/>
      <c r="AL357" s="14"/>
      <c r="AM357" s="10">
        <v>1</v>
      </c>
      <c r="AN357" s="11"/>
      <c r="AO357" s="69">
        <f t="shared" ref="AO357:AO362" si="3336">AO356-AM357</f>
        <v>735</v>
      </c>
      <c r="AP357" s="69">
        <f t="shared" ref="AP357:AP362" si="3337">AP356-AN357</f>
        <v>57</v>
      </c>
      <c r="AQ357" s="11">
        <v>259</v>
      </c>
      <c r="AR357" s="12">
        <f t="shared" si="3286"/>
        <v>0.38503401360544215</v>
      </c>
      <c r="AS357" s="11">
        <v>24</v>
      </c>
      <c r="AT357" s="12">
        <f t="shared" si="3287"/>
        <v>8.4805653710247356E-2</v>
      </c>
      <c r="AU357" s="13"/>
      <c r="AV357" s="11"/>
      <c r="AW357" s="11"/>
      <c r="AX357" s="14"/>
      <c r="AY357" s="10"/>
      <c r="AZ357" s="11"/>
      <c r="BA357" s="69">
        <f t="shared" ref="BA357:BA362" si="3338">BA356-AY357</f>
        <v>733</v>
      </c>
      <c r="BB357" s="69">
        <f t="shared" ref="BB357:BB362" si="3339">BB356-AZ357</f>
        <v>57</v>
      </c>
      <c r="BC357" s="11">
        <v>240</v>
      </c>
      <c r="BD357" s="12">
        <f t="shared" si="3288"/>
        <v>0.3683492496589359</v>
      </c>
      <c r="BE357" s="11">
        <v>30</v>
      </c>
      <c r="BF357" s="12">
        <f t="shared" si="3289"/>
        <v>0.1111111111111111</v>
      </c>
      <c r="BG357" s="13"/>
      <c r="BH357" s="11"/>
      <c r="BI357" s="11"/>
      <c r="BJ357" s="14"/>
      <c r="BK357" s="10">
        <v>2</v>
      </c>
      <c r="BL357" s="11"/>
      <c r="BM357" s="69">
        <f t="shared" ref="BM357:BM362" si="3340">BM356-BK357</f>
        <v>780</v>
      </c>
      <c r="BN357" s="69">
        <f t="shared" ref="BN357:BN362" si="3341">BN356-BL357</f>
        <v>61</v>
      </c>
      <c r="BO357" s="11">
        <v>227</v>
      </c>
      <c r="BP357" s="12">
        <f t="shared" si="3290"/>
        <v>0.31153846153846154</v>
      </c>
      <c r="BQ357" s="11">
        <v>16</v>
      </c>
      <c r="BR357" s="12">
        <f t="shared" si="3291"/>
        <v>6.584362139917696E-2</v>
      </c>
      <c r="BS357" s="13"/>
      <c r="BT357" s="11"/>
      <c r="BU357" s="11"/>
      <c r="BV357" s="14"/>
      <c r="BW357" s="10"/>
      <c r="BX357" s="11"/>
      <c r="BY357" s="69">
        <f t="shared" ref="BY357:BY362" si="3342">BY356-BW357</f>
        <v>720</v>
      </c>
      <c r="BZ357" s="69">
        <f t="shared" ref="BZ357:BZ362" si="3343">BZ356-BX357</f>
        <v>57</v>
      </c>
      <c r="CA357" s="11">
        <v>234</v>
      </c>
      <c r="CB357" s="12">
        <f t="shared" si="3292"/>
        <v>0.35138888888888886</v>
      </c>
      <c r="CC357" s="11">
        <v>19</v>
      </c>
      <c r="CD357" s="12">
        <f t="shared" si="3293"/>
        <v>7.5098814229249009E-2</v>
      </c>
      <c r="CE357" s="13"/>
      <c r="CF357" s="11"/>
      <c r="CG357" s="11"/>
      <c r="CH357" s="14"/>
      <c r="CI357" s="10"/>
      <c r="CJ357" s="11"/>
      <c r="CK357" s="69">
        <f t="shared" ref="CK357:CK362" si="3344">CK356-CI357</f>
        <v>121</v>
      </c>
      <c r="CL357" s="69">
        <f t="shared" ref="CL357:CL362" si="3345">CL356-CJ357</f>
        <v>10</v>
      </c>
      <c r="CM357" s="11">
        <v>37</v>
      </c>
      <c r="CN357" s="12">
        <f t="shared" si="3294"/>
        <v>0.31404958677685951</v>
      </c>
      <c r="CO357" s="11">
        <v>1</v>
      </c>
      <c r="CP357" s="12">
        <f t="shared" si="3295"/>
        <v>2.6315789473684209E-2</v>
      </c>
      <c r="CQ357" s="13"/>
      <c r="CR357" s="11"/>
      <c r="CS357" s="11"/>
      <c r="CT357" s="14"/>
      <c r="CU357" s="10">
        <v>1</v>
      </c>
      <c r="CV357" s="11"/>
      <c r="CW357" s="69">
        <f t="shared" ref="CW357:CW362" si="3346">CW356-CU357</f>
        <v>710</v>
      </c>
      <c r="CX357" s="69">
        <f t="shared" ref="CX357:CX362" si="3347">CX356-CV357</f>
        <v>56</v>
      </c>
      <c r="CY357" s="11">
        <v>236</v>
      </c>
      <c r="CZ357" s="12">
        <f t="shared" si="3296"/>
        <v>0.3492957746478873</v>
      </c>
      <c r="DA357" s="11">
        <v>12</v>
      </c>
      <c r="DB357" s="12">
        <f t="shared" si="3297"/>
        <v>4.8387096774193547E-2</v>
      </c>
      <c r="DC357" s="13"/>
      <c r="DD357" s="11"/>
      <c r="DE357" s="11"/>
      <c r="DF357" s="14"/>
      <c r="DG357" s="10"/>
      <c r="DH357" s="11"/>
      <c r="DI357" s="69">
        <f t="shared" ref="DI357:DI362" si="3348">DI356-DG357</f>
        <v>712</v>
      </c>
      <c r="DJ357" s="69">
        <f t="shared" ref="DJ357:DJ362" si="3349">DJ356-DH357</f>
        <v>55</v>
      </c>
      <c r="DK357" s="11">
        <v>240</v>
      </c>
      <c r="DL357" s="12">
        <f t="shared" si="3298"/>
        <v>0.3651685393258427</v>
      </c>
      <c r="DM357" s="11">
        <v>20</v>
      </c>
      <c r="DN357" s="12">
        <f t="shared" si="3299"/>
        <v>7.6923076923076927E-2</v>
      </c>
      <c r="DO357" s="13"/>
      <c r="DP357" s="11"/>
      <c r="DQ357" s="11"/>
      <c r="DR357" s="14"/>
      <c r="DS357" s="10">
        <v>1</v>
      </c>
      <c r="DT357" s="11"/>
      <c r="DU357" s="69">
        <f t="shared" ref="DU357:DU362" si="3350">DU356-DS357</f>
        <v>1629</v>
      </c>
      <c r="DV357" s="69">
        <f t="shared" ref="DV357:DV362" si="3351">DV356-DT357</f>
        <v>125</v>
      </c>
      <c r="DW357" s="11">
        <v>617</v>
      </c>
      <c r="DX357" s="12">
        <f t="shared" si="3300"/>
        <v>0.40454266421117252</v>
      </c>
      <c r="DY357" s="11">
        <v>42</v>
      </c>
      <c r="DZ357" s="12">
        <f t="shared" si="3301"/>
        <v>6.3732928679817905E-2</v>
      </c>
      <c r="EA357" s="13"/>
      <c r="EB357" s="11"/>
      <c r="EC357" s="11"/>
      <c r="ED357" s="14"/>
      <c r="EE357" s="10"/>
      <c r="EF357" s="11"/>
      <c r="EG357" s="69">
        <f t="shared" ref="EG357:EG362" si="3352">EG356-EE357</f>
        <v>141</v>
      </c>
      <c r="EH357" s="69">
        <f t="shared" ref="EH357:EH362" si="3353">EH356-EF357</f>
        <v>11</v>
      </c>
      <c r="EI357" s="11">
        <v>55</v>
      </c>
      <c r="EJ357" s="12">
        <f t="shared" si="3302"/>
        <v>0.41843971631205673</v>
      </c>
      <c r="EK357" s="11">
        <v>4</v>
      </c>
      <c r="EL357" s="12">
        <f t="shared" si="3303"/>
        <v>6.7796610169491525E-2</v>
      </c>
      <c r="EM357" s="13"/>
      <c r="EN357" s="11"/>
      <c r="EO357" s="11"/>
      <c r="EP357" s="14"/>
      <c r="EQ357" s="10"/>
      <c r="ER357" s="11"/>
      <c r="ES357" s="69">
        <f t="shared" ref="ES357:ES362" si="3354">ES356-EQ357</f>
        <v>835</v>
      </c>
      <c r="ET357" s="69">
        <f t="shared" ref="ET357:ET362" si="3355">ET356-ER357</f>
        <v>64</v>
      </c>
      <c r="EU357" s="11">
        <v>364</v>
      </c>
      <c r="EV357" s="12">
        <f t="shared" si="3304"/>
        <v>0.47664670658682634</v>
      </c>
      <c r="EW357" s="11">
        <v>34</v>
      </c>
      <c r="EX357" s="12">
        <f t="shared" si="3305"/>
        <v>8.5427135678391955E-2</v>
      </c>
      <c r="EY357" s="13"/>
      <c r="EZ357" s="11"/>
      <c r="FA357" s="11"/>
      <c r="FB357" s="14"/>
      <c r="FC357" s="10"/>
      <c r="FD357" s="11"/>
      <c r="FE357" s="69">
        <f t="shared" ref="FE357:FE362" si="3356">FE356-FC357</f>
        <v>0</v>
      </c>
      <c r="FF357" s="69">
        <f t="shared" ref="FF357:FF362" si="3357">FF356-FD357</f>
        <v>0</v>
      </c>
      <c r="FG357" s="11"/>
      <c r="FH357" s="12" t="e">
        <f t="shared" si="3306"/>
        <v>#DIV/0!</v>
      </c>
      <c r="FI357" s="11"/>
      <c r="FJ357" s="12" t="e">
        <f t="shared" si="3307"/>
        <v>#DIV/0!</v>
      </c>
      <c r="FK357" s="13"/>
      <c r="FL357" s="11"/>
      <c r="FM357" s="11"/>
      <c r="FN357" s="14"/>
      <c r="FO357" s="10"/>
      <c r="FP357" s="11"/>
      <c r="FQ357" s="69">
        <f t="shared" ref="FQ357:FQ362" si="3358">FQ356-FO357</f>
        <v>1692</v>
      </c>
      <c r="FR357" s="69">
        <f t="shared" ref="FR357:FR362" si="3359">FR356-FP357</f>
        <v>132</v>
      </c>
      <c r="FS357" s="11">
        <v>585</v>
      </c>
      <c r="FT357" s="12">
        <f t="shared" si="3308"/>
        <v>0.38297872340425532</v>
      </c>
      <c r="FU357" s="11">
        <v>63</v>
      </c>
      <c r="FV357" s="12">
        <f t="shared" si="3309"/>
        <v>9.7222222222222224E-2</v>
      </c>
      <c r="FW357" s="13"/>
      <c r="FX357" s="11"/>
      <c r="FY357" s="11"/>
      <c r="FZ357" s="14"/>
      <c r="GA357" s="10"/>
      <c r="GB357" s="11"/>
      <c r="GC357" s="69">
        <f t="shared" ref="GC357:GC362" si="3360">GC356-GA357</f>
        <v>125</v>
      </c>
      <c r="GD357" s="69">
        <f t="shared" ref="GD357:GD362" si="3361">GD356-GB357</f>
        <v>9</v>
      </c>
      <c r="GE357" s="11">
        <v>44</v>
      </c>
      <c r="GF357" s="12">
        <f t="shared" si="3310"/>
        <v>0.4</v>
      </c>
      <c r="GG357" s="11">
        <v>6</v>
      </c>
      <c r="GH357" s="12">
        <f t="shared" si="3311"/>
        <v>0.12</v>
      </c>
      <c r="GI357" s="13"/>
      <c r="GJ357" s="11"/>
      <c r="GK357" s="11"/>
      <c r="GL357" s="14"/>
      <c r="GM357" s="10"/>
      <c r="GN357" s="11"/>
      <c r="GO357" s="69">
        <f t="shared" ref="GO357:GO362" si="3362">GO356-GM357</f>
        <v>885</v>
      </c>
      <c r="GP357" s="69">
        <f t="shared" ref="GP357:GP362" si="3363">GP356-GN357</f>
        <v>69</v>
      </c>
      <c r="GQ357" s="11">
        <v>388</v>
      </c>
      <c r="GR357" s="12">
        <f t="shared" si="3312"/>
        <v>0.46892655367231639</v>
      </c>
      <c r="GS357" s="11">
        <v>27</v>
      </c>
      <c r="GT357" s="12">
        <f t="shared" si="3313"/>
        <v>6.5060240963855417E-2</v>
      </c>
      <c r="GU357" s="13"/>
      <c r="GV357" s="11"/>
      <c r="GW357" s="11"/>
      <c r="GX357" s="14"/>
      <c r="GY357" s="10"/>
      <c r="GZ357" s="11"/>
      <c r="HA357" s="69">
        <f t="shared" ref="HA357:HA362" si="3364">HA356-GY357</f>
        <v>0</v>
      </c>
      <c r="HB357" s="69">
        <f t="shared" ref="HB357:HB362" si="3365">HB356-GZ357</f>
        <v>0</v>
      </c>
      <c r="HC357" s="11"/>
      <c r="HD357" s="12" t="e">
        <f t="shared" si="3314"/>
        <v>#DIV/0!</v>
      </c>
      <c r="HE357" s="11"/>
      <c r="HF357" s="12" t="e">
        <f t="shared" si="3315"/>
        <v>#DIV/0!</v>
      </c>
      <c r="HG357" s="13"/>
      <c r="HH357" s="11"/>
      <c r="HI357" s="11"/>
      <c r="HJ357" s="14"/>
      <c r="HK357" s="10">
        <f t="shared" si="3316"/>
        <v>5</v>
      </c>
      <c r="HL357" s="11">
        <f t="shared" si="3317"/>
        <v>0</v>
      </c>
      <c r="HM357" s="11">
        <f t="shared" si="3318"/>
        <v>11490</v>
      </c>
      <c r="HN357" s="11">
        <f t="shared" si="3319"/>
        <v>892</v>
      </c>
      <c r="HO357" s="11">
        <f t="shared" si="3320"/>
        <v>4473</v>
      </c>
      <c r="HP357" s="95">
        <f t="shared" si="3321"/>
        <v>0.38929503916449087</v>
      </c>
      <c r="HQ357" s="15">
        <f t="shared" si="3322"/>
        <v>350</v>
      </c>
      <c r="HR357" s="12">
        <f t="shared" si="3323"/>
        <v>7.82472613458529E-2</v>
      </c>
      <c r="HS357" s="16">
        <v>69</v>
      </c>
      <c r="HT357" s="17">
        <v>3989</v>
      </c>
      <c r="HU357" s="16">
        <f t="shared" si="3324"/>
        <v>89.179521573887769</v>
      </c>
      <c r="HV357" s="15"/>
      <c r="HW357" s="14"/>
      <c r="HX357" s="73">
        <f t="shared" si="3325"/>
        <v>0.38280254777070066</v>
      </c>
      <c r="HY357" s="73">
        <f t="shared" si="3326"/>
        <v>0.34242523825172527</v>
      </c>
      <c r="HZ357" s="73">
        <f t="shared" si="3327"/>
        <v>0.42840690978886758</v>
      </c>
      <c r="IA357" s="73">
        <f t="shared" si="3328"/>
        <v>0.41191709844559588</v>
      </c>
    </row>
    <row r="358" spans="1:244" x14ac:dyDescent="0.25">
      <c r="A358" s="374"/>
      <c r="B358" s="41">
        <f t="shared" si="3329"/>
        <v>45216</v>
      </c>
      <c r="C358" s="10"/>
      <c r="D358" s="11"/>
      <c r="E358" s="69">
        <f t="shared" si="3330"/>
        <v>796</v>
      </c>
      <c r="F358" s="69">
        <f t="shared" si="3331"/>
        <v>62</v>
      </c>
      <c r="G358" s="11">
        <v>254</v>
      </c>
      <c r="H358" s="12">
        <f t="shared" si="3280"/>
        <v>0.35678391959798994</v>
      </c>
      <c r="I358" s="11">
        <v>30</v>
      </c>
      <c r="J358" s="12">
        <f t="shared" si="3281"/>
        <v>0.10563380281690141</v>
      </c>
      <c r="K358" s="13"/>
      <c r="L358" s="11"/>
      <c r="M358" s="11"/>
      <c r="N358" s="14"/>
      <c r="O358" s="10">
        <v>1</v>
      </c>
      <c r="P358" s="11"/>
      <c r="Q358" s="69">
        <f t="shared" si="3332"/>
        <v>728</v>
      </c>
      <c r="R358" s="69">
        <f t="shared" si="3333"/>
        <v>56</v>
      </c>
      <c r="S358" s="11">
        <v>245</v>
      </c>
      <c r="T358" s="12">
        <f t="shared" si="3282"/>
        <v>0.37362637362637363</v>
      </c>
      <c r="U358" s="11">
        <v>27</v>
      </c>
      <c r="V358" s="12">
        <f t="shared" si="3283"/>
        <v>9.9264705882352935E-2</v>
      </c>
      <c r="W358" s="13"/>
      <c r="X358" s="11"/>
      <c r="Y358" s="11"/>
      <c r="Z358" s="14"/>
      <c r="AA358" s="10"/>
      <c r="AB358" s="11"/>
      <c r="AC358" s="69">
        <f t="shared" si="3334"/>
        <v>147</v>
      </c>
      <c r="AD358" s="69">
        <f t="shared" si="3335"/>
        <v>11</v>
      </c>
      <c r="AE358" s="11">
        <v>50</v>
      </c>
      <c r="AF358" s="12">
        <f t="shared" si="3284"/>
        <v>0.40136054421768708</v>
      </c>
      <c r="AG358" s="11">
        <v>9</v>
      </c>
      <c r="AH358" s="12">
        <f t="shared" si="3285"/>
        <v>0.15254237288135594</v>
      </c>
      <c r="AI358" s="13"/>
      <c r="AJ358" s="11"/>
      <c r="AK358" s="11"/>
      <c r="AL358" s="14"/>
      <c r="AM358" s="10">
        <v>1</v>
      </c>
      <c r="AN358" s="11"/>
      <c r="AO358" s="69">
        <f t="shared" si="3336"/>
        <v>734</v>
      </c>
      <c r="AP358" s="69">
        <f t="shared" si="3337"/>
        <v>57</v>
      </c>
      <c r="AQ358" s="11">
        <v>256</v>
      </c>
      <c r="AR358" s="12">
        <f t="shared" si="3286"/>
        <v>0.38692098092643051</v>
      </c>
      <c r="AS358" s="11">
        <v>28</v>
      </c>
      <c r="AT358" s="12">
        <f t="shared" si="3287"/>
        <v>9.8591549295774641E-2</v>
      </c>
      <c r="AU358" s="13"/>
      <c r="AV358" s="11"/>
      <c r="AW358" s="11"/>
      <c r="AX358" s="14"/>
      <c r="AY358" s="10"/>
      <c r="AZ358" s="11"/>
      <c r="BA358" s="69">
        <f t="shared" si="3338"/>
        <v>733</v>
      </c>
      <c r="BB358" s="69">
        <f t="shared" si="3339"/>
        <v>57</v>
      </c>
      <c r="BC358" s="11">
        <v>255</v>
      </c>
      <c r="BD358" s="12">
        <f t="shared" si="3288"/>
        <v>0.39427012278308321</v>
      </c>
      <c r="BE358" s="11">
        <v>34</v>
      </c>
      <c r="BF358" s="12">
        <f t="shared" si="3289"/>
        <v>0.11764705882352941</v>
      </c>
      <c r="BG358" s="13"/>
      <c r="BH358" s="11"/>
      <c r="BI358" s="11"/>
      <c r="BJ358" s="14"/>
      <c r="BK358" s="10">
        <v>1</v>
      </c>
      <c r="BL358" s="11"/>
      <c r="BM358" s="69">
        <f t="shared" si="3340"/>
        <v>779</v>
      </c>
      <c r="BN358" s="69">
        <f t="shared" si="3341"/>
        <v>61</v>
      </c>
      <c r="BO358" s="11">
        <v>225</v>
      </c>
      <c r="BP358" s="12">
        <f t="shared" si="3290"/>
        <v>0.31964056482670089</v>
      </c>
      <c r="BQ358" s="11">
        <v>24</v>
      </c>
      <c r="BR358" s="12">
        <f t="shared" si="3291"/>
        <v>9.6385542168674704E-2</v>
      </c>
      <c r="BS358" s="13"/>
      <c r="BT358" s="11"/>
      <c r="BU358" s="11"/>
      <c r="BV358" s="14"/>
      <c r="BW358" s="10"/>
      <c r="BX358" s="11"/>
      <c r="BY358" s="69">
        <f t="shared" si="3342"/>
        <v>720</v>
      </c>
      <c r="BZ358" s="69">
        <f t="shared" si="3343"/>
        <v>57</v>
      </c>
      <c r="CA358" s="11">
        <v>217</v>
      </c>
      <c r="CB358" s="12">
        <f t="shared" si="3292"/>
        <v>0.32222222222222224</v>
      </c>
      <c r="CC358" s="11">
        <v>15</v>
      </c>
      <c r="CD358" s="12">
        <f t="shared" si="3293"/>
        <v>6.4655172413793108E-2</v>
      </c>
      <c r="CE358" s="13"/>
      <c r="CF358" s="11"/>
      <c r="CG358" s="11"/>
      <c r="CH358" s="14"/>
      <c r="CI358" s="10"/>
      <c r="CJ358" s="11"/>
      <c r="CK358" s="69">
        <f t="shared" si="3344"/>
        <v>121</v>
      </c>
      <c r="CL358" s="69">
        <f t="shared" si="3345"/>
        <v>10</v>
      </c>
      <c r="CM358" s="11">
        <v>36</v>
      </c>
      <c r="CN358" s="12">
        <f t="shared" si="3294"/>
        <v>0.38016528925619836</v>
      </c>
      <c r="CO358" s="11">
        <v>10</v>
      </c>
      <c r="CP358" s="12">
        <f t="shared" si="3295"/>
        <v>0.21739130434782608</v>
      </c>
      <c r="CQ358" s="13"/>
      <c r="CR358" s="11"/>
      <c r="CS358" s="11"/>
      <c r="CT358" s="14"/>
      <c r="CU358" s="10"/>
      <c r="CV358" s="11"/>
      <c r="CW358" s="69">
        <f t="shared" si="3346"/>
        <v>710</v>
      </c>
      <c r="CX358" s="69">
        <f t="shared" si="3347"/>
        <v>56</v>
      </c>
      <c r="CY358" s="11">
        <v>236</v>
      </c>
      <c r="CZ358" s="12">
        <f t="shared" si="3296"/>
        <v>0.35774647887323946</v>
      </c>
      <c r="DA358" s="11">
        <v>18</v>
      </c>
      <c r="DB358" s="12">
        <f t="shared" si="3297"/>
        <v>7.0866141732283464E-2</v>
      </c>
      <c r="DC358" s="13"/>
      <c r="DD358" s="11"/>
      <c r="DE358" s="11"/>
      <c r="DF358" s="14"/>
      <c r="DG358" s="10"/>
      <c r="DH358" s="11"/>
      <c r="DI358" s="69">
        <f t="shared" si="3348"/>
        <v>712</v>
      </c>
      <c r="DJ358" s="69">
        <f t="shared" si="3349"/>
        <v>55</v>
      </c>
      <c r="DK358" s="11">
        <v>262</v>
      </c>
      <c r="DL358" s="12">
        <f t="shared" si="3298"/>
        <v>0.41853932584269665</v>
      </c>
      <c r="DM358" s="11">
        <v>36</v>
      </c>
      <c r="DN358" s="12">
        <f t="shared" si="3299"/>
        <v>0.12080536912751678</v>
      </c>
      <c r="DO358" s="13"/>
      <c r="DP358" s="11"/>
      <c r="DQ358" s="11"/>
      <c r="DR358" s="14"/>
      <c r="DS358" s="10"/>
      <c r="DT358" s="11"/>
      <c r="DU358" s="69">
        <f t="shared" si="3350"/>
        <v>1629</v>
      </c>
      <c r="DV358" s="69">
        <f t="shared" si="3351"/>
        <v>125</v>
      </c>
      <c r="DW358" s="11">
        <v>631</v>
      </c>
      <c r="DX358" s="12">
        <f t="shared" si="3300"/>
        <v>0.41313689379987723</v>
      </c>
      <c r="DY358" s="11">
        <v>42</v>
      </c>
      <c r="DZ358" s="12">
        <f t="shared" si="3301"/>
        <v>6.2407132243684993E-2</v>
      </c>
      <c r="EA358" s="13"/>
      <c r="EB358" s="11"/>
      <c r="EC358" s="11"/>
      <c r="ED358" s="14"/>
      <c r="EE358" s="10"/>
      <c r="EF358" s="11"/>
      <c r="EG358" s="69">
        <f t="shared" si="3352"/>
        <v>141</v>
      </c>
      <c r="EH358" s="69">
        <f t="shared" si="3353"/>
        <v>11</v>
      </c>
      <c r="EI358" s="11">
        <v>49</v>
      </c>
      <c r="EJ358" s="12">
        <f t="shared" si="3302"/>
        <v>0.36879432624113473</v>
      </c>
      <c r="EK358" s="11">
        <v>3</v>
      </c>
      <c r="EL358" s="12">
        <f t="shared" si="3303"/>
        <v>5.7692307692307696E-2</v>
      </c>
      <c r="EM358" s="13"/>
      <c r="EN358" s="11"/>
      <c r="EO358" s="11"/>
      <c r="EP358" s="14"/>
      <c r="EQ358" s="10">
        <v>1</v>
      </c>
      <c r="ER358" s="11"/>
      <c r="ES358" s="69">
        <f t="shared" si="3354"/>
        <v>834</v>
      </c>
      <c r="ET358" s="69">
        <f t="shared" si="3355"/>
        <v>64</v>
      </c>
      <c r="EU358" s="11">
        <v>327</v>
      </c>
      <c r="EV358" s="12">
        <f t="shared" si="3304"/>
        <v>0.42326139088729015</v>
      </c>
      <c r="EW358" s="11">
        <v>26</v>
      </c>
      <c r="EX358" s="12">
        <f t="shared" si="3305"/>
        <v>7.3654390934844188E-2</v>
      </c>
      <c r="EY358" s="13"/>
      <c r="EZ358" s="11"/>
      <c r="FA358" s="11"/>
      <c r="FB358" s="14"/>
      <c r="FC358" s="10"/>
      <c r="FD358" s="11"/>
      <c r="FE358" s="69">
        <f t="shared" si="3356"/>
        <v>0</v>
      </c>
      <c r="FF358" s="69">
        <f t="shared" si="3357"/>
        <v>0</v>
      </c>
      <c r="FG358" s="11"/>
      <c r="FH358" s="12" t="e">
        <f t="shared" si="3306"/>
        <v>#DIV/0!</v>
      </c>
      <c r="FI358" s="11"/>
      <c r="FJ358" s="12" t="e">
        <f t="shared" si="3307"/>
        <v>#DIV/0!</v>
      </c>
      <c r="FK358" s="13"/>
      <c r="FL358" s="11"/>
      <c r="FM358" s="11"/>
      <c r="FN358" s="14"/>
      <c r="FO358" s="10"/>
      <c r="FP358" s="11"/>
      <c r="FQ358" s="69">
        <f t="shared" si="3358"/>
        <v>1692</v>
      </c>
      <c r="FR358" s="69">
        <f t="shared" si="3359"/>
        <v>132</v>
      </c>
      <c r="FS358" s="11">
        <v>630</v>
      </c>
      <c r="FT358" s="12">
        <f t="shared" si="3308"/>
        <v>0.40898345153664301</v>
      </c>
      <c r="FU358" s="11">
        <v>62</v>
      </c>
      <c r="FV358" s="12">
        <f t="shared" si="3309"/>
        <v>8.9595375722543349E-2</v>
      </c>
      <c r="FW358" s="13"/>
      <c r="FX358" s="11"/>
      <c r="FY358" s="11"/>
      <c r="FZ358" s="14"/>
      <c r="GA358" s="10"/>
      <c r="GB358" s="11"/>
      <c r="GC358" s="69">
        <f t="shared" si="3360"/>
        <v>125</v>
      </c>
      <c r="GD358" s="69">
        <f t="shared" si="3361"/>
        <v>9</v>
      </c>
      <c r="GE358" s="11">
        <v>45</v>
      </c>
      <c r="GF358" s="12">
        <f t="shared" si="3310"/>
        <v>0.4</v>
      </c>
      <c r="GG358" s="11">
        <v>5</v>
      </c>
      <c r="GH358" s="12">
        <f t="shared" si="3311"/>
        <v>0.1</v>
      </c>
      <c r="GI358" s="13"/>
      <c r="GJ358" s="11"/>
      <c r="GK358" s="11"/>
      <c r="GL358" s="14"/>
      <c r="GM358" s="10"/>
      <c r="GN358" s="11"/>
      <c r="GO358" s="69">
        <f t="shared" si="3362"/>
        <v>885</v>
      </c>
      <c r="GP358" s="69">
        <f t="shared" si="3363"/>
        <v>69</v>
      </c>
      <c r="GQ358" s="11">
        <v>372</v>
      </c>
      <c r="GR358" s="12">
        <f t="shared" si="3312"/>
        <v>0.44745762711864406</v>
      </c>
      <c r="GS358" s="11">
        <v>24</v>
      </c>
      <c r="GT358" s="12">
        <f t="shared" si="3313"/>
        <v>6.0606060606060608E-2</v>
      </c>
      <c r="GU358" s="13"/>
      <c r="GV358" s="11"/>
      <c r="GW358" s="11"/>
      <c r="GX358" s="14"/>
      <c r="GY358" s="10"/>
      <c r="GZ358" s="11"/>
      <c r="HA358" s="69">
        <f t="shared" si="3364"/>
        <v>0</v>
      </c>
      <c r="HB358" s="69">
        <f t="shared" si="3365"/>
        <v>0</v>
      </c>
      <c r="HC358" s="11"/>
      <c r="HD358" s="12" t="e">
        <f t="shared" si="3314"/>
        <v>#DIV/0!</v>
      </c>
      <c r="HE358" s="11"/>
      <c r="HF358" s="12" t="e">
        <f t="shared" si="3315"/>
        <v>#DIV/0!</v>
      </c>
      <c r="HG358" s="13"/>
      <c r="HH358" s="11"/>
      <c r="HI358" s="11"/>
      <c r="HJ358" s="14"/>
      <c r="HK358" s="10">
        <f t="shared" si="3316"/>
        <v>4</v>
      </c>
      <c r="HL358" s="11">
        <f t="shared" si="3317"/>
        <v>0</v>
      </c>
      <c r="HM358" s="11">
        <f t="shared" si="3318"/>
        <v>11486</v>
      </c>
      <c r="HN358" s="11">
        <f t="shared" si="3319"/>
        <v>892</v>
      </c>
      <c r="HO358" s="11">
        <f t="shared" si="3320"/>
        <v>4483</v>
      </c>
      <c r="HP358" s="95">
        <f t="shared" si="3321"/>
        <v>0.39030123628765456</v>
      </c>
      <c r="HQ358" s="15">
        <f t="shared" si="3322"/>
        <v>393</v>
      </c>
      <c r="HR358" s="12">
        <f t="shared" si="3323"/>
        <v>8.7664510372518406E-2</v>
      </c>
      <c r="HS358" s="16">
        <v>69.099999999999994</v>
      </c>
      <c r="HT358" s="17">
        <v>3940</v>
      </c>
      <c r="HU358" s="16">
        <f t="shared" si="3324"/>
        <v>87.88757528440776</v>
      </c>
      <c r="HV358" s="15"/>
      <c r="HW358" s="14"/>
      <c r="HX358" s="73">
        <f t="shared" si="3325"/>
        <v>0.37858508604206503</v>
      </c>
      <c r="HY358" s="73">
        <f t="shared" si="3326"/>
        <v>0.35470085470085472</v>
      </c>
      <c r="HZ358" s="73">
        <f t="shared" si="3327"/>
        <v>0.41397849462365593</v>
      </c>
      <c r="IA358" s="73">
        <f t="shared" si="3328"/>
        <v>0.42116950407105846</v>
      </c>
    </row>
    <row r="359" spans="1:244" x14ac:dyDescent="0.25">
      <c r="A359" s="374"/>
      <c r="B359" s="41">
        <f t="shared" si="3329"/>
        <v>45217</v>
      </c>
      <c r="C359" s="10">
        <v>1</v>
      </c>
      <c r="D359" s="11"/>
      <c r="E359" s="69">
        <f t="shared" si="3330"/>
        <v>795</v>
      </c>
      <c r="F359" s="69">
        <f t="shared" si="3331"/>
        <v>62</v>
      </c>
      <c r="G359" s="11">
        <v>300</v>
      </c>
      <c r="H359" s="12">
        <f t="shared" si="3280"/>
        <v>0.41635220125786165</v>
      </c>
      <c r="I359" s="11">
        <v>31</v>
      </c>
      <c r="J359" s="12">
        <f t="shared" si="3281"/>
        <v>9.3655589123867067E-2</v>
      </c>
      <c r="K359" s="11"/>
      <c r="L359" s="11"/>
      <c r="M359" s="18"/>
      <c r="N359" s="20"/>
      <c r="O359" s="10"/>
      <c r="P359" s="11"/>
      <c r="Q359" s="69">
        <f t="shared" si="3332"/>
        <v>728</v>
      </c>
      <c r="R359" s="69">
        <f t="shared" si="3333"/>
        <v>56</v>
      </c>
      <c r="S359" s="11">
        <v>264</v>
      </c>
      <c r="T359" s="12">
        <f t="shared" si="3282"/>
        <v>0.39560439560439559</v>
      </c>
      <c r="U359" s="11">
        <v>24</v>
      </c>
      <c r="V359" s="12">
        <f t="shared" si="3283"/>
        <v>8.3333333333333329E-2</v>
      </c>
      <c r="W359" s="11"/>
      <c r="X359" s="11"/>
      <c r="Y359" s="18"/>
      <c r="Z359" s="20"/>
      <c r="AA359" s="10"/>
      <c r="AB359" s="11"/>
      <c r="AC359" s="69">
        <f t="shared" si="3334"/>
        <v>147</v>
      </c>
      <c r="AD359" s="69">
        <f t="shared" si="3335"/>
        <v>11</v>
      </c>
      <c r="AE359" s="11">
        <v>52</v>
      </c>
      <c r="AF359" s="12">
        <f t="shared" si="3284"/>
        <v>0.38775510204081631</v>
      </c>
      <c r="AG359" s="11">
        <v>5</v>
      </c>
      <c r="AH359" s="12">
        <f t="shared" si="3285"/>
        <v>8.771929824561403E-2</v>
      </c>
      <c r="AI359" s="11"/>
      <c r="AJ359" s="11"/>
      <c r="AK359" s="18"/>
      <c r="AL359" s="20"/>
      <c r="AM359" s="10"/>
      <c r="AN359" s="11"/>
      <c r="AO359" s="69">
        <f t="shared" si="3336"/>
        <v>734</v>
      </c>
      <c r="AP359" s="69">
        <f t="shared" si="3337"/>
        <v>57</v>
      </c>
      <c r="AQ359" s="11">
        <v>264</v>
      </c>
      <c r="AR359" s="12">
        <f t="shared" si="3286"/>
        <v>0.37738419618528612</v>
      </c>
      <c r="AS359" s="11">
        <v>13</v>
      </c>
      <c r="AT359" s="12">
        <f t="shared" si="3287"/>
        <v>4.6931407942238268E-2</v>
      </c>
      <c r="AU359" s="11"/>
      <c r="AV359" s="11"/>
      <c r="AW359" s="18"/>
      <c r="AX359" s="20"/>
      <c r="AY359" s="10"/>
      <c r="AZ359" s="11"/>
      <c r="BA359" s="69">
        <f t="shared" si="3338"/>
        <v>733</v>
      </c>
      <c r="BB359" s="69">
        <f t="shared" si="3339"/>
        <v>57</v>
      </c>
      <c r="BC359" s="11">
        <v>253</v>
      </c>
      <c r="BD359" s="12">
        <f t="shared" si="3288"/>
        <v>0.3683492496589359</v>
      </c>
      <c r="BE359" s="11">
        <v>17</v>
      </c>
      <c r="BF359" s="12">
        <f t="shared" si="3289"/>
        <v>6.2962962962962957E-2</v>
      </c>
      <c r="BG359" s="11"/>
      <c r="BH359" s="11"/>
      <c r="BI359" s="18"/>
      <c r="BJ359" s="20"/>
      <c r="BK359" s="10">
        <v>2</v>
      </c>
      <c r="BL359" s="11"/>
      <c r="BM359" s="69">
        <f t="shared" si="3340"/>
        <v>777</v>
      </c>
      <c r="BN359" s="69">
        <f t="shared" si="3341"/>
        <v>61</v>
      </c>
      <c r="BO359" s="11">
        <v>251</v>
      </c>
      <c r="BP359" s="12">
        <f t="shared" si="3290"/>
        <v>0.34749034749034752</v>
      </c>
      <c r="BQ359" s="11">
        <v>19</v>
      </c>
      <c r="BR359" s="12">
        <f t="shared" si="3291"/>
        <v>7.0370370370370375E-2</v>
      </c>
      <c r="BS359" s="11"/>
      <c r="BT359" s="11"/>
      <c r="BU359" s="18"/>
      <c r="BV359" s="20"/>
      <c r="BW359" s="10">
        <v>1</v>
      </c>
      <c r="BX359" s="11"/>
      <c r="BY359" s="69">
        <f t="shared" si="3342"/>
        <v>719</v>
      </c>
      <c r="BZ359" s="69">
        <f t="shared" si="3343"/>
        <v>57</v>
      </c>
      <c r="CA359" s="11">
        <v>262</v>
      </c>
      <c r="CB359" s="12">
        <f t="shared" si="3292"/>
        <v>0.38386648122392214</v>
      </c>
      <c r="CC359" s="11">
        <v>14</v>
      </c>
      <c r="CD359" s="12">
        <f t="shared" si="3293"/>
        <v>5.0724637681159424E-2</v>
      </c>
      <c r="CE359" s="11"/>
      <c r="CF359" s="11"/>
      <c r="CG359" s="18"/>
      <c r="CH359" s="20"/>
      <c r="CI359" s="10"/>
      <c r="CJ359" s="11"/>
      <c r="CK359" s="69">
        <f t="shared" si="3344"/>
        <v>121</v>
      </c>
      <c r="CL359" s="69">
        <f t="shared" si="3345"/>
        <v>10</v>
      </c>
      <c r="CM359" s="11">
        <v>41</v>
      </c>
      <c r="CN359" s="12">
        <f t="shared" si="3294"/>
        <v>0.39669421487603307</v>
      </c>
      <c r="CO359" s="11">
        <v>7</v>
      </c>
      <c r="CP359" s="12">
        <f t="shared" si="3295"/>
        <v>0.14583333333333334</v>
      </c>
      <c r="CQ359" s="11"/>
      <c r="CR359" s="11"/>
      <c r="CS359" s="18"/>
      <c r="CT359" s="20"/>
      <c r="CU359" s="10"/>
      <c r="CV359" s="11"/>
      <c r="CW359" s="69">
        <f t="shared" si="3346"/>
        <v>710</v>
      </c>
      <c r="CX359" s="69">
        <f t="shared" si="3347"/>
        <v>56</v>
      </c>
      <c r="CY359" s="11">
        <v>262</v>
      </c>
      <c r="CZ359" s="12">
        <f t="shared" si="3296"/>
        <v>0.38732394366197181</v>
      </c>
      <c r="DA359" s="11">
        <v>13</v>
      </c>
      <c r="DB359" s="12">
        <f t="shared" si="3297"/>
        <v>4.7272727272727272E-2</v>
      </c>
      <c r="DC359" s="11"/>
      <c r="DD359" s="11"/>
      <c r="DE359" s="18"/>
      <c r="DF359" s="20"/>
      <c r="DG359" s="10"/>
      <c r="DH359" s="11"/>
      <c r="DI359" s="69">
        <f t="shared" si="3348"/>
        <v>712</v>
      </c>
      <c r="DJ359" s="69">
        <f t="shared" si="3349"/>
        <v>55</v>
      </c>
      <c r="DK359" s="11">
        <v>261</v>
      </c>
      <c r="DL359" s="12">
        <f t="shared" si="3298"/>
        <v>0.3890449438202247</v>
      </c>
      <c r="DM359" s="11">
        <v>16</v>
      </c>
      <c r="DN359" s="12">
        <f t="shared" si="3299"/>
        <v>5.7761732851985562E-2</v>
      </c>
      <c r="DO359" s="11"/>
      <c r="DP359" s="11"/>
      <c r="DQ359" s="18"/>
      <c r="DR359" s="20"/>
      <c r="DS359" s="10">
        <v>2</v>
      </c>
      <c r="DT359" s="11"/>
      <c r="DU359" s="69">
        <f t="shared" si="3350"/>
        <v>1627</v>
      </c>
      <c r="DV359" s="69">
        <f t="shared" si="3351"/>
        <v>125</v>
      </c>
      <c r="DW359" s="11">
        <v>610</v>
      </c>
      <c r="DX359" s="12">
        <f t="shared" si="3300"/>
        <v>0.39459127228027041</v>
      </c>
      <c r="DY359" s="11">
        <v>32</v>
      </c>
      <c r="DZ359" s="12">
        <f t="shared" si="3301"/>
        <v>4.9844236760124609E-2</v>
      </c>
      <c r="EA359" s="11"/>
      <c r="EB359" s="11"/>
      <c r="EC359" s="18"/>
      <c r="ED359" s="20"/>
      <c r="EE359" s="10"/>
      <c r="EF359" s="11"/>
      <c r="EG359" s="69">
        <f t="shared" si="3352"/>
        <v>141</v>
      </c>
      <c r="EH359" s="69">
        <f t="shared" si="3353"/>
        <v>11</v>
      </c>
      <c r="EI359" s="11">
        <v>48</v>
      </c>
      <c r="EJ359" s="12">
        <f t="shared" si="3302"/>
        <v>0.36170212765957449</v>
      </c>
      <c r="EK359" s="11">
        <v>3</v>
      </c>
      <c r="EL359" s="12">
        <f t="shared" si="3303"/>
        <v>5.8823529411764705E-2</v>
      </c>
      <c r="EM359" s="11"/>
      <c r="EN359" s="11"/>
      <c r="EO359" s="18"/>
      <c r="EP359" s="20"/>
      <c r="EQ359" s="10"/>
      <c r="ER359" s="11"/>
      <c r="ES359" s="69">
        <f t="shared" si="3354"/>
        <v>834</v>
      </c>
      <c r="ET359" s="69">
        <f t="shared" si="3355"/>
        <v>64</v>
      </c>
      <c r="EU359" s="11">
        <v>310</v>
      </c>
      <c r="EV359" s="12">
        <f t="shared" si="3304"/>
        <v>0.40167865707434053</v>
      </c>
      <c r="EW359" s="11">
        <v>25</v>
      </c>
      <c r="EX359" s="12">
        <f t="shared" si="3305"/>
        <v>7.4626865671641784E-2</v>
      </c>
      <c r="EY359" s="11"/>
      <c r="EZ359" s="11"/>
      <c r="FA359" s="18"/>
      <c r="FB359" s="20"/>
      <c r="FC359" s="10"/>
      <c r="FD359" s="11"/>
      <c r="FE359" s="69">
        <f t="shared" si="3356"/>
        <v>0</v>
      </c>
      <c r="FF359" s="69">
        <f t="shared" si="3357"/>
        <v>0</v>
      </c>
      <c r="FG359" s="11"/>
      <c r="FH359" s="12" t="e">
        <f t="shared" si="3306"/>
        <v>#DIV/0!</v>
      </c>
      <c r="FI359" s="11"/>
      <c r="FJ359" s="12" t="e">
        <f t="shared" si="3307"/>
        <v>#DIV/0!</v>
      </c>
      <c r="FK359" s="11"/>
      <c r="FL359" s="11"/>
      <c r="FM359" s="18"/>
      <c r="FN359" s="20"/>
      <c r="FO359" s="10">
        <v>1</v>
      </c>
      <c r="FP359" s="11"/>
      <c r="FQ359" s="69">
        <f t="shared" si="3358"/>
        <v>1691</v>
      </c>
      <c r="FR359" s="69">
        <f t="shared" si="3359"/>
        <v>132</v>
      </c>
      <c r="FS359" s="11">
        <v>544</v>
      </c>
      <c r="FT359" s="12">
        <f t="shared" si="3308"/>
        <v>0.35836782968657599</v>
      </c>
      <c r="FU359" s="11">
        <v>62</v>
      </c>
      <c r="FV359" s="12">
        <f t="shared" si="3309"/>
        <v>0.10231023102310231</v>
      </c>
      <c r="FW359" s="11"/>
      <c r="FX359" s="11"/>
      <c r="FY359" s="18"/>
      <c r="FZ359" s="20"/>
      <c r="GA359" s="10"/>
      <c r="GB359" s="11"/>
      <c r="GC359" s="69">
        <f t="shared" si="3360"/>
        <v>125</v>
      </c>
      <c r="GD359" s="69">
        <f t="shared" si="3361"/>
        <v>9</v>
      </c>
      <c r="GE359" s="11">
        <v>47</v>
      </c>
      <c r="GF359" s="12">
        <f t="shared" si="3310"/>
        <v>0.42399999999999999</v>
      </c>
      <c r="GG359" s="11">
        <v>6</v>
      </c>
      <c r="GH359" s="12">
        <f t="shared" si="3311"/>
        <v>0.11320754716981132</v>
      </c>
      <c r="GI359" s="11"/>
      <c r="GJ359" s="11"/>
      <c r="GK359" s="18"/>
      <c r="GL359" s="20"/>
      <c r="GM359" s="10">
        <v>1</v>
      </c>
      <c r="GN359" s="11">
        <v>1</v>
      </c>
      <c r="GO359" s="69">
        <f t="shared" si="3362"/>
        <v>884</v>
      </c>
      <c r="GP359" s="69">
        <f t="shared" si="3363"/>
        <v>68</v>
      </c>
      <c r="GQ359" s="11">
        <v>356</v>
      </c>
      <c r="GR359" s="12">
        <f t="shared" si="3312"/>
        <v>0.42986425339366519</v>
      </c>
      <c r="GS359" s="11">
        <v>24</v>
      </c>
      <c r="GT359" s="12">
        <f t="shared" si="3313"/>
        <v>6.3157894736842107E-2</v>
      </c>
      <c r="GU359" s="11"/>
      <c r="GV359" s="11"/>
      <c r="GW359" s="18"/>
      <c r="GX359" s="20"/>
      <c r="GY359" s="10"/>
      <c r="GZ359" s="11"/>
      <c r="HA359" s="69">
        <f t="shared" si="3364"/>
        <v>0</v>
      </c>
      <c r="HB359" s="69">
        <f t="shared" si="3365"/>
        <v>0</v>
      </c>
      <c r="HC359" s="11"/>
      <c r="HD359" s="12" t="e">
        <f t="shared" si="3314"/>
        <v>#DIV/0!</v>
      </c>
      <c r="HE359" s="11"/>
      <c r="HF359" s="12" t="e">
        <f t="shared" si="3315"/>
        <v>#DIV/0!</v>
      </c>
      <c r="HG359" s="11"/>
      <c r="HH359" s="11"/>
      <c r="HI359" s="18"/>
      <c r="HJ359" s="20"/>
      <c r="HK359" s="10">
        <f t="shared" si="3316"/>
        <v>8</v>
      </c>
      <c r="HL359" s="11">
        <f t="shared" si="3317"/>
        <v>1</v>
      </c>
      <c r="HM359" s="11">
        <f t="shared" si="3318"/>
        <v>11478</v>
      </c>
      <c r="HN359" s="11">
        <f t="shared" si="3319"/>
        <v>891</v>
      </c>
      <c r="HO359" s="11">
        <f t="shared" si="3320"/>
        <v>4436</v>
      </c>
      <c r="HP359" s="95">
        <f t="shared" si="3321"/>
        <v>0.38647848057152812</v>
      </c>
      <c r="HQ359" s="15">
        <f t="shared" si="3322"/>
        <v>311</v>
      </c>
      <c r="HR359" s="12">
        <f t="shared" si="3323"/>
        <v>7.0108205590622183E-2</v>
      </c>
      <c r="HS359" s="16">
        <v>69</v>
      </c>
      <c r="HT359" s="17">
        <v>3968</v>
      </c>
      <c r="HU359" s="16">
        <f t="shared" si="3324"/>
        <v>89.449954914337241</v>
      </c>
      <c r="HV359" s="18"/>
      <c r="HW359" s="20"/>
      <c r="HX359" s="73">
        <f t="shared" si="3325"/>
        <v>0.38986292636276698</v>
      </c>
      <c r="HY359" s="73">
        <f t="shared" si="3326"/>
        <v>0.37709772951628823</v>
      </c>
      <c r="HZ359" s="73">
        <f t="shared" si="3327"/>
        <v>0.39508070714834742</v>
      </c>
      <c r="IA359" s="73">
        <f t="shared" si="3328"/>
        <v>0.38481481481481483</v>
      </c>
    </row>
    <row r="360" spans="1:244" x14ac:dyDescent="0.25">
      <c r="A360" s="374"/>
      <c r="B360" s="41">
        <f>+B359+1</f>
        <v>45218</v>
      </c>
      <c r="C360" s="10">
        <v>1</v>
      </c>
      <c r="D360" s="11"/>
      <c r="E360" s="69">
        <f t="shared" si="3330"/>
        <v>794</v>
      </c>
      <c r="F360" s="69">
        <f t="shared" si="3331"/>
        <v>62</v>
      </c>
      <c r="G360" s="11">
        <v>271</v>
      </c>
      <c r="H360" s="12">
        <f t="shared" si="3280"/>
        <v>0.36272040302267</v>
      </c>
      <c r="I360" s="11">
        <v>17</v>
      </c>
      <c r="J360" s="12">
        <f t="shared" si="3281"/>
        <v>5.9027777777777776E-2</v>
      </c>
      <c r="K360" s="13"/>
      <c r="L360" s="13"/>
      <c r="M360" s="25"/>
      <c r="N360" s="38"/>
      <c r="O360" s="10"/>
      <c r="P360" s="11"/>
      <c r="Q360" s="69">
        <f t="shared" si="3332"/>
        <v>728</v>
      </c>
      <c r="R360" s="69">
        <f t="shared" si="3333"/>
        <v>56</v>
      </c>
      <c r="S360" s="11">
        <v>231</v>
      </c>
      <c r="T360" s="12">
        <f t="shared" si="3282"/>
        <v>0.34065934065934067</v>
      </c>
      <c r="U360" s="11">
        <v>17</v>
      </c>
      <c r="V360" s="12">
        <f t="shared" si="3283"/>
        <v>6.8548387096774188E-2</v>
      </c>
      <c r="W360" s="13"/>
      <c r="X360" s="13"/>
      <c r="Y360" s="25"/>
      <c r="Z360" s="38"/>
      <c r="AA360" s="10"/>
      <c r="AB360" s="11"/>
      <c r="AC360" s="69">
        <f t="shared" si="3334"/>
        <v>147</v>
      </c>
      <c r="AD360" s="69">
        <f t="shared" si="3335"/>
        <v>11</v>
      </c>
      <c r="AE360" s="11">
        <v>51</v>
      </c>
      <c r="AF360" s="12">
        <f t="shared" si="3284"/>
        <v>0.37414965986394561</v>
      </c>
      <c r="AG360" s="11">
        <v>4</v>
      </c>
      <c r="AH360" s="12">
        <f t="shared" si="3285"/>
        <v>7.2727272727272724E-2</v>
      </c>
      <c r="AI360" s="13"/>
      <c r="AJ360" s="13"/>
      <c r="AK360" s="25"/>
      <c r="AL360" s="38"/>
      <c r="AM360" s="10"/>
      <c r="AN360" s="11"/>
      <c r="AO360" s="69">
        <f t="shared" si="3336"/>
        <v>734</v>
      </c>
      <c r="AP360" s="69">
        <f t="shared" si="3337"/>
        <v>57</v>
      </c>
      <c r="AQ360" s="11">
        <v>264</v>
      </c>
      <c r="AR360" s="12">
        <f t="shared" si="3286"/>
        <v>0.37738419618528612</v>
      </c>
      <c r="AS360" s="11">
        <v>13</v>
      </c>
      <c r="AT360" s="12">
        <f t="shared" si="3287"/>
        <v>4.6931407942238268E-2</v>
      </c>
      <c r="AU360" s="13"/>
      <c r="AV360" s="13"/>
      <c r="AW360" s="25"/>
      <c r="AX360" s="38"/>
      <c r="AY360" s="10"/>
      <c r="AZ360" s="11"/>
      <c r="BA360" s="69">
        <f t="shared" si="3338"/>
        <v>733</v>
      </c>
      <c r="BB360" s="69">
        <f t="shared" si="3339"/>
        <v>57</v>
      </c>
      <c r="BC360" s="11">
        <v>259</v>
      </c>
      <c r="BD360" s="12">
        <f t="shared" si="3288"/>
        <v>0.38062755798090042</v>
      </c>
      <c r="BE360" s="11">
        <v>20</v>
      </c>
      <c r="BF360" s="12">
        <f t="shared" si="3289"/>
        <v>7.1684587813620068E-2</v>
      </c>
      <c r="BG360" s="13"/>
      <c r="BH360" s="13"/>
      <c r="BI360" s="25"/>
      <c r="BJ360" s="38"/>
      <c r="BK360" s="10"/>
      <c r="BL360" s="11"/>
      <c r="BM360" s="69">
        <f t="shared" si="3340"/>
        <v>777</v>
      </c>
      <c r="BN360" s="69">
        <f t="shared" si="3341"/>
        <v>61</v>
      </c>
      <c r="BO360" s="11">
        <v>238</v>
      </c>
      <c r="BP360" s="12">
        <f t="shared" si="3290"/>
        <v>0.31917631917631917</v>
      </c>
      <c r="BQ360" s="11">
        <v>10</v>
      </c>
      <c r="BR360" s="12">
        <f t="shared" si="3291"/>
        <v>4.0322580645161289E-2</v>
      </c>
      <c r="BS360" s="13"/>
      <c r="BT360" s="13"/>
      <c r="BU360" s="25"/>
      <c r="BV360" s="38"/>
      <c r="BW360" s="10"/>
      <c r="BX360" s="11"/>
      <c r="BY360" s="69">
        <f t="shared" si="3342"/>
        <v>719</v>
      </c>
      <c r="BZ360" s="69">
        <f t="shared" si="3343"/>
        <v>57</v>
      </c>
      <c r="CA360" s="11">
        <v>215</v>
      </c>
      <c r="CB360" s="12">
        <f t="shared" si="3292"/>
        <v>0.32406119610570239</v>
      </c>
      <c r="CC360" s="11">
        <v>18</v>
      </c>
      <c r="CD360" s="12">
        <f t="shared" si="3293"/>
        <v>7.7253218884120178E-2</v>
      </c>
      <c r="CE360" s="13"/>
      <c r="CF360" s="13"/>
      <c r="CG360" s="25"/>
      <c r="CH360" s="38"/>
      <c r="CI360" s="10"/>
      <c r="CJ360" s="11"/>
      <c r="CK360" s="69">
        <f t="shared" si="3344"/>
        <v>121</v>
      </c>
      <c r="CL360" s="69">
        <f t="shared" si="3345"/>
        <v>10</v>
      </c>
      <c r="CM360" s="11">
        <v>40</v>
      </c>
      <c r="CN360" s="12">
        <f t="shared" si="3294"/>
        <v>0.37190082644628097</v>
      </c>
      <c r="CO360" s="11">
        <v>5</v>
      </c>
      <c r="CP360" s="12">
        <f t="shared" si="3295"/>
        <v>0.1111111111111111</v>
      </c>
      <c r="CQ360" s="13"/>
      <c r="CR360" s="13"/>
      <c r="CS360" s="25"/>
      <c r="CT360" s="38"/>
      <c r="CU360" s="10"/>
      <c r="CV360" s="11"/>
      <c r="CW360" s="69">
        <f t="shared" si="3346"/>
        <v>710</v>
      </c>
      <c r="CX360" s="69">
        <f t="shared" si="3347"/>
        <v>56</v>
      </c>
      <c r="CY360" s="11">
        <v>242</v>
      </c>
      <c r="CZ360" s="12">
        <f t="shared" si="3296"/>
        <v>0.35774647887323946</v>
      </c>
      <c r="DA360" s="11">
        <v>12</v>
      </c>
      <c r="DB360" s="12">
        <f t="shared" si="3297"/>
        <v>4.7244094488188976E-2</v>
      </c>
      <c r="DC360" s="13"/>
      <c r="DD360" s="13"/>
      <c r="DE360" s="25"/>
      <c r="DF360" s="38"/>
      <c r="DG360" s="10"/>
      <c r="DH360" s="11"/>
      <c r="DI360" s="69">
        <f t="shared" si="3348"/>
        <v>712</v>
      </c>
      <c r="DJ360" s="69">
        <f t="shared" si="3349"/>
        <v>55</v>
      </c>
      <c r="DK360" s="11">
        <v>249</v>
      </c>
      <c r="DL360" s="12">
        <f t="shared" si="3298"/>
        <v>0.36797752808988765</v>
      </c>
      <c r="DM360" s="11">
        <v>13</v>
      </c>
      <c r="DN360" s="12">
        <f t="shared" si="3299"/>
        <v>4.9618320610687022E-2</v>
      </c>
      <c r="DO360" s="13"/>
      <c r="DP360" s="13"/>
      <c r="DQ360" s="25"/>
      <c r="DR360" s="38"/>
      <c r="DS360" s="10"/>
      <c r="DT360" s="11"/>
      <c r="DU360" s="69">
        <f t="shared" si="3350"/>
        <v>1627</v>
      </c>
      <c r="DV360" s="69">
        <f t="shared" si="3351"/>
        <v>125</v>
      </c>
      <c r="DW360" s="11">
        <v>615</v>
      </c>
      <c r="DX360" s="12">
        <f t="shared" si="3300"/>
        <v>0.41364474492931774</v>
      </c>
      <c r="DY360" s="11">
        <v>58</v>
      </c>
      <c r="DZ360" s="12">
        <f t="shared" si="3301"/>
        <v>8.6181277860326894E-2</v>
      </c>
      <c r="EA360" s="13"/>
      <c r="EB360" s="13"/>
      <c r="EC360" s="25"/>
      <c r="ED360" s="38"/>
      <c r="EE360" s="10"/>
      <c r="EF360" s="11"/>
      <c r="EG360" s="69">
        <f t="shared" si="3352"/>
        <v>141</v>
      </c>
      <c r="EH360" s="69">
        <f t="shared" si="3353"/>
        <v>11</v>
      </c>
      <c r="EI360" s="11">
        <v>53</v>
      </c>
      <c r="EJ360" s="12">
        <f t="shared" si="3302"/>
        <v>0.41843971631205673</v>
      </c>
      <c r="EK360" s="11">
        <v>6</v>
      </c>
      <c r="EL360" s="12">
        <f t="shared" si="3303"/>
        <v>0.10169491525423729</v>
      </c>
      <c r="EM360" s="13"/>
      <c r="EN360" s="13"/>
      <c r="EO360" s="25"/>
      <c r="EP360" s="38"/>
      <c r="EQ360" s="10"/>
      <c r="ER360" s="11"/>
      <c r="ES360" s="69">
        <f t="shared" si="3354"/>
        <v>834</v>
      </c>
      <c r="ET360" s="69">
        <f t="shared" si="3355"/>
        <v>64</v>
      </c>
      <c r="EU360" s="11">
        <v>361</v>
      </c>
      <c r="EV360" s="12">
        <f t="shared" si="3304"/>
        <v>0.46402877697841727</v>
      </c>
      <c r="EW360" s="11">
        <v>26</v>
      </c>
      <c r="EX360" s="12">
        <f t="shared" si="3305"/>
        <v>6.7183462532299745E-2</v>
      </c>
      <c r="EY360" s="13"/>
      <c r="EZ360" s="13"/>
      <c r="FA360" s="25"/>
      <c r="FB360" s="38"/>
      <c r="FC360" s="10"/>
      <c r="FD360" s="11"/>
      <c r="FE360" s="69">
        <f t="shared" si="3356"/>
        <v>0</v>
      </c>
      <c r="FF360" s="69">
        <f t="shared" si="3357"/>
        <v>0</v>
      </c>
      <c r="FG360" s="11"/>
      <c r="FH360" s="12" t="e">
        <f t="shared" si="3306"/>
        <v>#DIV/0!</v>
      </c>
      <c r="FI360" s="11"/>
      <c r="FJ360" s="12" t="e">
        <f t="shared" si="3307"/>
        <v>#DIV/0!</v>
      </c>
      <c r="FK360" s="13"/>
      <c r="FL360" s="13"/>
      <c r="FM360" s="25"/>
      <c r="FN360" s="38"/>
      <c r="FO360" s="10">
        <v>3</v>
      </c>
      <c r="FP360" s="11"/>
      <c r="FQ360" s="69">
        <f t="shared" si="3358"/>
        <v>1688</v>
      </c>
      <c r="FR360" s="69">
        <f t="shared" si="3359"/>
        <v>132</v>
      </c>
      <c r="FS360" s="11">
        <v>588</v>
      </c>
      <c r="FT360" s="12">
        <f t="shared" si="3308"/>
        <v>0.37736966824644552</v>
      </c>
      <c r="FU360" s="11">
        <v>49</v>
      </c>
      <c r="FV360" s="12">
        <f t="shared" si="3309"/>
        <v>7.6923076923076927E-2</v>
      </c>
      <c r="FW360" s="13"/>
      <c r="FX360" s="13"/>
      <c r="FY360" s="25"/>
      <c r="FZ360" s="38"/>
      <c r="GA360" s="10"/>
      <c r="GB360" s="11"/>
      <c r="GC360" s="69">
        <f t="shared" si="3360"/>
        <v>125</v>
      </c>
      <c r="GD360" s="69">
        <f t="shared" si="3361"/>
        <v>9</v>
      </c>
      <c r="GE360" s="11">
        <v>51</v>
      </c>
      <c r="GF360" s="12">
        <f t="shared" si="3310"/>
        <v>0.44</v>
      </c>
      <c r="GG360" s="11">
        <v>4</v>
      </c>
      <c r="GH360" s="12">
        <f t="shared" si="3311"/>
        <v>7.2727272727272724E-2</v>
      </c>
      <c r="GI360" s="13"/>
      <c r="GJ360" s="13"/>
      <c r="GK360" s="25"/>
      <c r="GL360" s="38"/>
      <c r="GM360" s="10"/>
      <c r="GN360" s="11"/>
      <c r="GO360" s="69">
        <f t="shared" si="3362"/>
        <v>884</v>
      </c>
      <c r="GP360" s="69">
        <f t="shared" si="3363"/>
        <v>68</v>
      </c>
      <c r="GQ360" s="11">
        <v>376</v>
      </c>
      <c r="GR360" s="12">
        <f t="shared" si="3312"/>
        <v>0.45475113122171945</v>
      </c>
      <c r="GS360" s="11">
        <v>26</v>
      </c>
      <c r="GT360" s="12">
        <f t="shared" si="3313"/>
        <v>6.4676616915422883E-2</v>
      </c>
      <c r="GU360" s="13"/>
      <c r="GV360" s="13"/>
      <c r="GW360" s="25"/>
      <c r="GX360" s="38"/>
      <c r="GY360" s="10"/>
      <c r="GZ360" s="11"/>
      <c r="HA360" s="69">
        <f t="shared" si="3364"/>
        <v>0</v>
      </c>
      <c r="HB360" s="69">
        <f t="shared" si="3365"/>
        <v>0</v>
      </c>
      <c r="HC360" s="11"/>
      <c r="HD360" s="12" t="e">
        <f t="shared" si="3314"/>
        <v>#DIV/0!</v>
      </c>
      <c r="HE360" s="11"/>
      <c r="HF360" s="12" t="e">
        <f t="shared" si="3315"/>
        <v>#DIV/0!</v>
      </c>
      <c r="HG360" s="13"/>
      <c r="HH360" s="13"/>
      <c r="HI360" s="25"/>
      <c r="HJ360" s="38"/>
      <c r="HK360" s="10">
        <f t="shared" si="3316"/>
        <v>4</v>
      </c>
      <c r="HL360" s="11">
        <f t="shared" si="3317"/>
        <v>0</v>
      </c>
      <c r="HM360" s="11">
        <f t="shared" si="3318"/>
        <v>11474</v>
      </c>
      <c r="HN360" s="11">
        <f t="shared" si="3319"/>
        <v>891</v>
      </c>
      <c r="HO360" s="11">
        <f t="shared" si="3320"/>
        <v>4402</v>
      </c>
      <c r="HP360" s="95">
        <f t="shared" si="3321"/>
        <v>0.38364999128464355</v>
      </c>
      <c r="HQ360" s="15">
        <f t="shared" si="3322"/>
        <v>298</v>
      </c>
      <c r="HR360" s="12">
        <f t="shared" si="3323"/>
        <v>6.7696501590186281E-2</v>
      </c>
      <c r="HS360" s="16">
        <v>68.900000000000006</v>
      </c>
      <c r="HT360" s="17">
        <v>3991</v>
      </c>
      <c r="HU360" s="16">
        <f t="shared" si="3324"/>
        <v>90.663334847796449</v>
      </c>
      <c r="HV360" s="23"/>
      <c r="HW360" s="22"/>
      <c r="HX360" s="73">
        <f t="shared" si="3325"/>
        <v>0.36575255102040816</v>
      </c>
      <c r="HY360" s="73">
        <f t="shared" si="3326"/>
        <v>0.34287594603487992</v>
      </c>
      <c r="HZ360" s="73">
        <f t="shared" si="3327"/>
        <v>0.43005380476556493</v>
      </c>
      <c r="IA360" s="73">
        <f t="shared" si="3328"/>
        <v>0.40563589173155357</v>
      </c>
    </row>
    <row r="361" spans="1:244" x14ac:dyDescent="0.25">
      <c r="A361" s="374"/>
      <c r="B361" s="41">
        <f t="shared" si="3329"/>
        <v>45219</v>
      </c>
      <c r="C361" s="10"/>
      <c r="D361" s="11"/>
      <c r="E361" s="69">
        <f t="shared" si="3330"/>
        <v>794</v>
      </c>
      <c r="F361" s="69">
        <f t="shared" si="3331"/>
        <v>62</v>
      </c>
      <c r="G361" s="11">
        <v>252</v>
      </c>
      <c r="H361" s="12">
        <f t="shared" si="3280"/>
        <v>0.34508816120906799</v>
      </c>
      <c r="I361" s="11">
        <v>22</v>
      </c>
      <c r="J361" s="12">
        <f t="shared" si="3281"/>
        <v>8.0291970802919707E-2</v>
      </c>
      <c r="K361" s="13"/>
      <c r="L361" s="11"/>
      <c r="M361" s="25"/>
      <c r="N361" s="38"/>
      <c r="O361" s="10"/>
      <c r="P361" s="11"/>
      <c r="Q361" s="69">
        <f t="shared" si="3332"/>
        <v>728</v>
      </c>
      <c r="R361" s="69">
        <f t="shared" si="3333"/>
        <v>56</v>
      </c>
      <c r="S361" s="11">
        <v>238</v>
      </c>
      <c r="T361" s="12">
        <f t="shared" si="3282"/>
        <v>0.36401098901098899</v>
      </c>
      <c r="U361" s="11">
        <v>27</v>
      </c>
      <c r="V361" s="12">
        <f t="shared" si="3283"/>
        <v>0.10188679245283019</v>
      </c>
      <c r="W361" s="13"/>
      <c r="X361" s="11"/>
      <c r="Y361" s="25"/>
      <c r="Z361" s="38"/>
      <c r="AA361" s="10"/>
      <c r="AB361" s="11"/>
      <c r="AC361" s="69">
        <f t="shared" si="3334"/>
        <v>147</v>
      </c>
      <c r="AD361" s="69">
        <f t="shared" si="3335"/>
        <v>11</v>
      </c>
      <c r="AE361" s="11">
        <v>50</v>
      </c>
      <c r="AF361" s="12">
        <f t="shared" si="3284"/>
        <v>0.38775510204081631</v>
      </c>
      <c r="AG361" s="11">
        <v>7</v>
      </c>
      <c r="AH361" s="12">
        <f t="shared" si="3285"/>
        <v>0.12280701754385964</v>
      </c>
      <c r="AI361" s="13"/>
      <c r="AJ361" s="11"/>
      <c r="AK361" s="25"/>
      <c r="AL361" s="38"/>
      <c r="AM361" s="10"/>
      <c r="AN361" s="11"/>
      <c r="AO361" s="69">
        <f t="shared" si="3336"/>
        <v>734</v>
      </c>
      <c r="AP361" s="69">
        <f t="shared" si="3337"/>
        <v>57</v>
      </c>
      <c r="AQ361" s="11">
        <v>272</v>
      </c>
      <c r="AR361" s="12">
        <f t="shared" si="3286"/>
        <v>0.39509536784741145</v>
      </c>
      <c r="AS361" s="11">
        <v>18</v>
      </c>
      <c r="AT361" s="12">
        <f t="shared" si="3287"/>
        <v>6.2068965517241378E-2</v>
      </c>
      <c r="AU361" s="13"/>
      <c r="AV361" s="11"/>
      <c r="AW361" s="25"/>
      <c r="AX361" s="38"/>
      <c r="AY361" s="10"/>
      <c r="AZ361" s="11"/>
      <c r="BA361" s="69">
        <f t="shared" si="3338"/>
        <v>733</v>
      </c>
      <c r="BB361" s="69">
        <f t="shared" si="3339"/>
        <v>57</v>
      </c>
      <c r="BC361" s="11">
        <v>253</v>
      </c>
      <c r="BD361" s="12">
        <f t="shared" si="3288"/>
        <v>0.3792633015006821</v>
      </c>
      <c r="BE361" s="11">
        <v>25</v>
      </c>
      <c r="BF361" s="12">
        <f t="shared" si="3289"/>
        <v>8.9928057553956831E-2</v>
      </c>
      <c r="BG361" s="13"/>
      <c r="BH361" s="11"/>
      <c r="BI361" s="25"/>
      <c r="BJ361" s="38"/>
      <c r="BK361" s="10"/>
      <c r="BL361" s="11"/>
      <c r="BM361" s="69">
        <f t="shared" si="3340"/>
        <v>777</v>
      </c>
      <c r="BN361" s="69">
        <f t="shared" si="3341"/>
        <v>61</v>
      </c>
      <c r="BO361" s="11">
        <v>230</v>
      </c>
      <c r="BP361" s="12">
        <f t="shared" si="3290"/>
        <v>0.31145431145431146</v>
      </c>
      <c r="BQ361" s="11">
        <v>12</v>
      </c>
      <c r="BR361" s="12">
        <f t="shared" si="3291"/>
        <v>4.9586776859504134E-2</v>
      </c>
      <c r="BS361" s="13"/>
      <c r="BT361" s="11"/>
      <c r="BU361" s="25"/>
      <c r="BV361" s="38"/>
      <c r="BW361" s="10"/>
      <c r="BX361" s="11"/>
      <c r="BY361" s="69">
        <f t="shared" si="3342"/>
        <v>719</v>
      </c>
      <c r="BZ361" s="69">
        <f t="shared" si="3343"/>
        <v>57</v>
      </c>
      <c r="CA361" s="11">
        <v>252</v>
      </c>
      <c r="CB361" s="12">
        <f t="shared" si="3292"/>
        <v>0.38386648122392214</v>
      </c>
      <c r="CC361" s="11">
        <v>24</v>
      </c>
      <c r="CD361" s="12">
        <f t="shared" si="3293"/>
        <v>8.6956521739130432E-2</v>
      </c>
      <c r="CE361" s="13"/>
      <c r="CF361" s="11"/>
      <c r="CG361" s="25"/>
      <c r="CH361" s="38"/>
      <c r="CI361" s="10">
        <v>1</v>
      </c>
      <c r="CJ361" s="11"/>
      <c r="CK361" s="69">
        <f t="shared" si="3344"/>
        <v>120</v>
      </c>
      <c r="CL361" s="69">
        <f t="shared" si="3345"/>
        <v>10</v>
      </c>
      <c r="CM361" s="11">
        <v>40</v>
      </c>
      <c r="CN361" s="12">
        <f t="shared" si="3294"/>
        <v>0.35</v>
      </c>
      <c r="CO361" s="11">
        <v>2</v>
      </c>
      <c r="CP361" s="12">
        <f t="shared" si="3295"/>
        <v>4.7619047619047616E-2</v>
      </c>
      <c r="CQ361" s="13"/>
      <c r="CR361" s="11"/>
      <c r="CS361" s="25"/>
      <c r="CT361" s="38"/>
      <c r="CU361" s="10"/>
      <c r="CV361" s="11"/>
      <c r="CW361" s="69">
        <f t="shared" si="3346"/>
        <v>710</v>
      </c>
      <c r="CX361" s="69">
        <f t="shared" si="3347"/>
        <v>56</v>
      </c>
      <c r="CY361" s="11">
        <v>255</v>
      </c>
      <c r="CZ361" s="12">
        <f t="shared" si="3296"/>
        <v>0.38309859154929576</v>
      </c>
      <c r="DA361" s="11">
        <v>17</v>
      </c>
      <c r="DB361" s="12">
        <f t="shared" si="3297"/>
        <v>6.25E-2</v>
      </c>
      <c r="DC361" s="13"/>
      <c r="DD361" s="11"/>
      <c r="DE361" s="25"/>
      <c r="DF361" s="38"/>
      <c r="DG361" s="10"/>
      <c r="DH361" s="11"/>
      <c r="DI361" s="69">
        <f t="shared" si="3348"/>
        <v>712</v>
      </c>
      <c r="DJ361" s="69">
        <f t="shared" si="3349"/>
        <v>55</v>
      </c>
      <c r="DK361" s="11">
        <v>248</v>
      </c>
      <c r="DL361" s="12">
        <f t="shared" si="3298"/>
        <v>0.3651685393258427</v>
      </c>
      <c r="DM361" s="11">
        <v>12</v>
      </c>
      <c r="DN361" s="12">
        <f t="shared" si="3299"/>
        <v>4.6153846153846156E-2</v>
      </c>
      <c r="DO361" s="13"/>
      <c r="DP361" s="11"/>
      <c r="DQ361" s="25"/>
      <c r="DR361" s="38"/>
      <c r="DS361" s="10"/>
      <c r="DT361" s="11"/>
      <c r="DU361" s="69">
        <f t="shared" si="3350"/>
        <v>1627</v>
      </c>
      <c r="DV361" s="69">
        <f t="shared" si="3351"/>
        <v>125</v>
      </c>
      <c r="DW361" s="11">
        <v>610</v>
      </c>
      <c r="DX361" s="12">
        <f t="shared" si="3300"/>
        <v>0.39397664413030115</v>
      </c>
      <c r="DY361" s="11">
        <v>31</v>
      </c>
      <c r="DZ361" s="12">
        <f t="shared" si="3301"/>
        <v>4.8361934477379097E-2</v>
      </c>
      <c r="EA361" s="13"/>
      <c r="EB361" s="11"/>
      <c r="EC361" s="25"/>
      <c r="ED361" s="38"/>
      <c r="EE361" s="10"/>
      <c r="EF361" s="11"/>
      <c r="EG361" s="69">
        <f t="shared" si="3352"/>
        <v>141</v>
      </c>
      <c r="EH361" s="69">
        <f t="shared" si="3353"/>
        <v>11</v>
      </c>
      <c r="EI361" s="11">
        <v>53</v>
      </c>
      <c r="EJ361" s="12">
        <f t="shared" si="3302"/>
        <v>0.3971631205673759</v>
      </c>
      <c r="EK361" s="11">
        <v>3</v>
      </c>
      <c r="EL361" s="12">
        <f t="shared" si="3303"/>
        <v>5.3571428571428568E-2</v>
      </c>
      <c r="EM361" s="13"/>
      <c r="EN361" s="11"/>
      <c r="EO361" s="25"/>
      <c r="EP361" s="38"/>
      <c r="EQ361" s="10"/>
      <c r="ER361" s="11"/>
      <c r="ES361" s="69">
        <f t="shared" si="3354"/>
        <v>834</v>
      </c>
      <c r="ET361" s="69">
        <f t="shared" si="3355"/>
        <v>64</v>
      </c>
      <c r="EU361" s="11">
        <v>360</v>
      </c>
      <c r="EV361" s="12">
        <f t="shared" si="3304"/>
        <v>0.46522781774580335</v>
      </c>
      <c r="EW361" s="11">
        <v>28</v>
      </c>
      <c r="EX361" s="12">
        <f t="shared" si="3305"/>
        <v>7.2164948453608241E-2</v>
      </c>
      <c r="EY361" s="13"/>
      <c r="EZ361" s="11"/>
      <c r="FA361" s="25"/>
      <c r="FB361" s="38"/>
      <c r="FC361" s="10"/>
      <c r="FD361" s="11"/>
      <c r="FE361" s="69">
        <f t="shared" si="3356"/>
        <v>0</v>
      </c>
      <c r="FF361" s="69">
        <f t="shared" si="3357"/>
        <v>0</v>
      </c>
      <c r="FG361" s="11"/>
      <c r="FH361" s="12" t="e">
        <f t="shared" si="3306"/>
        <v>#DIV/0!</v>
      </c>
      <c r="FI361" s="11"/>
      <c r="FJ361" s="12" t="e">
        <f t="shared" si="3307"/>
        <v>#DIV/0!</v>
      </c>
      <c r="FK361" s="13"/>
      <c r="FL361" s="11"/>
      <c r="FM361" s="25"/>
      <c r="FN361" s="38"/>
      <c r="FO361" s="10"/>
      <c r="FP361" s="11"/>
      <c r="FQ361" s="69">
        <f t="shared" si="3358"/>
        <v>1688</v>
      </c>
      <c r="FR361" s="69">
        <f t="shared" si="3359"/>
        <v>132</v>
      </c>
      <c r="FS361" s="11">
        <v>618</v>
      </c>
      <c r="FT361" s="12">
        <f t="shared" si="3308"/>
        <v>0.40284360189573459</v>
      </c>
      <c r="FU361" s="11">
        <v>62</v>
      </c>
      <c r="FV361" s="12">
        <f t="shared" si="3309"/>
        <v>9.1176470588235289E-2</v>
      </c>
      <c r="FW361" s="13"/>
      <c r="FX361" s="11"/>
      <c r="FY361" s="25"/>
      <c r="FZ361" s="38"/>
      <c r="GA361" s="10"/>
      <c r="GB361" s="11"/>
      <c r="GC361" s="69">
        <f t="shared" si="3360"/>
        <v>125</v>
      </c>
      <c r="GD361" s="69">
        <f t="shared" si="3361"/>
        <v>9</v>
      </c>
      <c r="GE361" s="11">
        <v>41</v>
      </c>
      <c r="GF361" s="12">
        <f t="shared" si="3310"/>
        <v>0.39200000000000002</v>
      </c>
      <c r="GG361" s="11">
        <v>8</v>
      </c>
      <c r="GH361" s="12">
        <f t="shared" si="3311"/>
        <v>0.16326530612244897</v>
      </c>
      <c r="GI361" s="13"/>
      <c r="GJ361" s="11"/>
      <c r="GK361" s="25"/>
      <c r="GL361" s="38"/>
      <c r="GM361" s="10"/>
      <c r="GN361" s="11"/>
      <c r="GO361" s="69">
        <f t="shared" si="3362"/>
        <v>884</v>
      </c>
      <c r="GP361" s="69">
        <f t="shared" si="3363"/>
        <v>68</v>
      </c>
      <c r="GQ361" s="11">
        <v>381</v>
      </c>
      <c r="GR361" s="12">
        <f t="shared" si="3312"/>
        <v>0.45588235294117646</v>
      </c>
      <c r="GS361" s="11">
        <v>22</v>
      </c>
      <c r="GT361" s="12">
        <f t="shared" si="3313"/>
        <v>5.4590570719602979E-2</v>
      </c>
      <c r="GU361" s="13"/>
      <c r="GV361" s="11"/>
      <c r="GW361" s="25"/>
      <c r="GX361" s="38"/>
      <c r="GY361" s="10"/>
      <c r="GZ361" s="11"/>
      <c r="HA361" s="69">
        <f t="shared" si="3364"/>
        <v>0</v>
      </c>
      <c r="HB361" s="69">
        <f t="shared" si="3365"/>
        <v>0</v>
      </c>
      <c r="HC361" s="11"/>
      <c r="HD361" s="12" t="e">
        <f t="shared" si="3314"/>
        <v>#DIV/0!</v>
      </c>
      <c r="HE361" s="11"/>
      <c r="HF361" s="12" t="e">
        <f t="shared" si="3315"/>
        <v>#DIV/0!</v>
      </c>
      <c r="HG361" s="13"/>
      <c r="HH361" s="11"/>
      <c r="HI361" s="25"/>
      <c r="HJ361" s="38"/>
      <c r="HK361" s="10">
        <f t="shared" si="3316"/>
        <v>1</v>
      </c>
      <c r="HL361" s="11">
        <f t="shared" si="3317"/>
        <v>0</v>
      </c>
      <c r="HM361" s="11">
        <f t="shared" si="3318"/>
        <v>11473</v>
      </c>
      <c r="HN361" s="11">
        <f t="shared" si="3319"/>
        <v>891</v>
      </c>
      <c r="HO361" s="11">
        <f t="shared" si="3320"/>
        <v>4473</v>
      </c>
      <c r="HP361" s="95">
        <f t="shared" si="3321"/>
        <v>0.38987187309334959</v>
      </c>
      <c r="HQ361" s="15">
        <f t="shared" si="3322"/>
        <v>320</v>
      </c>
      <c r="HR361" s="12">
        <f t="shared" si="3323"/>
        <v>7.1540353230494069E-2</v>
      </c>
      <c r="HS361" s="16">
        <v>69</v>
      </c>
      <c r="HT361" s="17">
        <v>4041</v>
      </c>
      <c r="HU361" s="16">
        <f t="shared" si="3324"/>
        <v>90.3420523138833</v>
      </c>
      <c r="HV361" s="23"/>
      <c r="HW361" s="22"/>
      <c r="HX361" s="73">
        <f t="shared" si="3325"/>
        <v>0.37117346938775508</v>
      </c>
      <c r="HY361" s="73">
        <f t="shared" si="3326"/>
        <v>0.35944700460829493</v>
      </c>
      <c r="HZ361" s="73">
        <f t="shared" si="3327"/>
        <v>0.41698693312836282</v>
      </c>
      <c r="IA361" s="73">
        <f t="shared" si="3328"/>
        <v>0.41972562106043754</v>
      </c>
    </row>
    <row r="362" spans="1:244" x14ac:dyDescent="0.25">
      <c r="A362" s="374"/>
      <c r="B362" s="41">
        <f t="shared" si="3329"/>
        <v>45220</v>
      </c>
      <c r="C362" s="10"/>
      <c r="D362" s="11"/>
      <c r="E362" s="69">
        <f t="shared" si="3330"/>
        <v>794</v>
      </c>
      <c r="F362" s="69">
        <f t="shared" si="3331"/>
        <v>62</v>
      </c>
      <c r="G362" s="11">
        <v>249</v>
      </c>
      <c r="H362" s="12">
        <f t="shared" si="3280"/>
        <v>0.34256926952141059</v>
      </c>
      <c r="I362" s="11">
        <v>23</v>
      </c>
      <c r="J362" s="12">
        <f t="shared" si="3281"/>
        <v>8.455882352941177E-2</v>
      </c>
      <c r="K362" s="13"/>
      <c r="L362" s="11"/>
      <c r="M362" s="39"/>
      <c r="N362" s="43"/>
      <c r="O362" s="10"/>
      <c r="P362" s="11"/>
      <c r="Q362" s="69">
        <f t="shared" si="3332"/>
        <v>728</v>
      </c>
      <c r="R362" s="69">
        <f t="shared" si="3333"/>
        <v>56</v>
      </c>
      <c r="S362" s="11">
        <v>253</v>
      </c>
      <c r="T362" s="12">
        <f t="shared" si="3282"/>
        <v>0.38598901098901101</v>
      </c>
      <c r="U362" s="11">
        <v>28</v>
      </c>
      <c r="V362" s="12">
        <f t="shared" si="3283"/>
        <v>9.9644128113879002E-2</v>
      </c>
      <c r="W362" s="13"/>
      <c r="X362" s="11"/>
      <c r="Y362" s="39"/>
      <c r="Z362" s="43"/>
      <c r="AA362" s="10"/>
      <c r="AB362" s="11"/>
      <c r="AC362" s="69">
        <f t="shared" si="3334"/>
        <v>147</v>
      </c>
      <c r="AD362" s="69">
        <f t="shared" si="3335"/>
        <v>11</v>
      </c>
      <c r="AE362" s="11">
        <v>52</v>
      </c>
      <c r="AF362" s="12">
        <f t="shared" si="3284"/>
        <v>0.37414965986394561</v>
      </c>
      <c r="AG362" s="11">
        <v>3</v>
      </c>
      <c r="AH362" s="12">
        <f t="shared" si="3285"/>
        <v>5.4545454545454543E-2</v>
      </c>
      <c r="AI362" s="13"/>
      <c r="AJ362" s="11"/>
      <c r="AK362" s="39"/>
      <c r="AL362" s="43"/>
      <c r="AM362" s="10"/>
      <c r="AN362" s="11"/>
      <c r="AO362" s="69">
        <f t="shared" si="3336"/>
        <v>734</v>
      </c>
      <c r="AP362" s="69">
        <f t="shared" si="3337"/>
        <v>57</v>
      </c>
      <c r="AQ362" s="11">
        <v>259</v>
      </c>
      <c r="AR362" s="12">
        <f t="shared" si="3286"/>
        <v>0.40599455040871935</v>
      </c>
      <c r="AS362" s="11">
        <v>39</v>
      </c>
      <c r="AT362" s="12">
        <f t="shared" si="3287"/>
        <v>0.13087248322147652</v>
      </c>
      <c r="AU362" s="13"/>
      <c r="AV362" s="11"/>
      <c r="AW362" s="39"/>
      <c r="AX362" s="43"/>
      <c r="AY362" s="10"/>
      <c r="AZ362" s="11"/>
      <c r="BA362" s="69">
        <f t="shared" si="3338"/>
        <v>733</v>
      </c>
      <c r="BB362" s="69">
        <f t="shared" si="3339"/>
        <v>57</v>
      </c>
      <c r="BC362" s="11">
        <v>237</v>
      </c>
      <c r="BD362" s="12">
        <f t="shared" si="3288"/>
        <v>0.37107776261937242</v>
      </c>
      <c r="BE362" s="11">
        <v>35</v>
      </c>
      <c r="BF362" s="12">
        <f t="shared" si="3289"/>
        <v>0.12867647058823528</v>
      </c>
      <c r="BG362" s="13"/>
      <c r="BH362" s="11"/>
      <c r="BI362" s="39"/>
      <c r="BJ362" s="43"/>
      <c r="BK362" s="10"/>
      <c r="BL362" s="11"/>
      <c r="BM362" s="69">
        <f t="shared" si="3340"/>
        <v>777</v>
      </c>
      <c r="BN362" s="69">
        <f t="shared" si="3341"/>
        <v>61</v>
      </c>
      <c r="BO362" s="11">
        <v>252</v>
      </c>
      <c r="BP362" s="12">
        <f t="shared" si="3290"/>
        <v>0.34491634491634493</v>
      </c>
      <c r="BQ362" s="11">
        <v>16</v>
      </c>
      <c r="BR362" s="12">
        <f t="shared" si="3291"/>
        <v>5.9701492537313432E-2</v>
      </c>
      <c r="BS362" s="13"/>
      <c r="BT362" s="11"/>
      <c r="BU362" s="39"/>
      <c r="BV362" s="43"/>
      <c r="BW362" s="10"/>
      <c r="BX362" s="11"/>
      <c r="BY362" s="69">
        <f t="shared" si="3342"/>
        <v>719</v>
      </c>
      <c r="BZ362" s="69">
        <f t="shared" si="3343"/>
        <v>57</v>
      </c>
      <c r="CA362" s="11">
        <v>243</v>
      </c>
      <c r="CB362" s="12">
        <f t="shared" si="3292"/>
        <v>0.35744089012517383</v>
      </c>
      <c r="CC362" s="11">
        <v>14</v>
      </c>
      <c r="CD362" s="12">
        <f t="shared" si="3293"/>
        <v>5.4474708171206226E-2</v>
      </c>
      <c r="CE362" s="13"/>
      <c r="CF362" s="11"/>
      <c r="CG362" s="39"/>
      <c r="CH362" s="43"/>
      <c r="CI362" s="10"/>
      <c r="CJ362" s="11"/>
      <c r="CK362" s="69">
        <f t="shared" si="3344"/>
        <v>120</v>
      </c>
      <c r="CL362" s="69">
        <f t="shared" si="3345"/>
        <v>10</v>
      </c>
      <c r="CM362" s="11">
        <v>40</v>
      </c>
      <c r="CN362" s="12">
        <f t="shared" si="3294"/>
        <v>0.35</v>
      </c>
      <c r="CO362" s="11">
        <v>2</v>
      </c>
      <c r="CP362" s="12">
        <f t="shared" si="3295"/>
        <v>4.7619047619047616E-2</v>
      </c>
      <c r="CQ362" s="13"/>
      <c r="CR362" s="11"/>
      <c r="CS362" s="39"/>
      <c r="CT362" s="43"/>
      <c r="CU362" s="10"/>
      <c r="CV362" s="11"/>
      <c r="CW362" s="69">
        <f t="shared" si="3346"/>
        <v>710</v>
      </c>
      <c r="CX362" s="69">
        <f t="shared" si="3347"/>
        <v>56</v>
      </c>
      <c r="CY362" s="11">
        <v>246</v>
      </c>
      <c r="CZ362" s="12">
        <f t="shared" si="3296"/>
        <v>0.36478873239436621</v>
      </c>
      <c r="DA362" s="11">
        <v>13</v>
      </c>
      <c r="DB362" s="12">
        <f t="shared" si="3297"/>
        <v>5.019305019305019E-2</v>
      </c>
      <c r="DC362" s="13"/>
      <c r="DD362" s="11"/>
      <c r="DE362" s="39"/>
      <c r="DF362" s="43"/>
      <c r="DG362" s="10"/>
      <c r="DH362" s="11"/>
      <c r="DI362" s="69">
        <f t="shared" si="3348"/>
        <v>712</v>
      </c>
      <c r="DJ362" s="69">
        <f t="shared" si="3349"/>
        <v>55</v>
      </c>
      <c r="DK362" s="11">
        <v>262</v>
      </c>
      <c r="DL362" s="12">
        <f t="shared" si="3298"/>
        <v>0.39185393258426965</v>
      </c>
      <c r="DM362" s="11">
        <v>17</v>
      </c>
      <c r="DN362" s="12">
        <f t="shared" si="3299"/>
        <v>6.093189964157706E-2</v>
      </c>
      <c r="DO362" s="13"/>
      <c r="DP362" s="11"/>
      <c r="DQ362" s="39"/>
      <c r="DR362" s="43"/>
      <c r="DS362" s="10">
        <v>4</v>
      </c>
      <c r="DT362" s="11"/>
      <c r="DU362" s="69">
        <f t="shared" si="3350"/>
        <v>1623</v>
      </c>
      <c r="DV362" s="69">
        <f t="shared" si="3351"/>
        <v>125</v>
      </c>
      <c r="DW362" s="11">
        <v>589</v>
      </c>
      <c r="DX362" s="12">
        <f t="shared" si="3300"/>
        <v>0.37646333949476279</v>
      </c>
      <c r="DY362" s="11">
        <v>22</v>
      </c>
      <c r="DZ362" s="12">
        <f t="shared" si="3301"/>
        <v>3.6006546644844518E-2</v>
      </c>
      <c r="EA362" s="13"/>
      <c r="EB362" s="11"/>
      <c r="EC362" s="39"/>
      <c r="ED362" s="43"/>
      <c r="EE362" s="10"/>
      <c r="EF362" s="11"/>
      <c r="EG362" s="69">
        <f t="shared" si="3352"/>
        <v>141</v>
      </c>
      <c r="EH362" s="69">
        <f t="shared" si="3353"/>
        <v>11</v>
      </c>
      <c r="EI362" s="11">
        <v>47</v>
      </c>
      <c r="EJ362" s="12">
        <f t="shared" si="3302"/>
        <v>0.3475177304964539</v>
      </c>
      <c r="EK362" s="11">
        <v>2</v>
      </c>
      <c r="EL362" s="12">
        <f t="shared" si="3303"/>
        <v>4.0816326530612242E-2</v>
      </c>
      <c r="EM362" s="13"/>
      <c r="EN362" s="11"/>
      <c r="EO362" s="39"/>
      <c r="EP362" s="43"/>
      <c r="EQ362" s="10"/>
      <c r="ER362" s="11"/>
      <c r="ES362" s="69">
        <f t="shared" si="3354"/>
        <v>834</v>
      </c>
      <c r="ET362" s="69">
        <f t="shared" si="3355"/>
        <v>64</v>
      </c>
      <c r="EU362" s="11">
        <v>304</v>
      </c>
      <c r="EV362" s="12">
        <f t="shared" si="3304"/>
        <v>0.38009592326139091</v>
      </c>
      <c r="EW362" s="11">
        <v>13</v>
      </c>
      <c r="EX362" s="12">
        <f t="shared" si="3305"/>
        <v>4.1009463722397478E-2</v>
      </c>
      <c r="EY362" s="13"/>
      <c r="EZ362" s="11"/>
      <c r="FA362" s="39"/>
      <c r="FB362" s="43"/>
      <c r="FC362" s="10"/>
      <c r="FD362" s="11"/>
      <c r="FE362" s="69">
        <f t="shared" si="3356"/>
        <v>0</v>
      </c>
      <c r="FF362" s="69">
        <f t="shared" si="3357"/>
        <v>0</v>
      </c>
      <c r="FG362" s="11"/>
      <c r="FH362" s="12" t="e">
        <f t="shared" si="3306"/>
        <v>#DIV/0!</v>
      </c>
      <c r="FI362" s="11"/>
      <c r="FJ362" s="12" t="e">
        <f t="shared" si="3307"/>
        <v>#DIV/0!</v>
      </c>
      <c r="FK362" s="13"/>
      <c r="FL362" s="11"/>
      <c r="FM362" s="39"/>
      <c r="FN362" s="43"/>
      <c r="FO362" s="10"/>
      <c r="FP362" s="11"/>
      <c r="FQ362" s="69">
        <f t="shared" si="3358"/>
        <v>1688</v>
      </c>
      <c r="FR362" s="69">
        <f t="shared" si="3359"/>
        <v>132</v>
      </c>
      <c r="FS362" s="11">
        <v>586</v>
      </c>
      <c r="FT362" s="12">
        <f t="shared" si="3308"/>
        <v>0.37203791469194314</v>
      </c>
      <c r="FU362" s="11">
        <v>42</v>
      </c>
      <c r="FV362" s="12">
        <f t="shared" si="3309"/>
        <v>6.6878980891719744E-2</v>
      </c>
      <c r="FW362" s="13"/>
      <c r="FX362" s="11"/>
      <c r="FY362" s="39"/>
      <c r="FZ362" s="43"/>
      <c r="GA362" s="10"/>
      <c r="GB362" s="11"/>
      <c r="GC362" s="69">
        <f t="shared" si="3360"/>
        <v>125</v>
      </c>
      <c r="GD362" s="69">
        <f t="shared" si="3361"/>
        <v>9</v>
      </c>
      <c r="GE362" s="11">
        <v>43</v>
      </c>
      <c r="GF362" s="12">
        <f t="shared" si="3310"/>
        <v>0.38400000000000001</v>
      </c>
      <c r="GG362" s="11">
        <v>5</v>
      </c>
      <c r="GH362" s="12">
        <f t="shared" si="3311"/>
        <v>0.10416666666666667</v>
      </c>
      <c r="GI362" s="13"/>
      <c r="GJ362" s="11"/>
      <c r="GK362" s="39"/>
      <c r="GL362" s="43"/>
      <c r="GM362" s="10"/>
      <c r="GN362" s="11"/>
      <c r="GO362" s="69">
        <f t="shared" si="3362"/>
        <v>884</v>
      </c>
      <c r="GP362" s="69">
        <f t="shared" si="3363"/>
        <v>68</v>
      </c>
      <c r="GQ362" s="11">
        <v>356</v>
      </c>
      <c r="GR362" s="12">
        <f t="shared" si="3312"/>
        <v>0.42420814479638008</v>
      </c>
      <c r="GS362" s="11">
        <v>19</v>
      </c>
      <c r="GT362" s="12">
        <f t="shared" si="3313"/>
        <v>5.0666666666666665E-2</v>
      </c>
      <c r="GU362" s="13"/>
      <c r="GV362" s="11"/>
      <c r="GW362" s="39"/>
      <c r="GX362" s="43"/>
      <c r="GY362" s="10"/>
      <c r="GZ362" s="11"/>
      <c r="HA362" s="69">
        <f t="shared" si="3364"/>
        <v>0</v>
      </c>
      <c r="HB362" s="69">
        <f t="shared" si="3365"/>
        <v>0</v>
      </c>
      <c r="HC362" s="11"/>
      <c r="HD362" s="12" t="e">
        <f t="shared" si="3314"/>
        <v>#DIV/0!</v>
      </c>
      <c r="HE362" s="11"/>
      <c r="HF362" s="12" t="e">
        <f t="shared" si="3315"/>
        <v>#DIV/0!</v>
      </c>
      <c r="HG362" s="13"/>
      <c r="HH362" s="11"/>
      <c r="HI362" s="39"/>
      <c r="HJ362" s="43"/>
      <c r="HK362" s="10">
        <f t="shared" si="3316"/>
        <v>4</v>
      </c>
      <c r="HL362" s="11">
        <f t="shared" si="3317"/>
        <v>0</v>
      </c>
      <c r="HM362" s="11">
        <f t="shared" si="3318"/>
        <v>11469</v>
      </c>
      <c r="HN362" s="11">
        <f t="shared" si="3319"/>
        <v>891</v>
      </c>
      <c r="HO362" s="11">
        <f t="shared" si="3320"/>
        <v>4311</v>
      </c>
      <c r="HP362" s="95">
        <f t="shared" si="3321"/>
        <v>0.37588281454355216</v>
      </c>
      <c r="HQ362" s="15">
        <f t="shared" si="3322"/>
        <v>293</v>
      </c>
      <c r="HR362" s="12">
        <f t="shared" si="3323"/>
        <v>6.7965669218278818E-2</v>
      </c>
      <c r="HS362" s="16">
        <v>68.599999999999994</v>
      </c>
      <c r="HT362" s="17">
        <v>3945</v>
      </c>
      <c r="HU362" s="16">
        <f t="shared" si="3324"/>
        <v>91.510090466249125</v>
      </c>
      <c r="HV362" s="23"/>
      <c r="HW362" s="22"/>
      <c r="HX362" s="73">
        <f t="shared" si="3325"/>
        <v>0.37563775510204084</v>
      </c>
      <c r="HY362" s="73">
        <f t="shared" si="3326"/>
        <v>0.36372613561553652</v>
      </c>
      <c r="HZ362" s="73">
        <f t="shared" si="3327"/>
        <v>0.37605850654349499</v>
      </c>
      <c r="IA362" s="73">
        <f t="shared" si="3328"/>
        <v>0.38969225064886909</v>
      </c>
      <c r="IF362" s="85">
        <f>IF363/IF364</f>
        <v>2.5445292620865142E-3</v>
      </c>
      <c r="IG362" s="85">
        <f>IG363/IG364</f>
        <v>2.6263952724885093E-3</v>
      </c>
      <c r="IH362" s="85">
        <f>IH363/IH364</f>
        <v>3.0698388334612432E-3</v>
      </c>
      <c r="II362" s="85">
        <f>II363/II364</f>
        <v>2.2197558268590455E-3</v>
      </c>
      <c r="IJ362" s="88" t="s">
        <v>90</v>
      </c>
    </row>
    <row r="363" spans="1:244" ht="19.5" thickBot="1" x14ac:dyDescent="0.3">
      <c r="A363" s="374"/>
      <c r="B363" s="42"/>
      <c r="C363" s="26">
        <f>SUM(C356:C362)</f>
        <v>3</v>
      </c>
      <c r="D363" s="27">
        <f>SUM(D356:D362)</f>
        <v>0</v>
      </c>
      <c r="E363" s="27"/>
      <c r="F363" s="27"/>
      <c r="G363" s="27">
        <f>SUM(G356:G362)</f>
        <v>1903</v>
      </c>
      <c r="H363" s="28">
        <f>((G363+I363)/7)/E362</f>
        <v>0.3713566030946383</v>
      </c>
      <c r="I363" s="27">
        <f>SUM(I356:I362)</f>
        <v>161</v>
      </c>
      <c r="J363" s="28">
        <f>(I363/(I363+G363))</f>
        <v>7.8003875968992248E-2</v>
      </c>
      <c r="K363" s="27"/>
      <c r="L363" s="27"/>
      <c r="M363" s="29" t="e">
        <f>M361/M360*100-100</f>
        <v>#DIV/0!</v>
      </c>
      <c r="N363" s="67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1745</v>
      </c>
      <c r="T363" s="28">
        <f>((S363+U363)/7)/Q362</f>
        <v>0.3771585557299843</v>
      </c>
      <c r="U363" s="27">
        <f>SUM(U356:U362)</f>
        <v>177</v>
      </c>
      <c r="V363" s="28">
        <f>(U363/(U363+S363))</f>
        <v>9.2091571279916754E-2</v>
      </c>
      <c r="W363" s="27"/>
      <c r="X363" s="27"/>
      <c r="Y363" s="29" t="e">
        <f>Y361/Y360*100-100</f>
        <v>#DIV/0!</v>
      </c>
      <c r="Z363" s="67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364</v>
      </c>
      <c r="AF363" s="28">
        <f>((AE363+AG363)/7)/AC362</f>
        <v>0.38969873663751214</v>
      </c>
      <c r="AG363" s="27">
        <f>SUM(AG356:AG362)</f>
        <v>37</v>
      </c>
      <c r="AH363" s="28">
        <f>(AG363/(AG363+AE363))</f>
        <v>9.2269326683291769E-2</v>
      </c>
      <c r="AI363" s="27"/>
      <c r="AJ363" s="27"/>
      <c r="AK363" s="29" t="e">
        <f>AK361/AK360*100-100</f>
        <v>#DIV/0!</v>
      </c>
      <c r="AL363" s="67" t="e">
        <f>AL361/AL360*100-100</f>
        <v>#DIV/0!</v>
      </c>
      <c r="AM363" s="26">
        <f>SUM(AM356:AM362)</f>
        <v>2</v>
      </c>
      <c r="AN363" s="27">
        <f>SUM(AN356:AN362)</f>
        <v>0</v>
      </c>
      <c r="AO363" s="27"/>
      <c r="AP363" s="27"/>
      <c r="AQ363" s="27">
        <f>SUM(AQ356:AQ362)</f>
        <v>1842</v>
      </c>
      <c r="AR363" s="28">
        <f>((AQ363+AS363)/7)/AO362</f>
        <v>0.38828337874659402</v>
      </c>
      <c r="AS363" s="27">
        <f>SUM(AS356:AS362)</f>
        <v>153</v>
      </c>
      <c r="AT363" s="28">
        <f>(AS363/(AS363+AQ363))</f>
        <v>7.6691729323308269E-2</v>
      </c>
      <c r="AU363" s="27"/>
      <c r="AV363" s="27"/>
      <c r="AW363" s="29" t="e">
        <f>AW361/AW360*100-100</f>
        <v>#DIV/0!</v>
      </c>
      <c r="AX363" s="67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1765</v>
      </c>
      <c r="BD363" s="28">
        <f>((BC363+BE363)/7)/BA362</f>
        <v>0.37984798284934712</v>
      </c>
      <c r="BE363" s="27">
        <f>SUM(BE356:BE362)</f>
        <v>184</v>
      </c>
      <c r="BF363" s="28">
        <f>(BE363/(BE363+BC363))</f>
        <v>9.44073884043099E-2</v>
      </c>
      <c r="BG363" s="27"/>
      <c r="BH363" s="27"/>
      <c r="BI363" s="29" t="e">
        <f>BI361/BI360*100-100</f>
        <v>#DIV/0!</v>
      </c>
      <c r="BJ363" s="67" t="e">
        <f>BJ361/BJ360*100-100</f>
        <v>#DIV/0!</v>
      </c>
      <c r="BK363" s="26">
        <f>SUM(BK356:BK362)</f>
        <v>5</v>
      </c>
      <c r="BL363" s="27">
        <f>SUM(BL356:BL362)</f>
        <v>0</v>
      </c>
      <c r="BM363" s="27"/>
      <c r="BN363" s="27"/>
      <c r="BO363" s="27">
        <f>SUM(BO356:BO362)</f>
        <v>1675</v>
      </c>
      <c r="BP363" s="28">
        <f>((BO363+BQ363)/7)/BM362</f>
        <v>0.32892075749218608</v>
      </c>
      <c r="BQ363" s="27">
        <f>SUM(BQ356:BQ362)</f>
        <v>114</v>
      </c>
      <c r="BR363" s="28">
        <f>(BQ363/(BQ363+BO363))</f>
        <v>6.3722750139742879E-2</v>
      </c>
      <c r="BS363" s="27"/>
      <c r="BT363" s="27"/>
      <c r="BU363" s="29" t="e">
        <f>BU361/BU360*100-100</f>
        <v>#DIV/0!</v>
      </c>
      <c r="BV363" s="67" t="e">
        <f>BV361/BV360*100-100</f>
        <v>#DIV/0!</v>
      </c>
      <c r="BW363" s="26">
        <f>SUM(BW356:BW362)</f>
        <v>1</v>
      </c>
      <c r="BX363" s="27">
        <f>SUM(BX356:BX362)</f>
        <v>0</v>
      </c>
      <c r="BY363" s="27"/>
      <c r="BZ363" s="27"/>
      <c r="CA363" s="27">
        <f>SUM(CA356:CA362)</f>
        <v>1654</v>
      </c>
      <c r="CB363" s="28">
        <f>((CA363+CC363)/7)/BY362</f>
        <v>0.35148023047883969</v>
      </c>
      <c r="CC363" s="27">
        <f>SUM(CC356:CC362)</f>
        <v>115</v>
      </c>
      <c r="CD363" s="28">
        <f>(CC363/(CC363+CA363))</f>
        <v>6.5008479366873942E-2</v>
      </c>
      <c r="CE363" s="27"/>
      <c r="CF363" s="27"/>
      <c r="CG363" s="29" t="e">
        <f>CG361/CG360*100-100</f>
        <v>#DIV/0!</v>
      </c>
      <c r="CH363" s="67" t="e">
        <f>CH361/CH360*100-100</f>
        <v>#DIV/0!</v>
      </c>
      <c r="CI363" s="26">
        <f>SUM(CI356:CI362)</f>
        <v>1</v>
      </c>
      <c r="CJ363" s="27">
        <f>SUM(CJ356:CJ362)</f>
        <v>0</v>
      </c>
      <c r="CK363" s="27"/>
      <c r="CL363" s="27"/>
      <c r="CM363" s="27">
        <f>SUM(CM356:CM362)</f>
        <v>271</v>
      </c>
      <c r="CN363" s="28">
        <f>((CM363+CO363)/7)/CK362</f>
        <v>0.3571428571428571</v>
      </c>
      <c r="CO363" s="27">
        <f>SUM(CO356:CO362)</f>
        <v>29</v>
      </c>
      <c r="CP363" s="28">
        <f>(CO363/(CO363+CM363))</f>
        <v>9.6666666666666665E-2</v>
      </c>
      <c r="CQ363" s="27"/>
      <c r="CR363" s="27"/>
      <c r="CS363" s="29" t="e">
        <f>CS361/CS360*100-100</f>
        <v>#DIV/0!</v>
      </c>
      <c r="CT363" s="67" t="e">
        <f>CT361/CT360*100-100</f>
        <v>#DIV/0!</v>
      </c>
      <c r="CU363" s="26">
        <f>SUM(CU356:CU362)</f>
        <v>1</v>
      </c>
      <c r="CV363" s="27">
        <f>SUM(CV356:CV362)</f>
        <v>0</v>
      </c>
      <c r="CW363" s="27"/>
      <c r="CX363" s="27"/>
      <c r="CY363" s="27">
        <f>SUM(CY356:CY362)</f>
        <v>1740</v>
      </c>
      <c r="CZ363" s="28">
        <f>((CY363+DA363)/7)/CW362</f>
        <v>0.37042253521126761</v>
      </c>
      <c r="DA363" s="27">
        <f>SUM(DA356:DA362)</f>
        <v>101</v>
      </c>
      <c r="DB363" s="28">
        <f>(DA363/(DA363+CY363))</f>
        <v>5.4861488321564365E-2</v>
      </c>
      <c r="DC363" s="27"/>
      <c r="DD363" s="27"/>
      <c r="DE363" s="29" t="e">
        <f>DE361/DE360*100-100</f>
        <v>#DIV/0!</v>
      </c>
      <c r="DF363" s="67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1783</v>
      </c>
      <c r="DL363" s="28">
        <f>((DK363+DM363)/7)/DI362</f>
        <v>0.38563402889245585</v>
      </c>
      <c r="DM363" s="27">
        <f>SUM(DM356:DM362)</f>
        <v>139</v>
      </c>
      <c r="DN363" s="28">
        <f>(DM363/(DM363+DK363))</f>
        <v>7.232049947970863E-2</v>
      </c>
      <c r="DO363" s="27"/>
      <c r="DP363" s="27"/>
      <c r="DQ363" s="29" t="e">
        <f>DQ361/DQ360*100-100</f>
        <v>#DIV/0!</v>
      </c>
      <c r="DR363" s="67" t="e">
        <f>DR361/DR360*100-100</f>
        <v>#DIV/0!</v>
      </c>
      <c r="DS363" s="26">
        <f>SUM(DS356:DS362)</f>
        <v>7</v>
      </c>
      <c r="DT363" s="27">
        <f>SUM(DT356:DT362)</f>
        <v>0</v>
      </c>
      <c r="DU363" s="27"/>
      <c r="DV363" s="27"/>
      <c r="DW363" s="27">
        <f>SUM(DW356:DW362)</f>
        <v>4282</v>
      </c>
      <c r="DX363" s="28">
        <f>((DW363+DY363)/7)/DU362</f>
        <v>0.39961271014875449</v>
      </c>
      <c r="DY363" s="27">
        <f>SUM(DY356:DY362)</f>
        <v>258</v>
      </c>
      <c r="DZ363" s="28">
        <f>(DY363/(DY363+DW363))</f>
        <v>5.6828193832599121E-2</v>
      </c>
      <c r="EA363" s="27"/>
      <c r="EB363" s="27"/>
      <c r="EC363" s="29" t="e">
        <f>EC361/EC360*100-100</f>
        <v>#DIV/0!</v>
      </c>
      <c r="ED363" s="67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354</v>
      </c>
      <c r="EJ363" s="28">
        <f>((EI363+EK363)/7)/EG362</f>
        <v>0.38399189463019251</v>
      </c>
      <c r="EK363" s="27">
        <f>SUM(EK356:EK362)</f>
        <v>25</v>
      </c>
      <c r="EL363" s="28">
        <f>(EK363/(EK363+EI363))</f>
        <v>6.5963060686015831E-2</v>
      </c>
      <c r="EM363" s="27"/>
      <c r="EN363" s="27"/>
      <c r="EO363" s="29" t="e">
        <f>EO361/EO360*100-100</f>
        <v>#DIV/0!</v>
      </c>
      <c r="EP363" s="67" t="e">
        <f>EP361/EP360*100-100</f>
        <v>#DIV/0!</v>
      </c>
      <c r="EQ363" s="26">
        <f>SUM(EQ356:EQ362)</f>
        <v>1</v>
      </c>
      <c r="ER363" s="27">
        <f>SUM(ER356:ER362)</f>
        <v>0</v>
      </c>
      <c r="ES363" s="27"/>
      <c r="ET363" s="27"/>
      <c r="EU363" s="27">
        <f>SUM(EU356:EU362)</f>
        <v>2352</v>
      </c>
      <c r="EV363" s="28">
        <f>((EU363+EW363)/7)/ES362</f>
        <v>0.43251113394998286</v>
      </c>
      <c r="EW363" s="27">
        <f>SUM(EW356:EW362)</f>
        <v>173</v>
      </c>
      <c r="EX363" s="28">
        <f>(EW363/(EW363+EU363))</f>
        <v>6.851485148514852E-2</v>
      </c>
      <c r="EY363" s="27"/>
      <c r="EZ363" s="27"/>
      <c r="FA363" s="29" t="e">
        <f>FA361/FA360*100-100</f>
        <v>#DIV/0!</v>
      </c>
      <c r="FB363" s="67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7" t="e">
        <f>FN361/FN360*100-100</f>
        <v>#DIV/0!</v>
      </c>
      <c r="FO363" s="26">
        <f>SUM(FO356:FO362)</f>
        <v>5</v>
      </c>
      <c r="FP363" s="27">
        <f>SUM(FP356:FP362)</f>
        <v>0</v>
      </c>
      <c r="FQ363" s="27"/>
      <c r="FR363" s="27"/>
      <c r="FS363" s="27">
        <f>SUM(FS356:FS362)</f>
        <v>4141</v>
      </c>
      <c r="FT363" s="28">
        <f>((FS363+FU363)/7)/FQ362</f>
        <v>0.38524035206499663</v>
      </c>
      <c r="FU363" s="27">
        <f>SUM(FU356:FU362)</f>
        <v>411</v>
      </c>
      <c r="FV363" s="28">
        <f>(FU363/(FU363+FS363))</f>
        <v>9.0289982425307558E-2</v>
      </c>
      <c r="FW363" s="27"/>
      <c r="FX363" s="27"/>
      <c r="FY363" s="29" t="e">
        <f>FY361/FY360*100-100</f>
        <v>#DIV/0!</v>
      </c>
      <c r="FZ363" s="67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314</v>
      </c>
      <c r="GF363" s="28">
        <f>((GE363+GG363)/7)/GC362</f>
        <v>0.40571428571428575</v>
      </c>
      <c r="GG363" s="27">
        <f>SUM(GG356:GG362)</f>
        <v>41</v>
      </c>
      <c r="GH363" s="28">
        <f>(GG363/(GG363+GE363))</f>
        <v>0.11549295774647887</v>
      </c>
      <c r="GI363" s="27"/>
      <c r="GJ363" s="27"/>
      <c r="GK363" s="29" t="e">
        <f>GK361/GK360*100-100</f>
        <v>#DIV/0!</v>
      </c>
      <c r="GL363" s="67" t="e">
        <f>GL361/GL360*100-100</f>
        <v>#DIV/0!</v>
      </c>
      <c r="GM363" s="26">
        <f>SUM(GM356:GM362)</f>
        <v>1</v>
      </c>
      <c r="GN363" s="27">
        <f>SUM(GN356:GN362)</f>
        <v>1</v>
      </c>
      <c r="GO363" s="27"/>
      <c r="GP363" s="27"/>
      <c r="GQ363" s="27">
        <f>SUM(GQ356:GQ362)</f>
        <v>2563</v>
      </c>
      <c r="GR363" s="28">
        <f>((GQ363+GS363)/7)/GO362</f>
        <v>0.44053005817711705</v>
      </c>
      <c r="GS363" s="27">
        <f>SUM(GS356:GS362)</f>
        <v>163</v>
      </c>
      <c r="GT363" s="28">
        <f>(GS363/(GS363+GQ363))</f>
        <v>5.9794570799706528E-2</v>
      </c>
      <c r="GU363" s="27"/>
      <c r="GV363" s="27"/>
      <c r="GW363" s="29" t="e">
        <f>GW361/GW360*100-100</f>
        <v>#DIV/0!</v>
      </c>
      <c r="GX363" s="67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7" t="e">
        <f>HJ361/HJ360*100-100</f>
        <v>#DIV/0!</v>
      </c>
      <c r="HK363" s="26">
        <f t="shared" si="3316"/>
        <v>30</v>
      </c>
      <c r="HL363" s="27">
        <f t="shared" si="3317"/>
        <v>1</v>
      </c>
      <c r="HM363" s="27">
        <f t="shared" si="3318"/>
        <v>0</v>
      </c>
      <c r="HN363" s="27">
        <f t="shared" si="3319"/>
        <v>0</v>
      </c>
      <c r="HO363" s="27">
        <f t="shared" si="3320"/>
        <v>31029</v>
      </c>
      <c r="HP363" s="96">
        <f>+((HO363)/HM362)/7</f>
        <v>0.38649527297186204</v>
      </c>
      <c r="HQ363" s="62">
        <f t="shared" si="3322"/>
        <v>2281</v>
      </c>
      <c r="HR363" s="52">
        <f t="shared" si="3323"/>
        <v>7.3511875986979919E-2</v>
      </c>
      <c r="HS363" s="53">
        <f>SUM(HS356:HS362)/7</f>
        <v>68.885714285714286</v>
      </c>
      <c r="HT363" s="54">
        <f>SUM(HT356:HT362)</f>
        <v>27888</v>
      </c>
      <c r="HU363" s="53">
        <f>AVERAGE(HU356:HU362)</f>
        <v>89.887787282533623</v>
      </c>
      <c r="HV363" s="63" t="e">
        <f>HV361/HV360*100-100</f>
        <v>#DIV/0!</v>
      </c>
      <c r="HW363" s="67" t="e">
        <f>HW361/HW360*100-100</f>
        <v>#DIV/0!</v>
      </c>
      <c r="HX363" s="73">
        <f>SUM(G363,I363,S363,U363,AE363,AG363,AQ363,AS363,BC363,BE363)/7/SUM(E362,Q362,AC362,AO362,BA362)</f>
        <v>0.37950983965014579</v>
      </c>
      <c r="HY363" s="73">
        <f>SUM(BO363,BQ363,CA363,CC363,CM363,CO363,CY363,DA363,DK363,DM363)/7/SUM(BM362,BY362,CK362,CW362,DI362)</f>
        <v>0.35836546600206903</v>
      </c>
      <c r="HZ363" s="73">
        <f>SUM(DW363,DY363,EI363,EK363,EU363,EW363,FG363,FI363)/7/SUM(DU362,EG362,ES362,FE362)</f>
        <v>0.40932585505333768</v>
      </c>
      <c r="IA363" s="73">
        <f>SUM(FS363,FU363,GE363,GG363,GQ363,GS363,HC363,HE363)/7/SUM(FQ362,GC362,GO362,HA362)</f>
        <v>0.40431166905026744</v>
      </c>
      <c r="IB363" s="84">
        <f>SUM(I363,U363,AG363,AS363,BE363)/SUM(G363,I363,S363,U363,AE363,AG363,AQ363,AS363,BC363,BE363)</f>
        <v>8.5463929900372104E-2</v>
      </c>
      <c r="IC363" s="84">
        <f>SUM(BQ363,CC363,CO363,DA363,DM363)/SUM(BO363,BQ363,CA363,CC363,CM363,CO363,CY363,DA363,DK363,DM363)</f>
        <v>6.5345755150242754E-2</v>
      </c>
      <c r="ID363" s="84">
        <f>SUM(DY363,EK363,EW363,FI363)/SUM(DW363,DY363,EI363,EK363,EU363,EW363,FG363,FI363)</f>
        <v>6.1257388500806018E-2</v>
      </c>
      <c r="IE363" s="84">
        <f>SUM(FU363,GG363,GS363,HE363)/SUM(FS363,FU363,GE363,GG363,GQ363,GS363,HC363,HE363)</f>
        <v>8.0571203982706674E-2</v>
      </c>
      <c r="IF363" s="86">
        <f>SUM(C363,O363,AA363,AM363,AY363)</f>
        <v>8</v>
      </c>
      <c r="IG363" s="86">
        <f>SUM(BK363,BW363,CI363,CU363,DG363)</f>
        <v>8</v>
      </c>
      <c r="IH363" s="86">
        <f>SUM(DS363,EE363,EQ363,FC363)</f>
        <v>8</v>
      </c>
      <c r="II363" s="86">
        <f>SUM(FO363,GA363,GM363,GY363)</f>
        <v>6</v>
      </c>
      <c r="IJ363" s="88" t="s">
        <v>89</v>
      </c>
    </row>
    <row r="364" spans="1:244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105">
        <f>HK363/HM356</f>
        <v>2.6098303610265334E-3</v>
      </c>
      <c r="HL364" s="106">
        <f>HL363/HN356</f>
        <v>1.1210762331838565E-3</v>
      </c>
      <c r="HM364" s="45"/>
      <c r="HN364" s="45"/>
      <c r="HO364" s="45"/>
      <c r="HP364" s="98"/>
      <c r="HQ364" s="45"/>
      <c r="HR364" s="45"/>
      <c r="HS364" s="45"/>
      <c r="HT364" s="55"/>
      <c r="HU364" s="45"/>
      <c r="HV364" s="45"/>
      <c r="HW364" s="46"/>
      <c r="HY364" s="72"/>
      <c r="HZ364" s="72"/>
      <c r="IA364" s="72"/>
      <c r="IF364" s="86">
        <f>SUM(E353,Q353,AC353,AO353,BA353)</f>
        <v>3144</v>
      </c>
      <c r="IG364" s="86">
        <f>SUM(BM353,BY353,CK353,CW353,DI353)</f>
        <v>3046</v>
      </c>
      <c r="IH364" s="86">
        <f>SUM(DU353,EG353,ES353,FE353)</f>
        <v>2606</v>
      </c>
      <c r="II364" s="86">
        <f>SUM(FQ353,GC353,GO353,HA353)</f>
        <v>2703</v>
      </c>
      <c r="IJ364" s="88" t="s">
        <v>84</v>
      </c>
    </row>
    <row r="365" spans="1:244" x14ac:dyDescent="0.25">
      <c r="A365" s="373">
        <v>65</v>
      </c>
      <c r="B365" s="40">
        <f>B362+1</f>
        <v>45221</v>
      </c>
      <c r="C365" s="33"/>
      <c r="D365" s="34"/>
      <c r="E365" s="34">
        <f>E362-C365</f>
        <v>794</v>
      </c>
      <c r="F365" s="34">
        <f>F362-D365</f>
        <v>62</v>
      </c>
      <c r="G365" s="34">
        <v>269</v>
      </c>
      <c r="H365" s="35">
        <f t="shared" ref="H365:H371" si="3366">((G365+I365)/E365)</f>
        <v>0.353904282115869</v>
      </c>
      <c r="I365" s="34">
        <v>12</v>
      </c>
      <c r="J365" s="35">
        <f t="shared" ref="J365:J371" si="3367">I365/(G365+I365)</f>
        <v>4.2704626334519574E-2</v>
      </c>
      <c r="K365" s="36"/>
      <c r="L365" s="34"/>
      <c r="M365" s="34"/>
      <c r="N365" s="37"/>
      <c r="O365" s="33"/>
      <c r="P365" s="34"/>
      <c r="Q365" s="34">
        <f>Q362-O365</f>
        <v>728</v>
      </c>
      <c r="R365" s="34">
        <f>R362-P365</f>
        <v>56</v>
      </c>
      <c r="S365" s="34">
        <v>228</v>
      </c>
      <c r="T365" s="35">
        <f t="shared" ref="T365:T371" si="3368">((S365+U365)/Q365)</f>
        <v>0.3282967032967033</v>
      </c>
      <c r="U365" s="34">
        <v>11</v>
      </c>
      <c r="V365" s="35">
        <f t="shared" ref="V365:V371" si="3369">U365/(S365+U365)</f>
        <v>4.6025104602510462E-2</v>
      </c>
      <c r="W365" s="36"/>
      <c r="X365" s="34"/>
      <c r="Y365" s="34"/>
      <c r="Z365" s="37"/>
      <c r="AA365" s="33"/>
      <c r="AB365" s="34"/>
      <c r="AC365" s="34">
        <f>AC362-AA365</f>
        <v>147</v>
      </c>
      <c r="AD365" s="34">
        <f>AD362-AB365</f>
        <v>11</v>
      </c>
      <c r="AE365" s="34">
        <v>47</v>
      </c>
      <c r="AF365" s="35">
        <f t="shared" ref="AF365:AF371" si="3370">((AE365+AG365)/AC365)</f>
        <v>0.3401360544217687</v>
      </c>
      <c r="AG365" s="34">
        <v>3</v>
      </c>
      <c r="AH365" s="35">
        <f t="shared" ref="AH365:AH371" si="3371">AG365/(AE365+AG365)</f>
        <v>0.06</v>
      </c>
      <c r="AI365" s="36"/>
      <c r="AJ365" s="34"/>
      <c r="AK365" s="34"/>
      <c r="AL365" s="37"/>
      <c r="AM365" s="33"/>
      <c r="AN365" s="34"/>
      <c r="AO365" s="34">
        <f>AO362-AM365</f>
        <v>734</v>
      </c>
      <c r="AP365" s="34">
        <f>AP362-AN365</f>
        <v>57</v>
      </c>
      <c r="AQ365" s="34">
        <v>275</v>
      </c>
      <c r="AR365" s="35">
        <f t="shared" ref="AR365:AR371" si="3372">((AQ365+AS365)/AO365)</f>
        <v>0.39100817438692098</v>
      </c>
      <c r="AS365" s="34">
        <v>12</v>
      </c>
      <c r="AT365" s="35">
        <f t="shared" ref="AT365:AT371" si="3373">AS365/(AQ365+AS365)</f>
        <v>4.1811846689895474E-2</v>
      </c>
      <c r="AU365" s="36"/>
      <c r="AV365" s="34"/>
      <c r="AW365" s="34"/>
      <c r="AX365" s="37"/>
      <c r="AY365" s="33">
        <v>1</v>
      </c>
      <c r="AZ365" s="34"/>
      <c r="BA365" s="34">
        <f>BA362-AY365</f>
        <v>732</v>
      </c>
      <c r="BB365" s="34">
        <f>BB362-AZ365</f>
        <v>57</v>
      </c>
      <c r="BC365" s="34">
        <v>227</v>
      </c>
      <c r="BD365" s="35">
        <f t="shared" ref="BD365:BD371" si="3374">((BC365+BE365)/BA365)</f>
        <v>0.33196721311475408</v>
      </c>
      <c r="BE365" s="34">
        <v>16</v>
      </c>
      <c r="BF365" s="35">
        <f t="shared" ref="BF365:BF371" si="3375">BE365/(BC365+BE365)</f>
        <v>6.584362139917696E-2</v>
      </c>
      <c r="BG365" s="36"/>
      <c r="BH365" s="34"/>
      <c r="BI365" s="34"/>
      <c r="BJ365" s="37"/>
      <c r="BK365" s="33">
        <v>1</v>
      </c>
      <c r="BL365" s="34"/>
      <c r="BM365" s="34">
        <f>BM362-BK365</f>
        <v>776</v>
      </c>
      <c r="BN365" s="34">
        <f>BN362-BL365</f>
        <v>61</v>
      </c>
      <c r="BO365" s="34">
        <v>245</v>
      </c>
      <c r="BP365" s="35">
        <f t="shared" ref="BP365:BP371" si="3376">((BO365+BQ365)/BM365)</f>
        <v>0.33118556701030927</v>
      </c>
      <c r="BQ365" s="34">
        <v>12</v>
      </c>
      <c r="BR365" s="35">
        <f t="shared" ref="BR365:BR371" si="3377">BQ365/(BO365+BQ365)</f>
        <v>4.6692607003891051E-2</v>
      </c>
      <c r="BS365" s="36"/>
      <c r="BT365" s="34"/>
      <c r="BU365" s="34"/>
      <c r="BV365" s="37"/>
      <c r="BW365" s="33">
        <v>1</v>
      </c>
      <c r="BX365" s="34"/>
      <c r="BY365" s="34">
        <f>BY362-BW365</f>
        <v>718</v>
      </c>
      <c r="BZ365" s="34">
        <f>BZ362-BX365</f>
        <v>57</v>
      </c>
      <c r="CA365" s="34">
        <v>236</v>
      </c>
      <c r="CB365" s="35">
        <f t="shared" ref="CB365:CB371" si="3378">((CA365+CC365)/BY365)</f>
        <v>0.34679665738161558</v>
      </c>
      <c r="CC365" s="34">
        <v>13</v>
      </c>
      <c r="CD365" s="35">
        <f t="shared" ref="CD365:CD371" si="3379">CC365/(CA365+CC365)</f>
        <v>5.2208835341365459E-2</v>
      </c>
      <c r="CE365" s="36"/>
      <c r="CF365" s="34"/>
      <c r="CG365" s="34"/>
      <c r="CH365" s="37"/>
      <c r="CI365" s="33"/>
      <c r="CJ365" s="34"/>
      <c r="CK365" s="34">
        <f>CK362-CI365</f>
        <v>120</v>
      </c>
      <c r="CL365" s="34">
        <f>CL362-CJ365</f>
        <v>10</v>
      </c>
      <c r="CM365" s="34">
        <v>31</v>
      </c>
      <c r="CN365" s="35">
        <f t="shared" ref="CN365:CN371" si="3380">((CM365+CO365)/CK365)</f>
        <v>0.3</v>
      </c>
      <c r="CO365" s="34">
        <v>5</v>
      </c>
      <c r="CP365" s="35">
        <f t="shared" ref="CP365:CP371" si="3381">CO365/(CM365+CO365)</f>
        <v>0.1388888888888889</v>
      </c>
      <c r="CQ365" s="36"/>
      <c r="CR365" s="34"/>
      <c r="CS365" s="34"/>
      <c r="CT365" s="37"/>
      <c r="CU365" s="33"/>
      <c r="CV365" s="34"/>
      <c r="CW365" s="34">
        <f>CW362-CU365</f>
        <v>710</v>
      </c>
      <c r="CX365" s="34">
        <f>CX362-CV365</f>
        <v>56</v>
      </c>
      <c r="CY365" s="34">
        <v>246</v>
      </c>
      <c r="CZ365" s="35">
        <f t="shared" ref="CZ365:CZ371" si="3382">((CY365+DA365)/CW365)</f>
        <v>0.36619718309859156</v>
      </c>
      <c r="DA365" s="34">
        <v>14</v>
      </c>
      <c r="DB365" s="35">
        <f t="shared" ref="DB365:DB371" si="3383">DA365/(CY365+DA365)</f>
        <v>5.3846153846153849E-2</v>
      </c>
      <c r="DC365" s="36"/>
      <c r="DD365" s="34"/>
      <c r="DE365" s="34"/>
      <c r="DF365" s="37"/>
      <c r="DG365" s="33">
        <v>1</v>
      </c>
      <c r="DH365" s="34"/>
      <c r="DI365" s="34">
        <f>DI362-DG365</f>
        <v>711</v>
      </c>
      <c r="DJ365" s="34">
        <f>DJ362-DH365</f>
        <v>55</v>
      </c>
      <c r="DK365" s="34">
        <v>255</v>
      </c>
      <c r="DL365" s="35">
        <f t="shared" ref="DL365:DL371" si="3384">((DK365+DM365)/DI365)</f>
        <v>0.379746835443038</v>
      </c>
      <c r="DM365" s="34">
        <v>15</v>
      </c>
      <c r="DN365" s="35">
        <f t="shared" ref="DN365:DN371" si="3385">DM365/(DK365+DM365)</f>
        <v>5.5555555555555552E-2</v>
      </c>
      <c r="DO365" s="36"/>
      <c r="DP365" s="34"/>
      <c r="DQ365" s="34"/>
      <c r="DR365" s="37"/>
      <c r="DS365" s="33">
        <v>1</v>
      </c>
      <c r="DT365" s="34"/>
      <c r="DU365" s="34">
        <f>DU362-DS365</f>
        <v>1622</v>
      </c>
      <c r="DV365" s="34">
        <f>DV362-DT365</f>
        <v>125</v>
      </c>
      <c r="DW365" s="34">
        <v>602</v>
      </c>
      <c r="DX365" s="35">
        <f t="shared" ref="DX365:DX371" si="3386">((DW365+DY365)/DU365)</f>
        <v>0.39827373612823674</v>
      </c>
      <c r="DY365" s="34">
        <v>44</v>
      </c>
      <c r="DZ365" s="35">
        <f t="shared" ref="DZ365:DZ371" si="3387">DY365/(DW365+DY365)</f>
        <v>6.8111455108359129E-2</v>
      </c>
      <c r="EA365" s="36"/>
      <c r="EB365" s="34"/>
      <c r="EC365" s="34"/>
      <c r="ED365" s="37"/>
      <c r="EE365" s="33"/>
      <c r="EF365" s="34">
        <v>1</v>
      </c>
      <c r="EG365" s="34">
        <f>EG362-EE365</f>
        <v>141</v>
      </c>
      <c r="EH365" s="34">
        <f>EH362-EF365</f>
        <v>10</v>
      </c>
      <c r="EI365" s="34">
        <v>49</v>
      </c>
      <c r="EJ365" s="35">
        <f t="shared" ref="EJ365:EJ371" si="3388">((EI365+EK365)/EG365)</f>
        <v>0.36170212765957449</v>
      </c>
      <c r="EK365" s="34">
        <v>2</v>
      </c>
      <c r="EL365" s="35">
        <f t="shared" ref="EL365:EL371" si="3389">EK365/(EI365+EK365)</f>
        <v>3.9215686274509803E-2</v>
      </c>
      <c r="EM365" s="36"/>
      <c r="EN365" s="34"/>
      <c r="EO365" s="34"/>
      <c r="EP365" s="37"/>
      <c r="EQ365" s="33"/>
      <c r="ER365" s="34"/>
      <c r="ES365" s="34">
        <f>ES362-EQ365</f>
        <v>834</v>
      </c>
      <c r="ET365" s="34">
        <f>ET362-ER365</f>
        <v>64</v>
      </c>
      <c r="EU365" s="34">
        <v>317</v>
      </c>
      <c r="EV365" s="35">
        <f t="shared" ref="EV365:EV371" si="3390">((EU365+EW365)/ES365)</f>
        <v>0.41966426858513189</v>
      </c>
      <c r="EW365" s="34">
        <v>33</v>
      </c>
      <c r="EX365" s="35">
        <f t="shared" ref="EX365:EX371" si="3391">EW365/(EU365+EW365)</f>
        <v>9.4285714285714292E-2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3392">((FG365+FI365)/FE365)</f>
        <v>#DIV/0!</v>
      </c>
      <c r="FI365" s="34"/>
      <c r="FJ365" s="35" t="e">
        <f t="shared" ref="FJ365:FJ371" si="3393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1688</v>
      </c>
      <c r="FR365" s="34">
        <f>FR362-FP365</f>
        <v>132</v>
      </c>
      <c r="FS365" s="34">
        <v>553</v>
      </c>
      <c r="FT365" s="35">
        <f t="shared" ref="FT365:FT371" si="3394">((FS365+FU365)/FQ365)</f>
        <v>0.34537914691943128</v>
      </c>
      <c r="FU365" s="34">
        <v>30</v>
      </c>
      <c r="FV365" s="35">
        <f t="shared" ref="FV365:FV371" si="3395">FU365/(FS365+FU365)</f>
        <v>5.1457975986277875E-2</v>
      </c>
      <c r="FW365" s="36"/>
      <c r="FX365" s="34"/>
      <c r="FY365" s="34"/>
      <c r="FZ365" s="37"/>
      <c r="GA365" s="33"/>
      <c r="GB365" s="34"/>
      <c r="GC365" s="34">
        <f>GC362-GA365</f>
        <v>125</v>
      </c>
      <c r="GD365" s="34">
        <f>GD362-GB365</f>
        <v>9</v>
      </c>
      <c r="GE365" s="34">
        <v>47</v>
      </c>
      <c r="GF365" s="35">
        <f t="shared" ref="GF365:GF371" si="3396">((GE365+GG365)/GC365)</f>
        <v>0.40799999999999997</v>
      </c>
      <c r="GG365" s="34">
        <v>4</v>
      </c>
      <c r="GH365" s="35">
        <f t="shared" ref="GH365:GH371" si="3397">GG365/(GE365+GG365)</f>
        <v>7.8431372549019607E-2</v>
      </c>
      <c r="GI365" s="36"/>
      <c r="GJ365" s="34"/>
      <c r="GK365" s="34"/>
      <c r="GL365" s="37"/>
      <c r="GM365" s="33">
        <v>1</v>
      </c>
      <c r="GN365" s="34"/>
      <c r="GO365" s="34">
        <f>GO362-GM365</f>
        <v>883</v>
      </c>
      <c r="GP365" s="34">
        <f>GP362-GN365</f>
        <v>68</v>
      </c>
      <c r="GQ365" s="34">
        <v>355</v>
      </c>
      <c r="GR365" s="35">
        <f t="shared" ref="GR365:GR371" si="3398">((GQ365+GS365)/GO365)</f>
        <v>0.48018120045300111</v>
      </c>
      <c r="GS365" s="34">
        <v>69</v>
      </c>
      <c r="GT365" s="35">
        <f t="shared" ref="GT365:GT371" si="3399">GS365/(GQ365+GS365)</f>
        <v>0.16273584905660377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3400">((HC365+HE365)/HA365)</f>
        <v>#DIV/0!</v>
      </c>
      <c r="HE365" s="34"/>
      <c r="HF365" s="35" t="e">
        <f t="shared" ref="HF365:HF371" si="3401">HE365/(HC365+HE365)</f>
        <v>#DIV/0!</v>
      </c>
      <c r="HG365" s="36"/>
      <c r="HH365" s="34"/>
      <c r="HI365" s="34"/>
      <c r="HJ365" s="37"/>
      <c r="HK365" s="10">
        <f t="shared" ref="HK365:HK370" si="3402">+C365+O365+AA365+AM365+AY365+BK365+BW365+CI365+CU365+DG365+DS365+EE365+EQ365+FC365+FO365+GA365+GM365+GY365</f>
        <v>6</v>
      </c>
      <c r="HL365" s="11">
        <f t="shared" ref="HL365:HL370" si="3403">+D365+P365+AB365+AN365+AZ365+BL365+BX365+CJ365+CV365+DH365+DT365+EF365+ER365+FD365+FP365+GB365+GN365+GZ365</f>
        <v>1</v>
      </c>
      <c r="HM365" s="34">
        <f t="shared" ref="HM365:HM372" si="3404">+E365+Q365+AC365+AO365+BA365+BM365+BY365+CK365+CW365+DI365+DU365+EG365+ES365+FE365+FQ365+GC365+GO365+HA365</f>
        <v>11463</v>
      </c>
      <c r="HN365" s="34">
        <f t="shared" ref="HN365:HN372" si="3405">+F365+R365+AD365+AP365+BB365+BN365+BZ365+CL365+CX365+DJ365+DV365+EH365+ET365+FF365+FR365+GD365+GP365+HB365</f>
        <v>890</v>
      </c>
      <c r="HO365" s="34">
        <f t="shared" ref="HO365:HO372" si="3406">+G365+S365+AE365+AQ365+BC365+BO365+CA365+CM365+CY365+DK365+DW365+EI365+EU365+FG365+FS365+GE365+GQ365+HC365+I365+U365+AG365+AS365+BE365+BQ365+CC365+CO365+DA365+DM365+DY365+EK365+EW365+FI365+FU365+GG365+GS365+HE365</f>
        <v>4277</v>
      </c>
      <c r="HP365" s="94">
        <f t="shared" ref="HP365:HP371" si="3407">+(HO365)/HM365</f>
        <v>0.3731134955945215</v>
      </c>
      <c r="HQ365" s="48">
        <f t="shared" ref="HQ365:HQ372" si="3408">+I365+U365+AG365+AS365+BE365+BQ365+CC365+CO365+DA365+DM365+DY365+EK365+EW365+FI365+FU365+GG365+GS365+HE365</f>
        <v>295</v>
      </c>
      <c r="HR365" s="35">
        <f t="shared" ref="HR365:HR372" si="3409">+(HQ365/(HO365))</f>
        <v>6.8973579611877486E-2</v>
      </c>
      <c r="HS365" s="49">
        <v>69.05</v>
      </c>
      <c r="HT365" s="50">
        <v>3883</v>
      </c>
      <c r="HU365" s="49">
        <f t="shared" ref="HU365:HU371" si="3410">+HT365/HO365*100</f>
        <v>90.787935468786529</v>
      </c>
      <c r="HV365" s="48"/>
      <c r="HW365" s="37"/>
      <c r="HX365" s="73">
        <f t="shared" ref="HX365:HX371" si="3411">SUM(G365,I365,S365,U365,AE365,AG365,AQ365,AS365,BC365,BE365)/SUM(E365,Q365,AC365,AO365,BA365)</f>
        <v>0.35087719298245612</v>
      </c>
      <c r="HY365" s="73">
        <f t="shared" ref="HY365:HY371" si="3412">SUM(BO365,BQ365,CA365,CC365,CM365,CO365,CY365,DA365,DK365,DM365)/SUM(BM365,BY365,CK365,CW365,DI365)</f>
        <v>0.35321252059308073</v>
      </c>
      <c r="HZ365" s="73">
        <f t="shared" ref="HZ365:HZ371" si="3413">SUM(DW365,DY365,EI365,EK365,EU365,EW365,FG365,FI365)/SUM(DU365,EG365,ES365,FE365)</f>
        <v>0.40315748941085866</v>
      </c>
      <c r="IA365" s="73">
        <f t="shared" ref="IA365:IA371" si="3414">SUM(FS365,FU365,GE365,GG365,GQ365,GS365,HC365,HE365)/SUM(FQ365,GC365,GO365,HA365)</f>
        <v>0.39243323442136496</v>
      </c>
    </row>
    <row r="366" spans="1:244" x14ac:dyDescent="0.25">
      <c r="A366" s="374"/>
      <c r="B366" s="41">
        <f t="shared" ref="B366:B371" si="3415">+B365+1</f>
        <v>45222</v>
      </c>
      <c r="C366" s="10"/>
      <c r="D366" s="11"/>
      <c r="E366" s="69">
        <f t="shared" ref="E366:E371" si="3416">E365-C366</f>
        <v>794</v>
      </c>
      <c r="F366" s="69">
        <f t="shared" ref="F366:F371" si="3417">F365-D366</f>
        <v>62</v>
      </c>
      <c r="G366" s="11">
        <v>271</v>
      </c>
      <c r="H366" s="12">
        <f t="shared" si="3366"/>
        <v>0.3614609571788413</v>
      </c>
      <c r="I366" s="11">
        <v>16</v>
      </c>
      <c r="J366" s="12">
        <f t="shared" si="3367"/>
        <v>5.5749128919860627E-2</v>
      </c>
      <c r="K366" s="13"/>
      <c r="L366" s="11"/>
      <c r="M366" s="11"/>
      <c r="N366" s="14"/>
      <c r="O366" s="10"/>
      <c r="P366" s="11"/>
      <c r="Q366" s="69">
        <f t="shared" ref="Q366:Q371" si="3418">Q365-O366</f>
        <v>728</v>
      </c>
      <c r="R366" s="69">
        <f t="shared" ref="R366:R371" si="3419">R365-P366</f>
        <v>56</v>
      </c>
      <c r="S366" s="11">
        <v>243</v>
      </c>
      <c r="T366" s="12">
        <f t="shared" si="3368"/>
        <v>0.35989010989010989</v>
      </c>
      <c r="U366" s="11">
        <v>19</v>
      </c>
      <c r="V366" s="12">
        <f t="shared" si="3369"/>
        <v>7.2519083969465645E-2</v>
      </c>
      <c r="W366" s="13"/>
      <c r="X366" s="11"/>
      <c r="Y366" s="11"/>
      <c r="Z366" s="14"/>
      <c r="AA366" s="10"/>
      <c r="AB366" s="11">
        <v>1</v>
      </c>
      <c r="AC366" s="69">
        <f t="shared" ref="AC366:AC371" si="3420">AC365-AA366</f>
        <v>147</v>
      </c>
      <c r="AD366" s="69">
        <f t="shared" ref="AD366:AD371" si="3421">AD365-AB366</f>
        <v>10</v>
      </c>
      <c r="AE366" s="11">
        <v>55</v>
      </c>
      <c r="AF366" s="12">
        <f t="shared" si="3370"/>
        <v>0.40816326530612246</v>
      </c>
      <c r="AG366" s="11">
        <v>5</v>
      </c>
      <c r="AH366" s="12">
        <f t="shared" si="3371"/>
        <v>8.3333333333333329E-2</v>
      </c>
      <c r="AI366" s="13"/>
      <c r="AJ366" s="11"/>
      <c r="AK366" s="11"/>
      <c r="AL366" s="14"/>
      <c r="AM366" s="10"/>
      <c r="AN366" s="11"/>
      <c r="AO366" s="69">
        <f t="shared" ref="AO366:AO371" si="3422">AO365-AM366</f>
        <v>734</v>
      </c>
      <c r="AP366" s="69">
        <f t="shared" ref="AP366:AP371" si="3423">AP365-AN366</f>
        <v>57</v>
      </c>
      <c r="AQ366" s="11">
        <v>230</v>
      </c>
      <c r="AR366" s="12">
        <f t="shared" si="3372"/>
        <v>0.32970027247956402</v>
      </c>
      <c r="AS366" s="11">
        <v>12</v>
      </c>
      <c r="AT366" s="12">
        <f t="shared" si="3373"/>
        <v>4.9586776859504134E-2</v>
      </c>
      <c r="AU366" s="13"/>
      <c r="AV366" s="11"/>
      <c r="AW366" s="11"/>
      <c r="AX366" s="14"/>
      <c r="AY366" s="10">
        <v>3</v>
      </c>
      <c r="AZ366" s="11"/>
      <c r="BA366" s="69">
        <f t="shared" ref="BA366:BA371" si="3424">BA365-AY366</f>
        <v>729</v>
      </c>
      <c r="BB366" s="69">
        <f t="shared" ref="BB366:BB371" si="3425">BB365-AZ366</f>
        <v>57</v>
      </c>
      <c r="BC366" s="11">
        <v>227</v>
      </c>
      <c r="BD366" s="12">
        <f t="shared" si="3374"/>
        <v>0.35390946502057613</v>
      </c>
      <c r="BE366" s="11">
        <v>31</v>
      </c>
      <c r="BF366" s="12">
        <f t="shared" si="3375"/>
        <v>0.12015503875968993</v>
      </c>
      <c r="BG366" s="13"/>
      <c r="BH366" s="11"/>
      <c r="BI366" s="11"/>
      <c r="BJ366" s="14"/>
      <c r="BK366" s="10">
        <v>1</v>
      </c>
      <c r="BL366" s="11"/>
      <c r="BM366" s="69">
        <f t="shared" ref="BM366:BM371" si="3426">BM365-BK366</f>
        <v>775</v>
      </c>
      <c r="BN366" s="69">
        <f t="shared" ref="BN366:BN371" si="3427">BN365-BL366</f>
        <v>61</v>
      </c>
      <c r="BO366" s="11">
        <v>196</v>
      </c>
      <c r="BP366" s="12">
        <f t="shared" si="3376"/>
        <v>0.2593548387096774</v>
      </c>
      <c r="BQ366" s="11">
        <v>5</v>
      </c>
      <c r="BR366" s="12">
        <f t="shared" si="3377"/>
        <v>2.4875621890547265E-2</v>
      </c>
      <c r="BS366" s="13"/>
      <c r="BT366" s="11"/>
      <c r="BU366" s="11"/>
      <c r="BV366" s="14"/>
      <c r="BW366" s="10">
        <v>1</v>
      </c>
      <c r="BX366" s="11"/>
      <c r="BY366" s="69">
        <f t="shared" ref="BY366:BY371" si="3428">BY365-BW366</f>
        <v>717</v>
      </c>
      <c r="BZ366" s="69">
        <f t="shared" ref="BZ366:BZ371" si="3429">BZ365-BX366</f>
        <v>57</v>
      </c>
      <c r="CA366" s="11">
        <v>219</v>
      </c>
      <c r="CB366" s="12">
        <f t="shared" si="3378"/>
        <v>0.32078103207810321</v>
      </c>
      <c r="CC366" s="11">
        <v>11</v>
      </c>
      <c r="CD366" s="12">
        <f t="shared" si="3379"/>
        <v>4.7826086956521741E-2</v>
      </c>
      <c r="CE366" s="13"/>
      <c r="CF366" s="11"/>
      <c r="CG366" s="11"/>
      <c r="CH366" s="14"/>
      <c r="CI366" s="10"/>
      <c r="CJ366" s="11"/>
      <c r="CK366" s="69">
        <f t="shared" ref="CK366:CK371" si="3430">CK365-CI366</f>
        <v>120</v>
      </c>
      <c r="CL366" s="69">
        <f t="shared" ref="CL366:CL371" si="3431">CL365-CJ366</f>
        <v>10</v>
      </c>
      <c r="CM366" s="11">
        <v>43</v>
      </c>
      <c r="CN366" s="12">
        <f t="shared" si="3380"/>
        <v>0.39166666666666666</v>
      </c>
      <c r="CO366" s="11">
        <v>4</v>
      </c>
      <c r="CP366" s="12">
        <f t="shared" si="3381"/>
        <v>8.5106382978723402E-2</v>
      </c>
      <c r="CQ366" s="13"/>
      <c r="CR366" s="11"/>
      <c r="CS366" s="11"/>
      <c r="CT366" s="14"/>
      <c r="CU366" s="10"/>
      <c r="CV366" s="11"/>
      <c r="CW366" s="69">
        <f t="shared" ref="CW366:CW371" si="3432">CW365-CU366</f>
        <v>710</v>
      </c>
      <c r="CX366" s="69">
        <f t="shared" ref="CX366:CX371" si="3433">CX365-CV366</f>
        <v>56</v>
      </c>
      <c r="CY366" s="11">
        <v>233</v>
      </c>
      <c r="CZ366" s="12">
        <f t="shared" si="3382"/>
        <v>0.34225352112676055</v>
      </c>
      <c r="DA366" s="11">
        <v>10</v>
      </c>
      <c r="DB366" s="12">
        <f t="shared" si="3383"/>
        <v>4.1152263374485597E-2</v>
      </c>
      <c r="DC366" s="13"/>
      <c r="DD366" s="11"/>
      <c r="DE366" s="11"/>
      <c r="DF366" s="14"/>
      <c r="DG366" s="10"/>
      <c r="DH366" s="11"/>
      <c r="DI366" s="69">
        <f t="shared" ref="DI366:DI371" si="3434">DI365-DG366</f>
        <v>711</v>
      </c>
      <c r="DJ366" s="69">
        <f t="shared" ref="DJ366:DJ371" si="3435">DJ365-DH366</f>
        <v>55</v>
      </c>
      <c r="DK366" s="11">
        <v>252</v>
      </c>
      <c r="DL366" s="12">
        <f t="shared" si="3384"/>
        <v>0.37693389592123772</v>
      </c>
      <c r="DM366" s="11">
        <v>16</v>
      </c>
      <c r="DN366" s="12">
        <f t="shared" si="3385"/>
        <v>5.9701492537313432E-2</v>
      </c>
      <c r="DO366" s="13"/>
      <c r="DP366" s="11"/>
      <c r="DQ366" s="11"/>
      <c r="DR366" s="14"/>
      <c r="DS366" s="10"/>
      <c r="DT366" s="11"/>
      <c r="DU366" s="69">
        <f t="shared" ref="DU366:DU371" si="3436">DU365-DS366</f>
        <v>1622</v>
      </c>
      <c r="DV366" s="69">
        <f t="shared" ref="DV366:DV371" si="3437">DV365-DT366</f>
        <v>125</v>
      </c>
      <c r="DW366" s="11">
        <v>591</v>
      </c>
      <c r="DX366" s="12">
        <f t="shared" si="3386"/>
        <v>0.38409371146732429</v>
      </c>
      <c r="DY366" s="11">
        <v>32</v>
      </c>
      <c r="DZ366" s="12">
        <f t="shared" si="3387"/>
        <v>5.1364365971107544E-2</v>
      </c>
      <c r="EA366" s="13"/>
      <c r="EB366" s="11"/>
      <c r="EC366" s="11"/>
      <c r="ED366" s="14"/>
      <c r="EE366" s="10"/>
      <c r="EF366" s="11"/>
      <c r="EG366" s="69">
        <f t="shared" ref="EG366:EG371" si="3438">EG365-EE366</f>
        <v>141</v>
      </c>
      <c r="EH366" s="69">
        <f t="shared" ref="EH366:EH371" si="3439">EH365-EF366</f>
        <v>10</v>
      </c>
      <c r="EI366" s="11">
        <v>53</v>
      </c>
      <c r="EJ366" s="12">
        <f t="shared" si="3388"/>
        <v>0.3971631205673759</v>
      </c>
      <c r="EK366" s="11">
        <v>3</v>
      </c>
      <c r="EL366" s="12">
        <f t="shared" si="3389"/>
        <v>5.3571428571428568E-2</v>
      </c>
      <c r="EM366" s="13"/>
      <c r="EN366" s="11"/>
      <c r="EO366" s="11"/>
      <c r="EP366" s="14"/>
      <c r="EQ366" s="10">
        <v>1</v>
      </c>
      <c r="ER366" s="11"/>
      <c r="ES366" s="69">
        <f t="shared" ref="ES366:ES371" si="3440">ES365-EQ366</f>
        <v>833</v>
      </c>
      <c r="ET366" s="69">
        <f t="shared" ref="ET366:ET371" si="3441">ET365-ER366</f>
        <v>64</v>
      </c>
      <c r="EU366" s="11">
        <v>311</v>
      </c>
      <c r="EV366" s="12">
        <f t="shared" si="3390"/>
        <v>0.40096038415366148</v>
      </c>
      <c r="EW366" s="11">
        <v>23</v>
      </c>
      <c r="EX366" s="12">
        <f t="shared" si="3391"/>
        <v>6.8862275449101798E-2</v>
      </c>
      <c r="EY366" s="13"/>
      <c r="EZ366" s="11"/>
      <c r="FA366" s="11"/>
      <c r="FB366" s="14"/>
      <c r="FC366" s="10"/>
      <c r="FD366" s="11"/>
      <c r="FE366" s="69">
        <f t="shared" ref="FE366:FE371" si="3442">FE365-FC366</f>
        <v>0</v>
      </c>
      <c r="FF366" s="69">
        <f t="shared" ref="FF366:FF371" si="3443">FF365-FD366</f>
        <v>0</v>
      </c>
      <c r="FG366" s="11"/>
      <c r="FH366" s="12" t="e">
        <f t="shared" si="3392"/>
        <v>#DIV/0!</v>
      </c>
      <c r="FI366" s="11"/>
      <c r="FJ366" s="12" t="e">
        <f t="shared" si="3393"/>
        <v>#DIV/0!</v>
      </c>
      <c r="FK366" s="13"/>
      <c r="FL366" s="11"/>
      <c r="FM366" s="11"/>
      <c r="FN366" s="14"/>
      <c r="FO366" s="10"/>
      <c r="FP366" s="11"/>
      <c r="FQ366" s="69">
        <f t="shared" ref="FQ366:FQ371" si="3444">FQ365-FO366</f>
        <v>1688</v>
      </c>
      <c r="FR366" s="69">
        <f t="shared" ref="FR366:FR371" si="3445">FR365-FP366</f>
        <v>132</v>
      </c>
      <c r="FS366" s="11">
        <v>528</v>
      </c>
      <c r="FT366" s="12">
        <f t="shared" si="3394"/>
        <v>0.34063981042654029</v>
      </c>
      <c r="FU366" s="11">
        <v>47</v>
      </c>
      <c r="FV366" s="12">
        <f t="shared" si="3395"/>
        <v>8.1739130434782606E-2</v>
      </c>
      <c r="FW366" s="13"/>
      <c r="FX366" s="11"/>
      <c r="FY366" s="11"/>
      <c r="FZ366" s="14"/>
      <c r="GA366" s="10"/>
      <c r="GB366" s="11"/>
      <c r="GC366" s="69">
        <f t="shared" ref="GC366:GC371" si="3446">GC365-GA366</f>
        <v>125</v>
      </c>
      <c r="GD366" s="69">
        <f t="shared" ref="GD366:GD371" si="3447">GD365-GB366</f>
        <v>9</v>
      </c>
      <c r="GE366" s="11">
        <v>40</v>
      </c>
      <c r="GF366" s="12">
        <f t="shared" si="3396"/>
        <v>0.36</v>
      </c>
      <c r="GG366" s="11">
        <v>5</v>
      </c>
      <c r="GH366" s="12">
        <f t="shared" si="3397"/>
        <v>0.1111111111111111</v>
      </c>
      <c r="GI366" s="13"/>
      <c r="GJ366" s="11"/>
      <c r="GK366" s="11"/>
      <c r="GL366" s="14"/>
      <c r="GM366" s="10"/>
      <c r="GN366" s="11"/>
      <c r="GO366" s="69">
        <f t="shared" ref="GO366:GO371" si="3448">GO365-GM366</f>
        <v>883</v>
      </c>
      <c r="GP366" s="69">
        <f t="shared" ref="GP366:GP371" si="3449">GP365-GN366</f>
        <v>68</v>
      </c>
      <c r="GQ366" s="11">
        <v>348</v>
      </c>
      <c r="GR366" s="12">
        <f t="shared" si="3398"/>
        <v>0.42242355605889015</v>
      </c>
      <c r="GS366" s="11">
        <v>25</v>
      </c>
      <c r="GT366" s="12">
        <f t="shared" si="3399"/>
        <v>6.7024128686327081E-2</v>
      </c>
      <c r="GU366" s="13"/>
      <c r="GV366" s="11"/>
      <c r="GW366" s="11"/>
      <c r="GX366" s="14"/>
      <c r="GY366" s="10"/>
      <c r="GZ366" s="11"/>
      <c r="HA366" s="69">
        <f t="shared" ref="HA366:HA371" si="3450">HA365-GY366</f>
        <v>0</v>
      </c>
      <c r="HB366" s="69">
        <f t="shared" ref="HB366:HB371" si="3451">HB365-GZ366</f>
        <v>0</v>
      </c>
      <c r="HC366" s="11"/>
      <c r="HD366" s="12" t="e">
        <f t="shared" si="3400"/>
        <v>#DIV/0!</v>
      </c>
      <c r="HE366" s="11"/>
      <c r="HF366" s="12" t="e">
        <f t="shared" si="3401"/>
        <v>#DIV/0!</v>
      </c>
      <c r="HG366" s="13"/>
      <c r="HH366" s="11"/>
      <c r="HI366" s="11"/>
      <c r="HJ366" s="14"/>
      <c r="HK366" s="10">
        <f t="shared" si="3402"/>
        <v>6</v>
      </c>
      <c r="HL366" s="11">
        <f t="shared" si="3403"/>
        <v>1</v>
      </c>
      <c r="HM366" s="11">
        <f t="shared" si="3404"/>
        <v>11457</v>
      </c>
      <c r="HN366" s="11">
        <f t="shared" si="3405"/>
        <v>889</v>
      </c>
      <c r="HO366" s="11">
        <f t="shared" si="3406"/>
        <v>4104</v>
      </c>
      <c r="HP366" s="95">
        <f t="shared" si="3407"/>
        <v>0.35820895522388058</v>
      </c>
      <c r="HQ366" s="15">
        <f t="shared" si="3408"/>
        <v>264</v>
      </c>
      <c r="HR366" s="12">
        <f t="shared" si="3409"/>
        <v>6.4327485380116955E-2</v>
      </c>
      <c r="HS366" s="16">
        <v>69.099999999999994</v>
      </c>
      <c r="HT366" s="17">
        <v>3731</v>
      </c>
      <c r="HU366" s="16">
        <f t="shared" si="3410"/>
        <v>90.911306042884988</v>
      </c>
      <c r="HV366" s="15"/>
      <c r="HW366" s="14"/>
      <c r="HX366" s="73">
        <f t="shared" si="3411"/>
        <v>0.35408684546615582</v>
      </c>
      <c r="HY366" s="73">
        <f t="shared" si="3412"/>
        <v>0.32607978898780088</v>
      </c>
      <c r="HZ366" s="73">
        <f t="shared" si="3413"/>
        <v>0.39021571648690295</v>
      </c>
      <c r="IA366" s="73">
        <f t="shared" si="3414"/>
        <v>0.36832344213649854</v>
      </c>
    </row>
    <row r="367" spans="1:244" x14ac:dyDescent="0.25">
      <c r="A367" s="374"/>
      <c r="B367" s="41">
        <f t="shared" si="3415"/>
        <v>45223</v>
      </c>
      <c r="C367" s="10"/>
      <c r="D367" s="11"/>
      <c r="E367" s="69">
        <f t="shared" si="3416"/>
        <v>794</v>
      </c>
      <c r="F367" s="69">
        <f t="shared" si="3417"/>
        <v>62</v>
      </c>
      <c r="G367" s="11">
        <v>259</v>
      </c>
      <c r="H367" s="12">
        <f t="shared" si="3366"/>
        <v>0.34760705289672544</v>
      </c>
      <c r="I367" s="11">
        <v>17</v>
      </c>
      <c r="J367" s="12">
        <f t="shared" si="3367"/>
        <v>6.1594202898550728E-2</v>
      </c>
      <c r="K367" s="13"/>
      <c r="L367" s="11"/>
      <c r="M367" s="11"/>
      <c r="N367" s="14"/>
      <c r="O367" s="10"/>
      <c r="P367" s="11"/>
      <c r="Q367" s="69">
        <f t="shared" si="3418"/>
        <v>728</v>
      </c>
      <c r="R367" s="69">
        <f t="shared" si="3419"/>
        <v>56</v>
      </c>
      <c r="S367" s="11">
        <v>243</v>
      </c>
      <c r="T367" s="12">
        <f t="shared" si="3368"/>
        <v>0.36538461538461536</v>
      </c>
      <c r="U367" s="11">
        <v>23</v>
      </c>
      <c r="V367" s="12">
        <f t="shared" si="3369"/>
        <v>8.646616541353383E-2</v>
      </c>
      <c r="W367" s="13"/>
      <c r="X367" s="11"/>
      <c r="Y367" s="11"/>
      <c r="Z367" s="14"/>
      <c r="AA367" s="10"/>
      <c r="AB367" s="11"/>
      <c r="AC367" s="69">
        <f t="shared" si="3420"/>
        <v>147</v>
      </c>
      <c r="AD367" s="69">
        <f t="shared" si="3421"/>
        <v>10</v>
      </c>
      <c r="AE367" s="11">
        <v>43</v>
      </c>
      <c r="AF367" s="12">
        <f t="shared" si="3370"/>
        <v>0.33333333333333331</v>
      </c>
      <c r="AG367" s="11">
        <v>6</v>
      </c>
      <c r="AH367" s="12">
        <f t="shared" si="3371"/>
        <v>0.12244897959183673</v>
      </c>
      <c r="AI367" s="13"/>
      <c r="AJ367" s="11"/>
      <c r="AK367" s="11"/>
      <c r="AL367" s="14"/>
      <c r="AM367" s="10"/>
      <c r="AN367" s="11"/>
      <c r="AO367" s="69">
        <f t="shared" si="3422"/>
        <v>734</v>
      </c>
      <c r="AP367" s="69">
        <f t="shared" si="3423"/>
        <v>57</v>
      </c>
      <c r="AQ367" s="11">
        <v>261</v>
      </c>
      <c r="AR367" s="12">
        <f t="shared" si="3372"/>
        <v>0.38010899182561309</v>
      </c>
      <c r="AS367" s="11">
        <v>18</v>
      </c>
      <c r="AT367" s="12">
        <f t="shared" si="3373"/>
        <v>6.4516129032258063E-2</v>
      </c>
      <c r="AU367" s="13"/>
      <c r="AV367" s="11"/>
      <c r="AW367" s="11"/>
      <c r="AX367" s="14"/>
      <c r="AY367" s="10"/>
      <c r="AZ367" s="11"/>
      <c r="BA367" s="69">
        <f t="shared" si="3424"/>
        <v>729</v>
      </c>
      <c r="BB367" s="69">
        <f t="shared" si="3425"/>
        <v>57</v>
      </c>
      <c r="BC367" s="11">
        <v>252</v>
      </c>
      <c r="BD367" s="12">
        <f t="shared" si="3374"/>
        <v>0.37585733882030176</v>
      </c>
      <c r="BE367" s="11">
        <v>22</v>
      </c>
      <c r="BF367" s="12">
        <f t="shared" si="3375"/>
        <v>8.0291970802919707E-2</v>
      </c>
      <c r="BG367" s="13"/>
      <c r="BH367" s="11"/>
      <c r="BI367" s="11"/>
      <c r="BJ367" s="14"/>
      <c r="BK367" s="10"/>
      <c r="BL367" s="11"/>
      <c r="BM367" s="69">
        <f t="shared" si="3426"/>
        <v>775</v>
      </c>
      <c r="BN367" s="69">
        <f t="shared" si="3427"/>
        <v>61</v>
      </c>
      <c r="BO367" s="11">
        <v>236</v>
      </c>
      <c r="BP367" s="12">
        <f t="shared" si="3376"/>
        <v>0.32</v>
      </c>
      <c r="BQ367" s="11">
        <v>12</v>
      </c>
      <c r="BR367" s="12">
        <f t="shared" si="3377"/>
        <v>4.8387096774193547E-2</v>
      </c>
      <c r="BS367" s="13"/>
      <c r="BT367" s="11"/>
      <c r="BU367" s="11"/>
      <c r="BV367" s="14"/>
      <c r="BW367" s="10"/>
      <c r="BX367" s="11"/>
      <c r="BY367" s="69">
        <f t="shared" si="3428"/>
        <v>717</v>
      </c>
      <c r="BZ367" s="69">
        <f t="shared" si="3429"/>
        <v>57</v>
      </c>
      <c r="CA367" s="11">
        <v>238</v>
      </c>
      <c r="CB367" s="12">
        <f t="shared" si="3378"/>
        <v>0.36122733612273361</v>
      </c>
      <c r="CC367" s="11">
        <v>21</v>
      </c>
      <c r="CD367" s="12">
        <f t="shared" si="3379"/>
        <v>8.1081081081081086E-2</v>
      </c>
      <c r="CE367" s="13"/>
      <c r="CF367" s="11"/>
      <c r="CG367" s="11"/>
      <c r="CH367" s="14"/>
      <c r="CI367" s="10"/>
      <c r="CJ367" s="11"/>
      <c r="CK367" s="69">
        <f t="shared" si="3430"/>
        <v>120</v>
      </c>
      <c r="CL367" s="69">
        <f t="shared" si="3431"/>
        <v>10</v>
      </c>
      <c r="CM367" s="11">
        <v>42</v>
      </c>
      <c r="CN367" s="12">
        <f t="shared" si="3380"/>
        <v>0.38333333333333336</v>
      </c>
      <c r="CO367" s="11">
        <v>4</v>
      </c>
      <c r="CP367" s="12">
        <f t="shared" si="3381"/>
        <v>8.6956521739130432E-2</v>
      </c>
      <c r="CQ367" s="13"/>
      <c r="CR367" s="11"/>
      <c r="CS367" s="11"/>
      <c r="CT367" s="14"/>
      <c r="CU367" s="10"/>
      <c r="CV367" s="11"/>
      <c r="CW367" s="69">
        <f t="shared" si="3432"/>
        <v>710</v>
      </c>
      <c r="CX367" s="69">
        <f t="shared" si="3433"/>
        <v>56</v>
      </c>
      <c r="CY367" s="11">
        <v>246</v>
      </c>
      <c r="CZ367" s="12">
        <f t="shared" si="3382"/>
        <v>0.35774647887323946</v>
      </c>
      <c r="DA367" s="11">
        <v>8</v>
      </c>
      <c r="DB367" s="12">
        <f t="shared" si="3383"/>
        <v>3.1496062992125984E-2</v>
      </c>
      <c r="DC367" s="13"/>
      <c r="DD367" s="11"/>
      <c r="DE367" s="11"/>
      <c r="DF367" s="14"/>
      <c r="DG367" s="10"/>
      <c r="DH367" s="11"/>
      <c r="DI367" s="69">
        <f t="shared" si="3434"/>
        <v>711</v>
      </c>
      <c r="DJ367" s="69">
        <f t="shared" si="3435"/>
        <v>55</v>
      </c>
      <c r="DK367" s="11">
        <v>251</v>
      </c>
      <c r="DL367" s="12">
        <f t="shared" si="3384"/>
        <v>0.37552742616033757</v>
      </c>
      <c r="DM367" s="11">
        <v>16</v>
      </c>
      <c r="DN367" s="12">
        <f t="shared" si="3385"/>
        <v>5.9925093632958802E-2</v>
      </c>
      <c r="DO367" s="13"/>
      <c r="DP367" s="11"/>
      <c r="DQ367" s="11"/>
      <c r="DR367" s="14"/>
      <c r="DS367" s="10">
        <v>734</v>
      </c>
      <c r="DT367" s="11">
        <v>59</v>
      </c>
      <c r="DU367" s="69">
        <f t="shared" si="3436"/>
        <v>888</v>
      </c>
      <c r="DV367" s="69">
        <f t="shared" si="3437"/>
        <v>66</v>
      </c>
      <c r="DW367" s="11">
        <v>172</v>
      </c>
      <c r="DX367" s="12">
        <f t="shared" si="3386"/>
        <v>0.21734234234234234</v>
      </c>
      <c r="DY367" s="11">
        <v>21</v>
      </c>
      <c r="DZ367" s="12">
        <f t="shared" si="3387"/>
        <v>0.10880829015544041</v>
      </c>
      <c r="EA367" s="13"/>
      <c r="EB367" s="11"/>
      <c r="EC367" s="11"/>
      <c r="ED367" s="14"/>
      <c r="EE367" s="10">
        <v>141</v>
      </c>
      <c r="EF367" s="11">
        <v>10</v>
      </c>
      <c r="EG367" s="69">
        <f t="shared" si="3438"/>
        <v>0</v>
      </c>
      <c r="EH367" s="69">
        <f t="shared" si="3439"/>
        <v>0</v>
      </c>
      <c r="EI367" s="11">
        <v>7</v>
      </c>
      <c r="EJ367" s="12" t="e">
        <f t="shared" si="3388"/>
        <v>#DIV/0!</v>
      </c>
      <c r="EK367" s="11">
        <v>2</v>
      </c>
      <c r="EL367" s="12">
        <f t="shared" si="3389"/>
        <v>0.22222222222222221</v>
      </c>
      <c r="EM367" s="13"/>
      <c r="EN367" s="11"/>
      <c r="EO367" s="11"/>
      <c r="EP367" s="14"/>
      <c r="EQ367" s="10">
        <v>833</v>
      </c>
      <c r="ER367" s="11">
        <v>64</v>
      </c>
      <c r="ES367" s="69">
        <f t="shared" si="3440"/>
        <v>0</v>
      </c>
      <c r="ET367" s="69">
        <f t="shared" si="3441"/>
        <v>0</v>
      </c>
      <c r="EU367" s="11">
        <v>110</v>
      </c>
      <c r="EV367" s="12" t="e">
        <f t="shared" si="3390"/>
        <v>#DIV/0!</v>
      </c>
      <c r="EW367" s="11">
        <v>19</v>
      </c>
      <c r="EX367" s="12">
        <f t="shared" si="3391"/>
        <v>0.14728682170542637</v>
      </c>
      <c r="EY367" s="13"/>
      <c r="EZ367" s="11"/>
      <c r="FA367" s="11"/>
      <c r="FB367" s="14"/>
      <c r="FC367" s="10"/>
      <c r="FD367" s="11"/>
      <c r="FE367" s="69">
        <f t="shared" si="3442"/>
        <v>0</v>
      </c>
      <c r="FF367" s="69">
        <f t="shared" si="3443"/>
        <v>0</v>
      </c>
      <c r="FG367" s="11"/>
      <c r="FH367" s="12" t="e">
        <f t="shared" si="3392"/>
        <v>#DIV/0!</v>
      </c>
      <c r="FI367" s="11"/>
      <c r="FJ367" s="12" t="e">
        <f t="shared" si="3393"/>
        <v>#DIV/0!</v>
      </c>
      <c r="FK367" s="13"/>
      <c r="FL367" s="11"/>
      <c r="FM367" s="11"/>
      <c r="FN367" s="14"/>
      <c r="FO367" s="10">
        <v>1688</v>
      </c>
      <c r="FP367" s="11">
        <v>132</v>
      </c>
      <c r="FQ367" s="69">
        <f t="shared" si="3444"/>
        <v>0</v>
      </c>
      <c r="FR367" s="69">
        <f t="shared" si="3445"/>
        <v>0</v>
      </c>
      <c r="FS367" s="11">
        <v>286</v>
      </c>
      <c r="FT367" s="12" t="e">
        <f t="shared" si="3394"/>
        <v>#DIV/0!</v>
      </c>
      <c r="FU367" s="11">
        <v>47</v>
      </c>
      <c r="FV367" s="12">
        <f t="shared" si="3395"/>
        <v>0.14114114114114115</v>
      </c>
      <c r="FW367" s="13"/>
      <c r="FX367" s="11"/>
      <c r="FY367" s="11"/>
      <c r="FZ367" s="14"/>
      <c r="GA367" s="10">
        <v>125</v>
      </c>
      <c r="GB367" s="11">
        <v>9</v>
      </c>
      <c r="GC367" s="69">
        <f t="shared" si="3446"/>
        <v>0</v>
      </c>
      <c r="GD367" s="69">
        <f t="shared" si="3447"/>
        <v>0</v>
      </c>
      <c r="GE367" s="11">
        <v>19</v>
      </c>
      <c r="GF367" s="12" t="e">
        <f t="shared" si="3396"/>
        <v>#DIV/0!</v>
      </c>
      <c r="GG367" s="11">
        <v>5</v>
      </c>
      <c r="GH367" s="12">
        <f t="shared" si="3397"/>
        <v>0.20833333333333334</v>
      </c>
      <c r="GI367" s="13"/>
      <c r="GJ367" s="11"/>
      <c r="GK367" s="11"/>
      <c r="GL367" s="14"/>
      <c r="GM367" s="10">
        <v>883</v>
      </c>
      <c r="GN367" s="11">
        <v>68</v>
      </c>
      <c r="GO367" s="69">
        <f t="shared" si="3448"/>
        <v>0</v>
      </c>
      <c r="GP367" s="69">
        <f t="shared" si="3449"/>
        <v>0</v>
      </c>
      <c r="GQ367" s="11">
        <v>195</v>
      </c>
      <c r="GR367" s="12" t="e">
        <f t="shared" si="3398"/>
        <v>#DIV/0!</v>
      </c>
      <c r="GS367" s="11">
        <v>15</v>
      </c>
      <c r="GT367" s="12">
        <f t="shared" si="3399"/>
        <v>7.1428571428571425E-2</v>
      </c>
      <c r="GU367" s="13"/>
      <c r="GV367" s="11"/>
      <c r="GW367" s="11"/>
      <c r="GX367" s="14"/>
      <c r="GY367" s="10"/>
      <c r="GZ367" s="11"/>
      <c r="HA367" s="69">
        <f t="shared" si="3450"/>
        <v>0</v>
      </c>
      <c r="HB367" s="69">
        <f t="shared" si="3451"/>
        <v>0</v>
      </c>
      <c r="HC367" s="11"/>
      <c r="HD367" s="12" t="e">
        <f t="shared" si="3400"/>
        <v>#DIV/0!</v>
      </c>
      <c r="HE367" s="11"/>
      <c r="HF367" s="12" t="e">
        <f t="shared" si="3401"/>
        <v>#DIV/0!</v>
      </c>
      <c r="HG367" s="13"/>
      <c r="HH367" s="11"/>
      <c r="HI367" s="11"/>
      <c r="HJ367" s="14"/>
      <c r="HK367" s="10">
        <v>9</v>
      </c>
      <c r="HL367" s="11">
        <v>0</v>
      </c>
      <c r="HM367" s="372">
        <f t="shared" si="3404"/>
        <v>7053</v>
      </c>
      <c r="HN367" s="341">
        <f t="shared" si="3405"/>
        <v>547</v>
      </c>
      <c r="HO367" s="11">
        <f t="shared" si="3406"/>
        <v>3116</v>
      </c>
      <c r="HP367" s="95">
        <f t="shared" si="3407"/>
        <v>0.4417978165319722</v>
      </c>
      <c r="HQ367" s="15">
        <f t="shared" si="3408"/>
        <v>256</v>
      </c>
      <c r="HR367" s="12">
        <f t="shared" si="3409"/>
        <v>8.2156611039794603E-2</v>
      </c>
      <c r="HS367" s="16">
        <v>69.099999999999994</v>
      </c>
      <c r="HT367" s="17">
        <v>2770</v>
      </c>
      <c r="HU367" s="16">
        <f t="shared" si="3410"/>
        <v>88.896020539152758</v>
      </c>
      <c r="HV367" s="15"/>
      <c r="HW367" s="14"/>
      <c r="HX367" s="73">
        <f t="shared" si="3411"/>
        <v>0.36526181353767562</v>
      </c>
      <c r="HY367" s="73">
        <f t="shared" si="3412"/>
        <v>0.35410484668644904</v>
      </c>
      <c r="HZ367" s="73">
        <f t="shared" si="3413"/>
        <v>0.37274774774774777</v>
      </c>
      <c r="IA367" s="73" t="e">
        <f t="shared" si="3414"/>
        <v>#DIV/0!</v>
      </c>
    </row>
    <row r="368" spans="1:244" x14ac:dyDescent="0.25">
      <c r="A368" s="374"/>
      <c r="B368" s="41">
        <f t="shared" si="3415"/>
        <v>45224</v>
      </c>
      <c r="C368" s="10"/>
      <c r="D368" s="11"/>
      <c r="E368" s="69">
        <f t="shared" si="3416"/>
        <v>794</v>
      </c>
      <c r="F368" s="69">
        <f t="shared" si="3417"/>
        <v>62</v>
      </c>
      <c r="G368" s="11">
        <v>219</v>
      </c>
      <c r="H368" s="12">
        <f t="shared" si="3366"/>
        <v>0.2871536523929471</v>
      </c>
      <c r="I368" s="11">
        <v>9</v>
      </c>
      <c r="J368" s="12">
        <f t="shared" si="3367"/>
        <v>3.9473684210526314E-2</v>
      </c>
      <c r="K368" s="11"/>
      <c r="L368" s="11"/>
      <c r="M368" s="18"/>
      <c r="N368" s="20"/>
      <c r="O368" s="10"/>
      <c r="P368" s="11"/>
      <c r="Q368" s="69">
        <f t="shared" si="3418"/>
        <v>728</v>
      </c>
      <c r="R368" s="69">
        <f t="shared" si="3419"/>
        <v>56</v>
      </c>
      <c r="S368" s="11">
        <v>210</v>
      </c>
      <c r="T368" s="12">
        <f t="shared" si="3368"/>
        <v>0.30357142857142855</v>
      </c>
      <c r="U368" s="11">
        <v>11</v>
      </c>
      <c r="V368" s="12">
        <f t="shared" si="3369"/>
        <v>4.9773755656108594E-2</v>
      </c>
      <c r="W368" s="11"/>
      <c r="X368" s="11"/>
      <c r="Y368" s="18"/>
      <c r="Z368" s="20"/>
      <c r="AA368" s="10"/>
      <c r="AB368" s="11"/>
      <c r="AC368" s="69">
        <f t="shared" si="3420"/>
        <v>147</v>
      </c>
      <c r="AD368" s="69">
        <f t="shared" si="3421"/>
        <v>10</v>
      </c>
      <c r="AE368" s="11">
        <v>45</v>
      </c>
      <c r="AF368" s="12">
        <f t="shared" si="3370"/>
        <v>0.32653061224489793</v>
      </c>
      <c r="AG368" s="11">
        <v>3</v>
      </c>
      <c r="AH368" s="12">
        <f t="shared" si="3371"/>
        <v>6.25E-2</v>
      </c>
      <c r="AI368" s="11"/>
      <c r="AJ368" s="11"/>
      <c r="AK368" s="18"/>
      <c r="AL368" s="20"/>
      <c r="AM368" s="10"/>
      <c r="AN368" s="11"/>
      <c r="AO368" s="69">
        <f t="shared" si="3422"/>
        <v>734</v>
      </c>
      <c r="AP368" s="69">
        <f t="shared" si="3423"/>
        <v>57</v>
      </c>
      <c r="AQ368" s="11">
        <v>219</v>
      </c>
      <c r="AR368" s="12">
        <f t="shared" si="3372"/>
        <v>0.32016348773841963</v>
      </c>
      <c r="AS368" s="11">
        <v>16</v>
      </c>
      <c r="AT368" s="12">
        <f t="shared" si="3373"/>
        <v>6.8085106382978725E-2</v>
      </c>
      <c r="AU368" s="11"/>
      <c r="AV368" s="11"/>
      <c r="AW368" s="18"/>
      <c r="AX368" s="20"/>
      <c r="AY368" s="10">
        <v>480</v>
      </c>
      <c r="AZ368" s="11">
        <v>42</v>
      </c>
      <c r="BA368" s="69">
        <f t="shared" si="3424"/>
        <v>249</v>
      </c>
      <c r="BB368" s="69">
        <f t="shared" si="3425"/>
        <v>15</v>
      </c>
      <c r="BC368" s="11">
        <v>201</v>
      </c>
      <c r="BD368" s="12">
        <f t="shared" si="3374"/>
        <v>0.84337349397590367</v>
      </c>
      <c r="BE368" s="11">
        <v>9</v>
      </c>
      <c r="BF368" s="12">
        <f t="shared" si="3375"/>
        <v>4.2857142857142858E-2</v>
      </c>
      <c r="BG368" s="11"/>
      <c r="BH368" s="11"/>
      <c r="BI368" s="18"/>
      <c r="BJ368" s="20"/>
      <c r="BK368" s="10">
        <v>775</v>
      </c>
      <c r="BL368" s="11">
        <v>61</v>
      </c>
      <c r="BM368" s="69">
        <f t="shared" si="3426"/>
        <v>0</v>
      </c>
      <c r="BN368" s="69">
        <f t="shared" si="3427"/>
        <v>0</v>
      </c>
      <c r="BO368" s="11">
        <v>137</v>
      </c>
      <c r="BP368" s="12" t="e">
        <f t="shared" si="3376"/>
        <v>#DIV/0!</v>
      </c>
      <c r="BQ368" s="11">
        <v>5</v>
      </c>
      <c r="BR368" s="12">
        <f t="shared" si="3377"/>
        <v>3.5211267605633804E-2</v>
      </c>
      <c r="BS368" s="11"/>
      <c r="BT368" s="11"/>
      <c r="BU368" s="18"/>
      <c r="BV368" s="20"/>
      <c r="BW368" s="10">
        <v>717</v>
      </c>
      <c r="BX368" s="11">
        <v>57</v>
      </c>
      <c r="BY368" s="69">
        <f t="shared" si="3428"/>
        <v>0</v>
      </c>
      <c r="BZ368" s="69">
        <f t="shared" si="3429"/>
        <v>0</v>
      </c>
      <c r="CA368" s="11">
        <v>140</v>
      </c>
      <c r="CB368" s="12" t="e">
        <f t="shared" si="3378"/>
        <v>#DIV/0!</v>
      </c>
      <c r="CC368" s="11">
        <v>8</v>
      </c>
      <c r="CD368" s="12">
        <f t="shared" si="3379"/>
        <v>5.4054054054054057E-2</v>
      </c>
      <c r="CE368" s="11"/>
      <c r="CF368" s="11"/>
      <c r="CG368" s="18"/>
      <c r="CH368" s="20"/>
      <c r="CI368" s="10">
        <v>120</v>
      </c>
      <c r="CJ368" s="11">
        <v>10</v>
      </c>
      <c r="CK368" s="69">
        <f t="shared" si="3430"/>
        <v>0</v>
      </c>
      <c r="CL368" s="69">
        <f t="shared" si="3431"/>
        <v>0</v>
      </c>
      <c r="CM368" s="11">
        <v>26</v>
      </c>
      <c r="CN368" s="12" t="e">
        <f t="shared" si="3380"/>
        <v>#DIV/0!</v>
      </c>
      <c r="CO368" s="11">
        <v>1</v>
      </c>
      <c r="CP368" s="12">
        <f t="shared" si="3381"/>
        <v>3.7037037037037035E-2</v>
      </c>
      <c r="CQ368" s="11"/>
      <c r="CR368" s="11"/>
      <c r="CS368" s="18"/>
      <c r="CT368" s="20"/>
      <c r="CU368" s="10">
        <v>710</v>
      </c>
      <c r="CV368" s="11">
        <v>56</v>
      </c>
      <c r="CW368" s="69">
        <f t="shared" si="3432"/>
        <v>0</v>
      </c>
      <c r="CX368" s="69">
        <f t="shared" si="3433"/>
        <v>0</v>
      </c>
      <c r="CY368" s="11">
        <v>148</v>
      </c>
      <c r="CZ368" s="12" t="e">
        <f t="shared" si="3382"/>
        <v>#DIV/0!</v>
      </c>
      <c r="DA368" s="11">
        <v>3</v>
      </c>
      <c r="DB368" s="12">
        <f t="shared" si="3383"/>
        <v>1.9867549668874173E-2</v>
      </c>
      <c r="DC368" s="11"/>
      <c r="DD368" s="11"/>
      <c r="DE368" s="18"/>
      <c r="DF368" s="20"/>
      <c r="DG368" s="10">
        <v>711</v>
      </c>
      <c r="DH368" s="11">
        <v>55</v>
      </c>
      <c r="DI368" s="69">
        <f t="shared" si="3434"/>
        <v>0</v>
      </c>
      <c r="DJ368" s="69">
        <f t="shared" si="3435"/>
        <v>0</v>
      </c>
      <c r="DK368" s="11">
        <v>132</v>
      </c>
      <c r="DL368" s="12" t="e">
        <f t="shared" si="3384"/>
        <v>#DIV/0!</v>
      </c>
      <c r="DM368" s="11">
        <v>8</v>
      </c>
      <c r="DN368" s="12">
        <f t="shared" si="3385"/>
        <v>5.7142857142857141E-2</v>
      </c>
      <c r="DO368" s="11"/>
      <c r="DP368" s="11"/>
      <c r="DQ368" s="18"/>
      <c r="DR368" s="20"/>
      <c r="DS368" s="10">
        <v>888</v>
      </c>
      <c r="DT368" s="11">
        <v>66</v>
      </c>
      <c r="DU368" s="69">
        <f t="shared" si="3436"/>
        <v>0</v>
      </c>
      <c r="DV368" s="69">
        <f t="shared" si="3437"/>
        <v>0</v>
      </c>
      <c r="DW368" s="11">
        <v>0</v>
      </c>
      <c r="DX368" s="12" t="e">
        <f t="shared" si="3386"/>
        <v>#DIV/0!</v>
      </c>
      <c r="DY368" s="11">
        <v>0</v>
      </c>
      <c r="DZ368" s="12" t="e">
        <f t="shared" si="3387"/>
        <v>#DIV/0!</v>
      </c>
      <c r="EA368" s="11"/>
      <c r="EB368" s="11"/>
      <c r="EC368" s="18"/>
      <c r="ED368" s="20"/>
      <c r="EE368" s="10"/>
      <c r="EF368" s="11"/>
      <c r="EG368" s="69">
        <f t="shared" si="3438"/>
        <v>0</v>
      </c>
      <c r="EH368" s="69">
        <f t="shared" si="3439"/>
        <v>0</v>
      </c>
      <c r="EI368" s="11">
        <v>0</v>
      </c>
      <c r="EJ368" s="12" t="e">
        <f t="shared" si="3388"/>
        <v>#DIV/0!</v>
      </c>
      <c r="EK368" s="11">
        <v>0</v>
      </c>
      <c r="EL368" s="12" t="e">
        <f t="shared" si="3389"/>
        <v>#DIV/0!</v>
      </c>
      <c r="EM368" s="11"/>
      <c r="EN368" s="11"/>
      <c r="EO368" s="18"/>
      <c r="EP368" s="20"/>
      <c r="EQ368" s="10"/>
      <c r="ER368" s="11"/>
      <c r="ES368" s="69">
        <f t="shared" si="3440"/>
        <v>0</v>
      </c>
      <c r="ET368" s="69">
        <f t="shared" si="3441"/>
        <v>0</v>
      </c>
      <c r="EU368" s="11">
        <v>0</v>
      </c>
      <c r="EV368" s="12" t="e">
        <f t="shared" si="3390"/>
        <v>#DIV/0!</v>
      </c>
      <c r="EW368" s="11">
        <v>0</v>
      </c>
      <c r="EX368" s="12" t="e">
        <f t="shared" si="3391"/>
        <v>#DIV/0!</v>
      </c>
      <c r="EY368" s="11"/>
      <c r="EZ368" s="11"/>
      <c r="FA368" s="18"/>
      <c r="FB368" s="20"/>
      <c r="FC368" s="10"/>
      <c r="FD368" s="11"/>
      <c r="FE368" s="69">
        <f t="shared" si="3442"/>
        <v>0</v>
      </c>
      <c r="FF368" s="69">
        <f t="shared" si="3443"/>
        <v>0</v>
      </c>
      <c r="FG368" s="11"/>
      <c r="FH368" s="12" t="e">
        <f t="shared" si="3392"/>
        <v>#DIV/0!</v>
      </c>
      <c r="FI368" s="11"/>
      <c r="FJ368" s="12" t="e">
        <f t="shared" si="3393"/>
        <v>#DIV/0!</v>
      </c>
      <c r="FK368" s="11"/>
      <c r="FL368" s="11"/>
      <c r="FM368" s="18"/>
      <c r="FN368" s="20"/>
      <c r="FO368" s="10"/>
      <c r="FP368" s="11"/>
      <c r="FQ368" s="69">
        <f t="shared" si="3444"/>
        <v>0</v>
      </c>
      <c r="FR368" s="69">
        <f t="shared" si="3445"/>
        <v>0</v>
      </c>
      <c r="FS368" s="11"/>
      <c r="FT368" s="12" t="e">
        <f t="shared" si="3394"/>
        <v>#DIV/0!</v>
      </c>
      <c r="FU368" s="11"/>
      <c r="FV368" s="12" t="e">
        <f t="shared" si="3395"/>
        <v>#DIV/0!</v>
      </c>
      <c r="FW368" s="11"/>
      <c r="FX368" s="11"/>
      <c r="FY368" s="18"/>
      <c r="FZ368" s="20"/>
      <c r="GA368" s="10"/>
      <c r="GB368" s="11"/>
      <c r="GC368" s="69">
        <f t="shared" si="3446"/>
        <v>0</v>
      </c>
      <c r="GD368" s="69">
        <f t="shared" si="3447"/>
        <v>0</v>
      </c>
      <c r="GE368" s="11"/>
      <c r="GF368" s="12" t="e">
        <f t="shared" si="3396"/>
        <v>#DIV/0!</v>
      </c>
      <c r="GG368" s="11"/>
      <c r="GH368" s="12" t="e">
        <f t="shared" si="3397"/>
        <v>#DIV/0!</v>
      </c>
      <c r="GI368" s="11"/>
      <c r="GJ368" s="11"/>
      <c r="GK368" s="18"/>
      <c r="GL368" s="20"/>
      <c r="GM368" s="10"/>
      <c r="GN368" s="11"/>
      <c r="GO368" s="69">
        <f t="shared" si="3448"/>
        <v>0</v>
      </c>
      <c r="GP368" s="69">
        <f t="shared" si="3449"/>
        <v>0</v>
      </c>
      <c r="GQ368" s="11"/>
      <c r="GR368" s="12" t="e">
        <f t="shared" si="3398"/>
        <v>#DIV/0!</v>
      </c>
      <c r="GS368" s="11"/>
      <c r="GT368" s="12" t="e">
        <f t="shared" si="3399"/>
        <v>#DIV/0!</v>
      </c>
      <c r="GU368" s="11"/>
      <c r="GV368" s="11"/>
      <c r="GW368" s="18"/>
      <c r="GX368" s="20"/>
      <c r="GY368" s="10"/>
      <c r="GZ368" s="11"/>
      <c r="HA368" s="69">
        <f t="shared" si="3450"/>
        <v>0</v>
      </c>
      <c r="HB368" s="69">
        <f t="shared" si="3451"/>
        <v>0</v>
      </c>
      <c r="HC368" s="11"/>
      <c r="HD368" s="12" t="e">
        <f t="shared" si="3400"/>
        <v>#DIV/0!</v>
      </c>
      <c r="HE368" s="11"/>
      <c r="HF368" s="12" t="e">
        <f t="shared" si="3401"/>
        <v>#DIV/0!</v>
      </c>
      <c r="HG368" s="11"/>
      <c r="HH368" s="11"/>
      <c r="HI368" s="18"/>
      <c r="HJ368" s="20"/>
      <c r="HK368" s="10">
        <v>9</v>
      </c>
      <c r="HL368" s="11">
        <v>2</v>
      </c>
      <c r="HM368" s="341">
        <f t="shared" si="3404"/>
        <v>2652</v>
      </c>
      <c r="HN368" s="341">
        <f t="shared" si="3405"/>
        <v>200</v>
      </c>
      <c r="HO368" s="11">
        <f t="shared" si="3406"/>
        <v>1550</v>
      </c>
      <c r="HP368" s="95">
        <f t="shared" si="3407"/>
        <v>0.58446455505279038</v>
      </c>
      <c r="HQ368" s="15">
        <f t="shared" si="3408"/>
        <v>73</v>
      </c>
      <c r="HR368" s="12">
        <f t="shared" si="3409"/>
        <v>4.7096774193548387E-2</v>
      </c>
      <c r="HS368" s="16">
        <v>69.2</v>
      </c>
      <c r="HT368" s="17">
        <v>1455</v>
      </c>
      <c r="HU368" s="16">
        <f t="shared" si="3410"/>
        <v>93.870967741935488</v>
      </c>
      <c r="HV368" s="18"/>
      <c r="HW368" s="20"/>
      <c r="HX368" s="73">
        <f t="shared" si="3411"/>
        <v>0.35520361990950228</v>
      </c>
      <c r="HY368" s="73" t="e">
        <f t="shared" si="3412"/>
        <v>#DIV/0!</v>
      </c>
      <c r="HZ368" s="73" t="e">
        <f t="shared" si="3413"/>
        <v>#DIV/0!</v>
      </c>
      <c r="IA368" s="73" t="e">
        <f t="shared" si="3414"/>
        <v>#DIV/0!</v>
      </c>
    </row>
    <row r="369" spans="1:244" x14ac:dyDescent="0.25">
      <c r="A369" s="374"/>
      <c r="B369" s="41">
        <f>+B368+1</f>
        <v>45225</v>
      </c>
      <c r="C369" s="10">
        <v>785</v>
      </c>
      <c r="D369" s="11">
        <v>61</v>
      </c>
      <c r="E369" s="69">
        <f t="shared" si="3416"/>
        <v>9</v>
      </c>
      <c r="F369" s="69">
        <f t="shared" si="3417"/>
        <v>1</v>
      </c>
      <c r="G369" s="11">
        <v>370</v>
      </c>
      <c r="H369" s="12">
        <f t="shared" si="3366"/>
        <v>41.111111111111114</v>
      </c>
      <c r="I369" s="11"/>
      <c r="J369" s="12">
        <f t="shared" si="3367"/>
        <v>0</v>
      </c>
      <c r="K369" s="13"/>
      <c r="L369" s="13"/>
      <c r="M369" s="25"/>
      <c r="N369" s="38"/>
      <c r="O369" s="10">
        <v>728</v>
      </c>
      <c r="P369" s="11">
        <v>56</v>
      </c>
      <c r="Q369" s="69">
        <f t="shared" si="3418"/>
        <v>0</v>
      </c>
      <c r="R369" s="69">
        <f t="shared" si="3419"/>
        <v>0</v>
      </c>
      <c r="S369" s="11">
        <v>370</v>
      </c>
      <c r="T369" s="12" t="e">
        <f t="shared" si="3368"/>
        <v>#DIV/0!</v>
      </c>
      <c r="U369" s="11"/>
      <c r="V369" s="12">
        <f t="shared" si="3369"/>
        <v>0</v>
      </c>
      <c r="W369" s="13"/>
      <c r="X369" s="13"/>
      <c r="Y369" s="25"/>
      <c r="Z369" s="38"/>
      <c r="AA369" s="10">
        <v>147</v>
      </c>
      <c r="AB369" s="11">
        <v>10</v>
      </c>
      <c r="AC369" s="69">
        <f t="shared" si="3420"/>
        <v>0</v>
      </c>
      <c r="AD369" s="69">
        <f t="shared" si="3421"/>
        <v>0</v>
      </c>
      <c r="AE369" s="11">
        <v>119</v>
      </c>
      <c r="AF369" s="12" t="e">
        <f t="shared" si="3370"/>
        <v>#DIV/0!</v>
      </c>
      <c r="AG369" s="11"/>
      <c r="AH369" s="12">
        <f t="shared" si="3371"/>
        <v>0</v>
      </c>
      <c r="AI369" s="13"/>
      <c r="AJ369" s="13"/>
      <c r="AK369" s="25"/>
      <c r="AL369" s="38"/>
      <c r="AM369" s="10">
        <v>734</v>
      </c>
      <c r="AN369" s="11">
        <v>57</v>
      </c>
      <c r="AO369" s="69">
        <f t="shared" si="3422"/>
        <v>0</v>
      </c>
      <c r="AP369" s="69">
        <f t="shared" si="3423"/>
        <v>0</v>
      </c>
      <c r="AQ369" s="11">
        <v>369</v>
      </c>
      <c r="AR369" s="12" t="e">
        <f t="shared" si="3372"/>
        <v>#DIV/0!</v>
      </c>
      <c r="AS369" s="11"/>
      <c r="AT369" s="12">
        <f t="shared" si="3373"/>
        <v>0</v>
      </c>
      <c r="AU369" s="13"/>
      <c r="AV369" s="13"/>
      <c r="AW369" s="25"/>
      <c r="AX369" s="38"/>
      <c r="AY369" s="10">
        <v>249</v>
      </c>
      <c r="AZ369" s="11">
        <v>15</v>
      </c>
      <c r="BA369" s="69">
        <f t="shared" si="3424"/>
        <v>0</v>
      </c>
      <c r="BB369" s="69">
        <f t="shared" si="3425"/>
        <v>0</v>
      </c>
      <c r="BC369" s="11">
        <v>369</v>
      </c>
      <c r="BD369" s="12" t="e">
        <f t="shared" si="3374"/>
        <v>#DIV/0!</v>
      </c>
      <c r="BE369" s="11"/>
      <c r="BF369" s="12">
        <f t="shared" si="3375"/>
        <v>0</v>
      </c>
      <c r="BG369" s="13"/>
      <c r="BH369" s="13"/>
      <c r="BI369" s="25"/>
      <c r="BJ369" s="38"/>
      <c r="BK369" s="10"/>
      <c r="BL369" s="11"/>
      <c r="BM369" s="69">
        <f t="shared" si="3426"/>
        <v>0</v>
      </c>
      <c r="BN369" s="69">
        <f t="shared" si="3427"/>
        <v>0</v>
      </c>
      <c r="BO369" s="11"/>
      <c r="BP369" s="12" t="e">
        <f t="shared" si="3376"/>
        <v>#DIV/0!</v>
      </c>
      <c r="BQ369" s="11"/>
      <c r="BR369" s="12" t="e">
        <f t="shared" si="3377"/>
        <v>#DIV/0!</v>
      </c>
      <c r="BS369" s="13"/>
      <c r="BT369" s="13"/>
      <c r="BU369" s="25"/>
      <c r="BV369" s="38"/>
      <c r="BW369" s="10"/>
      <c r="BX369" s="11"/>
      <c r="BY369" s="69">
        <f t="shared" si="3428"/>
        <v>0</v>
      </c>
      <c r="BZ369" s="69">
        <f t="shared" si="3429"/>
        <v>0</v>
      </c>
      <c r="CA369" s="11"/>
      <c r="CB369" s="12" t="e">
        <f t="shared" si="3378"/>
        <v>#DIV/0!</v>
      </c>
      <c r="CC369" s="11"/>
      <c r="CD369" s="12" t="e">
        <f t="shared" si="3379"/>
        <v>#DIV/0!</v>
      </c>
      <c r="CE369" s="13"/>
      <c r="CF369" s="13"/>
      <c r="CG369" s="25"/>
      <c r="CH369" s="38"/>
      <c r="CI369" s="10"/>
      <c r="CJ369" s="11"/>
      <c r="CK369" s="69">
        <f t="shared" si="3430"/>
        <v>0</v>
      </c>
      <c r="CL369" s="69">
        <f t="shared" si="3431"/>
        <v>0</v>
      </c>
      <c r="CM369" s="11"/>
      <c r="CN369" s="12" t="e">
        <f t="shared" si="3380"/>
        <v>#DIV/0!</v>
      </c>
      <c r="CO369" s="11"/>
      <c r="CP369" s="12" t="e">
        <f t="shared" si="3381"/>
        <v>#DIV/0!</v>
      </c>
      <c r="CQ369" s="13"/>
      <c r="CR369" s="13"/>
      <c r="CS369" s="25"/>
      <c r="CT369" s="38"/>
      <c r="CU369" s="10"/>
      <c r="CV369" s="11"/>
      <c r="CW369" s="69">
        <f t="shared" si="3432"/>
        <v>0</v>
      </c>
      <c r="CX369" s="69">
        <f t="shared" si="3433"/>
        <v>0</v>
      </c>
      <c r="CY369" s="11"/>
      <c r="CZ369" s="12" t="e">
        <f t="shared" si="3382"/>
        <v>#DIV/0!</v>
      </c>
      <c r="DA369" s="11"/>
      <c r="DB369" s="12" t="e">
        <f t="shared" si="3383"/>
        <v>#DIV/0!</v>
      </c>
      <c r="DC369" s="13"/>
      <c r="DD369" s="13"/>
      <c r="DE369" s="25"/>
      <c r="DF369" s="38"/>
      <c r="DG369" s="10"/>
      <c r="DH369" s="11"/>
      <c r="DI369" s="69">
        <f t="shared" si="3434"/>
        <v>0</v>
      </c>
      <c r="DJ369" s="69">
        <f t="shared" si="3435"/>
        <v>0</v>
      </c>
      <c r="DK369" s="11"/>
      <c r="DL369" s="12" t="e">
        <f t="shared" si="3384"/>
        <v>#DIV/0!</v>
      </c>
      <c r="DM369" s="11"/>
      <c r="DN369" s="12" t="e">
        <f t="shared" si="3385"/>
        <v>#DIV/0!</v>
      </c>
      <c r="DO369" s="13"/>
      <c r="DP369" s="13"/>
      <c r="DQ369" s="25"/>
      <c r="DR369" s="38"/>
      <c r="DS369" s="10"/>
      <c r="DT369" s="11"/>
      <c r="DU369" s="69">
        <f t="shared" si="3436"/>
        <v>0</v>
      </c>
      <c r="DV369" s="69">
        <f t="shared" si="3437"/>
        <v>0</v>
      </c>
      <c r="DW369" s="11"/>
      <c r="DX369" s="12" t="e">
        <f t="shared" si="3386"/>
        <v>#DIV/0!</v>
      </c>
      <c r="DY369" s="11"/>
      <c r="DZ369" s="12" t="e">
        <f t="shared" si="3387"/>
        <v>#DIV/0!</v>
      </c>
      <c r="EA369" s="13"/>
      <c r="EB369" s="13"/>
      <c r="EC369" s="25"/>
      <c r="ED369" s="38"/>
      <c r="EE369" s="10"/>
      <c r="EF369" s="11"/>
      <c r="EG369" s="69">
        <f t="shared" si="3438"/>
        <v>0</v>
      </c>
      <c r="EH369" s="69">
        <f t="shared" si="3439"/>
        <v>0</v>
      </c>
      <c r="EI369" s="11"/>
      <c r="EJ369" s="12" t="e">
        <f t="shared" si="3388"/>
        <v>#DIV/0!</v>
      </c>
      <c r="EK369" s="11"/>
      <c r="EL369" s="12" t="e">
        <f t="shared" si="3389"/>
        <v>#DIV/0!</v>
      </c>
      <c r="EM369" s="13"/>
      <c r="EN369" s="13"/>
      <c r="EO369" s="25"/>
      <c r="EP369" s="38"/>
      <c r="EQ369" s="10"/>
      <c r="ER369" s="11"/>
      <c r="ES369" s="69">
        <f t="shared" si="3440"/>
        <v>0</v>
      </c>
      <c r="ET369" s="69">
        <f t="shared" si="3441"/>
        <v>0</v>
      </c>
      <c r="EU369" s="11"/>
      <c r="EV369" s="12" t="e">
        <f t="shared" si="3390"/>
        <v>#DIV/0!</v>
      </c>
      <c r="EW369" s="11"/>
      <c r="EX369" s="12" t="e">
        <f t="shared" si="3391"/>
        <v>#DIV/0!</v>
      </c>
      <c r="EY369" s="13"/>
      <c r="EZ369" s="13"/>
      <c r="FA369" s="25"/>
      <c r="FB369" s="38"/>
      <c r="FC369" s="10"/>
      <c r="FD369" s="11"/>
      <c r="FE369" s="69">
        <f t="shared" si="3442"/>
        <v>0</v>
      </c>
      <c r="FF369" s="69">
        <f t="shared" si="3443"/>
        <v>0</v>
      </c>
      <c r="FG369" s="11"/>
      <c r="FH369" s="12" t="e">
        <f t="shared" si="3392"/>
        <v>#DIV/0!</v>
      </c>
      <c r="FI369" s="11"/>
      <c r="FJ369" s="12" t="e">
        <f t="shared" si="3393"/>
        <v>#DIV/0!</v>
      </c>
      <c r="FK369" s="13"/>
      <c r="FL369" s="13"/>
      <c r="FM369" s="25"/>
      <c r="FN369" s="38"/>
      <c r="FO369" s="10"/>
      <c r="FP369" s="11"/>
      <c r="FQ369" s="69">
        <f t="shared" si="3444"/>
        <v>0</v>
      </c>
      <c r="FR369" s="69">
        <f t="shared" si="3445"/>
        <v>0</v>
      </c>
      <c r="FS369" s="11"/>
      <c r="FT369" s="12" t="e">
        <f t="shared" si="3394"/>
        <v>#DIV/0!</v>
      </c>
      <c r="FU369" s="11"/>
      <c r="FV369" s="12" t="e">
        <f t="shared" si="3395"/>
        <v>#DIV/0!</v>
      </c>
      <c r="FW369" s="13"/>
      <c r="FX369" s="13"/>
      <c r="FY369" s="25"/>
      <c r="FZ369" s="38"/>
      <c r="GA369" s="10"/>
      <c r="GB369" s="11"/>
      <c r="GC369" s="69">
        <f t="shared" si="3446"/>
        <v>0</v>
      </c>
      <c r="GD369" s="69">
        <f t="shared" si="3447"/>
        <v>0</v>
      </c>
      <c r="GE369" s="11"/>
      <c r="GF369" s="12" t="e">
        <f t="shared" si="3396"/>
        <v>#DIV/0!</v>
      </c>
      <c r="GG369" s="11"/>
      <c r="GH369" s="12" t="e">
        <f t="shared" si="3397"/>
        <v>#DIV/0!</v>
      </c>
      <c r="GI369" s="13"/>
      <c r="GJ369" s="13"/>
      <c r="GK369" s="25"/>
      <c r="GL369" s="38"/>
      <c r="GM369" s="10"/>
      <c r="GN369" s="11"/>
      <c r="GO369" s="69">
        <f t="shared" si="3448"/>
        <v>0</v>
      </c>
      <c r="GP369" s="69">
        <f t="shared" si="3449"/>
        <v>0</v>
      </c>
      <c r="GQ369" s="11"/>
      <c r="GR369" s="12" t="e">
        <f t="shared" si="3398"/>
        <v>#DIV/0!</v>
      </c>
      <c r="GS369" s="11"/>
      <c r="GT369" s="12" t="e">
        <f t="shared" si="3399"/>
        <v>#DIV/0!</v>
      </c>
      <c r="GU369" s="13"/>
      <c r="GV369" s="13"/>
      <c r="GW369" s="25"/>
      <c r="GX369" s="38"/>
      <c r="GY369" s="10"/>
      <c r="GZ369" s="11"/>
      <c r="HA369" s="69">
        <f t="shared" si="3450"/>
        <v>0</v>
      </c>
      <c r="HB369" s="69">
        <f t="shared" si="3451"/>
        <v>0</v>
      </c>
      <c r="HC369" s="11"/>
      <c r="HD369" s="12" t="e">
        <f t="shared" si="3400"/>
        <v>#DIV/0!</v>
      </c>
      <c r="HE369" s="11"/>
      <c r="HF369" s="12" t="e">
        <f t="shared" si="3401"/>
        <v>#DIV/0!</v>
      </c>
      <c r="HG369" s="13"/>
      <c r="HH369" s="13"/>
      <c r="HI369" s="25"/>
      <c r="HJ369" s="38"/>
      <c r="HK369" s="10">
        <v>8</v>
      </c>
      <c r="HL369" s="11">
        <v>2</v>
      </c>
      <c r="HM369" s="341">
        <f t="shared" si="3404"/>
        <v>9</v>
      </c>
      <c r="HN369" s="341">
        <f t="shared" si="3405"/>
        <v>1</v>
      </c>
      <c r="HO369" s="11">
        <f t="shared" si="3406"/>
        <v>1597</v>
      </c>
      <c r="HP369" s="95">
        <f t="shared" si="3407"/>
        <v>177.44444444444446</v>
      </c>
      <c r="HQ369" s="15">
        <f t="shared" si="3408"/>
        <v>0</v>
      </c>
      <c r="HR369" s="12">
        <f t="shared" si="3409"/>
        <v>0</v>
      </c>
      <c r="HS369" s="16">
        <v>0</v>
      </c>
      <c r="HT369" s="17">
        <v>0</v>
      </c>
      <c r="HU369" s="16">
        <f t="shared" si="3410"/>
        <v>0</v>
      </c>
      <c r="HV369" s="23"/>
      <c r="HW369" s="22"/>
      <c r="HX369" s="73">
        <f t="shared" si="3411"/>
        <v>177.44444444444446</v>
      </c>
      <c r="HY369" s="73" t="e">
        <f t="shared" si="3412"/>
        <v>#DIV/0!</v>
      </c>
      <c r="HZ369" s="73" t="e">
        <f t="shared" si="3413"/>
        <v>#DIV/0!</v>
      </c>
      <c r="IA369" s="73" t="e">
        <f t="shared" si="3414"/>
        <v>#DIV/0!</v>
      </c>
    </row>
    <row r="370" spans="1:244" x14ac:dyDescent="0.25">
      <c r="A370" s="374"/>
      <c r="B370" s="41">
        <f t="shared" si="3415"/>
        <v>45226</v>
      </c>
      <c r="C370" s="10"/>
      <c r="D370" s="11"/>
      <c r="E370" s="69">
        <f t="shared" si="3416"/>
        <v>9</v>
      </c>
      <c r="F370" s="69">
        <f t="shared" si="3417"/>
        <v>1</v>
      </c>
      <c r="G370" s="11">
        <v>315</v>
      </c>
      <c r="H370" s="12">
        <f t="shared" si="3366"/>
        <v>35</v>
      </c>
      <c r="I370" s="11"/>
      <c r="J370" s="12">
        <f t="shared" si="3367"/>
        <v>0</v>
      </c>
      <c r="K370" s="13"/>
      <c r="L370" s="11"/>
      <c r="M370" s="25"/>
      <c r="N370" s="38"/>
      <c r="O370" s="10"/>
      <c r="P370" s="11"/>
      <c r="Q370" s="69">
        <f t="shared" si="3418"/>
        <v>0</v>
      </c>
      <c r="R370" s="69">
        <f t="shared" si="3419"/>
        <v>0</v>
      </c>
      <c r="S370" s="11"/>
      <c r="T370" s="12" t="e">
        <f t="shared" si="3368"/>
        <v>#DIV/0!</v>
      </c>
      <c r="U370" s="11"/>
      <c r="V370" s="12" t="e">
        <f t="shared" si="3369"/>
        <v>#DIV/0!</v>
      </c>
      <c r="W370" s="13"/>
      <c r="X370" s="11"/>
      <c r="Y370" s="25"/>
      <c r="Z370" s="38"/>
      <c r="AA370" s="10"/>
      <c r="AB370" s="11"/>
      <c r="AC370" s="69">
        <f t="shared" si="3420"/>
        <v>0</v>
      </c>
      <c r="AD370" s="69">
        <f t="shared" si="3421"/>
        <v>0</v>
      </c>
      <c r="AE370" s="11"/>
      <c r="AF370" s="12" t="e">
        <f t="shared" si="3370"/>
        <v>#DIV/0!</v>
      </c>
      <c r="AG370" s="11"/>
      <c r="AH370" s="12" t="e">
        <f t="shared" si="3371"/>
        <v>#DIV/0!</v>
      </c>
      <c r="AI370" s="13"/>
      <c r="AJ370" s="11"/>
      <c r="AK370" s="25"/>
      <c r="AL370" s="38"/>
      <c r="AM370" s="10"/>
      <c r="AN370" s="11"/>
      <c r="AO370" s="69">
        <f t="shared" si="3422"/>
        <v>0</v>
      </c>
      <c r="AP370" s="69">
        <f t="shared" si="3423"/>
        <v>0</v>
      </c>
      <c r="AQ370" s="11"/>
      <c r="AR370" s="12" t="e">
        <f t="shared" si="3372"/>
        <v>#DIV/0!</v>
      </c>
      <c r="AS370" s="11"/>
      <c r="AT370" s="12" t="e">
        <f t="shared" si="3373"/>
        <v>#DIV/0!</v>
      </c>
      <c r="AU370" s="13"/>
      <c r="AV370" s="11"/>
      <c r="AW370" s="25"/>
      <c r="AX370" s="38"/>
      <c r="AY370" s="10"/>
      <c r="AZ370" s="11"/>
      <c r="BA370" s="69">
        <f t="shared" si="3424"/>
        <v>0</v>
      </c>
      <c r="BB370" s="69">
        <f t="shared" si="3425"/>
        <v>0</v>
      </c>
      <c r="BC370" s="11"/>
      <c r="BD370" s="12" t="e">
        <f t="shared" si="3374"/>
        <v>#DIV/0!</v>
      </c>
      <c r="BE370" s="11"/>
      <c r="BF370" s="12" t="e">
        <f t="shared" si="3375"/>
        <v>#DIV/0!</v>
      </c>
      <c r="BG370" s="13"/>
      <c r="BH370" s="11"/>
      <c r="BI370" s="25"/>
      <c r="BJ370" s="38"/>
      <c r="BK370" s="10"/>
      <c r="BL370" s="11"/>
      <c r="BM370" s="69">
        <f t="shared" si="3426"/>
        <v>0</v>
      </c>
      <c r="BN370" s="69">
        <f t="shared" si="3427"/>
        <v>0</v>
      </c>
      <c r="BO370" s="11"/>
      <c r="BP370" s="12" t="e">
        <f t="shared" si="3376"/>
        <v>#DIV/0!</v>
      </c>
      <c r="BQ370" s="11"/>
      <c r="BR370" s="12" t="e">
        <f t="shared" si="3377"/>
        <v>#DIV/0!</v>
      </c>
      <c r="BS370" s="13"/>
      <c r="BT370" s="11"/>
      <c r="BU370" s="25"/>
      <c r="BV370" s="38"/>
      <c r="BW370" s="10"/>
      <c r="BX370" s="11"/>
      <c r="BY370" s="69">
        <f t="shared" si="3428"/>
        <v>0</v>
      </c>
      <c r="BZ370" s="69">
        <f t="shared" si="3429"/>
        <v>0</v>
      </c>
      <c r="CA370" s="11"/>
      <c r="CB370" s="12" t="e">
        <f t="shared" si="3378"/>
        <v>#DIV/0!</v>
      </c>
      <c r="CC370" s="11"/>
      <c r="CD370" s="12" t="e">
        <f t="shared" si="3379"/>
        <v>#DIV/0!</v>
      </c>
      <c r="CE370" s="13"/>
      <c r="CF370" s="11"/>
      <c r="CG370" s="25"/>
      <c r="CH370" s="38"/>
      <c r="CI370" s="10"/>
      <c r="CJ370" s="11"/>
      <c r="CK370" s="69">
        <f t="shared" si="3430"/>
        <v>0</v>
      </c>
      <c r="CL370" s="69">
        <f t="shared" si="3431"/>
        <v>0</v>
      </c>
      <c r="CM370" s="11"/>
      <c r="CN370" s="12" t="e">
        <f t="shared" si="3380"/>
        <v>#DIV/0!</v>
      </c>
      <c r="CO370" s="11"/>
      <c r="CP370" s="12" t="e">
        <f t="shared" si="3381"/>
        <v>#DIV/0!</v>
      </c>
      <c r="CQ370" s="13"/>
      <c r="CR370" s="11"/>
      <c r="CS370" s="25"/>
      <c r="CT370" s="38"/>
      <c r="CU370" s="10"/>
      <c r="CV370" s="11"/>
      <c r="CW370" s="69">
        <f t="shared" si="3432"/>
        <v>0</v>
      </c>
      <c r="CX370" s="69">
        <f t="shared" si="3433"/>
        <v>0</v>
      </c>
      <c r="CY370" s="11"/>
      <c r="CZ370" s="12" t="e">
        <f t="shared" si="3382"/>
        <v>#DIV/0!</v>
      </c>
      <c r="DA370" s="11"/>
      <c r="DB370" s="12" t="e">
        <f t="shared" si="3383"/>
        <v>#DIV/0!</v>
      </c>
      <c r="DC370" s="13"/>
      <c r="DD370" s="11"/>
      <c r="DE370" s="25"/>
      <c r="DF370" s="38"/>
      <c r="DG370" s="10"/>
      <c r="DH370" s="11"/>
      <c r="DI370" s="69">
        <f t="shared" si="3434"/>
        <v>0</v>
      </c>
      <c r="DJ370" s="69">
        <f t="shared" si="3435"/>
        <v>0</v>
      </c>
      <c r="DK370" s="11"/>
      <c r="DL370" s="12" t="e">
        <f t="shared" si="3384"/>
        <v>#DIV/0!</v>
      </c>
      <c r="DM370" s="11"/>
      <c r="DN370" s="12" t="e">
        <f t="shared" si="3385"/>
        <v>#DIV/0!</v>
      </c>
      <c r="DO370" s="13"/>
      <c r="DP370" s="11"/>
      <c r="DQ370" s="25"/>
      <c r="DR370" s="38"/>
      <c r="DS370" s="10"/>
      <c r="DT370" s="11"/>
      <c r="DU370" s="69">
        <f t="shared" si="3436"/>
        <v>0</v>
      </c>
      <c r="DV370" s="69">
        <f t="shared" si="3437"/>
        <v>0</v>
      </c>
      <c r="DW370" s="11"/>
      <c r="DX370" s="12" t="e">
        <f t="shared" si="3386"/>
        <v>#DIV/0!</v>
      </c>
      <c r="DY370" s="11"/>
      <c r="DZ370" s="12" t="e">
        <f t="shared" si="3387"/>
        <v>#DIV/0!</v>
      </c>
      <c r="EA370" s="13"/>
      <c r="EB370" s="11"/>
      <c r="EC370" s="25"/>
      <c r="ED370" s="38"/>
      <c r="EE370" s="10"/>
      <c r="EF370" s="11"/>
      <c r="EG370" s="69">
        <f t="shared" si="3438"/>
        <v>0</v>
      </c>
      <c r="EH370" s="69">
        <f t="shared" si="3439"/>
        <v>0</v>
      </c>
      <c r="EI370" s="11"/>
      <c r="EJ370" s="12" t="e">
        <f t="shared" si="3388"/>
        <v>#DIV/0!</v>
      </c>
      <c r="EK370" s="11"/>
      <c r="EL370" s="12" t="e">
        <f t="shared" si="3389"/>
        <v>#DIV/0!</v>
      </c>
      <c r="EM370" s="13"/>
      <c r="EN370" s="11"/>
      <c r="EO370" s="25"/>
      <c r="EP370" s="38"/>
      <c r="EQ370" s="10"/>
      <c r="ER370" s="11"/>
      <c r="ES370" s="69">
        <f t="shared" si="3440"/>
        <v>0</v>
      </c>
      <c r="ET370" s="69">
        <f t="shared" si="3441"/>
        <v>0</v>
      </c>
      <c r="EU370" s="11"/>
      <c r="EV370" s="12" t="e">
        <f t="shared" si="3390"/>
        <v>#DIV/0!</v>
      </c>
      <c r="EW370" s="11"/>
      <c r="EX370" s="12" t="e">
        <f t="shared" si="3391"/>
        <v>#DIV/0!</v>
      </c>
      <c r="EY370" s="13"/>
      <c r="EZ370" s="11"/>
      <c r="FA370" s="25"/>
      <c r="FB370" s="38"/>
      <c r="FC370" s="10"/>
      <c r="FD370" s="11"/>
      <c r="FE370" s="69">
        <f t="shared" si="3442"/>
        <v>0</v>
      </c>
      <c r="FF370" s="69">
        <f t="shared" si="3443"/>
        <v>0</v>
      </c>
      <c r="FG370" s="11"/>
      <c r="FH370" s="12" t="e">
        <f t="shared" si="3392"/>
        <v>#DIV/0!</v>
      </c>
      <c r="FI370" s="11"/>
      <c r="FJ370" s="12" t="e">
        <f t="shared" si="3393"/>
        <v>#DIV/0!</v>
      </c>
      <c r="FK370" s="13"/>
      <c r="FL370" s="11"/>
      <c r="FM370" s="25"/>
      <c r="FN370" s="38"/>
      <c r="FO370" s="10"/>
      <c r="FP370" s="11"/>
      <c r="FQ370" s="69">
        <f t="shared" si="3444"/>
        <v>0</v>
      </c>
      <c r="FR370" s="69">
        <f t="shared" si="3445"/>
        <v>0</v>
      </c>
      <c r="FS370" s="11"/>
      <c r="FT370" s="12" t="e">
        <f t="shared" si="3394"/>
        <v>#DIV/0!</v>
      </c>
      <c r="FU370" s="11"/>
      <c r="FV370" s="12" t="e">
        <f t="shared" si="3395"/>
        <v>#DIV/0!</v>
      </c>
      <c r="FW370" s="13"/>
      <c r="FX370" s="11"/>
      <c r="FY370" s="25"/>
      <c r="FZ370" s="38"/>
      <c r="GA370" s="10"/>
      <c r="GB370" s="11"/>
      <c r="GC370" s="69">
        <f t="shared" si="3446"/>
        <v>0</v>
      </c>
      <c r="GD370" s="69">
        <f t="shared" si="3447"/>
        <v>0</v>
      </c>
      <c r="GE370" s="11"/>
      <c r="GF370" s="12" t="e">
        <f t="shared" si="3396"/>
        <v>#DIV/0!</v>
      </c>
      <c r="GG370" s="11"/>
      <c r="GH370" s="12" t="e">
        <f t="shared" si="3397"/>
        <v>#DIV/0!</v>
      </c>
      <c r="GI370" s="13"/>
      <c r="GJ370" s="11"/>
      <c r="GK370" s="25"/>
      <c r="GL370" s="38"/>
      <c r="GM370" s="10"/>
      <c r="GN370" s="11"/>
      <c r="GO370" s="69">
        <f t="shared" si="3448"/>
        <v>0</v>
      </c>
      <c r="GP370" s="69">
        <f t="shared" si="3449"/>
        <v>0</v>
      </c>
      <c r="GQ370" s="11"/>
      <c r="GR370" s="12" t="e">
        <f t="shared" si="3398"/>
        <v>#DIV/0!</v>
      </c>
      <c r="GS370" s="11"/>
      <c r="GT370" s="12" t="e">
        <f t="shared" si="3399"/>
        <v>#DIV/0!</v>
      </c>
      <c r="GU370" s="13"/>
      <c r="GV370" s="11"/>
      <c r="GW370" s="25"/>
      <c r="GX370" s="38"/>
      <c r="GY370" s="10"/>
      <c r="GZ370" s="11"/>
      <c r="HA370" s="69">
        <f t="shared" si="3450"/>
        <v>0</v>
      </c>
      <c r="HB370" s="69">
        <f t="shared" si="3451"/>
        <v>0</v>
      </c>
      <c r="HC370" s="11"/>
      <c r="HD370" s="12" t="e">
        <f t="shared" si="3400"/>
        <v>#DIV/0!</v>
      </c>
      <c r="HE370" s="11"/>
      <c r="HF370" s="12" t="e">
        <f t="shared" si="3401"/>
        <v>#DIV/0!</v>
      </c>
      <c r="HG370" s="13"/>
      <c r="HH370" s="11"/>
      <c r="HI370" s="25"/>
      <c r="HJ370" s="38"/>
      <c r="HK370" s="10">
        <f t="shared" si="3402"/>
        <v>0</v>
      </c>
      <c r="HL370" s="11">
        <f t="shared" si="3403"/>
        <v>0</v>
      </c>
      <c r="HM370" s="11">
        <f t="shared" si="3404"/>
        <v>9</v>
      </c>
      <c r="HN370" s="11">
        <f t="shared" si="3405"/>
        <v>1</v>
      </c>
      <c r="HO370" s="11">
        <f t="shared" si="3406"/>
        <v>315</v>
      </c>
      <c r="HP370" s="95">
        <f t="shared" si="3407"/>
        <v>35</v>
      </c>
      <c r="HQ370" s="15">
        <f t="shared" si="3408"/>
        <v>0</v>
      </c>
      <c r="HR370" s="12">
        <f t="shared" si="3409"/>
        <v>0</v>
      </c>
      <c r="HS370" s="16"/>
      <c r="HT370" s="17"/>
      <c r="HU370" s="16">
        <f t="shared" si="3410"/>
        <v>0</v>
      </c>
      <c r="HV370" s="23"/>
      <c r="HW370" s="22"/>
      <c r="HX370" s="73">
        <f t="shared" si="3411"/>
        <v>35</v>
      </c>
      <c r="HY370" s="73" t="e">
        <f t="shared" si="3412"/>
        <v>#DIV/0!</v>
      </c>
      <c r="HZ370" s="73" t="e">
        <f t="shared" si="3413"/>
        <v>#DIV/0!</v>
      </c>
      <c r="IA370" s="73" t="e">
        <f t="shared" si="3414"/>
        <v>#DIV/0!</v>
      </c>
    </row>
    <row r="371" spans="1:244" x14ac:dyDescent="0.25">
      <c r="A371" s="374"/>
      <c r="B371" s="41">
        <f t="shared" si="3415"/>
        <v>45227</v>
      </c>
      <c r="C371" s="10"/>
      <c r="D371" s="11"/>
      <c r="E371" s="69">
        <f t="shared" si="3416"/>
        <v>9</v>
      </c>
      <c r="F371" s="69">
        <f t="shared" si="3417"/>
        <v>1</v>
      </c>
      <c r="G371" s="11"/>
      <c r="H371" s="12">
        <f t="shared" si="3366"/>
        <v>0</v>
      </c>
      <c r="I371" s="11"/>
      <c r="J371" s="12" t="e">
        <f t="shared" si="3367"/>
        <v>#DIV/0!</v>
      </c>
      <c r="K371" s="13"/>
      <c r="L371" s="11"/>
      <c r="M371" s="39"/>
      <c r="N371" s="43"/>
      <c r="O371" s="10"/>
      <c r="P371" s="11"/>
      <c r="Q371" s="69">
        <f t="shared" si="3418"/>
        <v>0</v>
      </c>
      <c r="R371" s="69">
        <f t="shared" si="3419"/>
        <v>0</v>
      </c>
      <c r="S371" s="11"/>
      <c r="T371" s="12" t="e">
        <f t="shared" si="3368"/>
        <v>#DIV/0!</v>
      </c>
      <c r="U371" s="11"/>
      <c r="V371" s="12" t="e">
        <f t="shared" si="3369"/>
        <v>#DIV/0!</v>
      </c>
      <c r="W371" s="13"/>
      <c r="X371" s="11"/>
      <c r="Y371" s="39"/>
      <c r="Z371" s="43"/>
      <c r="AA371" s="10"/>
      <c r="AB371" s="11"/>
      <c r="AC371" s="69">
        <f t="shared" si="3420"/>
        <v>0</v>
      </c>
      <c r="AD371" s="69">
        <f t="shared" si="3421"/>
        <v>0</v>
      </c>
      <c r="AE371" s="11"/>
      <c r="AF371" s="12" t="e">
        <f t="shared" si="3370"/>
        <v>#DIV/0!</v>
      </c>
      <c r="AG371" s="11"/>
      <c r="AH371" s="12" t="e">
        <f t="shared" si="3371"/>
        <v>#DIV/0!</v>
      </c>
      <c r="AI371" s="13"/>
      <c r="AJ371" s="11"/>
      <c r="AK371" s="39"/>
      <c r="AL371" s="43"/>
      <c r="AM371" s="10"/>
      <c r="AN371" s="11"/>
      <c r="AO371" s="69">
        <f t="shared" si="3422"/>
        <v>0</v>
      </c>
      <c r="AP371" s="69">
        <f t="shared" si="3423"/>
        <v>0</v>
      </c>
      <c r="AQ371" s="11"/>
      <c r="AR371" s="12" t="e">
        <f t="shared" si="3372"/>
        <v>#DIV/0!</v>
      </c>
      <c r="AS371" s="11"/>
      <c r="AT371" s="12" t="e">
        <f t="shared" si="3373"/>
        <v>#DIV/0!</v>
      </c>
      <c r="AU371" s="13"/>
      <c r="AV371" s="11"/>
      <c r="AW371" s="39"/>
      <c r="AX371" s="43"/>
      <c r="AY371" s="10"/>
      <c r="AZ371" s="11"/>
      <c r="BA371" s="69">
        <f t="shared" si="3424"/>
        <v>0</v>
      </c>
      <c r="BB371" s="69">
        <f t="shared" si="3425"/>
        <v>0</v>
      </c>
      <c r="BC371" s="11"/>
      <c r="BD371" s="12" t="e">
        <f t="shared" si="3374"/>
        <v>#DIV/0!</v>
      </c>
      <c r="BE371" s="11"/>
      <c r="BF371" s="12" t="e">
        <f t="shared" si="3375"/>
        <v>#DIV/0!</v>
      </c>
      <c r="BG371" s="13"/>
      <c r="BH371" s="11"/>
      <c r="BI371" s="39"/>
      <c r="BJ371" s="43"/>
      <c r="BK371" s="10"/>
      <c r="BL371" s="11"/>
      <c r="BM371" s="69">
        <f t="shared" si="3426"/>
        <v>0</v>
      </c>
      <c r="BN371" s="69">
        <f t="shared" si="3427"/>
        <v>0</v>
      </c>
      <c r="BO371" s="11"/>
      <c r="BP371" s="12" t="e">
        <f t="shared" si="3376"/>
        <v>#DIV/0!</v>
      </c>
      <c r="BQ371" s="11"/>
      <c r="BR371" s="12" t="e">
        <f t="shared" si="3377"/>
        <v>#DIV/0!</v>
      </c>
      <c r="BS371" s="13"/>
      <c r="BT371" s="11"/>
      <c r="BU371" s="39"/>
      <c r="BV371" s="43"/>
      <c r="BW371" s="10"/>
      <c r="BX371" s="11"/>
      <c r="BY371" s="69">
        <f t="shared" si="3428"/>
        <v>0</v>
      </c>
      <c r="BZ371" s="69">
        <f t="shared" si="3429"/>
        <v>0</v>
      </c>
      <c r="CA371" s="11"/>
      <c r="CB371" s="12" t="e">
        <f t="shared" si="3378"/>
        <v>#DIV/0!</v>
      </c>
      <c r="CC371" s="11"/>
      <c r="CD371" s="12" t="e">
        <f t="shared" si="3379"/>
        <v>#DIV/0!</v>
      </c>
      <c r="CE371" s="13"/>
      <c r="CF371" s="11"/>
      <c r="CG371" s="39"/>
      <c r="CH371" s="43"/>
      <c r="CI371" s="10"/>
      <c r="CJ371" s="11"/>
      <c r="CK371" s="69">
        <f t="shared" si="3430"/>
        <v>0</v>
      </c>
      <c r="CL371" s="69">
        <f t="shared" si="3431"/>
        <v>0</v>
      </c>
      <c r="CM371" s="11"/>
      <c r="CN371" s="12" t="e">
        <f t="shared" si="3380"/>
        <v>#DIV/0!</v>
      </c>
      <c r="CO371" s="11"/>
      <c r="CP371" s="12" t="e">
        <f t="shared" si="3381"/>
        <v>#DIV/0!</v>
      </c>
      <c r="CQ371" s="13"/>
      <c r="CR371" s="11"/>
      <c r="CS371" s="39"/>
      <c r="CT371" s="43"/>
      <c r="CU371" s="10"/>
      <c r="CV371" s="11"/>
      <c r="CW371" s="69">
        <f t="shared" si="3432"/>
        <v>0</v>
      </c>
      <c r="CX371" s="69">
        <f t="shared" si="3433"/>
        <v>0</v>
      </c>
      <c r="CY371" s="11"/>
      <c r="CZ371" s="12" t="e">
        <f t="shared" si="3382"/>
        <v>#DIV/0!</v>
      </c>
      <c r="DA371" s="11"/>
      <c r="DB371" s="12" t="e">
        <f t="shared" si="3383"/>
        <v>#DIV/0!</v>
      </c>
      <c r="DC371" s="13"/>
      <c r="DD371" s="11"/>
      <c r="DE371" s="39"/>
      <c r="DF371" s="43"/>
      <c r="DG371" s="10"/>
      <c r="DH371" s="11"/>
      <c r="DI371" s="69">
        <f t="shared" si="3434"/>
        <v>0</v>
      </c>
      <c r="DJ371" s="69">
        <f t="shared" si="3435"/>
        <v>0</v>
      </c>
      <c r="DK371" s="11"/>
      <c r="DL371" s="12" t="e">
        <f t="shared" si="3384"/>
        <v>#DIV/0!</v>
      </c>
      <c r="DM371" s="11"/>
      <c r="DN371" s="12" t="e">
        <f t="shared" si="3385"/>
        <v>#DIV/0!</v>
      </c>
      <c r="DO371" s="13"/>
      <c r="DP371" s="11"/>
      <c r="DQ371" s="39"/>
      <c r="DR371" s="43"/>
      <c r="DS371" s="10"/>
      <c r="DT371" s="11"/>
      <c r="DU371" s="69">
        <f t="shared" si="3436"/>
        <v>0</v>
      </c>
      <c r="DV371" s="69">
        <f t="shared" si="3437"/>
        <v>0</v>
      </c>
      <c r="DW371" s="11"/>
      <c r="DX371" s="12" t="e">
        <f t="shared" si="3386"/>
        <v>#DIV/0!</v>
      </c>
      <c r="DY371" s="11"/>
      <c r="DZ371" s="12" t="e">
        <f t="shared" si="3387"/>
        <v>#DIV/0!</v>
      </c>
      <c r="EA371" s="13"/>
      <c r="EB371" s="11"/>
      <c r="EC371" s="39"/>
      <c r="ED371" s="43"/>
      <c r="EE371" s="10"/>
      <c r="EF371" s="11"/>
      <c r="EG371" s="69">
        <f t="shared" si="3438"/>
        <v>0</v>
      </c>
      <c r="EH371" s="69">
        <f t="shared" si="3439"/>
        <v>0</v>
      </c>
      <c r="EI371" s="11"/>
      <c r="EJ371" s="12" t="e">
        <f t="shared" si="3388"/>
        <v>#DIV/0!</v>
      </c>
      <c r="EK371" s="11"/>
      <c r="EL371" s="12" t="e">
        <f t="shared" si="3389"/>
        <v>#DIV/0!</v>
      </c>
      <c r="EM371" s="13"/>
      <c r="EN371" s="11"/>
      <c r="EO371" s="39"/>
      <c r="EP371" s="43"/>
      <c r="EQ371" s="10"/>
      <c r="ER371" s="11"/>
      <c r="ES371" s="69">
        <f t="shared" si="3440"/>
        <v>0</v>
      </c>
      <c r="ET371" s="69">
        <f t="shared" si="3441"/>
        <v>0</v>
      </c>
      <c r="EU371" s="11"/>
      <c r="EV371" s="12" t="e">
        <f t="shared" si="3390"/>
        <v>#DIV/0!</v>
      </c>
      <c r="EW371" s="11"/>
      <c r="EX371" s="12" t="e">
        <f t="shared" si="3391"/>
        <v>#DIV/0!</v>
      </c>
      <c r="EY371" s="13"/>
      <c r="EZ371" s="11"/>
      <c r="FA371" s="39"/>
      <c r="FB371" s="43"/>
      <c r="FC371" s="10"/>
      <c r="FD371" s="11"/>
      <c r="FE371" s="69">
        <f t="shared" si="3442"/>
        <v>0</v>
      </c>
      <c r="FF371" s="69">
        <f t="shared" si="3443"/>
        <v>0</v>
      </c>
      <c r="FG371" s="11"/>
      <c r="FH371" s="12" t="e">
        <f t="shared" si="3392"/>
        <v>#DIV/0!</v>
      </c>
      <c r="FI371" s="11"/>
      <c r="FJ371" s="12" t="e">
        <f t="shared" si="3393"/>
        <v>#DIV/0!</v>
      </c>
      <c r="FK371" s="13"/>
      <c r="FL371" s="11"/>
      <c r="FM371" s="39"/>
      <c r="FN371" s="43"/>
      <c r="FO371" s="10"/>
      <c r="FP371" s="11"/>
      <c r="FQ371" s="69">
        <f t="shared" si="3444"/>
        <v>0</v>
      </c>
      <c r="FR371" s="69">
        <f t="shared" si="3445"/>
        <v>0</v>
      </c>
      <c r="FS371" s="11"/>
      <c r="FT371" s="12" t="e">
        <f t="shared" si="3394"/>
        <v>#DIV/0!</v>
      </c>
      <c r="FU371" s="11"/>
      <c r="FV371" s="12" t="e">
        <f t="shared" si="3395"/>
        <v>#DIV/0!</v>
      </c>
      <c r="FW371" s="13"/>
      <c r="FX371" s="11"/>
      <c r="FY371" s="39"/>
      <c r="FZ371" s="43"/>
      <c r="GA371" s="10"/>
      <c r="GB371" s="11"/>
      <c r="GC371" s="69">
        <f t="shared" si="3446"/>
        <v>0</v>
      </c>
      <c r="GD371" s="69">
        <f t="shared" si="3447"/>
        <v>0</v>
      </c>
      <c r="GE371" s="11"/>
      <c r="GF371" s="12" t="e">
        <f t="shared" si="3396"/>
        <v>#DIV/0!</v>
      </c>
      <c r="GG371" s="11"/>
      <c r="GH371" s="12" t="e">
        <f t="shared" si="3397"/>
        <v>#DIV/0!</v>
      </c>
      <c r="GI371" s="13"/>
      <c r="GJ371" s="11"/>
      <c r="GK371" s="39"/>
      <c r="GL371" s="43"/>
      <c r="GM371" s="10"/>
      <c r="GN371" s="11"/>
      <c r="GO371" s="69">
        <f t="shared" si="3448"/>
        <v>0</v>
      </c>
      <c r="GP371" s="69">
        <f t="shared" si="3449"/>
        <v>0</v>
      </c>
      <c r="GQ371" s="11"/>
      <c r="GR371" s="12" t="e">
        <f t="shared" si="3398"/>
        <v>#DIV/0!</v>
      </c>
      <c r="GS371" s="11"/>
      <c r="GT371" s="12" t="e">
        <f t="shared" si="3399"/>
        <v>#DIV/0!</v>
      </c>
      <c r="GU371" s="13"/>
      <c r="GV371" s="11"/>
      <c r="GW371" s="39"/>
      <c r="GX371" s="43"/>
      <c r="GY371" s="10"/>
      <c r="GZ371" s="11"/>
      <c r="HA371" s="69">
        <f t="shared" si="3450"/>
        <v>0</v>
      </c>
      <c r="HB371" s="69">
        <f t="shared" si="3451"/>
        <v>0</v>
      </c>
      <c r="HC371" s="11"/>
      <c r="HD371" s="12" t="e">
        <f t="shared" si="3400"/>
        <v>#DIV/0!</v>
      </c>
      <c r="HE371" s="11"/>
      <c r="HF371" s="12" t="e">
        <f t="shared" si="3401"/>
        <v>#DIV/0!</v>
      </c>
      <c r="HG371" s="13"/>
      <c r="HH371" s="11"/>
      <c r="HI371" s="39"/>
      <c r="HJ371" s="43"/>
      <c r="HK371" s="10">
        <f t="shared" ref="HK371:HK372" si="3452">+C371+O371+AA371+AM371+AY371+BK371+BW371+CI371+CU371+DG371+DS371+EE371+EQ371+FC371+FO371+GA371+GM371+GY371</f>
        <v>0</v>
      </c>
      <c r="HL371" s="11">
        <f t="shared" ref="HL371:HL372" si="3453">+D371+P371+AB371+AN371+AZ371+BL371+BX371+CJ371+CV371+DH371+DT371+EF371+ER371+FD371+FP371+GB371+GN371+GZ371</f>
        <v>0</v>
      </c>
      <c r="HM371" s="11">
        <f t="shared" si="3404"/>
        <v>9</v>
      </c>
      <c r="HN371" s="11">
        <f t="shared" si="3405"/>
        <v>1</v>
      </c>
      <c r="HO371" s="11">
        <f t="shared" si="3406"/>
        <v>0</v>
      </c>
      <c r="HP371" s="95">
        <f t="shared" si="3407"/>
        <v>0</v>
      </c>
      <c r="HQ371" s="15">
        <f t="shared" si="3408"/>
        <v>0</v>
      </c>
      <c r="HR371" s="12" t="e">
        <f t="shared" si="3409"/>
        <v>#DIV/0!</v>
      </c>
      <c r="HS371" s="16"/>
      <c r="HT371" s="17"/>
      <c r="HU371" s="16" t="e">
        <f t="shared" si="3410"/>
        <v>#DIV/0!</v>
      </c>
      <c r="HV371" s="23"/>
      <c r="HW371" s="22"/>
      <c r="HX371" s="73">
        <f t="shared" si="3411"/>
        <v>0</v>
      </c>
      <c r="HY371" s="73" t="e">
        <f t="shared" si="3412"/>
        <v>#DIV/0!</v>
      </c>
      <c r="HZ371" s="73" t="e">
        <f t="shared" si="3413"/>
        <v>#DIV/0!</v>
      </c>
      <c r="IA371" s="73" t="e">
        <f t="shared" si="3414"/>
        <v>#DIV/0!</v>
      </c>
      <c r="IF371" s="85">
        <f>IF372/IF373</f>
        <v>0.99713010204081631</v>
      </c>
      <c r="IG371" s="85">
        <f>IG372/IG373</f>
        <v>1</v>
      </c>
      <c r="IH371" s="85">
        <f>IH372/IH373</f>
        <v>1</v>
      </c>
      <c r="II371" s="85">
        <f>II372/II373</f>
        <v>1</v>
      </c>
      <c r="IJ371" s="88" t="s">
        <v>90</v>
      </c>
    </row>
    <row r="372" spans="1:244" ht="19.5" thickBot="1" x14ac:dyDescent="0.3">
      <c r="A372" s="374"/>
      <c r="B372" s="42"/>
      <c r="C372" s="26">
        <f>SUM(C365:C371)</f>
        <v>785</v>
      </c>
      <c r="D372" s="27">
        <f>SUM(D365:D371)</f>
        <v>61</v>
      </c>
      <c r="E372" s="27"/>
      <c r="F372" s="27"/>
      <c r="G372" s="27">
        <f>SUM(G365:G371)</f>
        <v>1703</v>
      </c>
      <c r="H372" s="28">
        <f>((G372+I372)/7)/E371</f>
        <v>27.888888888888889</v>
      </c>
      <c r="I372" s="27">
        <f>SUM(I365:I371)</f>
        <v>54</v>
      </c>
      <c r="J372" s="28">
        <f>(I372/(I372+G372))</f>
        <v>3.0734206033010813E-2</v>
      </c>
      <c r="K372" s="27"/>
      <c r="L372" s="27"/>
      <c r="M372" s="29" t="e">
        <f>M370/M369*100-100</f>
        <v>#DIV/0!</v>
      </c>
      <c r="N372" s="67" t="e">
        <f>N370/N369*100-100</f>
        <v>#DIV/0!</v>
      </c>
      <c r="O372" s="26">
        <f>SUM(O365:O371)</f>
        <v>728</v>
      </c>
      <c r="P372" s="27">
        <f>SUM(P365:P371)</f>
        <v>56</v>
      </c>
      <c r="Q372" s="27"/>
      <c r="R372" s="27"/>
      <c r="S372" s="27">
        <f>SUM(S365:S371)</f>
        <v>1294</v>
      </c>
      <c r="T372" s="28" t="e">
        <f>((S372+U372)/7)/Q371</f>
        <v>#DIV/0!</v>
      </c>
      <c r="U372" s="27">
        <f>SUM(U365:U371)</f>
        <v>64</v>
      </c>
      <c r="V372" s="28">
        <f>(U372/(U372+S372))</f>
        <v>4.7128129602356406E-2</v>
      </c>
      <c r="W372" s="27"/>
      <c r="X372" s="27"/>
      <c r="Y372" s="29" t="e">
        <f>Y370/Y369*100-100</f>
        <v>#DIV/0!</v>
      </c>
      <c r="Z372" s="67" t="e">
        <f>Z370/Z369*100-100</f>
        <v>#DIV/0!</v>
      </c>
      <c r="AA372" s="26">
        <f>SUM(AA365:AA371)</f>
        <v>147</v>
      </c>
      <c r="AB372" s="27">
        <f>SUM(AB365:AB371)</f>
        <v>11</v>
      </c>
      <c r="AC372" s="27"/>
      <c r="AD372" s="27"/>
      <c r="AE372" s="27">
        <f>SUM(AE365:AE371)</f>
        <v>309</v>
      </c>
      <c r="AF372" s="28" t="e">
        <f>((AE372+AG372)/7)/AC371</f>
        <v>#DIV/0!</v>
      </c>
      <c r="AG372" s="27">
        <f>SUM(AG365:AG371)</f>
        <v>17</v>
      </c>
      <c r="AH372" s="28">
        <f>(AG372/(AG372+AE372))</f>
        <v>5.2147239263803678E-2</v>
      </c>
      <c r="AI372" s="27"/>
      <c r="AJ372" s="27"/>
      <c r="AK372" s="29" t="e">
        <f>AK370/AK369*100-100</f>
        <v>#DIV/0!</v>
      </c>
      <c r="AL372" s="67" t="e">
        <f>AL370/AL369*100-100</f>
        <v>#DIV/0!</v>
      </c>
      <c r="AM372" s="26">
        <f>SUM(AM365:AM371)</f>
        <v>734</v>
      </c>
      <c r="AN372" s="27">
        <f>SUM(AN365:AN371)</f>
        <v>57</v>
      </c>
      <c r="AO372" s="27"/>
      <c r="AP372" s="27"/>
      <c r="AQ372" s="27">
        <f>SUM(AQ365:AQ371)</f>
        <v>1354</v>
      </c>
      <c r="AR372" s="28" t="e">
        <f>((AQ372+AS372)/7)/AO371</f>
        <v>#DIV/0!</v>
      </c>
      <c r="AS372" s="27">
        <f>SUM(AS365:AS371)</f>
        <v>58</v>
      </c>
      <c r="AT372" s="28">
        <f>(AS372/(AS372+AQ372))</f>
        <v>4.1076487252124649E-2</v>
      </c>
      <c r="AU372" s="27"/>
      <c r="AV372" s="27"/>
      <c r="AW372" s="29" t="e">
        <f>AW370/AW369*100-100</f>
        <v>#DIV/0!</v>
      </c>
      <c r="AX372" s="67" t="e">
        <f>AX370/AX369*100-100</f>
        <v>#DIV/0!</v>
      </c>
      <c r="AY372" s="26">
        <f>SUM(AY365:AY371)</f>
        <v>733</v>
      </c>
      <c r="AZ372" s="27">
        <f>SUM(AZ365:AZ371)</f>
        <v>57</v>
      </c>
      <c r="BA372" s="27"/>
      <c r="BB372" s="27"/>
      <c r="BC372" s="27">
        <f>SUM(BC365:BC371)</f>
        <v>1276</v>
      </c>
      <c r="BD372" s="28" t="e">
        <f>((BC372+BE372)/7)/BA371</f>
        <v>#DIV/0!</v>
      </c>
      <c r="BE372" s="27">
        <f>SUM(BE365:BE371)</f>
        <v>78</v>
      </c>
      <c r="BF372" s="28">
        <f>(BE372/(BE372+BC372))</f>
        <v>5.7607090103397339E-2</v>
      </c>
      <c r="BG372" s="27"/>
      <c r="BH372" s="27"/>
      <c r="BI372" s="29" t="e">
        <f>BI370/BI369*100-100</f>
        <v>#DIV/0!</v>
      </c>
      <c r="BJ372" s="67" t="e">
        <f>BJ370/BJ369*100-100</f>
        <v>#DIV/0!</v>
      </c>
      <c r="BK372" s="26">
        <f>SUM(BK365:BK371)</f>
        <v>777</v>
      </c>
      <c r="BL372" s="27">
        <f>SUM(BL365:BL371)</f>
        <v>61</v>
      </c>
      <c r="BM372" s="27"/>
      <c r="BN372" s="27"/>
      <c r="BO372" s="27">
        <f>SUM(BO365:BO371)</f>
        <v>814</v>
      </c>
      <c r="BP372" s="28" t="e">
        <f>((BO372+BQ372)/7)/BM371</f>
        <v>#DIV/0!</v>
      </c>
      <c r="BQ372" s="27">
        <f>SUM(BQ365:BQ371)</f>
        <v>34</v>
      </c>
      <c r="BR372" s="28">
        <f>(BQ372/(BQ372+BO372))</f>
        <v>4.0094339622641507E-2</v>
      </c>
      <c r="BS372" s="27"/>
      <c r="BT372" s="27"/>
      <c r="BU372" s="29" t="e">
        <f>BU370/BU369*100-100</f>
        <v>#DIV/0!</v>
      </c>
      <c r="BV372" s="67" t="e">
        <f>BV370/BV369*100-100</f>
        <v>#DIV/0!</v>
      </c>
      <c r="BW372" s="26">
        <f>SUM(BW365:BW371)</f>
        <v>719</v>
      </c>
      <c r="BX372" s="27">
        <f>SUM(BX365:BX371)</f>
        <v>57</v>
      </c>
      <c r="BY372" s="27"/>
      <c r="BZ372" s="27"/>
      <c r="CA372" s="27">
        <f>SUM(CA365:CA371)</f>
        <v>833</v>
      </c>
      <c r="CB372" s="28" t="e">
        <f>((CA372+CC372)/7)/BY371</f>
        <v>#DIV/0!</v>
      </c>
      <c r="CC372" s="27">
        <f>SUM(CC365:CC371)</f>
        <v>53</v>
      </c>
      <c r="CD372" s="28">
        <f>(CC372/(CC372+CA372))</f>
        <v>5.9819413092550788E-2</v>
      </c>
      <c r="CE372" s="27"/>
      <c r="CF372" s="27"/>
      <c r="CG372" s="29" t="e">
        <f>CG370/CG369*100-100</f>
        <v>#DIV/0!</v>
      </c>
      <c r="CH372" s="67" t="e">
        <f>CH370/CH369*100-100</f>
        <v>#DIV/0!</v>
      </c>
      <c r="CI372" s="26">
        <f>SUM(CI365:CI371)</f>
        <v>120</v>
      </c>
      <c r="CJ372" s="27">
        <f>SUM(CJ365:CJ371)</f>
        <v>10</v>
      </c>
      <c r="CK372" s="27"/>
      <c r="CL372" s="27"/>
      <c r="CM372" s="27">
        <f>SUM(CM365:CM371)</f>
        <v>142</v>
      </c>
      <c r="CN372" s="28" t="e">
        <f>((CM372+CO372)/7)/CK371</f>
        <v>#DIV/0!</v>
      </c>
      <c r="CO372" s="27">
        <f>SUM(CO365:CO371)</f>
        <v>14</v>
      </c>
      <c r="CP372" s="28">
        <f>(CO372/(CO372+CM372))</f>
        <v>8.9743589743589744E-2</v>
      </c>
      <c r="CQ372" s="27"/>
      <c r="CR372" s="27"/>
      <c r="CS372" s="29" t="e">
        <f>CS370/CS369*100-100</f>
        <v>#DIV/0!</v>
      </c>
      <c r="CT372" s="67" t="e">
        <f>CT370/CT369*100-100</f>
        <v>#DIV/0!</v>
      </c>
      <c r="CU372" s="26">
        <f>SUM(CU365:CU371)</f>
        <v>710</v>
      </c>
      <c r="CV372" s="27">
        <f>SUM(CV365:CV371)</f>
        <v>56</v>
      </c>
      <c r="CW372" s="27"/>
      <c r="CX372" s="27"/>
      <c r="CY372" s="27">
        <f>SUM(CY365:CY371)</f>
        <v>873</v>
      </c>
      <c r="CZ372" s="28" t="e">
        <f>((CY372+DA372)/7)/CW371</f>
        <v>#DIV/0!</v>
      </c>
      <c r="DA372" s="27">
        <f>SUM(DA365:DA371)</f>
        <v>35</v>
      </c>
      <c r="DB372" s="28">
        <f>(DA372/(DA372+CY372))</f>
        <v>3.8546255506607931E-2</v>
      </c>
      <c r="DC372" s="27"/>
      <c r="DD372" s="27"/>
      <c r="DE372" s="29" t="e">
        <f>DE370/DE369*100-100</f>
        <v>#DIV/0!</v>
      </c>
      <c r="DF372" s="67" t="e">
        <f>DF370/DF369*100-100</f>
        <v>#DIV/0!</v>
      </c>
      <c r="DG372" s="26">
        <f>SUM(DG365:DG371)</f>
        <v>712</v>
      </c>
      <c r="DH372" s="27">
        <f>SUM(DH365:DH371)</f>
        <v>55</v>
      </c>
      <c r="DI372" s="27"/>
      <c r="DJ372" s="27"/>
      <c r="DK372" s="27">
        <f>SUM(DK365:DK371)</f>
        <v>890</v>
      </c>
      <c r="DL372" s="28" t="e">
        <f>((DK372+DM372)/7)/DI371</f>
        <v>#DIV/0!</v>
      </c>
      <c r="DM372" s="27">
        <f>SUM(DM365:DM371)</f>
        <v>55</v>
      </c>
      <c r="DN372" s="28">
        <f>(DM372/(DM372+DK372))</f>
        <v>5.8201058201058198E-2</v>
      </c>
      <c r="DO372" s="27"/>
      <c r="DP372" s="27"/>
      <c r="DQ372" s="29" t="e">
        <f>DQ370/DQ369*100-100</f>
        <v>#DIV/0!</v>
      </c>
      <c r="DR372" s="67" t="e">
        <f>DR370/DR369*100-100</f>
        <v>#DIV/0!</v>
      </c>
      <c r="DS372" s="26">
        <f>SUM(DS365:DS371)</f>
        <v>1623</v>
      </c>
      <c r="DT372" s="27">
        <f>SUM(DT365:DT371)</f>
        <v>125</v>
      </c>
      <c r="DU372" s="27"/>
      <c r="DV372" s="27"/>
      <c r="DW372" s="27">
        <f>SUM(DW365:DW371)</f>
        <v>1365</v>
      </c>
      <c r="DX372" s="28" t="e">
        <f>((DW372+DY372)/7)/DU371</f>
        <v>#DIV/0!</v>
      </c>
      <c r="DY372" s="27">
        <f>SUM(DY365:DY371)</f>
        <v>97</v>
      </c>
      <c r="DZ372" s="28">
        <f>(DY372/(DY372+DW372))</f>
        <v>6.6347469220246244E-2</v>
      </c>
      <c r="EA372" s="27"/>
      <c r="EB372" s="27"/>
      <c r="EC372" s="29" t="e">
        <f>EC370/EC369*100-100</f>
        <v>#DIV/0!</v>
      </c>
      <c r="ED372" s="67" t="e">
        <f>ED370/ED369*100-100</f>
        <v>#DIV/0!</v>
      </c>
      <c r="EE372" s="26">
        <f>SUM(EE365:EE371)</f>
        <v>141</v>
      </c>
      <c r="EF372" s="27">
        <f>SUM(EF365:EF371)</f>
        <v>11</v>
      </c>
      <c r="EG372" s="27"/>
      <c r="EH372" s="27"/>
      <c r="EI372" s="27">
        <f>SUM(EI365:EI371)</f>
        <v>109</v>
      </c>
      <c r="EJ372" s="28" t="e">
        <f>((EI372+EK372)/7)/EG371</f>
        <v>#DIV/0!</v>
      </c>
      <c r="EK372" s="27">
        <f>SUM(EK365:EK371)</f>
        <v>7</v>
      </c>
      <c r="EL372" s="28">
        <f>(EK372/(EK372+EI372))</f>
        <v>6.0344827586206899E-2</v>
      </c>
      <c r="EM372" s="27"/>
      <c r="EN372" s="27"/>
      <c r="EO372" s="29" t="e">
        <f>EO370/EO369*100-100</f>
        <v>#DIV/0!</v>
      </c>
      <c r="EP372" s="67" t="e">
        <f>EP370/EP369*100-100</f>
        <v>#DIV/0!</v>
      </c>
      <c r="EQ372" s="26">
        <f>SUM(EQ365:EQ371)</f>
        <v>834</v>
      </c>
      <c r="ER372" s="27">
        <f>SUM(ER365:ER371)</f>
        <v>64</v>
      </c>
      <c r="ES372" s="27"/>
      <c r="ET372" s="27"/>
      <c r="EU372" s="27">
        <f>SUM(EU365:EU371)</f>
        <v>738</v>
      </c>
      <c r="EV372" s="28" t="e">
        <f>((EU372+EW372)/7)/ES371</f>
        <v>#DIV/0!</v>
      </c>
      <c r="EW372" s="27">
        <f>SUM(EW365:EW371)</f>
        <v>75</v>
      </c>
      <c r="EX372" s="28">
        <f>(EW372/(EW372+EU372))</f>
        <v>9.2250922509225092E-2</v>
      </c>
      <c r="EY372" s="27"/>
      <c r="EZ372" s="27"/>
      <c r="FA372" s="29" t="e">
        <f>FA370/FA369*100-100</f>
        <v>#DIV/0!</v>
      </c>
      <c r="FB372" s="67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7" t="e">
        <f>FN370/FN369*100-100</f>
        <v>#DIV/0!</v>
      </c>
      <c r="FO372" s="26">
        <f>SUM(FO365:FO371)</f>
        <v>1688</v>
      </c>
      <c r="FP372" s="27">
        <f>SUM(FP365:FP371)</f>
        <v>132</v>
      </c>
      <c r="FQ372" s="27"/>
      <c r="FR372" s="27"/>
      <c r="FS372" s="27">
        <f>SUM(FS365:FS371)</f>
        <v>1367</v>
      </c>
      <c r="FT372" s="28" t="e">
        <f>((FS372+FU372)/7)/FQ371</f>
        <v>#DIV/0!</v>
      </c>
      <c r="FU372" s="27">
        <f>SUM(FU365:FU371)</f>
        <v>124</v>
      </c>
      <c r="FV372" s="28">
        <f>(FU372/(FU372+FS372))</f>
        <v>8.3165660630449362E-2</v>
      </c>
      <c r="FW372" s="27"/>
      <c r="FX372" s="27"/>
      <c r="FY372" s="29" t="e">
        <f>FY370/FY369*100-100</f>
        <v>#DIV/0!</v>
      </c>
      <c r="FZ372" s="67" t="e">
        <f>FZ370/FZ369*100-100</f>
        <v>#DIV/0!</v>
      </c>
      <c r="GA372" s="26">
        <f>SUM(GA365:GA371)</f>
        <v>125</v>
      </c>
      <c r="GB372" s="27">
        <f>SUM(GB365:GB371)</f>
        <v>9</v>
      </c>
      <c r="GC372" s="27"/>
      <c r="GD372" s="27"/>
      <c r="GE372" s="27">
        <f>SUM(GE365:GE371)</f>
        <v>106</v>
      </c>
      <c r="GF372" s="28" t="e">
        <f>((GE372+GG372)/7)/GC371</f>
        <v>#DIV/0!</v>
      </c>
      <c r="GG372" s="27">
        <f>SUM(GG365:GG371)</f>
        <v>14</v>
      </c>
      <c r="GH372" s="28">
        <f>(GG372/(GG372+GE372))</f>
        <v>0.11666666666666667</v>
      </c>
      <c r="GI372" s="27"/>
      <c r="GJ372" s="27"/>
      <c r="GK372" s="29" t="e">
        <f>GK370/GK369*100-100</f>
        <v>#DIV/0!</v>
      </c>
      <c r="GL372" s="67" t="e">
        <f>GL370/GL369*100-100</f>
        <v>#DIV/0!</v>
      </c>
      <c r="GM372" s="26">
        <f>SUM(GM365:GM371)</f>
        <v>884</v>
      </c>
      <c r="GN372" s="27">
        <f>SUM(GN365:GN371)</f>
        <v>68</v>
      </c>
      <c r="GO372" s="27"/>
      <c r="GP372" s="27"/>
      <c r="GQ372" s="27">
        <f>SUM(GQ365:GQ371)</f>
        <v>898</v>
      </c>
      <c r="GR372" s="28" t="e">
        <f>((GQ372+GS372)/7)/GO371</f>
        <v>#DIV/0!</v>
      </c>
      <c r="GS372" s="27">
        <f>SUM(GS365:GS371)</f>
        <v>109</v>
      </c>
      <c r="GT372" s="28">
        <f>(GS372/(GS372+GQ372))</f>
        <v>0.10824230387288977</v>
      </c>
      <c r="GU372" s="27"/>
      <c r="GV372" s="27"/>
      <c r="GW372" s="29" t="e">
        <f>GW370/GW369*100-100</f>
        <v>#DIV/0!</v>
      </c>
      <c r="GX372" s="67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7" t="e">
        <f>HJ370/HJ369*100-100</f>
        <v>#DIV/0!</v>
      </c>
      <c r="HK372" s="26">
        <f t="shared" si="3452"/>
        <v>11460</v>
      </c>
      <c r="HL372" s="27">
        <f t="shared" si="3453"/>
        <v>890</v>
      </c>
      <c r="HM372" s="27">
        <f t="shared" si="3404"/>
        <v>0</v>
      </c>
      <c r="HN372" s="27">
        <f t="shared" si="3405"/>
        <v>0</v>
      </c>
      <c r="HO372" s="27">
        <f t="shared" si="3406"/>
        <v>14959</v>
      </c>
      <c r="HP372" s="96">
        <f>+((HO372)/HM371)/7</f>
        <v>237.44444444444443</v>
      </c>
      <c r="HQ372" s="62">
        <f t="shared" si="3408"/>
        <v>888</v>
      </c>
      <c r="HR372" s="52">
        <f t="shared" si="3409"/>
        <v>5.9362256835349958E-2</v>
      </c>
      <c r="HS372" s="53">
        <f>SUM(HS365:HS371)/7</f>
        <v>39.49285714285714</v>
      </c>
      <c r="HT372" s="54">
        <f>SUM(HT365:HT371)</f>
        <v>11839</v>
      </c>
      <c r="HU372" s="53" t="e">
        <f>AVERAGE(HU365:HU371)</f>
        <v>#DIV/0!</v>
      </c>
      <c r="HV372" s="63" t="e">
        <f>HV370/HV369*100-100</f>
        <v>#DIV/0!</v>
      </c>
      <c r="HW372" s="67" t="e">
        <f>HW370/HW369*100-100</f>
        <v>#DIV/0!</v>
      </c>
      <c r="HX372" s="73">
        <f>SUM(G372,I372,S372,U372,AE372,AG372,AQ372,AS372,BC372,BE372)/7/SUM(E371,Q371,AC371,AO371,BA371)</f>
        <v>98.523809523809518</v>
      </c>
      <c r="HY372" s="73" t="e">
        <f>SUM(BO372,BQ372,CA372,CC372,CM372,CO372,CY372,DA372,DK372,DM372)/7/SUM(BM371,BY371,CK371,CW371,DI371)</f>
        <v>#DIV/0!</v>
      </c>
      <c r="HZ372" s="73" t="e">
        <f>SUM(DW372,DY372,EI372,EK372,EU372,EW372,FG372,FI372)/7/SUM(DU371,EG371,ES371,FE371)</f>
        <v>#DIV/0!</v>
      </c>
      <c r="IA372" s="73" t="e">
        <f>SUM(FS372,FU372,GE372,GG372,GQ372,GS372,HC372,HE372)/7/SUM(FQ371,GC371,GO371,HA371)</f>
        <v>#DIV/0!</v>
      </c>
      <c r="IB372" s="84">
        <f>SUM(I372,U372,AG372,AS372,BE372)/SUM(G372,I372,S372,U372,AE372,AG372,AQ372,AS372,BC372,BE372)</f>
        <v>4.3660383438053812E-2</v>
      </c>
      <c r="IC372" s="84">
        <f>SUM(BQ372,CC372,CO372,DA372,DM372)/SUM(BO372,BQ372,CA372,CC372,CM372,CO372,CY372,DA372,DK372,DM372)</f>
        <v>5.1028586695164309E-2</v>
      </c>
      <c r="ID372" s="84">
        <f>SUM(DY372,EK372,EW372,FI372)/SUM(DW372,DY372,EI372,EK372,EU372,EW372,FG372,FI372)</f>
        <v>7.4864073609368462E-2</v>
      </c>
      <c r="IE372" s="84">
        <f>SUM(FU372,GG372,GS372,HE372)/SUM(FS372,FU372,GE372,GG372,GQ372,GS372,HC372,HE372)</f>
        <v>9.4346829640947288E-2</v>
      </c>
      <c r="IF372" s="86">
        <f>SUM(C372,O372,AA372,AM372,AY372)</f>
        <v>3127</v>
      </c>
      <c r="IG372" s="86">
        <f>SUM(BK372,BW372,CI372,CU372,DG372)</f>
        <v>3038</v>
      </c>
      <c r="IH372" s="86">
        <f>SUM(DS372,EE372,EQ372,FC372)</f>
        <v>2598</v>
      </c>
      <c r="II372" s="86">
        <f>SUM(FO372,GA372,GM372,GY372)</f>
        <v>2697</v>
      </c>
      <c r="IJ372" s="88" t="s">
        <v>89</v>
      </c>
    </row>
    <row r="373" spans="1:244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105">
        <f>HK372/HM365</f>
        <v>0.9997382884061764</v>
      </c>
      <c r="HL373" s="106">
        <f>HL372/HN365</f>
        <v>1</v>
      </c>
      <c r="HM373" s="45"/>
      <c r="HN373" s="45"/>
      <c r="HO373" s="45"/>
      <c r="HP373" s="98"/>
      <c r="HQ373" s="45"/>
      <c r="HR373" s="45"/>
      <c r="HS373" s="45"/>
      <c r="HT373" s="55"/>
      <c r="HU373" s="45"/>
      <c r="HV373" s="45"/>
      <c r="HW373" s="46"/>
      <c r="HY373" s="72"/>
      <c r="HZ373" s="72"/>
      <c r="IA373" s="72"/>
      <c r="IF373" s="86">
        <f>SUM(E362,Q362,AC362,AO362,BA362)</f>
        <v>3136</v>
      </c>
      <c r="IG373" s="86">
        <f>SUM(BM362,BY362,CK362,CW362,DI362)</f>
        <v>3038</v>
      </c>
      <c r="IH373" s="86">
        <f>SUM(DU362,EG362,ES362,FE362)</f>
        <v>2598</v>
      </c>
      <c r="II373" s="86">
        <f>SUM(FQ362,GC362,GO362,HA362)</f>
        <v>2697</v>
      </c>
      <c r="IJ373" s="88" t="s">
        <v>84</v>
      </c>
    </row>
  </sheetData>
  <mergeCells count="65">
    <mergeCell ref="HK1:HW2"/>
    <mergeCell ref="C2:N2"/>
    <mergeCell ref="O2:Z2"/>
    <mergeCell ref="AA2:AL2"/>
    <mergeCell ref="AM2:AX2"/>
    <mergeCell ref="AY2:BJ2"/>
    <mergeCell ref="BK2:BV2"/>
    <mergeCell ref="BW2:CH2"/>
    <mergeCell ref="FO1:HJ1"/>
    <mergeCell ref="FO2:FZ2"/>
    <mergeCell ref="GA2:GL2"/>
    <mergeCell ref="C1:BJ1"/>
    <mergeCell ref="A347:A354"/>
    <mergeCell ref="GY2:HJ2"/>
    <mergeCell ref="A212:A219"/>
    <mergeCell ref="DS1:FN1"/>
    <mergeCell ref="A356:A363"/>
    <mergeCell ref="A32:A39"/>
    <mergeCell ref="GM2:GX2"/>
    <mergeCell ref="EE2:EP2"/>
    <mergeCell ref="FC2:FN2"/>
    <mergeCell ref="EQ2:FB2"/>
    <mergeCell ref="CU2:DF2"/>
    <mergeCell ref="DG2:DR2"/>
    <mergeCell ref="DS2:ED2"/>
    <mergeCell ref="A41:A48"/>
    <mergeCell ref="A176:A183"/>
    <mergeCell ref="CI2:CT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5:A12"/>
    <mergeCell ref="A14:A21"/>
    <mergeCell ref="A23:A30"/>
    <mergeCell ref="A1:B2"/>
    <mergeCell ref="BK1:DR1"/>
    <mergeCell ref="A329:A336"/>
    <mergeCell ref="A338:A345"/>
    <mergeCell ref="A320:A327"/>
    <mergeCell ref="A77:A84"/>
    <mergeCell ref="A230:A237"/>
    <mergeCell ref="A239:A246"/>
    <mergeCell ref="A248:A255"/>
    <mergeCell ref="A266:A273"/>
    <mergeCell ref="A167:A174"/>
    <mergeCell ref="A158:A165"/>
    <mergeCell ref="A86:A93"/>
    <mergeCell ref="A194:A201"/>
    <mergeCell ref="A257:A264"/>
    <mergeCell ref="A311:A318"/>
    <mergeCell ref="A293:A300"/>
    <mergeCell ref="A302:A309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RowHeight="15" x14ac:dyDescent="0.25"/>
  <cols>
    <col min="1" max="2" width="13.28515625" style="70" bestFit="1" customWidth="1"/>
    <col min="3" max="3" width="11" style="70" bestFit="1" customWidth="1"/>
    <col min="4" max="4" width="11.28515625" style="70" bestFit="1" customWidth="1"/>
    <col min="5" max="5" width="11" style="70" bestFit="1" customWidth="1"/>
    <col min="6" max="6" width="11.28515625" style="70" bestFit="1" customWidth="1"/>
    <col min="7" max="7" width="11" style="70" bestFit="1" customWidth="1"/>
    <col min="8" max="8" width="11.28515625" style="70" bestFit="1" customWidth="1"/>
    <col min="9" max="9" width="11" style="70" bestFit="1" customWidth="1"/>
    <col min="10" max="10" width="11.28515625" style="70" bestFit="1" customWidth="1"/>
    <col min="11" max="11" width="11" style="70" bestFit="1" customWidth="1"/>
    <col min="12" max="12" width="11.28515625" style="70" bestFit="1" customWidth="1"/>
    <col min="13" max="13" width="11" style="70" bestFit="1" customWidth="1"/>
    <col min="14" max="14" width="11.28515625" style="70" bestFit="1" customWidth="1"/>
    <col min="15" max="15" width="11" style="70" bestFit="1" customWidth="1"/>
    <col min="16" max="16" width="11.28515625" style="70" bestFit="1" customWidth="1"/>
    <col min="17" max="17" width="11" style="70" bestFit="1" customWidth="1"/>
    <col min="18" max="18" width="11.28515625" style="70" bestFit="1" customWidth="1"/>
    <col min="19" max="19" width="11" style="70" bestFit="1" customWidth="1"/>
    <col min="20" max="20" width="11.28515625" style="70" bestFit="1" customWidth="1"/>
    <col min="21" max="16384" width="11.42578125" style="70"/>
  </cols>
  <sheetData>
    <row r="1" spans="1:20" ht="15.75" thickBot="1" x14ac:dyDescent="0.3"/>
    <row r="2" spans="1:20" s="321" customFormat="1" ht="21.75" thickBot="1" x14ac:dyDescent="0.3">
      <c r="A2" s="401" t="s">
        <v>145</v>
      </c>
      <c r="B2" s="401"/>
      <c r="C2" s="421" t="s">
        <v>142</v>
      </c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3"/>
    </row>
    <row r="3" spans="1:20" s="321" customFormat="1" ht="21.75" thickBot="1" x14ac:dyDescent="0.3">
      <c r="C3" s="424" t="s">
        <v>144</v>
      </c>
      <c r="D3" s="425"/>
      <c r="E3" s="425"/>
      <c r="F3" s="425"/>
      <c r="G3" s="425"/>
      <c r="H3" s="425"/>
      <c r="I3" s="425"/>
      <c r="J3" s="425"/>
      <c r="K3" s="425"/>
      <c r="L3" s="426"/>
      <c r="M3" s="427" t="s">
        <v>143</v>
      </c>
      <c r="N3" s="428"/>
      <c r="O3" s="428"/>
      <c r="P3" s="428"/>
      <c r="Q3" s="428"/>
      <c r="R3" s="428"/>
      <c r="S3" s="428"/>
      <c r="T3" s="429"/>
    </row>
    <row r="4" spans="1:20" ht="15" customHeight="1" thickBot="1" x14ac:dyDescent="0.3">
      <c r="A4" s="402" t="s">
        <v>139</v>
      </c>
      <c r="B4" s="409"/>
      <c r="C4" s="413" t="s">
        <v>134</v>
      </c>
      <c r="D4" s="414"/>
      <c r="E4" s="415" t="s">
        <v>133</v>
      </c>
      <c r="F4" s="416"/>
      <c r="G4" s="413" t="s">
        <v>132</v>
      </c>
      <c r="H4" s="414"/>
      <c r="I4" s="417" t="s">
        <v>131</v>
      </c>
      <c r="J4" s="418"/>
      <c r="K4" s="413" t="s">
        <v>130</v>
      </c>
      <c r="L4" s="414"/>
      <c r="M4" s="419" t="s">
        <v>134</v>
      </c>
      <c r="N4" s="420"/>
      <c r="O4" s="403" t="s">
        <v>133</v>
      </c>
      <c r="P4" s="404"/>
      <c r="Q4" s="419" t="s">
        <v>132</v>
      </c>
      <c r="R4" s="420"/>
      <c r="S4" s="403" t="s">
        <v>131</v>
      </c>
      <c r="T4" s="404"/>
    </row>
    <row r="5" spans="1:20" ht="15" customHeight="1" x14ac:dyDescent="0.25">
      <c r="A5" s="233"/>
      <c r="B5" s="233"/>
      <c r="C5" s="280" t="s">
        <v>128</v>
      </c>
      <c r="D5" s="279" t="s">
        <v>127</v>
      </c>
      <c r="E5" s="280" t="s">
        <v>128</v>
      </c>
      <c r="F5" s="279" t="s">
        <v>127</v>
      </c>
      <c r="G5" s="280" t="s">
        <v>128</v>
      </c>
      <c r="H5" s="279" t="s">
        <v>127</v>
      </c>
      <c r="I5" s="282" t="s">
        <v>128</v>
      </c>
      <c r="J5" s="281" t="s">
        <v>127</v>
      </c>
      <c r="K5" s="280" t="s">
        <v>128</v>
      </c>
      <c r="L5" s="279" t="s">
        <v>127</v>
      </c>
      <c r="M5" s="280" t="s">
        <v>128</v>
      </c>
      <c r="N5" s="279" t="s">
        <v>127</v>
      </c>
      <c r="O5" s="282" t="s">
        <v>128</v>
      </c>
      <c r="P5" s="281" t="s">
        <v>127</v>
      </c>
      <c r="Q5" s="280" t="s">
        <v>128</v>
      </c>
      <c r="R5" s="279" t="s">
        <v>127</v>
      </c>
      <c r="S5" s="282" t="s">
        <v>128</v>
      </c>
      <c r="T5" s="279" t="s">
        <v>127</v>
      </c>
    </row>
    <row r="6" spans="1:20" ht="24" customHeight="1" x14ac:dyDescent="0.25">
      <c r="A6" s="233" t="s">
        <v>126</v>
      </c>
      <c r="B6" s="233" t="s">
        <v>125</v>
      </c>
      <c r="C6" s="231">
        <v>122</v>
      </c>
      <c r="D6" s="228"/>
      <c r="E6" s="65">
        <v>120.5</v>
      </c>
      <c r="F6" s="230"/>
      <c r="G6" s="65">
        <v>123.5</v>
      </c>
      <c r="H6" s="230"/>
      <c r="I6" s="278">
        <v>120</v>
      </c>
      <c r="J6" s="277"/>
      <c r="K6" s="65">
        <v>119</v>
      </c>
      <c r="L6" s="230"/>
      <c r="M6" s="65">
        <v>124</v>
      </c>
      <c r="N6" s="230"/>
      <c r="O6" s="278">
        <v>122</v>
      </c>
      <c r="P6" s="277"/>
      <c r="Q6" s="65">
        <v>121.5</v>
      </c>
      <c r="R6" s="230"/>
      <c r="S6" s="278">
        <v>117.5</v>
      </c>
      <c r="T6" s="230"/>
    </row>
    <row r="7" spans="1:20" x14ac:dyDescent="0.25">
      <c r="A7" s="227">
        <v>5</v>
      </c>
      <c r="B7" s="201">
        <v>6.4000000000000001E-2</v>
      </c>
      <c r="C7" s="310">
        <f t="shared" ref="C7:C15" si="0">(($C$16-$C$6)*B7)+C6</f>
        <v>124.56704000000001</v>
      </c>
      <c r="D7" s="283">
        <f t="shared" ref="D7:D15" si="1">C7-C6</f>
        <v>2.5670400000000058</v>
      </c>
      <c r="E7" s="310">
        <f>(($E$16-$E$6)*$B$7)+E6</f>
        <v>123.16304</v>
      </c>
      <c r="F7" s="283">
        <f t="shared" ref="F7:F15" si="2">E7-E6</f>
        <v>2.6630399999999952</v>
      </c>
      <c r="G7" s="310">
        <f>(($G$16-$G$6)*$B$7)+G6</f>
        <v>125.97104</v>
      </c>
      <c r="H7" s="283">
        <f t="shared" ref="H7:H15" si="3">G7-G6</f>
        <v>2.4710400000000021</v>
      </c>
      <c r="I7" s="308">
        <f>(($I$16-$I$6)*$B$7)+I6</f>
        <v>122.69504000000001</v>
      </c>
      <c r="J7" s="286">
        <f t="shared" ref="J7:J15" si="4">I7-I6</f>
        <v>2.6950400000000059</v>
      </c>
      <c r="K7" s="310">
        <f>(($K$16-$K$6)*$B$7)+K6</f>
        <v>121.75904</v>
      </c>
      <c r="L7" s="283">
        <f t="shared" ref="L7:L15" si="5">K7-K6</f>
        <v>2.7590399999999988</v>
      </c>
      <c r="M7" s="310">
        <f>(($M$16-$M$6)*$B$7)+M6</f>
        <v>126.43904000000001</v>
      </c>
      <c r="N7" s="283">
        <f t="shared" ref="N7:N15" si="6">M7-M6</f>
        <v>2.4390400000000056</v>
      </c>
      <c r="O7" s="308">
        <f>(($O$16-$O$6)*$B$7)+O6</f>
        <v>124.56704000000001</v>
      </c>
      <c r="P7" s="286">
        <f t="shared" ref="P7:P15" si="7">O7-O6</f>
        <v>2.5670400000000058</v>
      </c>
      <c r="Q7" s="310">
        <f>(($Q$16-$Q$6)*$B$7)+Q6</f>
        <v>124.09904</v>
      </c>
      <c r="R7" s="283">
        <f t="shared" ref="R7:R15" si="8">Q7-Q6</f>
        <v>2.5990400000000022</v>
      </c>
      <c r="S7" s="308">
        <f>(($S$16-$S$6)*$B$7)+S6</f>
        <v>120.35504</v>
      </c>
      <c r="T7" s="283">
        <f t="shared" ref="T7:T15" si="9">S7-S6</f>
        <v>2.8550400000000025</v>
      </c>
    </row>
    <row r="8" spans="1:20" x14ac:dyDescent="0.25">
      <c r="A8" s="224">
        <v>15</v>
      </c>
      <c r="B8" s="201">
        <v>7.4999999999999997E-2</v>
      </c>
      <c r="C8" s="318">
        <f t="shared" si="0"/>
        <v>127.57529000000001</v>
      </c>
      <c r="D8" s="283">
        <f t="shared" si="1"/>
        <v>3.0082500000000039</v>
      </c>
      <c r="E8" s="318">
        <f>(($E$16-$E$6)*$B$8)+E7</f>
        <v>126.28379</v>
      </c>
      <c r="F8" s="283">
        <f t="shared" si="2"/>
        <v>3.120750000000001</v>
      </c>
      <c r="G8" s="320">
        <f>(($G$16-$G$6)*$B$8)+G7</f>
        <v>128.86679000000001</v>
      </c>
      <c r="H8" s="283">
        <f t="shared" si="3"/>
        <v>2.8957500000000067</v>
      </c>
      <c r="I8" s="319">
        <f>(($I$16-$I$6)*$B$8)+I7</f>
        <v>125.85329</v>
      </c>
      <c r="J8" s="286">
        <f t="shared" si="4"/>
        <v>3.1582499999999953</v>
      </c>
      <c r="K8" s="318">
        <f>(($K$16-$K$6)*$B$8)+K7</f>
        <v>124.99229</v>
      </c>
      <c r="L8" s="283">
        <f t="shared" si="5"/>
        <v>3.2332499999999982</v>
      </c>
      <c r="M8" s="315">
        <f>(($M$16-$M$6)*$B$8)+M7</f>
        <v>129.29729</v>
      </c>
      <c r="N8" s="283">
        <f t="shared" si="6"/>
        <v>2.8582499999999982</v>
      </c>
      <c r="O8" s="317">
        <f>(($O$16-$O$6)*$B$8)+O7</f>
        <v>127.57529000000001</v>
      </c>
      <c r="P8" s="286">
        <f t="shared" si="7"/>
        <v>3.0082500000000039</v>
      </c>
      <c r="Q8" s="315">
        <f>(($Q$16-$Q$6)*$B$8)+Q7</f>
        <v>127.14479</v>
      </c>
      <c r="R8" s="283">
        <f t="shared" si="8"/>
        <v>3.0457499999999982</v>
      </c>
      <c r="S8" s="316">
        <f>(($S$16-$S$6)*$B$8)+S7</f>
        <v>123.70079</v>
      </c>
      <c r="T8" s="283">
        <f t="shared" si="9"/>
        <v>3.3457499999999953</v>
      </c>
    </row>
    <row r="9" spans="1:20" x14ac:dyDescent="0.25">
      <c r="A9" s="220">
        <v>25</v>
      </c>
      <c r="B9" s="201">
        <v>8.6999999999999994E-2</v>
      </c>
      <c r="C9" s="315">
        <f t="shared" si="0"/>
        <v>131.06486000000001</v>
      </c>
      <c r="D9" s="283">
        <f t="shared" si="1"/>
        <v>3.4895700000000005</v>
      </c>
      <c r="E9" s="298">
        <f>(($E$16-$E$6)*$B$9)+E8</f>
        <v>129.90386000000001</v>
      </c>
      <c r="F9" s="283">
        <f t="shared" si="2"/>
        <v>3.6200700000000126</v>
      </c>
      <c r="G9" s="314">
        <f>(($G$16-$G$6)*$B$9)+G8</f>
        <v>132.22586000000001</v>
      </c>
      <c r="H9" s="283">
        <f t="shared" si="3"/>
        <v>3.3590700000000027</v>
      </c>
      <c r="I9" s="313">
        <f>(($I$16-$I$6)*$B$9)+I8</f>
        <v>129.51686000000001</v>
      </c>
      <c r="J9" s="286">
        <f t="shared" si="4"/>
        <v>3.6635700000000071</v>
      </c>
      <c r="K9" s="298">
        <f>(($K$16-$K$6)*$B$9)+K8</f>
        <v>128.74286000000001</v>
      </c>
      <c r="L9" s="283">
        <f t="shared" si="5"/>
        <v>3.7505700000000104</v>
      </c>
      <c r="M9" s="314">
        <f>(($M$16-$M$6)*$B$9)+M8</f>
        <v>132.61286000000001</v>
      </c>
      <c r="N9" s="283">
        <f t="shared" si="6"/>
        <v>3.3155700000000081</v>
      </c>
      <c r="O9" s="313">
        <f>(($O$16-$O$6)*$B$9)+O8</f>
        <v>131.06486000000001</v>
      </c>
      <c r="P9" s="286">
        <f t="shared" si="7"/>
        <v>3.4895700000000005</v>
      </c>
      <c r="Q9" s="314">
        <f>(($Q$16-$Q$6)*$B$9)+Q8</f>
        <v>130.67786000000001</v>
      </c>
      <c r="R9" s="283">
        <f t="shared" si="8"/>
        <v>3.5330700000000093</v>
      </c>
      <c r="S9" s="313">
        <f>(($S$16-$S$6)*$B$9)+S8</f>
        <v>127.58186000000001</v>
      </c>
      <c r="T9" s="283">
        <f t="shared" si="9"/>
        <v>3.8810700000000082</v>
      </c>
    </row>
    <row r="10" spans="1:20" x14ac:dyDescent="0.25">
      <c r="A10" s="312">
        <v>35</v>
      </c>
      <c r="B10" s="201">
        <v>9.9000000000000005E-2</v>
      </c>
      <c r="C10" s="311">
        <f t="shared" si="0"/>
        <v>135.03575000000001</v>
      </c>
      <c r="D10" s="283">
        <f t="shared" si="1"/>
        <v>3.9708899999999971</v>
      </c>
      <c r="E10" s="311">
        <f>(($E$16-$E$6)*$B$10)+E9</f>
        <v>134.02325000000002</v>
      </c>
      <c r="F10" s="283">
        <f t="shared" si="2"/>
        <v>4.1193900000000099</v>
      </c>
      <c r="G10" s="302">
        <f>(($G$16-$G$6)*$B$10)+G9</f>
        <v>136.04825000000002</v>
      </c>
      <c r="H10" s="283">
        <f t="shared" si="3"/>
        <v>3.8223900000000128</v>
      </c>
      <c r="I10" s="299">
        <f>(($I$16-$I$6)*$B$10)+I9</f>
        <v>133.68575000000001</v>
      </c>
      <c r="J10" s="286">
        <f t="shared" si="4"/>
        <v>4.1688900000000046</v>
      </c>
      <c r="K10" s="311">
        <f>(($K$16-$K$6)*$B$10)+K9</f>
        <v>133.01075</v>
      </c>
      <c r="L10" s="283">
        <f t="shared" si="5"/>
        <v>4.2678899999999942</v>
      </c>
      <c r="M10" s="310">
        <f>(($M$16-$M$6)*$B$10)+M9</f>
        <v>136.38575</v>
      </c>
      <c r="N10" s="283">
        <f t="shared" si="6"/>
        <v>3.7728899999999896</v>
      </c>
      <c r="O10" s="308">
        <f>(($O$16-$O$6)*$B$10)+O9</f>
        <v>135.03575000000001</v>
      </c>
      <c r="P10" s="286">
        <f t="shared" si="7"/>
        <v>3.9708899999999971</v>
      </c>
      <c r="Q10" s="309">
        <f>(($Q$16-$Q$6)*$B$10)+Q9</f>
        <v>134.69825</v>
      </c>
      <c r="R10" s="283">
        <f t="shared" si="8"/>
        <v>4.0203899999999919</v>
      </c>
      <c r="S10" s="308">
        <f>(($S$16-$S$6)*$B$10)+S9</f>
        <v>131.99825000000001</v>
      </c>
      <c r="T10" s="283">
        <f t="shared" si="9"/>
        <v>4.4163900000000069</v>
      </c>
    </row>
    <row r="11" spans="1:20" x14ac:dyDescent="0.25">
      <c r="A11" s="213">
        <v>45</v>
      </c>
      <c r="B11" s="201">
        <v>0.111</v>
      </c>
      <c r="C11" s="309">
        <f t="shared" si="0"/>
        <v>139.48796000000002</v>
      </c>
      <c r="D11" s="283">
        <f t="shared" si="1"/>
        <v>4.452210000000008</v>
      </c>
      <c r="E11" s="309">
        <f>(($E$16-$E$6)*$B$11)+E10</f>
        <v>138.64196000000001</v>
      </c>
      <c r="F11" s="283">
        <f t="shared" si="2"/>
        <v>4.618709999999993</v>
      </c>
      <c r="G11" s="294">
        <f>(($G$16-$G$6)*$B$11)+G10</f>
        <v>140.33396000000002</v>
      </c>
      <c r="H11" s="283">
        <f t="shared" si="3"/>
        <v>4.2857099999999946</v>
      </c>
      <c r="I11" s="308">
        <f>(($I$16-$I$6)*$B$11)+I10</f>
        <v>138.35996</v>
      </c>
      <c r="J11" s="286">
        <f t="shared" si="4"/>
        <v>4.674209999999988</v>
      </c>
      <c r="K11" s="307">
        <f>(($K$16-$K$6)*$B$11)+K10</f>
        <v>137.79596000000001</v>
      </c>
      <c r="L11" s="283">
        <f t="shared" si="5"/>
        <v>4.7852100000000064</v>
      </c>
      <c r="M11" s="307">
        <f>(($M$16-$M$6)*$B$11)+M10</f>
        <v>140.61596</v>
      </c>
      <c r="N11" s="283">
        <f t="shared" si="6"/>
        <v>4.2302099999999996</v>
      </c>
      <c r="O11" s="303">
        <f>(($O$16-$O$6)*$B$11)+O10</f>
        <v>139.48796000000002</v>
      </c>
      <c r="P11" s="286">
        <f t="shared" si="7"/>
        <v>4.452210000000008</v>
      </c>
      <c r="Q11" s="298">
        <f>(($Q$16-$Q$6)*$B$11)+Q10</f>
        <v>139.20596</v>
      </c>
      <c r="R11" s="283">
        <f t="shared" si="8"/>
        <v>4.507710000000003</v>
      </c>
      <c r="S11" s="306">
        <f>(($S$16-$S$6)*$B$11)+S10</f>
        <v>136.94996</v>
      </c>
      <c r="T11" s="283">
        <f t="shared" si="9"/>
        <v>4.9517099999999914</v>
      </c>
    </row>
    <row r="12" spans="1:20" x14ac:dyDescent="0.25">
      <c r="A12" s="211">
        <v>55</v>
      </c>
      <c r="B12" s="201">
        <v>0.123</v>
      </c>
      <c r="C12" s="302">
        <f t="shared" si="0"/>
        <v>144.42149000000001</v>
      </c>
      <c r="D12" s="283">
        <f t="shared" si="1"/>
        <v>4.9335299999999904</v>
      </c>
      <c r="E12" s="305">
        <f>(($E$16-$E$6)*$B$12)+E11</f>
        <v>143.75999000000002</v>
      </c>
      <c r="F12" s="283">
        <f t="shared" si="2"/>
        <v>5.1180300000000045</v>
      </c>
      <c r="G12" s="304">
        <f>(($G$16-$G$6)*$B$12)+G11</f>
        <v>145.08299000000002</v>
      </c>
      <c r="H12" s="283">
        <f t="shared" si="3"/>
        <v>4.7490300000000047</v>
      </c>
      <c r="I12" s="303">
        <f>(($I$16-$I$6)*$B$12)+I11</f>
        <v>143.53949</v>
      </c>
      <c r="J12" s="286">
        <f t="shared" si="4"/>
        <v>5.1795299999999997</v>
      </c>
      <c r="K12" s="302">
        <f>(($K$16-$K$6)*$B$12)+K11</f>
        <v>143.09849</v>
      </c>
      <c r="L12" s="283">
        <f t="shared" si="5"/>
        <v>5.3025299999999902</v>
      </c>
      <c r="M12" s="298">
        <f>(($M$16-$M6)*$B$12)+M11</f>
        <v>145.30349000000001</v>
      </c>
      <c r="N12" s="283">
        <f t="shared" si="6"/>
        <v>4.6875300000000095</v>
      </c>
      <c r="O12" s="299">
        <f>(($O$16-$O6)*$B$12)+O11</f>
        <v>144.42149000000001</v>
      </c>
      <c r="P12" s="286">
        <f t="shared" si="7"/>
        <v>4.9335299999999904</v>
      </c>
      <c r="Q12" s="297">
        <f>(($Q$16-$Q6)*$B$12)+Q11</f>
        <v>144.20099000000002</v>
      </c>
      <c r="R12" s="283">
        <f t="shared" si="8"/>
        <v>4.9950300000000141</v>
      </c>
      <c r="S12" s="301">
        <f>(($S$16-$S6)*$B$12)+S11</f>
        <v>142.43699000000001</v>
      </c>
      <c r="T12" s="283">
        <f t="shared" si="9"/>
        <v>5.4870300000000043</v>
      </c>
    </row>
    <row r="13" spans="1:20" x14ac:dyDescent="0.25">
      <c r="A13" s="209">
        <v>60</v>
      </c>
      <c r="B13" s="201">
        <v>0.13500000000000001</v>
      </c>
      <c r="C13" s="298">
        <f t="shared" si="0"/>
        <v>149.83634000000001</v>
      </c>
      <c r="D13" s="283">
        <f t="shared" si="1"/>
        <v>5.4148500000000013</v>
      </c>
      <c r="E13" s="298">
        <f>(($E$16-$E$6)*$B$13)+E12</f>
        <v>149.37734</v>
      </c>
      <c r="F13" s="283">
        <f t="shared" si="2"/>
        <v>5.6173499999999876</v>
      </c>
      <c r="G13" s="300">
        <f>(($G$16-$G$6)*$B$13)+G12</f>
        <v>150.29534000000004</v>
      </c>
      <c r="H13" s="283">
        <f t="shared" si="3"/>
        <v>5.2123500000000149</v>
      </c>
      <c r="I13" s="299">
        <f>(($I$16-$I$6)*$B$13)+I12</f>
        <v>149.22434000000001</v>
      </c>
      <c r="J13" s="286">
        <f t="shared" si="4"/>
        <v>5.6848500000000115</v>
      </c>
      <c r="K13" s="298">
        <f>(($K$16-$K$6)*$B$13)+K12</f>
        <v>148.91834</v>
      </c>
      <c r="L13" s="283">
        <f t="shared" si="5"/>
        <v>5.8198500000000024</v>
      </c>
      <c r="M13" s="297">
        <f>(($M$16-$M$6)*$B$13)+M12</f>
        <v>150.44834</v>
      </c>
      <c r="N13" s="283">
        <f t="shared" si="6"/>
        <v>5.144849999999991</v>
      </c>
      <c r="O13" s="295">
        <f>(($O$16-$O$6)*$B$13)+O12</f>
        <v>149.83634000000001</v>
      </c>
      <c r="P13" s="286">
        <f t="shared" si="7"/>
        <v>5.4148500000000013</v>
      </c>
      <c r="Q13" s="293">
        <f>(($Q$16-$Q$6)*$B$13)+Q12</f>
        <v>149.68334000000002</v>
      </c>
      <c r="R13" s="283">
        <f t="shared" si="8"/>
        <v>5.4823499999999967</v>
      </c>
      <c r="S13" s="295">
        <f>(($S$16-$S$6)*$B$13)+S12</f>
        <v>148.45934</v>
      </c>
      <c r="T13" s="283">
        <f t="shared" si="9"/>
        <v>6.0223499999999888</v>
      </c>
    </row>
    <row r="14" spans="1:20" x14ac:dyDescent="0.25">
      <c r="A14" s="208">
        <v>65</v>
      </c>
      <c r="B14" s="201">
        <v>0.14699999999999999</v>
      </c>
      <c r="C14" s="297">
        <f t="shared" si="0"/>
        <v>155.73251000000002</v>
      </c>
      <c r="D14" s="283">
        <f t="shared" si="1"/>
        <v>5.8961700000000121</v>
      </c>
      <c r="E14" s="297">
        <f>(($E$16-$E$6)*$B$14)+E13</f>
        <v>155.49401</v>
      </c>
      <c r="F14" s="283">
        <f t="shared" si="2"/>
        <v>6.1166699999999992</v>
      </c>
      <c r="G14" s="296">
        <f>(($G$16-$G$6)*$B$14)+G13</f>
        <v>155.97101000000004</v>
      </c>
      <c r="H14" s="283">
        <f t="shared" si="3"/>
        <v>5.6756699999999967</v>
      </c>
      <c r="I14" s="295">
        <f>(($I$16-$I$6)*$B$14)+I13</f>
        <v>155.41451000000001</v>
      </c>
      <c r="J14" s="286">
        <f t="shared" si="4"/>
        <v>6.1901699999999948</v>
      </c>
      <c r="K14" s="294">
        <f>(($K$16-$K$6)*$B$14)+K13</f>
        <v>155.25551000000002</v>
      </c>
      <c r="L14" s="283">
        <f t="shared" si="5"/>
        <v>6.3371700000000146</v>
      </c>
      <c r="M14" s="293">
        <f>(($M$16-$M$6)*$B$14)+M13</f>
        <v>156.05051</v>
      </c>
      <c r="N14" s="283">
        <f t="shared" si="6"/>
        <v>5.602170000000001</v>
      </c>
      <c r="O14" s="292">
        <f>(($O$16-$O$6)*$B$14)+O13</f>
        <v>155.73251000000002</v>
      </c>
      <c r="P14" s="286">
        <f t="shared" si="7"/>
        <v>5.8961700000000121</v>
      </c>
      <c r="Q14" s="291">
        <f>(($Q$16-$Q$6)*$B$14)+Q13</f>
        <v>155.65301000000002</v>
      </c>
      <c r="R14" s="283">
        <f t="shared" si="8"/>
        <v>5.9696700000000078</v>
      </c>
      <c r="S14" s="289">
        <f>(($S$16-$S$6)*$B$14)+S13</f>
        <v>155.01701</v>
      </c>
      <c r="T14" s="283">
        <f t="shared" si="9"/>
        <v>6.5576700000000017</v>
      </c>
    </row>
    <row r="15" spans="1:20" x14ac:dyDescent="0.25">
      <c r="A15" s="290">
        <v>70</v>
      </c>
      <c r="B15" s="201">
        <v>0.159</v>
      </c>
      <c r="C15" s="288">
        <f t="shared" si="0"/>
        <v>162.11000000000001</v>
      </c>
      <c r="D15" s="283">
        <f t="shared" si="1"/>
        <v>6.3774899999999946</v>
      </c>
      <c r="E15" s="288">
        <f>(($E$16-$E$6)*$B$15)+E14</f>
        <v>162.11000000000001</v>
      </c>
      <c r="F15" s="283">
        <f t="shared" si="2"/>
        <v>6.6159900000000107</v>
      </c>
      <c r="G15" s="298">
        <f>(($G$16-$G$6)*$B$15)+G14</f>
        <v>162.11000000000004</v>
      </c>
      <c r="H15" s="283">
        <f t="shared" si="3"/>
        <v>6.1389900000000068</v>
      </c>
      <c r="I15" s="289">
        <f>(($I$16-$I$6)*$B$15)+I14</f>
        <v>162.11000000000001</v>
      </c>
      <c r="J15" s="286">
        <f t="shared" si="4"/>
        <v>6.6954900000000066</v>
      </c>
      <c r="K15" s="288">
        <f>(($K$16-$K$6)*$B$15)+K14</f>
        <v>162.11000000000001</v>
      </c>
      <c r="L15" s="283">
        <f t="shared" si="5"/>
        <v>6.8544899999999984</v>
      </c>
      <c r="M15" s="288">
        <f>(($M$16-$M$6)*$B$15)+M14</f>
        <v>162.11000000000001</v>
      </c>
      <c r="N15" s="283">
        <f t="shared" si="6"/>
        <v>6.0594900000000109</v>
      </c>
      <c r="O15" s="287">
        <f>(($O$16-$O$6)*$B$15)+O14</f>
        <v>162.11000000000001</v>
      </c>
      <c r="P15" s="286">
        <f t="shared" si="7"/>
        <v>6.3774899999999946</v>
      </c>
      <c r="Q15" s="285">
        <f>(($Q$16-$Q$6)*$B$15)+Q14</f>
        <v>162.11000000000001</v>
      </c>
      <c r="R15" s="283">
        <f t="shared" si="8"/>
        <v>6.4569899999999905</v>
      </c>
      <c r="S15" s="284">
        <f>(($S$16-$S$6)*$B$15)+S14</f>
        <v>162.11000000000001</v>
      </c>
      <c r="T15" s="283">
        <f t="shared" si="9"/>
        <v>7.0929900000000146</v>
      </c>
    </row>
    <row r="16" spans="1:20" ht="15.75" thickBot="1" x14ac:dyDescent="0.3">
      <c r="B16" s="70" t="s">
        <v>124</v>
      </c>
      <c r="C16" s="240">
        <v>162.11000000000001</v>
      </c>
      <c r="D16" s="239"/>
      <c r="E16" s="240">
        <v>162.11000000000001</v>
      </c>
      <c r="F16" s="239"/>
      <c r="G16" s="240">
        <v>162.11000000000001</v>
      </c>
      <c r="H16" s="239"/>
      <c r="I16" s="242">
        <v>162.11000000000001</v>
      </c>
      <c r="J16" s="241"/>
      <c r="K16" s="240">
        <v>162.11000000000001</v>
      </c>
      <c r="L16" s="239"/>
      <c r="M16" s="240">
        <v>162.11000000000001</v>
      </c>
      <c r="N16" s="239"/>
      <c r="O16" s="242">
        <v>162.11000000000001</v>
      </c>
      <c r="P16" s="241"/>
      <c r="Q16" s="240">
        <v>162.11000000000001</v>
      </c>
      <c r="R16" s="239"/>
      <c r="S16" s="240">
        <v>162.11000000000001</v>
      </c>
      <c r="T16" s="239"/>
    </row>
    <row r="17" spans="1:20" ht="24" customHeight="1" thickBot="1" x14ac:dyDescent="0.3">
      <c r="C17" s="233"/>
      <c r="D17" s="233"/>
    </row>
    <row r="18" spans="1:20" ht="24" customHeight="1" thickBot="1" x14ac:dyDescent="0.3">
      <c r="C18" s="421" t="s">
        <v>142</v>
      </c>
      <c r="D18" s="422"/>
      <c r="E18" s="422"/>
      <c r="F18" s="422"/>
      <c r="G18" s="422"/>
      <c r="H18" s="422"/>
      <c r="I18" s="422"/>
      <c r="J18" s="422"/>
      <c r="K18" s="422"/>
      <c r="L18" s="422"/>
      <c r="M18" s="422"/>
      <c r="N18" s="422"/>
      <c r="O18" s="422"/>
      <c r="P18" s="422"/>
      <c r="Q18" s="422"/>
      <c r="R18" s="422"/>
      <c r="S18" s="422"/>
      <c r="T18" s="423"/>
    </row>
    <row r="19" spans="1:20" ht="24" customHeight="1" thickBot="1" x14ac:dyDescent="0.3">
      <c r="C19" s="424" t="s">
        <v>141</v>
      </c>
      <c r="D19" s="425"/>
      <c r="E19" s="425"/>
      <c r="F19" s="425"/>
      <c r="G19" s="425"/>
      <c r="H19" s="425"/>
      <c r="I19" s="425"/>
      <c r="J19" s="425"/>
      <c r="K19" s="425"/>
      <c r="L19" s="426"/>
      <c r="M19" s="427" t="s">
        <v>140</v>
      </c>
      <c r="N19" s="428"/>
      <c r="O19" s="428"/>
      <c r="P19" s="428"/>
      <c r="Q19" s="428"/>
      <c r="R19" s="428"/>
      <c r="S19" s="428"/>
      <c r="T19" s="429"/>
    </row>
    <row r="20" spans="1:20" ht="24" customHeight="1" thickBot="1" x14ac:dyDescent="0.3">
      <c r="C20" s="413" t="s">
        <v>134</v>
      </c>
      <c r="D20" s="414"/>
      <c r="E20" s="415" t="s">
        <v>133</v>
      </c>
      <c r="F20" s="416"/>
      <c r="G20" s="413" t="s">
        <v>132</v>
      </c>
      <c r="H20" s="414"/>
      <c r="I20" s="417" t="s">
        <v>131</v>
      </c>
      <c r="J20" s="418"/>
      <c r="K20" s="413" t="s">
        <v>130</v>
      </c>
      <c r="L20" s="414"/>
      <c r="M20" s="419" t="s">
        <v>134</v>
      </c>
      <c r="N20" s="420"/>
      <c r="O20" s="403" t="s">
        <v>133</v>
      </c>
      <c r="P20" s="404"/>
      <c r="Q20" s="419" t="s">
        <v>132</v>
      </c>
      <c r="R20" s="420"/>
      <c r="S20" s="403" t="s">
        <v>131</v>
      </c>
      <c r="T20" s="404"/>
    </row>
    <row r="21" spans="1:20" ht="15" customHeight="1" x14ac:dyDescent="0.25">
      <c r="A21" s="402" t="s">
        <v>139</v>
      </c>
      <c r="B21" s="409"/>
      <c r="C21" s="280" t="s">
        <v>128</v>
      </c>
      <c r="D21" s="279" t="s">
        <v>127</v>
      </c>
      <c r="E21" s="280" t="s">
        <v>128</v>
      </c>
      <c r="F21" s="279" t="s">
        <v>127</v>
      </c>
      <c r="G21" s="280" t="s">
        <v>128</v>
      </c>
      <c r="H21" s="279" t="s">
        <v>127</v>
      </c>
      <c r="I21" s="282" t="s">
        <v>128</v>
      </c>
      <c r="J21" s="281" t="s">
        <v>127</v>
      </c>
      <c r="K21" s="280" t="s">
        <v>128</v>
      </c>
      <c r="L21" s="279" t="s">
        <v>127</v>
      </c>
      <c r="M21" s="282" t="s">
        <v>128</v>
      </c>
      <c r="N21" s="281" t="s">
        <v>127</v>
      </c>
      <c r="O21" s="280" t="s">
        <v>128</v>
      </c>
      <c r="P21" s="279" t="s">
        <v>127</v>
      </c>
      <c r="Q21" s="282" t="s">
        <v>128</v>
      </c>
      <c r="R21" s="281" t="s">
        <v>127</v>
      </c>
      <c r="S21" s="280" t="s">
        <v>128</v>
      </c>
      <c r="T21" s="279" t="s">
        <v>127</v>
      </c>
    </row>
    <row r="22" spans="1:20" ht="15" customHeight="1" x14ac:dyDescent="0.25">
      <c r="A22" s="233" t="s">
        <v>126</v>
      </c>
      <c r="B22" s="233" t="s">
        <v>125</v>
      </c>
      <c r="C22" s="231">
        <v>119.5</v>
      </c>
      <c r="D22" s="228"/>
      <c r="E22" s="65">
        <v>117</v>
      </c>
      <c r="F22" s="230"/>
      <c r="G22" s="65">
        <v>124.5</v>
      </c>
      <c r="H22" s="230"/>
      <c r="I22" s="278">
        <v>116.5</v>
      </c>
      <c r="J22" s="277"/>
      <c r="K22" s="65">
        <v>117</v>
      </c>
      <c r="L22" s="230"/>
      <c r="M22" s="278">
        <v>124.5</v>
      </c>
      <c r="N22" s="277"/>
      <c r="O22" s="65">
        <v>126</v>
      </c>
      <c r="P22" s="230"/>
      <c r="Q22" s="278">
        <v>123</v>
      </c>
      <c r="R22" s="277"/>
      <c r="S22" s="65">
        <v>121</v>
      </c>
      <c r="T22" s="230"/>
    </row>
    <row r="23" spans="1:20" ht="15" customHeight="1" x14ac:dyDescent="0.25">
      <c r="A23" s="70">
        <v>5</v>
      </c>
      <c r="B23" s="201">
        <v>0.03</v>
      </c>
      <c r="C23" s="263">
        <f t="shared" ref="C23:C36" si="10">(($C$38-$C$22)*B23)+C22</f>
        <v>120.7783</v>
      </c>
      <c r="D23" s="165">
        <f t="shared" ref="D23:D37" si="11">C23-C22</f>
        <v>1.2783000000000015</v>
      </c>
      <c r="E23" s="263">
        <f t="shared" ref="E23:E36" si="12">(($E$38-$E$22)*B23)+E22</f>
        <v>118.3533</v>
      </c>
      <c r="F23" s="165">
        <f t="shared" ref="F23:F37" si="13">E23-E22</f>
        <v>1.3533000000000044</v>
      </c>
      <c r="G23" s="263">
        <f t="shared" ref="G23:G36" si="14">(($G$38-$G$22)*B23)+G22</f>
        <v>125.6283</v>
      </c>
      <c r="H23" s="165">
        <f t="shared" ref="H23:H37" si="15">G23-G22</f>
        <v>1.1282999999999959</v>
      </c>
      <c r="I23" s="267">
        <f t="shared" ref="I23:I36" si="16">(($I$38-$I$22)*B23)+I22</f>
        <v>117.8683</v>
      </c>
      <c r="J23" s="207">
        <f t="shared" ref="J23:J36" si="17">I23-I22</f>
        <v>1.368300000000005</v>
      </c>
      <c r="K23" s="263">
        <f t="shared" ref="K23:K36" si="18">(($K$38-$K$22)*B23)+K22</f>
        <v>118.3533</v>
      </c>
      <c r="L23" s="165">
        <f t="shared" ref="L23:L37" si="19">K23-K22</f>
        <v>1.3533000000000044</v>
      </c>
      <c r="M23" s="267">
        <f t="shared" ref="M23:M36" si="20">(($M$38-$M$22)*B23)+M22</f>
        <v>125.6283</v>
      </c>
      <c r="N23" s="207">
        <f t="shared" ref="N23:N37" si="21">M23-M22</f>
        <v>1.1282999999999959</v>
      </c>
      <c r="O23" s="263">
        <f t="shared" ref="O23:O36" si="22">(($O$38-$O$22)*B23)+O22</f>
        <v>127.08329999999999</v>
      </c>
      <c r="P23" s="165">
        <f t="shared" ref="P23:P37" si="23">O23-O22</f>
        <v>1.0832999999999942</v>
      </c>
      <c r="Q23" s="267">
        <f t="shared" ref="Q23:Q36" si="24">(($Q$38-$Q$22)*B23)+Q22</f>
        <v>124.1733</v>
      </c>
      <c r="R23" s="207">
        <f t="shared" ref="R23:R37" si="25">Q23-Q22</f>
        <v>1.1732999999999976</v>
      </c>
      <c r="S23" s="263">
        <f t="shared" ref="S23:S36" si="26">(($S$38-$S$22)*B23)+S22</f>
        <v>122.2333</v>
      </c>
      <c r="T23" s="165">
        <f t="shared" ref="T23:T37" si="27">S23-S22</f>
        <v>1.2332999999999998</v>
      </c>
    </row>
    <row r="24" spans="1:20" ht="15" customHeight="1" x14ac:dyDescent="0.25">
      <c r="A24" s="70">
        <v>10</v>
      </c>
      <c r="B24" s="201">
        <v>3.5000000000000003E-2</v>
      </c>
      <c r="C24" s="275">
        <f t="shared" si="10"/>
        <v>122.26965</v>
      </c>
      <c r="D24" s="165">
        <f t="shared" si="11"/>
        <v>1.4913499999999971</v>
      </c>
      <c r="E24" s="275">
        <f t="shared" si="12"/>
        <v>119.93215000000001</v>
      </c>
      <c r="F24" s="165">
        <f t="shared" si="13"/>
        <v>1.5788500000000028</v>
      </c>
      <c r="G24" s="275">
        <f t="shared" si="14"/>
        <v>126.94465</v>
      </c>
      <c r="H24" s="165">
        <f t="shared" si="15"/>
        <v>1.3163499999999999</v>
      </c>
      <c r="I24" s="276">
        <f t="shared" si="16"/>
        <v>119.46465000000001</v>
      </c>
      <c r="J24" s="207">
        <f t="shared" si="17"/>
        <v>1.596350000000001</v>
      </c>
      <c r="K24" s="275">
        <f t="shared" si="18"/>
        <v>119.93215000000001</v>
      </c>
      <c r="L24" s="165">
        <f t="shared" si="19"/>
        <v>1.5788500000000028</v>
      </c>
      <c r="M24" s="273">
        <f t="shared" si="20"/>
        <v>126.94465</v>
      </c>
      <c r="N24" s="207">
        <f t="shared" si="21"/>
        <v>1.3163499999999999</v>
      </c>
      <c r="O24" s="274">
        <f t="shared" si="22"/>
        <v>128.34715</v>
      </c>
      <c r="P24" s="165">
        <f t="shared" si="23"/>
        <v>1.263850000000005</v>
      </c>
      <c r="Q24" s="270">
        <f t="shared" si="24"/>
        <v>125.54214999999999</v>
      </c>
      <c r="R24" s="207">
        <f t="shared" si="25"/>
        <v>1.3688499999999948</v>
      </c>
      <c r="S24" s="274">
        <f t="shared" si="26"/>
        <v>123.67215</v>
      </c>
      <c r="T24" s="165">
        <f t="shared" si="27"/>
        <v>1.4388500000000022</v>
      </c>
    </row>
    <row r="25" spans="1:20" ht="15" customHeight="1" x14ac:dyDescent="0.25">
      <c r="A25" s="70">
        <v>15</v>
      </c>
      <c r="B25" s="201">
        <v>0.04</v>
      </c>
      <c r="C25" s="215">
        <f t="shared" si="10"/>
        <v>123.97405000000001</v>
      </c>
      <c r="D25" s="165">
        <f t="shared" si="11"/>
        <v>1.7044000000000068</v>
      </c>
      <c r="E25" s="215">
        <f t="shared" si="12"/>
        <v>121.73655000000001</v>
      </c>
      <c r="F25" s="165">
        <f t="shared" si="13"/>
        <v>1.8044000000000011</v>
      </c>
      <c r="G25" s="222">
        <f t="shared" si="14"/>
        <v>128.44905</v>
      </c>
      <c r="H25" s="165">
        <f t="shared" si="15"/>
        <v>1.504400000000004</v>
      </c>
      <c r="I25" s="273">
        <f t="shared" si="16"/>
        <v>121.28905</v>
      </c>
      <c r="J25" s="207">
        <f t="shared" si="17"/>
        <v>1.8243999999999971</v>
      </c>
      <c r="K25" s="215">
        <f t="shared" si="18"/>
        <v>121.73655000000001</v>
      </c>
      <c r="L25" s="165">
        <f t="shared" si="19"/>
        <v>1.8044000000000011</v>
      </c>
      <c r="M25" s="264">
        <f t="shared" si="20"/>
        <v>128.44905</v>
      </c>
      <c r="N25" s="207">
        <f t="shared" si="21"/>
        <v>1.504400000000004</v>
      </c>
      <c r="O25" s="272">
        <f t="shared" si="22"/>
        <v>129.79155</v>
      </c>
      <c r="P25" s="165">
        <f t="shared" si="23"/>
        <v>1.4444000000000017</v>
      </c>
      <c r="Q25" s="268">
        <f t="shared" si="24"/>
        <v>127.10655</v>
      </c>
      <c r="R25" s="207">
        <f t="shared" si="25"/>
        <v>1.5644000000000062</v>
      </c>
      <c r="S25" s="222">
        <f t="shared" si="26"/>
        <v>125.31655000000001</v>
      </c>
      <c r="T25" s="165">
        <f t="shared" si="27"/>
        <v>1.6444000000000045</v>
      </c>
    </row>
    <row r="26" spans="1:20" ht="15" customHeight="1" x14ac:dyDescent="0.25">
      <c r="A26" s="70">
        <v>20</v>
      </c>
      <c r="B26" s="201">
        <v>4.4999999999999998E-2</v>
      </c>
      <c r="C26" s="272">
        <f t="shared" si="10"/>
        <v>125.89150000000001</v>
      </c>
      <c r="D26" s="165">
        <f t="shared" si="11"/>
        <v>1.9174500000000023</v>
      </c>
      <c r="E26" s="272">
        <f t="shared" si="12"/>
        <v>123.76650000000001</v>
      </c>
      <c r="F26" s="165">
        <f t="shared" si="13"/>
        <v>2.0299499999999995</v>
      </c>
      <c r="G26" s="269">
        <f t="shared" si="14"/>
        <v>130.14150000000001</v>
      </c>
      <c r="H26" s="165">
        <f t="shared" si="15"/>
        <v>1.692450000000008</v>
      </c>
      <c r="I26" s="264">
        <f t="shared" si="16"/>
        <v>123.3415</v>
      </c>
      <c r="J26" s="207">
        <f t="shared" si="17"/>
        <v>2.0524499999999932</v>
      </c>
      <c r="K26" s="222">
        <f t="shared" si="18"/>
        <v>123.76650000000001</v>
      </c>
      <c r="L26" s="165">
        <f t="shared" si="19"/>
        <v>2.0299499999999995</v>
      </c>
      <c r="M26" s="270">
        <f t="shared" si="20"/>
        <v>130.14150000000001</v>
      </c>
      <c r="N26" s="207">
        <f t="shared" si="21"/>
        <v>1.692450000000008</v>
      </c>
      <c r="O26" s="269">
        <f t="shared" si="22"/>
        <v>131.41650000000001</v>
      </c>
      <c r="P26" s="165">
        <f t="shared" si="23"/>
        <v>1.6249500000000126</v>
      </c>
      <c r="Q26" s="265">
        <f t="shared" si="24"/>
        <v>128.8665</v>
      </c>
      <c r="R26" s="207">
        <f t="shared" si="25"/>
        <v>1.7599500000000035</v>
      </c>
      <c r="S26" s="269">
        <f t="shared" si="26"/>
        <v>127.16650000000001</v>
      </c>
      <c r="T26" s="165">
        <f t="shared" si="27"/>
        <v>1.8499500000000069</v>
      </c>
    </row>
    <row r="27" spans="1:20" ht="15" customHeight="1" x14ac:dyDescent="0.25">
      <c r="A27" s="70">
        <v>25</v>
      </c>
      <c r="B27" s="201">
        <v>0.05</v>
      </c>
      <c r="C27" s="271">
        <f t="shared" si="10"/>
        <v>128.02200000000002</v>
      </c>
      <c r="D27" s="165">
        <f t="shared" si="11"/>
        <v>2.1305000000000121</v>
      </c>
      <c r="E27" s="222">
        <f t="shared" si="12"/>
        <v>126.02200000000001</v>
      </c>
      <c r="F27" s="165">
        <f t="shared" si="13"/>
        <v>2.2554999999999978</v>
      </c>
      <c r="G27" s="266">
        <f t="shared" si="14"/>
        <v>132.02200000000002</v>
      </c>
      <c r="H27" s="165">
        <f t="shared" si="15"/>
        <v>1.8805000000000121</v>
      </c>
      <c r="I27" s="270">
        <f t="shared" si="16"/>
        <v>125.622</v>
      </c>
      <c r="J27" s="207">
        <f t="shared" si="17"/>
        <v>2.2805000000000035</v>
      </c>
      <c r="K27" s="269">
        <f t="shared" si="18"/>
        <v>126.02200000000001</v>
      </c>
      <c r="L27" s="165">
        <f t="shared" si="19"/>
        <v>2.2554999999999978</v>
      </c>
      <c r="M27" s="268">
        <f t="shared" si="20"/>
        <v>132.02200000000002</v>
      </c>
      <c r="N27" s="207">
        <f t="shared" si="21"/>
        <v>1.8805000000000121</v>
      </c>
      <c r="O27" s="266">
        <f t="shared" si="22"/>
        <v>133.22200000000001</v>
      </c>
      <c r="P27" s="165">
        <f t="shared" si="23"/>
        <v>1.805499999999995</v>
      </c>
      <c r="Q27" s="260">
        <f t="shared" si="24"/>
        <v>130.822</v>
      </c>
      <c r="R27" s="207">
        <f t="shared" si="25"/>
        <v>1.9555000000000007</v>
      </c>
      <c r="S27" s="266">
        <f t="shared" si="26"/>
        <v>129.22200000000001</v>
      </c>
      <c r="T27" s="165">
        <f t="shared" si="27"/>
        <v>2.055499999999995</v>
      </c>
    </row>
    <row r="28" spans="1:20" ht="15" customHeight="1" x14ac:dyDescent="0.25">
      <c r="A28" s="70">
        <v>30</v>
      </c>
      <c r="B28" s="201">
        <v>5.5E-2</v>
      </c>
      <c r="C28" s="269">
        <f t="shared" si="10"/>
        <v>130.36555000000001</v>
      </c>
      <c r="D28" s="165">
        <f t="shared" si="11"/>
        <v>2.3435499999999934</v>
      </c>
      <c r="E28" s="269">
        <f t="shared" si="12"/>
        <v>128.50305</v>
      </c>
      <c r="F28" s="165">
        <f t="shared" si="13"/>
        <v>2.4810499999999962</v>
      </c>
      <c r="G28" s="263">
        <f t="shared" si="14"/>
        <v>134.09055000000001</v>
      </c>
      <c r="H28" s="165">
        <f t="shared" si="15"/>
        <v>2.0685499999999877</v>
      </c>
      <c r="I28" s="268">
        <f t="shared" si="16"/>
        <v>128.13055</v>
      </c>
      <c r="J28" s="207">
        <f t="shared" si="17"/>
        <v>2.5085499999999996</v>
      </c>
      <c r="K28" s="266">
        <f t="shared" si="18"/>
        <v>128.50305</v>
      </c>
      <c r="L28" s="165">
        <f t="shared" si="19"/>
        <v>2.4810499999999962</v>
      </c>
      <c r="M28" s="267">
        <f t="shared" si="20"/>
        <v>134.09055000000001</v>
      </c>
      <c r="N28" s="207">
        <f t="shared" si="21"/>
        <v>2.0685499999999877</v>
      </c>
      <c r="O28" s="263">
        <f t="shared" si="22"/>
        <v>135.20805000000001</v>
      </c>
      <c r="P28" s="165">
        <f t="shared" si="23"/>
        <v>1.9860500000000059</v>
      </c>
      <c r="Q28" s="259">
        <f t="shared" si="24"/>
        <v>132.97305</v>
      </c>
      <c r="R28" s="207">
        <f t="shared" si="25"/>
        <v>2.1510499999999979</v>
      </c>
      <c r="S28" s="263">
        <f t="shared" si="26"/>
        <v>131.48305000000002</v>
      </c>
      <c r="T28" s="165">
        <f t="shared" si="27"/>
        <v>2.2610500000000116</v>
      </c>
    </row>
    <row r="29" spans="1:20" ht="15" customHeight="1" x14ac:dyDescent="0.25">
      <c r="A29" s="70">
        <v>35</v>
      </c>
      <c r="B29" s="201">
        <v>0.06</v>
      </c>
      <c r="C29" s="266">
        <f t="shared" si="10"/>
        <v>132.92215000000002</v>
      </c>
      <c r="D29" s="165">
        <f t="shared" si="11"/>
        <v>2.5566000000000031</v>
      </c>
      <c r="E29" s="266">
        <f t="shared" si="12"/>
        <v>131.20965000000001</v>
      </c>
      <c r="F29" s="165">
        <f t="shared" si="13"/>
        <v>2.7066000000000088</v>
      </c>
      <c r="G29" s="225">
        <f t="shared" si="14"/>
        <v>136.34715</v>
      </c>
      <c r="H29" s="165">
        <f t="shared" si="15"/>
        <v>2.2565999999999917</v>
      </c>
      <c r="I29" s="265">
        <f t="shared" si="16"/>
        <v>130.86715000000001</v>
      </c>
      <c r="J29" s="207">
        <f t="shared" si="17"/>
        <v>2.7366000000000099</v>
      </c>
      <c r="K29" s="263">
        <f t="shared" si="18"/>
        <v>131.20965000000001</v>
      </c>
      <c r="L29" s="165">
        <f t="shared" si="19"/>
        <v>2.7066000000000088</v>
      </c>
      <c r="M29" s="265">
        <f t="shared" si="20"/>
        <v>136.34715</v>
      </c>
      <c r="N29" s="207">
        <f t="shared" si="21"/>
        <v>2.2565999999999917</v>
      </c>
      <c r="O29" s="261">
        <f t="shared" si="22"/>
        <v>137.37465</v>
      </c>
      <c r="P29" s="165">
        <f t="shared" si="23"/>
        <v>2.1665999999999883</v>
      </c>
      <c r="Q29" s="264">
        <f t="shared" si="24"/>
        <v>135.31965</v>
      </c>
      <c r="R29" s="207">
        <f t="shared" si="25"/>
        <v>2.3465999999999951</v>
      </c>
      <c r="S29" s="261">
        <f t="shared" si="26"/>
        <v>133.94965000000002</v>
      </c>
      <c r="T29" s="165">
        <f t="shared" si="27"/>
        <v>2.4665999999999997</v>
      </c>
    </row>
    <row r="30" spans="1:20" ht="15" customHeight="1" x14ac:dyDescent="0.25">
      <c r="A30" s="70">
        <v>40</v>
      </c>
      <c r="B30" s="201">
        <v>6.5000000000000002E-2</v>
      </c>
      <c r="C30" s="263">
        <f t="shared" si="10"/>
        <v>135.69180000000003</v>
      </c>
      <c r="D30" s="165">
        <f t="shared" si="11"/>
        <v>2.7696500000000128</v>
      </c>
      <c r="E30" s="263">
        <f t="shared" si="12"/>
        <v>134.14180000000002</v>
      </c>
      <c r="F30" s="165">
        <f t="shared" si="13"/>
        <v>2.9321500000000071</v>
      </c>
      <c r="G30" s="258">
        <f t="shared" si="14"/>
        <v>138.79179999999999</v>
      </c>
      <c r="H30" s="165">
        <f t="shared" si="15"/>
        <v>2.4446499999999958</v>
      </c>
      <c r="I30" s="262">
        <f t="shared" si="16"/>
        <v>133.83180000000002</v>
      </c>
      <c r="J30" s="207">
        <f t="shared" si="17"/>
        <v>2.964650000000006</v>
      </c>
      <c r="K30" s="261">
        <f t="shared" si="18"/>
        <v>134.14180000000002</v>
      </c>
      <c r="L30" s="165">
        <f t="shared" si="19"/>
        <v>2.9321500000000071</v>
      </c>
      <c r="M30" s="262">
        <f t="shared" si="20"/>
        <v>138.79179999999999</v>
      </c>
      <c r="N30" s="207">
        <f t="shared" si="21"/>
        <v>2.4446499999999958</v>
      </c>
      <c r="O30" s="225">
        <f t="shared" si="22"/>
        <v>139.7218</v>
      </c>
      <c r="P30" s="165">
        <f t="shared" si="23"/>
        <v>2.3471499999999992</v>
      </c>
      <c r="Q30" s="257">
        <f t="shared" si="24"/>
        <v>137.86179999999999</v>
      </c>
      <c r="R30" s="207">
        <f t="shared" si="25"/>
        <v>2.5421499999999924</v>
      </c>
      <c r="S30" s="225">
        <f t="shared" si="26"/>
        <v>136.62180000000001</v>
      </c>
      <c r="T30" s="165">
        <f t="shared" si="27"/>
        <v>2.6721499999999878</v>
      </c>
    </row>
    <row r="31" spans="1:20" ht="15" customHeight="1" x14ac:dyDescent="0.25">
      <c r="A31" s="70">
        <v>45</v>
      </c>
      <c r="B31" s="201">
        <v>7.0000000000000007E-2</v>
      </c>
      <c r="C31" s="261">
        <f t="shared" si="10"/>
        <v>138.67450000000002</v>
      </c>
      <c r="D31" s="165">
        <f t="shared" si="11"/>
        <v>2.9826999999999941</v>
      </c>
      <c r="E31" s="261">
        <f t="shared" si="12"/>
        <v>137.29950000000002</v>
      </c>
      <c r="F31" s="165">
        <f t="shared" si="13"/>
        <v>3.1577000000000055</v>
      </c>
      <c r="G31" s="226">
        <f t="shared" si="14"/>
        <v>141.42449999999999</v>
      </c>
      <c r="H31" s="165">
        <f t="shared" si="15"/>
        <v>2.6326999999999998</v>
      </c>
      <c r="I31" s="260">
        <f t="shared" si="16"/>
        <v>137.02450000000002</v>
      </c>
      <c r="J31" s="207">
        <f t="shared" si="17"/>
        <v>3.1927000000000021</v>
      </c>
      <c r="K31" s="225">
        <f t="shared" si="18"/>
        <v>137.29950000000002</v>
      </c>
      <c r="L31" s="165">
        <f t="shared" si="19"/>
        <v>3.1577000000000055</v>
      </c>
      <c r="M31" s="260">
        <f t="shared" si="20"/>
        <v>141.42449999999999</v>
      </c>
      <c r="N31" s="207">
        <f t="shared" si="21"/>
        <v>2.6326999999999998</v>
      </c>
      <c r="O31" s="258">
        <f t="shared" si="22"/>
        <v>142.24950000000001</v>
      </c>
      <c r="P31" s="165">
        <f t="shared" si="23"/>
        <v>2.52770000000001</v>
      </c>
      <c r="Q31" s="254">
        <f t="shared" si="24"/>
        <v>140.59949999999998</v>
      </c>
      <c r="R31" s="207">
        <f t="shared" si="25"/>
        <v>2.7376999999999896</v>
      </c>
      <c r="S31" s="258">
        <f t="shared" si="26"/>
        <v>139.49950000000001</v>
      </c>
      <c r="T31" s="165">
        <f t="shared" si="27"/>
        <v>2.8777000000000044</v>
      </c>
    </row>
    <row r="32" spans="1:20" ht="15" customHeight="1" x14ac:dyDescent="0.25">
      <c r="A32" s="70">
        <v>50</v>
      </c>
      <c r="B32" s="201">
        <v>7.4999999999999997E-2</v>
      </c>
      <c r="C32" s="225">
        <f t="shared" si="10"/>
        <v>141.87025000000003</v>
      </c>
      <c r="D32" s="165">
        <f t="shared" si="11"/>
        <v>3.1957500000000039</v>
      </c>
      <c r="E32" s="225">
        <f t="shared" si="12"/>
        <v>140.68275000000003</v>
      </c>
      <c r="F32" s="165">
        <f t="shared" si="13"/>
        <v>3.3832500000000039</v>
      </c>
      <c r="G32" s="222">
        <f t="shared" si="14"/>
        <v>144.24525</v>
      </c>
      <c r="H32" s="165">
        <f t="shared" si="15"/>
        <v>2.8207500000000039</v>
      </c>
      <c r="I32" s="259">
        <f t="shared" si="16"/>
        <v>140.44525000000002</v>
      </c>
      <c r="J32" s="207">
        <f t="shared" si="17"/>
        <v>3.4207499999999982</v>
      </c>
      <c r="K32" s="226">
        <f t="shared" si="18"/>
        <v>140.68275000000003</v>
      </c>
      <c r="L32" s="165">
        <f t="shared" si="19"/>
        <v>3.3832500000000039</v>
      </c>
      <c r="M32" s="259">
        <f t="shared" si="20"/>
        <v>144.24525</v>
      </c>
      <c r="N32" s="207">
        <f t="shared" si="21"/>
        <v>2.8207500000000039</v>
      </c>
      <c r="O32" s="226">
        <f t="shared" si="22"/>
        <v>144.95775</v>
      </c>
      <c r="P32" s="165">
        <f t="shared" si="23"/>
        <v>2.7082499999999925</v>
      </c>
      <c r="Q32" s="250">
        <f t="shared" si="24"/>
        <v>143.53274999999996</v>
      </c>
      <c r="R32" s="207">
        <f t="shared" si="25"/>
        <v>2.9332499999999868</v>
      </c>
      <c r="S32" s="226">
        <f t="shared" si="26"/>
        <v>142.58275</v>
      </c>
      <c r="T32" s="165">
        <f t="shared" si="27"/>
        <v>3.0832499999999925</v>
      </c>
    </row>
    <row r="33" spans="1:22" ht="15" customHeight="1" x14ac:dyDescent="0.25">
      <c r="A33" s="70">
        <v>55</v>
      </c>
      <c r="B33" s="201">
        <v>8.5000000000000006E-2</v>
      </c>
      <c r="C33" s="258">
        <f t="shared" si="10"/>
        <v>145.49210000000002</v>
      </c>
      <c r="D33" s="165">
        <f t="shared" si="11"/>
        <v>3.6218499999999949</v>
      </c>
      <c r="E33" s="226">
        <f t="shared" si="12"/>
        <v>144.51710000000003</v>
      </c>
      <c r="F33" s="165">
        <f t="shared" si="13"/>
        <v>3.8343500000000006</v>
      </c>
      <c r="G33" s="221">
        <f t="shared" si="14"/>
        <v>147.44210000000001</v>
      </c>
      <c r="H33" s="165">
        <f t="shared" si="15"/>
        <v>3.196850000000012</v>
      </c>
      <c r="I33" s="254">
        <f t="shared" si="16"/>
        <v>144.32210000000001</v>
      </c>
      <c r="J33" s="207">
        <f t="shared" si="17"/>
        <v>3.8768499999999904</v>
      </c>
      <c r="K33" s="222">
        <f t="shared" si="18"/>
        <v>144.51710000000003</v>
      </c>
      <c r="L33" s="165">
        <f t="shared" si="19"/>
        <v>3.8343500000000006</v>
      </c>
      <c r="M33" s="257">
        <f t="shared" si="20"/>
        <v>147.44210000000001</v>
      </c>
      <c r="N33" s="207">
        <f t="shared" si="21"/>
        <v>3.196850000000012</v>
      </c>
      <c r="O33" s="222">
        <f t="shared" si="22"/>
        <v>148.02710000000002</v>
      </c>
      <c r="P33" s="165">
        <f t="shared" si="23"/>
        <v>3.0693500000000142</v>
      </c>
      <c r="Q33" s="256">
        <f t="shared" si="24"/>
        <v>146.85709999999997</v>
      </c>
      <c r="R33" s="207">
        <f t="shared" si="25"/>
        <v>3.3243500000000097</v>
      </c>
      <c r="S33" s="222">
        <f t="shared" si="26"/>
        <v>146.0771</v>
      </c>
      <c r="T33" s="165">
        <f t="shared" si="27"/>
        <v>3.4943499999999972</v>
      </c>
    </row>
    <row r="34" spans="1:22" ht="15" customHeight="1" x14ac:dyDescent="0.25">
      <c r="A34" s="70">
        <v>60</v>
      </c>
      <c r="B34" s="201">
        <v>9.5000000000000001E-2</v>
      </c>
      <c r="C34" s="226">
        <f t="shared" si="10"/>
        <v>149.54005000000004</v>
      </c>
      <c r="D34" s="165">
        <f t="shared" si="11"/>
        <v>4.0479500000000144</v>
      </c>
      <c r="E34" s="221">
        <f t="shared" si="12"/>
        <v>148.80255000000002</v>
      </c>
      <c r="F34" s="165">
        <f t="shared" si="13"/>
        <v>4.2854499999999973</v>
      </c>
      <c r="G34" s="223">
        <f t="shared" si="14"/>
        <v>151.01505</v>
      </c>
      <c r="H34" s="165">
        <f t="shared" si="15"/>
        <v>3.5729499999999916</v>
      </c>
      <c r="I34" s="255">
        <f t="shared" si="16"/>
        <v>148.65505000000002</v>
      </c>
      <c r="J34" s="207">
        <f t="shared" si="17"/>
        <v>4.332950000000011</v>
      </c>
      <c r="K34" s="221">
        <f t="shared" si="18"/>
        <v>148.80255000000002</v>
      </c>
      <c r="L34" s="165">
        <f t="shared" si="19"/>
        <v>4.2854499999999973</v>
      </c>
      <c r="M34" s="254">
        <f t="shared" si="20"/>
        <v>151.01505</v>
      </c>
      <c r="N34" s="207">
        <f t="shared" si="21"/>
        <v>3.5729499999999916</v>
      </c>
      <c r="O34" s="221">
        <f t="shared" si="22"/>
        <v>151.45755000000003</v>
      </c>
      <c r="P34" s="165">
        <f t="shared" si="23"/>
        <v>3.4304500000000075</v>
      </c>
      <c r="Q34" s="253">
        <f t="shared" si="24"/>
        <v>150.57254999999998</v>
      </c>
      <c r="R34" s="207">
        <f t="shared" si="25"/>
        <v>3.7154500000000041</v>
      </c>
      <c r="S34" s="221">
        <f t="shared" si="26"/>
        <v>149.98255</v>
      </c>
      <c r="T34" s="165">
        <f t="shared" si="27"/>
        <v>3.9054500000000019</v>
      </c>
    </row>
    <row r="35" spans="1:22" ht="15" customHeight="1" x14ac:dyDescent="0.25">
      <c r="A35" s="70">
        <v>65</v>
      </c>
      <c r="B35" s="201">
        <v>0.106</v>
      </c>
      <c r="C35" s="221">
        <f t="shared" si="10"/>
        <v>154.05671000000004</v>
      </c>
      <c r="D35" s="165">
        <f t="shared" si="11"/>
        <v>4.5166600000000017</v>
      </c>
      <c r="E35" s="223">
        <f t="shared" si="12"/>
        <v>153.58421000000001</v>
      </c>
      <c r="F35" s="165">
        <f t="shared" si="13"/>
        <v>4.781659999999988</v>
      </c>
      <c r="G35" s="218">
        <f t="shared" si="14"/>
        <v>155.00171</v>
      </c>
      <c r="H35" s="165">
        <f t="shared" si="15"/>
        <v>3.9866600000000005</v>
      </c>
      <c r="I35" s="250">
        <f t="shared" si="16"/>
        <v>153.48971000000003</v>
      </c>
      <c r="J35" s="207">
        <f t="shared" si="17"/>
        <v>4.8346600000000137</v>
      </c>
      <c r="K35" s="223">
        <f t="shared" si="18"/>
        <v>153.58421000000001</v>
      </c>
      <c r="L35" s="165">
        <f t="shared" si="19"/>
        <v>4.781659999999988</v>
      </c>
      <c r="M35" s="252">
        <f t="shared" si="20"/>
        <v>155.00171</v>
      </c>
      <c r="N35" s="207">
        <f t="shared" si="21"/>
        <v>3.9866600000000005</v>
      </c>
      <c r="O35" s="217">
        <f t="shared" si="22"/>
        <v>155.28521000000003</v>
      </c>
      <c r="P35" s="165">
        <f t="shared" si="23"/>
        <v>3.8276600000000087</v>
      </c>
      <c r="Q35" s="251">
        <f t="shared" si="24"/>
        <v>154.71820999999997</v>
      </c>
      <c r="R35" s="207">
        <f t="shared" si="25"/>
        <v>4.1456599999999924</v>
      </c>
      <c r="S35" s="223">
        <f t="shared" si="26"/>
        <v>154.34021000000001</v>
      </c>
      <c r="T35" s="165">
        <f t="shared" si="27"/>
        <v>4.3576600000000099</v>
      </c>
    </row>
    <row r="36" spans="1:22" ht="15" customHeight="1" x14ac:dyDescent="0.25">
      <c r="A36" s="70">
        <v>70</v>
      </c>
      <c r="B36" s="201">
        <v>0.1255</v>
      </c>
      <c r="C36" s="217">
        <f t="shared" si="10"/>
        <v>159.40426500000004</v>
      </c>
      <c r="D36" s="165">
        <f t="shared" si="11"/>
        <v>5.3475549999999998</v>
      </c>
      <c r="E36" s="217">
        <f t="shared" si="12"/>
        <v>159.24551500000001</v>
      </c>
      <c r="F36" s="165">
        <f t="shared" si="13"/>
        <v>5.6613049999999987</v>
      </c>
      <c r="G36" s="214">
        <f t="shared" si="14"/>
        <v>159.721765</v>
      </c>
      <c r="H36" s="165">
        <f t="shared" si="15"/>
        <v>4.7200550000000021</v>
      </c>
      <c r="I36" s="251">
        <f t="shared" si="16"/>
        <v>159.21376500000002</v>
      </c>
      <c r="J36" s="207">
        <f t="shared" si="17"/>
        <v>5.7240549999999928</v>
      </c>
      <c r="K36" s="219">
        <f t="shared" si="18"/>
        <v>159.24551500000001</v>
      </c>
      <c r="L36" s="165">
        <f t="shared" si="19"/>
        <v>5.6613049999999987</v>
      </c>
      <c r="M36" s="250">
        <f t="shared" si="20"/>
        <v>159.721765</v>
      </c>
      <c r="N36" s="207">
        <f t="shared" si="21"/>
        <v>4.7200550000000021</v>
      </c>
      <c r="O36" s="219">
        <f t="shared" si="22"/>
        <v>159.81701500000003</v>
      </c>
      <c r="P36" s="165">
        <f t="shared" si="23"/>
        <v>4.5318049999999914</v>
      </c>
      <c r="Q36" s="249">
        <f t="shared" si="24"/>
        <v>159.62651499999998</v>
      </c>
      <c r="R36" s="207">
        <f t="shared" si="25"/>
        <v>4.9083050000000128</v>
      </c>
      <c r="S36" s="218">
        <f t="shared" si="26"/>
        <v>159.499515</v>
      </c>
      <c r="T36" s="165">
        <f t="shared" si="27"/>
        <v>5.1593049999999891</v>
      </c>
    </row>
    <row r="37" spans="1:22" x14ac:dyDescent="0.25">
      <c r="A37" s="70">
        <v>73</v>
      </c>
      <c r="B37" s="201" t="s">
        <v>138</v>
      </c>
      <c r="C37" s="248">
        <v>162.11000000000001</v>
      </c>
      <c r="D37" s="165">
        <f t="shared" si="11"/>
        <v>2.7057349999999758</v>
      </c>
      <c r="E37" s="244">
        <v>162.11000000000001</v>
      </c>
      <c r="F37" s="165">
        <f t="shared" si="13"/>
        <v>2.8644850000000019</v>
      </c>
      <c r="G37" s="247">
        <v>162.11000000000001</v>
      </c>
      <c r="H37" s="165">
        <f t="shared" si="15"/>
        <v>2.3882350000000088</v>
      </c>
      <c r="I37" s="246">
        <v>162.11000000000001</v>
      </c>
      <c r="J37" s="245">
        <v>2.077516999999915</v>
      </c>
      <c r="K37" s="244">
        <v>162.11000000000001</v>
      </c>
      <c r="L37" s="165">
        <f t="shared" si="19"/>
        <v>2.8644850000000019</v>
      </c>
      <c r="M37" s="243">
        <v>162.11000000000001</v>
      </c>
      <c r="N37" s="165">
        <f t="shared" si="21"/>
        <v>2.3882350000000088</v>
      </c>
      <c r="O37" s="243">
        <v>162.11000000000001</v>
      </c>
      <c r="P37" s="165">
        <f t="shared" si="23"/>
        <v>2.2929849999999874</v>
      </c>
      <c r="Q37" s="247">
        <v>162.11000000000001</v>
      </c>
      <c r="R37" s="165">
        <f t="shared" si="25"/>
        <v>2.4834850000000301</v>
      </c>
      <c r="S37" s="243">
        <v>162.11000000000001</v>
      </c>
      <c r="T37" s="165">
        <f t="shared" si="27"/>
        <v>2.6104850000000113</v>
      </c>
    </row>
    <row r="38" spans="1:22" ht="15.75" thickBot="1" x14ac:dyDescent="0.3">
      <c r="B38" s="70" t="s">
        <v>124</v>
      </c>
      <c r="C38" s="240">
        <v>162.11000000000001</v>
      </c>
      <c r="D38" s="239"/>
      <c r="E38" s="240">
        <v>162.11000000000001</v>
      </c>
      <c r="F38" s="239"/>
      <c r="G38" s="240">
        <v>162.11000000000001</v>
      </c>
      <c r="H38" s="239"/>
      <c r="I38" s="242">
        <v>162.11000000000001</v>
      </c>
      <c r="J38" s="241"/>
      <c r="K38" s="240">
        <v>162.11000000000001</v>
      </c>
      <c r="L38" s="239"/>
      <c r="M38" s="242">
        <v>162.11000000000001</v>
      </c>
      <c r="N38" s="241"/>
      <c r="O38" s="240">
        <v>162.11000000000001</v>
      </c>
      <c r="P38" s="239"/>
      <c r="Q38" s="242">
        <v>162.11000000000001</v>
      </c>
      <c r="R38" s="241"/>
      <c r="S38" s="240">
        <v>162.11000000000001</v>
      </c>
      <c r="T38" s="239"/>
    </row>
    <row r="39" spans="1:22" x14ac:dyDescent="0.25">
      <c r="C39" s="233"/>
      <c r="D39" s="233"/>
    </row>
    <row r="40" spans="1:22" x14ac:dyDescent="0.25">
      <c r="C40" s="233"/>
      <c r="D40" s="233"/>
    </row>
    <row r="41" spans="1:22" x14ac:dyDescent="0.25">
      <c r="C41" s="233"/>
      <c r="D41" s="233"/>
    </row>
    <row r="42" spans="1:22" ht="15.75" thickBot="1" x14ac:dyDescent="0.3"/>
    <row r="43" spans="1:22" ht="21.75" customHeight="1" thickBot="1" x14ac:dyDescent="0.3">
      <c r="A43" s="401" t="s">
        <v>137</v>
      </c>
      <c r="B43" s="401"/>
      <c r="C43" s="410" t="s">
        <v>136</v>
      </c>
      <c r="D43" s="411"/>
      <c r="E43" s="411"/>
      <c r="F43" s="411"/>
      <c r="G43" s="411"/>
      <c r="H43" s="411"/>
      <c r="I43" s="411"/>
      <c r="J43" s="411"/>
      <c r="K43" s="411"/>
      <c r="L43" s="411"/>
      <c r="M43" s="411"/>
      <c r="N43" s="411"/>
      <c r="O43" s="411"/>
      <c r="P43" s="412"/>
      <c r="Q43" s="238"/>
      <c r="R43" s="238"/>
      <c r="S43" s="238"/>
      <c r="T43" s="238"/>
      <c r="U43" s="238"/>
      <c r="V43" s="238"/>
    </row>
    <row r="44" spans="1:22" x14ac:dyDescent="0.25">
      <c r="A44" s="402" t="s">
        <v>135</v>
      </c>
      <c r="B44" s="402"/>
      <c r="C44" s="405" t="s">
        <v>134</v>
      </c>
      <c r="D44" s="406"/>
      <c r="E44" s="397" t="s">
        <v>133</v>
      </c>
      <c r="F44" s="398"/>
      <c r="G44" s="407" t="s">
        <v>132</v>
      </c>
      <c r="H44" s="408"/>
      <c r="I44" s="397" t="s">
        <v>131</v>
      </c>
      <c r="J44" s="398"/>
      <c r="K44" s="399" t="s">
        <v>130</v>
      </c>
      <c r="L44" s="400"/>
      <c r="M44" s="397" t="s">
        <v>129</v>
      </c>
      <c r="N44" s="398"/>
      <c r="O44" s="399"/>
      <c r="P44" s="400"/>
    </row>
    <row r="45" spans="1:22" x14ac:dyDescent="0.25">
      <c r="A45" s="233"/>
      <c r="B45" s="233"/>
      <c r="C45" s="236" t="s">
        <v>128</v>
      </c>
      <c r="D45" s="237" t="s">
        <v>127</v>
      </c>
      <c r="E45" s="236" t="s">
        <v>128</v>
      </c>
      <c r="F45" s="237" t="s">
        <v>127</v>
      </c>
      <c r="G45" s="236" t="s">
        <v>128</v>
      </c>
      <c r="H45" s="234" t="s">
        <v>127</v>
      </c>
      <c r="I45" s="236" t="s">
        <v>128</v>
      </c>
      <c r="J45" s="234" t="s">
        <v>127</v>
      </c>
      <c r="K45" s="236" t="s">
        <v>128</v>
      </c>
      <c r="L45" s="234" t="s">
        <v>127</v>
      </c>
      <c r="M45" s="236" t="s">
        <v>128</v>
      </c>
      <c r="N45" s="234" t="s">
        <v>127</v>
      </c>
      <c r="O45" s="235" t="s">
        <v>128</v>
      </c>
      <c r="P45" s="234" t="s">
        <v>127</v>
      </c>
    </row>
    <row r="46" spans="1:22" ht="30" x14ac:dyDescent="0.25">
      <c r="A46" s="233" t="s">
        <v>126</v>
      </c>
      <c r="B46" s="233" t="s">
        <v>125</v>
      </c>
      <c r="C46" s="231">
        <v>127.5</v>
      </c>
      <c r="D46" s="232"/>
      <c r="E46" s="231">
        <v>124</v>
      </c>
      <c r="F46" s="232"/>
      <c r="G46" s="231">
        <v>128.5</v>
      </c>
      <c r="H46" s="228"/>
      <c r="I46" s="231">
        <v>123</v>
      </c>
      <c r="J46" s="228"/>
      <c r="K46" s="231">
        <v>122.5</v>
      </c>
      <c r="L46" s="228"/>
      <c r="M46" s="65">
        <v>121.5</v>
      </c>
      <c r="N46" s="230"/>
      <c r="O46" s="229"/>
      <c r="P46" s="228"/>
    </row>
    <row r="47" spans="1:22" x14ac:dyDescent="0.25">
      <c r="A47" s="227">
        <v>5</v>
      </c>
      <c r="B47" s="201">
        <v>7.9000000000000001E-2</v>
      </c>
      <c r="C47" s="226">
        <f t="shared" ref="C47:C54" si="28">(($C$55-$C$46)*B47)+C46</f>
        <v>129.9648</v>
      </c>
      <c r="D47" s="207">
        <f t="shared" ref="D47:D55" si="29">C47-C46</f>
        <v>2.4647999999999968</v>
      </c>
      <c r="E47" s="225">
        <f>(($E$55-$E$46)*$B$47)+E46</f>
        <v>126.7413</v>
      </c>
      <c r="F47" s="207">
        <f t="shared" ref="F47:F55" si="30">E47-E46</f>
        <v>2.7412999999999954</v>
      </c>
      <c r="G47" s="225">
        <f t="shared" ref="G47:G54" si="31">(($G$55-$G$46)*B47)+G46</f>
        <v>130.88579999999999</v>
      </c>
      <c r="H47" s="165">
        <f t="shared" ref="H47:H54" si="32">G47-G46</f>
        <v>2.385799999999989</v>
      </c>
      <c r="I47" s="225">
        <f>(($I$55-$I$46)*$B$47)+I46</f>
        <v>125.8203</v>
      </c>
      <c r="J47" s="165">
        <f t="shared" ref="J47:J54" si="33">I47-I46</f>
        <v>2.8203000000000031</v>
      </c>
      <c r="K47" s="225">
        <f>(($K$55-$K$46)*$B$47)+K46</f>
        <v>125.35979999999999</v>
      </c>
      <c r="L47" s="165">
        <f t="shared" ref="L47:L54" si="34">K47-K46</f>
        <v>2.8597999999999928</v>
      </c>
      <c r="M47" s="225">
        <f>(($M$55-$M$46)*$B$47)+M46</f>
        <v>124.4388</v>
      </c>
      <c r="N47" s="165">
        <f t="shared" ref="N47:N54" si="35">M47-M46</f>
        <v>2.9388000000000005</v>
      </c>
      <c r="O47" s="206"/>
      <c r="P47" s="165"/>
    </row>
    <row r="48" spans="1:22" x14ac:dyDescent="0.25">
      <c r="A48" s="224">
        <v>15</v>
      </c>
      <c r="B48" s="201">
        <v>9.1999999999999998E-2</v>
      </c>
      <c r="C48" s="223">
        <f t="shared" si="28"/>
        <v>132.83519999999999</v>
      </c>
      <c r="D48" s="207">
        <f t="shared" si="29"/>
        <v>2.8703999999999894</v>
      </c>
      <c r="E48" s="223">
        <f>(($E$55-$E$46)*$B$48)+E47</f>
        <v>129.93369999999999</v>
      </c>
      <c r="F48" s="207">
        <f t="shared" si="30"/>
        <v>3.1923999999999921</v>
      </c>
      <c r="G48" s="223">
        <f t="shared" si="31"/>
        <v>133.66419999999999</v>
      </c>
      <c r="H48" s="165">
        <f t="shared" si="32"/>
        <v>2.7784000000000049</v>
      </c>
      <c r="I48" s="222">
        <f>(($I$55-$I$46)*$B$48)+I47</f>
        <v>129.10470000000001</v>
      </c>
      <c r="J48" s="165">
        <f t="shared" si="33"/>
        <v>3.2844000000000051</v>
      </c>
      <c r="K48" s="222">
        <f>(($K$55-$K$46)*$B$48)+K47</f>
        <v>128.6902</v>
      </c>
      <c r="L48" s="165">
        <f t="shared" si="34"/>
        <v>3.3304000000000116</v>
      </c>
      <c r="M48" s="221">
        <f>(($M$55-$M$46)*$B$48)+M47</f>
        <v>127.8612</v>
      </c>
      <c r="N48" s="165">
        <f t="shared" si="35"/>
        <v>3.4223999999999961</v>
      </c>
      <c r="O48" s="206"/>
      <c r="P48" s="165"/>
    </row>
    <row r="49" spans="1:16" x14ac:dyDescent="0.25">
      <c r="A49" s="220">
        <v>25</v>
      </c>
      <c r="B49" s="201">
        <v>0.105</v>
      </c>
      <c r="C49" s="219">
        <f t="shared" si="28"/>
        <v>136.1112</v>
      </c>
      <c r="D49" s="207">
        <f t="shared" si="29"/>
        <v>3.2760000000000105</v>
      </c>
      <c r="E49" s="217">
        <f>(($E$55-$E$46)*$B$49)+E48</f>
        <v>133.57719999999998</v>
      </c>
      <c r="F49" s="207">
        <f t="shared" si="30"/>
        <v>3.6434999999999889</v>
      </c>
      <c r="G49" s="219">
        <f t="shared" si="31"/>
        <v>136.83519999999999</v>
      </c>
      <c r="H49" s="165">
        <f t="shared" si="32"/>
        <v>3.1709999999999923</v>
      </c>
      <c r="I49" s="218">
        <f>(($I$55-$I$46)*$B$49)+I48</f>
        <v>132.85320000000002</v>
      </c>
      <c r="J49" s="165">
        <f t="shared" si="33"/>
        <v>3.748500000000007</v>
      </c>
      <c r="K49" s="217">
        <f>(($K$55-$K$46)*$B$49)+K48</f>
        <v>132.49119999999999</v>
      </c>
      <c r="L49" s="165">
        <f t="shared" si="34"/>
        <v>3.8009999999999877</v>
      </c>
      <c r="M49" s="217">
        <f>(($M$55-$M$46)*$B$49)+M48</f>
        <v>131.7672</v>
      </c>
      <c r="N49" s="165">
        <f t="shared" si="35"/>
        <v>3.9060000000000059</v>
      </c>
      <c r="O49" s="206"/>
      <c r="P49" s="165"/>
    </row>
    <row r="50" spans="1:16" x14ac:dyDescent="0.25">
      <c r="A50" s="216">
        <v>35</v>
      </c>
      <c r="B50" s="201">
        <v>0.11799999999999999</v>
      </c>
      <c r="C50" s="214">
        <f t="shared" si="28"/>
        <v>139.7928</v>
      </c>
      <c r="D50" s="207">
        <f t="shared" si="29"/>
        <v>3.6816000000000031</v>
      </c>
      <c r="E50" s="214">
        <f>(($E$55-$E$46)*$B$50)+E49</f>
        <v>137.67179999999996</v>
      </c>
      <c r="F50" s="207">
        <f t="shared" si="30"/>
        <v>4.0945999999999856</v>
      </c>
      <c r="G50" s="212">
        <f t="shared" si="31"/>
        <v>140.39879999999999</v>
      </c>
      <c r="H50" s="165">
        <f t="shared" si="32"/>
        <v>3.5636000000000081</v>
      </c>
      <c r="I50" s="215">
        <f>(($I$55-$I$46)*$B$50)+I49</f>
        <v>137.06580000000002</v>
      </c>
      <c r="J50" s="165">
        <f t="shared" si="33"/>
        <v>4.212600000000009</v>
      </c>
      <c r="K50" s="215">
        <f>(($K$55-$K$46)*$B$50)+K49</f>
        <v>136.7628</v>
      </c>
      <c r="L50" s="165">
        <f t="shared" si="34"/>
        <v>4.2716000000000065</v>
      </c>
      <c r="M50" s="214">
        <f>(($M$55-$M$46)*$B$50)+M49</f>
        <v>136.1568</v>
      </c>
      <c r="N50" s="165">
        <f t="shared" si="35"/>
        <v>4.3896000000000015</v>
      </c>
      <c r="O50" s="206"/>
      <c r="P50" s="165"/>
    </row>
    <row r="51" spans="1:16" x14ac:dyDescent="0.25">
      <c r="A51" s="213">
        <v>40</v>
      </c>
      <c r="B51" s="201">
        <v>0.13200000000000001</v>
      </c>
      <c r="C51" s="210">
        <f t="shared" si="28"/>
        <v>143.91120000000001</v>
      </c>
      <c r="D51" s="207">
        <f t="shared" si="29"/>
        <v>4.1184000000000083</v>
      </c>
      <c r="E51" s="212">
        <f>(($E$55-$E$46)*$B$51)+E50</f>
        <v>142.25219999999996</v>
      </c>
      <c r="F51" s="207">
        <f t="shared" si="30"/>
        <v>4.5803999999999974</v>
      </c>
      <c r="G51" s="210">
        <f t="shared" si="31"/>
        <v>144.3852</v>
      </c>
      <c r="H51" s="165">
        <f t="shared" si="32"/>
        <v>3.9864000000000033</v>
      </c>
      <c r="I51" s="212">
        <f>(($I$55-$I$46)*$B$51)+I50</f>
        <v>141.77820000000003</v>
      </c>
      <c r="J51" s="165">
        <f t="shared" si="33"/>
        <v>4.7124000000000024</v>
      </c>
      <c r="K51" s="212">
        <f>(($K$55-$K$46)*$B$51)+K50</f>
        <v>141.5412</v>
      </c>
      <c r="L51" s="165">
        <f t="shared" si="34"/>
        <v>4.7784000000000049</v>
      </c>
      <c r="M51" s="210">
        <f>(($M$55-$M$46)*$B$51)+M50</f>
        <v>141.06720000000001</v>
      </c>
      <c r="N51" s="165">
        <f t="shared" si="35"/>
        <v>4.9104000000000099</v>
      </c>
      <c r="O51" s="206"/>
      <c r="P51" s="165"/>
    </row>
    <row r="52" spans="1:16" x14ac:dyDescent="0.25">
      <c r="A52" s="211">
        <v>44</v>
      </c>
      <c r="B52" s="201">
        <v>0.14499999999999999</v>
      </c>
      <c r="C52" s="222">
        <f t="shared" si="28"/>
        <v>148.43520000000001</v>
      </c>
      <c r="D52" s="207">
        <f t="shared" si="29"/>
        <v>4.5240000000000009</v>
      </c>
      <c r="E52" s="322">
        <f>(($E$55-$E$46)*$B$52)+E51</f>
        <v>147.28369999999995</v>
      </c>
      <c r="F52" s="207">
        <f t="shared" si="30"/>
        <v>5.0314999999999941</v>
      </c>
      <c r="G52" s="222">
        <f t="shared" si="31"/>
        <v>148.76419999999999</v>
      </c>
      <c r="H52" s="165">
        <f t="shared" si="32"/>
        <v>4.3789999999999907</v>
      </c>
      <c r="I52" s="322">
        <f>(($I$55-$I$46)*$B$52)+I51</f>
        <v>146.95470000000003</v>
      </c>
      <c r="J52" s="165">
        <f t="shared" si="33"/>
        <v>5.1765000000000043</v>
      </c>
      <c r="K52" s="210">
        <f>(($K$55-$K$46)*$B$52)+K51</f>
        <v>146.7902</v>
      </c>
      <c r="L52" s="165">
        <f t="shared" si="34"/>
        <v>5.2489999999999952</v>
      </c>
      <c r="M52" s="222">
        <f>(($M$55-$M$46)*$B$52)+M51</f>
        <v>146.46120000000002</v>
      </c>
      <c r="N52" s="165">
        <f t="shared" si="35"/>
        <v>5.3940000000000055</v>
      </c>
      <c r="O52" s="206"/>
      <c r="P52" s="165"/>
    </row>
    <row r="53" spans="1:16" x14ac:dyDescent="0.25">
      <c r="A53" s="209">
        <v>48</v>
      </c>
      <c r="B53" s="201">
        <v>0.158</v>
      </c>
      <c r="C53" s="210">
        <f t="shared" si="28"/>
        <v>153.3648</v>
      </c>
      <c r="D53" s="207">
        <f t="shared" si="29"/>
        <v>4.9295999999999935</v>
      </c>
      <c r="E53" s="210">
        <f>(($E$55-$E$46)*$B$53)+E52</f>
        <v>152.76629999999994</v>
      </c>
      <c r="F53" s="207">
        <f t="shared" si="30"/>
        <v>5.4825999999999908</v>
      </c>
      <c r="G53" s="210">
        <f t="shared" si="31"/>
        <v>153.53579999999999</v>
      </c>
      <c r="H53" s="165">
        <f t="shared" si="32"/>
        <v>4.7716000000000065</v>
      </c>
      <c r="I53" s="210">
        <f>(($I$55-$I$46)*$B$53)+I52</f>
        <v>152.59530000000004</v>
      </c>
      <c r="J53" s="165">
        <f t="shared" si="33"/>
        <v>5.6406000000000063</v>
      </c>
      <c r="K53" s="222">
        <f>(($K$55-$K$46)*$B$53)+K52</f>
        <v>152.50979999999998</v>
      </c>
      <c r="L53" s="165">
        <f t="shared" si="34"/>
        <v>5.7195999999999856</v>
      </c>
      <c r="M53" s="210">
        <f>(($M$55-$M$46)*$B$53)+M52</f>
        <v>152.33880000000002</v>
      </c>
      <c r="N53" s="165">
        <f t="shared" si="35"/>
        <v>5.877600000000001</v>
      </c>
      <c r="O53" s="206"/>
      <c r="P53" s="165"/>
    </row>
    <row r="54" spans="1:16" x14ac:dyDescent="0.25">
      <c r="A54" s="208">
        <v>52</v>
      </c>
      <c r="B54" s="201">
        <v>0.17100000000000001</v>
      </c>
      <c r="C54" s="215">
        <f t="shared" si="28"/>
        <v>158.69999999999999</v>
      </c>
      <c r="D54" s="207">
        <f t="shared" si="29"/>
        <v>5.3351999999999862</v>
      </c>
      <c r="E54" s="215">
        <f>(($E$55-$E$46)*$B$54)+E53</f>
        <v>158.69999999999993</v>
      </c>
      <c r="F54" s="207">
        <f t="shared" si="30"/>
        <v>5.9336999999999875</v>
      </c>
      <c r="G54" s="215">
        <f t="shared" si="31"/>
        <v>158.69999999999999</v>
      </c>
      <c r="H54" s="165">
        <f t="shared" si="32"/>
        <v>5.1641999999999939</v>
      </c>
      <c r="I54" s="215">
        <f>(($I$55-$I$46)*$B$54)+I53</f>
        <v>158.70000000000005</v>
      </c>
      <c r="J54" s="165">
        <f t="shared" si="33"/>
        <v>6.1047000000000082</v>
      </c>
      <c r="K54" s="210">
        <f>(($K$55-$K$46)*$B$54)+K53</f>
        <v>158.69999999999999</v>
      </c>
      <c r="L54" s="165">
        <f t="shared" si="34"/>
        <v>6.1902000000000044</v>
      </c>
      <c r="M54" s="215">
        <f>(($M$55-$M$46)*$B$54)+M53</f>
        <v>158.70000000000002</v>
      </c>
      <c r="N54" s="165">
        <f t="shared" si="35"/>
        <v>6.3611999999999966</v>
      </c>
      <c r="O54" s="206"/>
      <c r="P54" s="165"/>
    </row>
    <row r="55" spans="1:16" ht="15.75" thickBot="1" x14ac:dyDescent="0.3">
      <c r="B55" s="70" t="s">
        <v>124</v>
      </c>
      <c r="C55" s="204">
        <v>158.69999999999999</v>
      </c>
      <c r="D55" s="205">
        <f t="shared" si="29"/>
        <v>0</v>
      </c>
      <c r="E55" s="204">
        <v>158.69999999999999</v>
      </c>
      <c r="F55" s="205">
        <f t="shared" si="30"/>
        <v>0</v>
      </c>
      <c r="G55" s="204">
        <v>158.69999999999999</v>
      </c>
      <c r="H55" s="202"/>
      <c r="I55" s="204">
        <v>158.69999999999999</v>
      </c>
      <c r="J55" s="202"/>
      <c r="K55" s="204">
        <v>158.69999999999999</v>
      </c>
      <c r="L55" s="202"/>
      <c r="M55" s="204">
        <v>158.69999999999999</v>
      </c>
      <c r="N55" s="202"/>
      <c r="O55" s="203">
        <v>158.69999999999999</v>
      </c>
      <c r="P55" s="202"/>
    </row>
    <row r="59" spans="1:16" x14ac:dyDescent="0.25">
      <c r="B59" s="201"/>
    </row>
    <row r="60" spans="1:16" x14ac:dyDescent="0.25">
      <c r="B60" s="201"/>
    </row>
    <row r="61" spans="1:16" x14ac:dyDescent="0.25">
      <c r="B61" s="201"/>
    </row>
    <row r="62" spans="1:16" x14ac:dyDescent="0.25">
      <c r="B62" s="201"/>
    </row>
    <row r="63" spans="1:16" x14ac:dyDescent="0.25">
      <c r="B63" s="201"/>
    </row>
    <row r="64" spans="1:16" x14ac:dyDescent="0.25">
      <c r="B64" s="201"/>
    </row>
    <row r="65" spans="2:2" x14ac:dyDescent="0.25">
      <c r="B65" s="201"/>
    </row>
    <row r="66" spans="2:2" x14ac:dyDescent="0.25">
      <c r="B66" s="201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showGridLines="0" tabSelected="1" zoomScale="55" zoomScaleNormal="55" workbookViewId="0">
      <pane xSplit="2" ySplit="3" topLeftCell="C328" activePane="bottomRight" state="frozen"/>
      <selection pane="topRight" activeCell="C1" sqref="C1"/>
      <selection pane="bottomLeft" activeCell="A4" sqref="A4"/>
      <selection pane="bottomRight" activeCell="D371" sqref="D371"/>
    </sheetView>
  </sheetViews>
  <sheetFormatPr baseColWidth="10" defaultRowHeight="15" x14ac:dyDescent="0.25"/>
  <cols>
    <col min="1" max="1" width="7.5703125" bestFit="1" customWidth="1"/>
    <col min="2" max="2" width="15.7109375" style="70" bestFit="1" customWidth="1"/>
    <col min="3" max="3" width="8.85546875" style="70" bestFit="1" customWidth="1"/>
    <col min="4" max="4" width="9.42578125" style="70" bestFit="1" customWidth="1"/>
    <col min="5" max="5" width="7.5703125" style="70" bestFit="1" customWidth="1"/>
    <col min="6" max="6" width="8.140625" style="70" bestFit="1" customWidth="1"/>
    <col min="7" max="7" width="7.7109375" style="70" bestFit="1" customWidth="1"/>
    <col min="8" max="8" width="10.85546875" style="70" bestFit="1" customWidth="1"/>
    <col min="9" max="9" width="9.140625" style="70" bestFit="1" customWidth="1"/>
    <col min="10" max="10" width="11.7109375" style="70" bestFit="1" customWidth="1"/>
    <col min="11" max="11" width="8.7109375" style="70" bestFit="1" customWidth="1"/>
    <col min="12" max="12" width="8" style="70" bestFit="1" customWidth="1"/>
    <col min="13" max="14" width="10.85546875" style="70" bestFit="1" customWidth="1"/>
    <col min="15" max="15" width="8.85546875" style="70" bestFit="1" customWidth="1"/>
    <col min="16" max="16" width="9.42578125" style="70" bestFit="1" customWidth="1"/>
    <col min="17" max="17" width="7.5703125" style="70" bestFit="1" customWidth="1"/>
    <col min="18" max="18" width="8.140625" style="70" bestFit="1" customWidth="1"/>
    <col min="19" max="19" width="7.7109375" style="70" bestFit="1" customWidth="1"/>
    <col min="20" max="20" width="10.85546875" style="70" bestFit="1" customWidth="1"/>
    <col min="21" max="21" width="9.140625" style="70" bestFit="1" customWidth="1"/>
    <col min="22" max="22" width="11.7109375" style="70" bestFit="1" customWidth="1"/>
    <col min="23" max="23" width="8.7109375" style="70" bestFit="1" customWidth="1"/>
    <col min="24" max="24" width="8" style="70" bestFit="1" customWidth="1"/>
    <col min="25" max="26" width="10.85546875" style="70" bestFit="1" customWidth="1"/>
    <col min="27" max="27" width="8.85546875" style="70" bestFit="1" customWidth="1"/>
    <col min="28" max="28" width="9.42578125" style="70" bestFit="1" customWidth="1"/>
    <col min="29" max="29" width="7.5703125" style="70" bestFit="1" customWidth="1"/>
    <col min="30" max="30" width="8.140625" style="70" bestFit="1" customWidth="1"/>
    <col min="31" max="31" width="7.7109375" style="70" bestFit="1" customWidth="1"/>
    <col min="32" max="32" width="10.85546875" style="70" bestFit="1" customWidth="1"/>
    <col min="33" max="33" width="9.140625" style="70" bestFit="1" customWidth="1"/>
    <col min="34" max="34" width="11.7109375" style="70" bestFit="1" customWidth="1"/>
    <col min="35" max="35" width="8.7109375" style="70" bestFit="1" customWidth="1"/>
    <col min="36" max="36" width="8" style="70" bestFit="1" customWidth="1"/>
    <col min="37" max="38" width="10.85546875" style="70" bestFit="1" customWidth="1"/>
    <col min="39" max="39" width="8.85546875" style="70" bestFit="1" customWidth="1"/>
    <col min="40" max="40" width="9.42578125" style="70" bestFit="1" customWidth="1"/>
    <col min="41" max="41" width="7.5703125" style="70" bestFit="1" customWidth="1"/>
    <col min="42" max="42" width="8.140625" style="70" bestFit="1" customWidth="1"/>
    <col min="43" max="43" width="7.7109375" style="70" bestFit="1" customWidth="1"/>
    <col min="44" max="44" width="10.85546875" style="70" bestFit="1" customWidth="1"/>
    <col min="45" max="45" width="9.140625" style="70" bestFit="1" customWidth="1"/>
    <col min="46" max="46" width="11.7109375" style="70" bestFit="1" customWidth="1"/>
    <col min="47" max="47" width="8.7109375" style="70" bestFit="1" customWidth="1"/>
    <col min="48" max="48" width="8" style="70" bestFit="1" customWidth="1"/>
    <col min="49" max="49" width="10.85546875" style="70" bestFit="1" customWidth="1"/>
    <col min="50" max="50" width="11.85546875" style="70" bestFit="1" customWidth="1"/>
    <col min="51" max="51" width="8.85546875" style="70" bestFit="1" customWidth="1"/>
    <col min="52" max="52" width="9.42578125" style="70" bestFit="1" customWidth="1"/>
    <col min="53" max="53" width="7.5703125" style="70" bestFit="1" customWidth="1"/>
    <col min="54" max="54" width="8.140625" style="70" bestFit="1" customWidth="1"/>
    <col min="55" max="55" width="7.7109375" style="70" bestFit="1" customWidth="1"/>
    <col min="56" max="56" width="10.85546875" style="70" bestFit="1" customWidth="1"/>
    <col min="57" max="57" width="9.140625" style="70" bestFit="1" customWidth="1"/>
    <col min="58" max="58" width="11.7109375" style="70" bestFit="1" customWidth="1"/>
    <col min="59" max="59" width="8.7109375" style="70" bestFit="1" customWidth="1"/>
    <col min="60" max="60" width="8" style="70" bestFit="1" customWidth="1"/>
    <col min="61" max="62" width="10.85546875" style="70" bestFit="1" customWidth="1"/>
    <col min="63" max="63" width="8.85546875" style="70" bestFit="1" customWidth="1"/>
    <col min="64" max="64" width="9.42578125" style="70" bestFit="1" customWidth="1"/>
    <col min="65" max="65" width="7.5703125" style="70" bestFit="1" customWidth="1"/>
    <col min="66" max="66" width="8.140625" style="70" bestFit="1" customWidth="1"/>
    <col min="67" max="67" width="7.7109375" style="70" bestFit="1" customWidth="1"/>
    <col min="68" max="68" width="10.85546875" style="70" bestFit="1" customWidth="1"/>
    <col min="69" max="69" width="9.140625" style="70" bestFit="1" customWidth="1"/>
    <col min="70" max="70" width="11.7109375" style="70" bestFit="1" customWidth="1"/>
    <col min="71" max="71" width="8.7109375" style="70" customWidth="1"/>
    <col min="72" max="72" width="8" style="70" bestFit="1" customWidth="1"/>
    <col min="73" max="74" width="10.85546875" style="70" bestFit="1" customWidth="1"/>
    <col min="75" max="75" width="8.85546875" style="70" hidden="1" customWidth="1"/>
    <col min="76" max="76" width="9.42578125" style="70" hidden="1" customWidth="1"/>
    <col min="77" max="77" width="7.5703125" style="70" hidden="1" customWidth="1"/>
    <col min="78" max="78" width="8.140625" style="70" hidden="1" customWidth="1"/>
    <col min="79" max="79" width="7.7109375" style="70" hidden="1" customWidth="1"/>
    <col min="80" max="80" width="10.85546875" style="70" hidden="1" customWidth="1"/>
    <col min="81" max="81" width="9.140625" style="70" hidden="1" customWidth="1"/>
    <col min="82" max="82" width="11.7109375" style="70" hidden="1" customWidth="1"/>
    <col min="83" max="83" width="7.42578125" style="70" hidden="1" customWidth="1"/>
    <col min="84" max="84" width="8" style="70" hidden="1" customWidth="1"/>
    <col min="85" max="86" width="10.85546875" style="70" hidden="1" customWidth="1"/>
    <col min="87" max="87" width="8.85546875" style="70" hidden="1" customWidth="1"/>
    <col min="88" max="88" width="9.42578125" style="70" hidden="1" customWidth="1"/>
    <col min="89" max="89" width="7.5703125" style="70" hidden="1" customWidth="1"/>
    <col min="90" max="90" width="8.140625" style="70" hidden="1" customWidth="1"/>
    <col min="91" max="91" width="7.7109375" style="70" hidden="1" customWidth="1"/>
    <col min="92" max="92" width="10.85546875" style="70" hidden="1" customWidth="1"/>
    <col min="93" max="93" width="9.140625" style="70" hidden="1" customWidth="1"/>
    <col min="94" max="94" width="11.7109375" style="70" hidden="1" customWidth="1"/>
    <col min="95" max="95" width="7.42578125" style="70" hidden="1" customWidth="1"/>
    <col min="96" max="96" width="8" style="70" hidden="1" customWidth="1"/>
    <col min="97" max="98" width="10.85546875" style="70" hidden="1" customWidth="1"/>
    <col min="99" max="99" width="8.85546875" style="70" hidden="1" customWidth="1"/>
    <col min="100" max="100" width="9.42578125" style="70" hidden="1" customWidth="1"/>
    <col min="101" max="101" width="7.5703125" style="70" hidden="1" customWidth="1"/>
    <col min="102" max="102" width="8.140625" style="70" hidden="1" customWidth="1"/>
    <col min="103" max="103" width="7.7109375" style="70" hidden="1" customWidth="1"/>
    <col min="104" max="104" width="10.85546875" style="70" hidden="1" customWidth="1"/>
    <col min="105" max="105" width="9.140625" style="70" hidden="1" customWidth="1"/>
    <col min="106" max="106" width="11.7109375" style="70" hidden="1" customWidth="1"/>
    <col min="107" max="107" width="7.42578125" style="70" hidden="1" customWidth="1"/>
    <col min="108" max="108" width="8" style="70" hidden="1" customWidth="1"/>
    <col min="109" max="110" width="10.85546875" style="70" hidden="1" customWidth="1"/>
    <col min="111" max="111" width="8.85546875" style="70" hidden="1" customWidth="1"/>
    <col min="112" max="112" width="9.42578125" style="70" hidden="1" customWidth="1"/>
    <col min="113" max="113" width="7.5703125" style="70" hidden="1" customWidth="1"/>
    <col min="114" max="114" width="8.140625" style="70" hidden="1" customWidth="1"/>
    <col min="115" max="115" width="7.7109375" style="70" hidden="1" customWidth="1"/>
    <col min="116" max="116" width="10.85546875" style="70" hidden="1" customWidth="1"/>
    <col min="117" max="117" width="9.140625" style="70" hidden="1" customWidth="1"/>
    <col min="118" max="118" width="11.7109375" style="70" hidden="1" customWidth="1"/>
    <col min="119" max="119" width="7.42578125" style="70" hidden="1" customWidth="1"/>
    <col min="120" max="120" width="8" style="70" hidden="1" customWidth="1"/>
    <col min="121" max="122" width="10.85546875" style="70" hidden="1" customWidth="1"/>
    <col min="123" max="123" width="8.85546875" style="70" hidden="1" customWidth="1"/>
    <col min="124" max="124" width="9.42578125" style="70" hidden="1" customWidth="1"/>
    <col min="125" max="125" width="7.5703125" style="70" hidden="1" customWidth="1"/>
    <col min="126" max="126" width="8.140625" style="70" hidden="1" customWidth="1"/>
    <col min="127" max="127" width="7.7109375" style="70" hidden="1" customWidth="1"/>
    <col min="128" max="128" width="10.85546875" style="70" hidden="1" customWidth="1"/>
    <col min="129" max="129" width="9.140625" style="70" hidden="1" customWidth="1"/>
    <col min="130" max="130" width="11.7109375" style="70" hidden="1" customWidth="1"/>
    <col min="131" max="131" width="7.42578125" style="70" hidden="1" customWidth="1"/>
    <col min="132" max="132" width="8" style="70" hidden="1" customWidth="1"/>
    <col min="133" max="134" width="10.85546875" style="70" hidden="1" customWidth="1"/>
    <col min="135" max="135" width="8.85546875" style="70" hidden="1" customWidth="1"/>
    <col min="136" max="136" width="9.42578125" style="70" hidden="1" customWidth="1"/>
    <col min="137" max="137" width="7.5703125" style="70" hidden="1" customWidth="1"/>
    <col min="138" max="138" width="8.140625" style="70" hidden="1" customWidth="1"/>
    <col min="139" max="139" width="7.7109375" style="70" hidden="1" customWidth="1"/>
    <col min="140" max="140" width="10.85546875" style="70" hidden="1" customWidth="1"/>
    <col min="141" max="141" width="9.140625" style="70" hidden="1" customWidth="1"/>
    <col min="142" max="142" width="11.7109375" style="70" hidden="1" customWidth="1"/>
    <col min="143" max="143" width="7.42578125" style="70" hidden="1" customWidth="1"/>
    <col min="144" max="144" width="8" style="70" hidden="1" customWidth="1"/>
    <col min="145" max="146" width="10.85546875" style="70" hidden="1" customWidth="1"/>
    <col min="147" max="147" width="8.85546875" style="70" hidden="1" customWidth="1"/>
    <col min="148" max="148" width="9.42578125" style="70" hidden="1" customWidth="1"/>
    <col min="149" max="149" width="7.5703125" style="70" hidden="1" customWidth="1"/>
    <col min="150" max="150" width="8.140625" style="70" hidden="1" customWidth="1"/>
    <col min="151" max="151" width="7.7109375" style="70" hidden="1" customWidth="1"/>
    <col min="152" max="152" width="10.85546875" style="70" hidden="1" customWidth="1"/>
    <col min="153" max="153" width="9.140625" style="70" hidden="1" customWidth="1"/>
    <col min="154" max="154" width="11.7109375" style="70" hidden="1" customWidth="1"/>
    <col min="155" max="155" width="7.42578125" style="70" hidden="1" customWidth="1"/>
    <col min="156" max="156" width="8" style="70" hidden="1" customWidth="1"/>
    <col min="157" max="158" width="10.85546875" style="70" hidden="1" customWidth="1"/>
    <col min="159" max="159" width="8.85546875" style="70" hidden="1" customWidth="1"/>
    <col min="160" max="160" width="9.42578125" style="70" hidden="1" customWidth="1"/>
    <col min="161" max="161" width="7.5703125" style="70" hidden="1" customWidth="1"/>
    <col min="162" max="162" width="8.140625" style="70" hidden="1" customWidth="1"/>
    <col min="163" max="163" width="7.7109375" style="70" hidden="1" customWidth="1"/>
    <col min="164" max="164" width="10.85546875" style="70" hidden="1" customWidth="1"/>
    <col min="165" max="165" width="9.140625" style="70" hidden="1" customWidth="1"/>
    <col min="166" max="166" width="11.7109375" style="70" hidden="1" customWidth="1"/>
    <col min="167" max="167" width="7.42578125" style="70" hidden="1" customWidth="1"/>
    <col min="168" max="168" width="8" style="70" hidden="1" customWidth="1"/>
    <col min="169" max="170" width="10.85546875" style="70" hidden="1" customWidth="1"/>
    <col min="171" max="171" width="8.85546875" style="70" hidden="1" customWidth="1"/>
    <col min="172" max="172" width="9.42578125" style="70" hidden="1" customWidth="1"/>
    <col min="173" max="173" width="7.5703125" style="70" hidden="1" customWidth="1"/>
    <col min="174" max="174" width="8.140625" style="70" hidden="1" customWidth="1"/>
    <col min="175" max="175" width="7.7109375" style="70" hidden="1" customWidth="1"/>
    <col min="176" max="176" width="10.85546875" style="70" hidden="1" customWidth="1"/>
    <col min="177" max="177" width="9.140625" style="70" hidden="1" customWidth="1"/>
    <col min="178" max="178" width="11.7109375" style="70" hidden="1" customWidth="1"/>
    <col min="179" max="179" width="7.42578125" style="70" hidden="1" customWidth="1"/>
    <col min="180" max="180" width="8" style="70" hidden="1" customWidth="1"/>
    <col min="181" max="182" width="10.85546875" style="70" hidden="1" customWidth="1"/>
    <col min="183" max="183" width="8.85546875" style="70" hidden="1" customWidth="1"/>
    <col min="184" max="184" width="9.42578125" style="70" hidden="1" customWidth="1"/>
    <col min="185" max="185" width="7.5703125" style="70" hidden="1" customWidth="1"/>
    <col min="186" max="186" width="8.140625" style="70" hidden="1" customWidth="1"/>
    <col min="187" max="187" width="7.7109375" style="70" hidden="1" customWidth="1"/>
    <col min="188" max="188" width="10.85546875" style="70" hidden="1" customWidth="1"/>
    <col min="189" max="189" width="9.140625" style="70" hidden="1" customWidth="1"/>
    <col min="190" max="190" width="11.7109375" style="70" hidden="1" customWidth="1"/>
    <col min="191" max="191" width="7.42578125" style="70" hidden="1" customWidth="1"/>
    <col min="192" max="192" width="8" style="70" hidden="1" customWidth="1"/>
    <col min="193" max="194" width="10.85546875" style="70" hidden="1" customWidth="1"/>
    <col min="195" max="195" width="8.85546875" style="70" hidden="1" customWidth="1"/>
    <col min="196" max="196" width="9.42578125" style="70" hidden="1" customWidth="1"/>
    <col min="197" max="197" width="7.5703125" style="70" hidden="1" customWidth="1"/>
    <col min="198" max="198" width="8.140625" style="70" hidden="1" customWidth="1"/>
    <col min="199" max="199" width="7.7109375" style="70" hidden="1" customWidth="1"/>
    <col min="200" max="200" width="10.85546875" style="70" hidden="1" customWidth="1"/>
    <col min="201" max="201" width="9.140625" style="70" hidden="1" customWidth="1"/>
    <col min="202" max="202" width="11.7109375" style="70" hidden="1" customWidth="1"/>
    <col min="203" max="203" width="7.42578125" style="70" hidden="1" customWidth="1"/>
    <col min="204" max="204" width="8" style="70" hidden="1" customWidth="1"/>
    <col min="205" max="206" width="10.85546875" style="70" hidden="1" customWidth="1"/>
    <col min="207" max="207" width="8.85546875" style="70" hidden="1" customWidth="1"/>
    <col min="208" max="208" width="9.42578125" style="70" hidden="1" customWidth="1"/>
    <col min="209" max="209" width="7.5703125" style="70" hidden="1" customWidth="1"/>
    <col min="210" max="210" width="8.140625" style="70" hidden="1" customWidth="1"/>
    <col min="211" max="211" width="7.7109375" style="70" hidden="1" customWidth="1"/>
    <col min="212" max="212" width="10.85546875" style="70" hidden="1" customWidth="1"/>
    <col min="213" max="213" width="9.140625" style="70" hidden="1" customWidth="1"/>
    <col min="214" max="214" width="11.7109375" style="70" hidden="1" customWidth="1"/>
    <col min="215" max="215" width="7.42578125" style="70" hidden="1" customWidth="1"/>
    <col min="216" max="216" width="8" style="70" hidden="1" customWidth="1"/>
    <col min="217" max="218" width="10.85546875" style="70" hidden="1" customWidth="1"/>
    <col min="219" max="220" width="10.85546875" style="70" bestFit="1" customWidth="1"/>
    <col min="221" max="221" width="8.7109375" style="70" bestFit="1" customWidth="1"/>
    <col min="222" max="222" width="8.42578125" style="70" bestFit="1" customWidth="1"/>
    <col min="223" max="223" width="8.7109375" style="70" bestFit="1" customWidth="1"/>
    <col min="224" max="224" width="11.28515625" style="99" bestFit="1" customWidth="1"/>
    <col min="225" max="225" width="9" style="70" bestFit="1" customWidth="1"/>
    <col min="226" max="226" width="12.7109375" style="70" bestFit="1" customWidth="1"/>
    <col min="227" max="227" width="11.7109375" style="70" bestFit="1" customWidth="1"/>
    <col min="228" max="228" width="12.5703125" style="70" bestFit="1" customWidth="1"/>
    <col min="229" max="229" width="11.28515625" style="70" bestFit="1" customWidth="1"/>
    <col min="230" max="230" width="10.85546875" style="70" bestFit="1" customWidth="1"/>
    <col min="231" max="231" width="10.85546875" style="70" customWidth="1"/>
    <col min="232" max="260" width="11.42578125" style="70"/>
    <col min="261" max="263" width="11.42578125" style="338"/>
    <col min="264" max="16384" width="11.42578125" style="70"/>
  </cols>
  <sheetData>
    <row r="1" spans="1:263" ht="47.25" thickBot="1" x14ac:dyDescent="0.3">
      <c r="A1" s="376"/>
      <c r="B1" s="377"/>
      <c r="C1" s="432" t="s">
        <v>74</v>
      </c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  <c r="BI1" s="396"/>
      <c r="BJ1" s="396"/>
      <c r="BK1" s="396"/>
      <c r="BL1" s="396"/>
      <c r="BM1" s="396"/>
      <c r="BN1" s="396"/>
      <c r="BO1" s="396"/>
      <c r="BP1" s="396"/>
      <c r="BQ1" s="396"/>
      <c r="BR1" s="396"/>
      <c r="BS1" s="396"/>
      <c r="BT1" s="396"/>
      <c r="BU1" s="396"/>
      <c r="BV1" s="396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384" t="s">
        <v>34</v>
      </c>
      <c r="DT1" s="384"/>
      <c r="DU1" s="384"/>
      <c r="DV1" s="384"/>
      <c r="DW1" s="384"/>
      <c r="DX1" s="384"/>
      <c r="DY1" s="384"/>
      <c r="DZ1" s="384"/>
      <c r="EA1" s="384"/>
      <c r="EB1" s="384"/>
      <c r="EC1" s="384"/>
      <c r="ED1" s="384"/>
      <c r="EE1" s="384"/>
      <c r="EF1" s="384"/>
      <c r="EG1" s="384"/>
      <c r="EH1" s="384"/>
      <c r="EI1" s="384"/>
      <c r="EJ1" s="384"/>
      <c r="EK1" s="384"/>
      <c r="EL1" s="384"/>
      <c r="EM1" s="384"/>
      <c r="EN1" s="384"/>
      <c r="EO1" s="384"/>
      <c r="EP1" s="384"/>
      <c r="EQ1" s="384"/>
      <c r="ER1" s="384"/>
      <c r="ES1" s="384"/>
      <c r="ET1" s="384"/>
      <c r="EU1" s="384"/>
      <c r="EV1" s="384"/>
      <c r="EW1" s="384"/>
      <c r="EX1" s="384"/>
      <c r="EY1" s="384"/>
      <c r="EZ1" s="384"/>
      <c r="FA1" s="384"/>
      <c r="FB1" s="384"/>
      <c r="FC1" s="384"/>
      <c r="FD1" s="384"/>
      <c r="FE1" s="384"/>
      <c r="FF1" s="384"/>
      <c r="FG1" s="384"/>
      <c r="FH1" s="384"/>
      <c r="FI1" s="384"/>
      <c r="FJ1" s="384"/>
      <c r="FK1" s="384"/>
      <c r="FL1" s="384"/>
      <c r="FM1" s="384"/>
      <c r="FN1" s="384"/>
      <c r="FO1" s="394" t="s">
        <v>35</v>
      </c>
      <c r="FP1" s="394"/>
      <c r="FQ1" s="394"/>
      <c r="FR1" s="394"/>
      <c r="FS1" s="394"/>
      <c r="FT1" s="394"/>
      <c r="FU1" s="394"/>
      <c r="FV1" s="394"/>
      <c r="FW1" s="394"/>
      <c r="FX1" s="394"/>
      <c r="FY1" s="394"/>
      <c r="FZ1" s="394"/>
      <c r="GA1" s="394"/>
      <c r="GB1" s="394"/>
      <c r="GC1" s="394"/>
      <c r="GD1" s="394"/>
      <c r="GE1" s="394"/>
      <c r="GF1" s="394"/>
      <c r="GG1" s="394"/>
      <c r="GH1" s="394"/>
      <c r="GI1" s="394"/>
      <c r="GJ1" s="394"/>
      <c r="GK1" s="394"/>
      <c r="GL1" s="394"/>
      <c r="GM1" s="394"/>
      <c r="GN1" s="394"/>
      <c r="GO1" s="394"/>
      <c r="GP1" s="394"/>
      <c r="GQ1" s="394"/>
      <c r="GR1" s="394"/>
      <c r="GS1" s="394"/>
      <c r="GT1" s="394"/>
      <c r="GU1" s="394"/>
      <c r="GV1" s="394"/>
      <c r="GW1" s="394"/>
      <c r="GX1" s="394"/>
      <c r="GY1" s="394"/>
      <c r="GZ1" s="394"/>
      <c r="HA1" s="394"/>
      <c r="HB1" s="394"/>
      <c r="HC1" s="394"/>
      <c r="HD1" s="394"/>
      <c r="HE1" s="394"/>
      <c r="HF1" s="394"/>
      <c r="HG1" s="394"/>
      <c r="HH1" s="394"/>
      <c r="HI1" s="394"/>
      <c r="HJ1" s="395"/>
      <c r="HK1" s="385" t="s">
        <v>0</v>
      </c>
      <c r="HL1" s="386"/>
      <c r="HM1" s="386"/>
      <c r="HN1" s="386"/>
      <c r="HO1" s="386"/>
      <c r="HP1" s="386"/>
      <c r="HQ1" s="386"/>
      <c r="HR1" s="386"/>
      <c r="HS1" s="386"/>
      <c r="HT1" s="386"/>
      <c r="HU1" s="386"/>
      <c r="HV1" s="387"/>
      <c r="HW1" s="388"/>
      <c r="JA1" s="70"/>
      <c r="JB1" s="70"/>
      <c r="JC1" s="70"/>
    </row>
    <row r="2" spans="1:263" ht="24" thickBot="1" x14ac:dyDescent="0.3">
      <c r="A2" s="378"/>
      <c r="B2" s="379"/>
      <c r="C2" s="393" t="s">
        <v>75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3"/>
      <c r="O2" s="381" t="s">
        <v>76</v>
      </c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3"/>
      <c r="AA2" s="381" t="s">
        <v>77</v>
      </c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3"/>
      <c r="AM2" s="381" t="s">
        <v>78</v>
      </c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3"/>
      <c r="AY2" s="381" t="s">
        <v>79</v>
      </c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3"/>
      <c r="BK2" s="381" t="s">
        <v>100</v>
      </c>
      <c r="BL2" s="382"/>
      <c r="BM2" s="382"/>
      <c r="BN2" s="382"/>
      <c r="BO2" s="382"/>
      <c r="BP2" s="382"/>
      <c r="BQ2" s="382"/>
      <c r="BR2" s="382"/>
      <c r="BS2" s="382"/>
      <c r="BT2" s="382"/>
      <c r="BU2" s="382"/>
      <c r="BV2" s="383"/>
      <c r="BW2" s="381" t="s">
        <v>25</v>
      </c>
      <c r="BX2" s="382"/>
      <c r="BY2" s="382"/>
      <c r="BZ2" s="382"/>
      <c r="CA2" s="382"/>
      <c r="CB2" s="382"/>
      <c r="CC2" s="382"/>
      <c r="CD2" s="382"/>
      <c r="CE2" s="382"/>
      <c r="CF2" s="382"/>
      <c r="CG2" s="382"/>
      <c r="CH2" s="383"/>
      <c r="CI2" s="381" t="s">
        <v>26</v>
      </c>
      <c r="CJ2" s="382"/>
      <c r="CK2" s="382"/>
      <c r="CL2" s="382"/>
      <c r="CM2" s="382"/>
      <c r="CN2" s="382"/>
      <c r="CO2" s="382"/>
      <c r="CP2" s="382"/>
      <c r="CQ2" s="382"/>
      <c r="CR2" s="382"/>
      <c r="CS2" s="382"/>
      <c r="CT2" s="383"/>
      <c r="CU2" s="381" t="s">
        <v>27</v>
      </c>
      <c r="CV2" s="382"/>
      <c r="CW2" s="382"/>
      <c r="CX2" s="382"/>
      <c r="CY2" s="382"/>
      <c r="CZ2" s="382"/>
      <c r="DA2" s="382"/>
      <c r="DB2" s="382"/>
      <c r="DC2" s="382"/>
      <c r="DD2" s="382"/>
      <c r="DE2" s="382"/>
      <c r="DF2" s="383"/>
      <c r="DG2" s="381" t="s">
        <v>28</v>
      </c>
      <c r="DH2" s="382"/>
      <c r="DI2" s="382"/>
      <c r="DJ2" s="382"/>
      <c r="DK2" s="382"/>
      <c r="DL2" s="382"/>
      <c r="DM2" s="382"/>
      <c r="DN2" s="382"/>
      <c r="DO2" s="382"/>
      <c r="DP2" s="382"/>
      <c r="DQ2" s="382"/>
      <c r="DR2" s="383"/>
      <c r="DS2" s="381" t="s">
        <v>29</v>
      </c>
      <c r="DT2" s="382"/>
      <c r="DU2" s="382"/>
      <c r="DV2" s="382"/>
      <c r="DW2" s="382"/>
      <c r="DX2" s="382"/>
      <c r="DY2" s="382"/>
      <c r="DZ2" s="382"/>
      <c r="EA2" s="382"/>
      <c r="EB2" s="382"/>
      <c r="EC2" s="382"/>
      <c r="ED2" s="383"/>
      <c r="EE2" s="381" t="s">
        <v>30</v>
      </c>
      <c r="EF2" s="382"/>
      <c r="EG2" s="382"/>
      <c r="EH2" s="382"/>
      <c r="EI2" s="382"/>
      <c r="EJ2" s="382"/>
      <c r="EK2" s="382"/>
      <c r="EL2" s="382"/>
      <c r="EM2" s="382"/>
      <c r="EN2" s="382"/>
      <c r="EO2" s="382"/>
      <c r="EP2" s="383"/>
      <c r="EQ2" s="381" t="s">
        <v>31</v>
      </c>
      <c r="ER2" s="382"/>
      <c r="ES2" s="382"/>
      <c r="ET2" s="382"/>
      <c r="EU2" s="382"/>
      <c r="EV2" s="382"/>
      <c r="EW2" s="382"/>
      <c r="EX2" s="382"/>
      <c r="EY2" s="382"/>
      <c r="EZ2" s="382"/>
      <c r="FA2" s="382"/>
      <c r="FB2" s="383"/>
      <c r="FC2" s="381" t="s">
        <v>32</v>
      </c>
      <c r="FD2" s="382"/>
      <c r="FE2" s="382"/>
      <c r="FF2" s="382"/>
      <c r="FG2" s="382"/>
      <c r="FH2" s="382"/>
      <c r="FI2" s="382"/>
      <c r="FJ2" s="382"/>
      <c r="FK2" s="382"/>
      <c r="FL2" s="382"/>
      <c r="FM2" s="382"/>
      <c r="FN2" s="383"/>
      <c r="FO2" s="381" t="s">
        <v>36</v>
      </c>
      <c r="FP2" s="382"/>
      <c r="FQ2" s="382"/>
      <c r="FR2" s="382"/>
      <c r="FS2" s="382"/>
      <c r="FT2" s="382"/>
      <c r="FU2" s="382"/>
      <c r="FV2" s="382"/>
      <c r="FW2" s="382"/>
      <c r="FX2" s="382"/>
      <c r="FY2" s="382"/>
      <c r="FZ2" s="383"/>
      <c r="GA2" s="381" t="s">
        <v>37</v>
      </c>
      <c r="GB2" s="382"/>
      <c r="GC2" s="382"/>
      <c r="GD2" s="382"/>
      <c r="GE2" s="382"/>
      <c r="GF2" s="382"/>
      <c r="GG2" s="382"/>
      <c r="GH2" s="382"/>
      <c r="GI2" s="382"/>
      <c r="GJ2" s="382"/>
      <c r="GK2" s="382"/>
      <c r="GL2" s="383"/>
      <c r="GM2" s="381" t="s">
        <v>38</v>
      </c>
      <c r="GN2" s="382"/>
      <c r="GO2" s="382"/>
      <c r="GP2" s="382"/>
      <c r="GQ2" s="382"/>
      <c r="GR2" s="382"/>
      <c r="GS2" s="382"/>
      <c r="GT2" s="382"/>
      <c r="GU2" s="382"/>
      <c r="GV2" s="382"/>
      <c r="GW2" s="382"/>
      <c r="GX2" s="383"/>
      <c r="GY2" s="381" t="s">
        <v>39</v>
      </c>
      <c r="GZ2" s="382"/>
      <c r="HA2" s="382"/>
      <c r="HB2" s="382"/>
      <c r="HC2" s="382"/>
      <c r="HD2" s="382"/>
      <c r="HE2" s="382"/>
      <c r="HF2" s="382"/>
      <c r="HG2" s="382"/>
      <c r="HH2" s="382"/>
      <c r="HI2" s="382"/>
      <c r="HJ2" s="383"/>
      <c r="HK2" s="389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1"/>
      <c r="HW2" s="392"/>
      <c r="HY2" s="430" t="s">
        <v>121</v>
      </c>
      <c r="HZ2" s="433" t="s">
        <v>119</v>
      </c>
      <c r="IA2" s="434"/>
      <c r="IB2" s="434"/>
      <c r="IC2" s="434"/>
      <c r="ID2" s="434"/>
      <c r="IE2" s="435"/>
      <c r="IF2" s="436" t="s">
        <v>120</v>
      </c>
      <c r="IG2" s="437"/>
      <c r="IH2" s="437"/>
      <c r="II2" s="437"/>
      <c r="IJ2" s="437"/>
      <c r="IK2" s="438"/>
      <c r="IL2" s="439" t="s">
        <v>122</v>
      </c>
      <c r="IM2" s="440"/>
      <c r="IN2" s="440"/>
      <c r="IO2" s="440"/>
      <c r="IP2" s="440"/>
      <c r="IQ2" s="441"/>
      <c r="IR2" s="442" t="s">
        <v>123</v>
      </c>
      <c r="IS2" s="443"/>
      <c r="IT2" s="443"/>
      <c r="IU2" s="443"/>
      <c r="IV2" s="443"/>
      <c r="IW2" s="444"/>
      <c r="IX2" s="445" t="s">
        <v>146</v>
      </c>
      <c r="IY2" s="446"/>
      <c r="IZ2" s="446"/>
      <c r="JA2" s="446"/>
      <c r="JB2" s="446"/>
      <c r="JC2" s="447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92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431"/>
      <c r="HZ3" s="91" t="s">
        <v>115</v>
      </c>
      <c r="IA3" s="365" t="s">
        <v>116</v>
      </c>
      <c r="IB3" s="365" t="s">
        <v>117</v>
      </c>
      <c r="IC3" s="365" t="s">
        <v>118</v>
      </c>
      <c r="ID3" s="365" t="s">
        <v>148</v>
      </c>
      <c r="IE3" s="368" t="s">
        <v>149</v>
      </c>
      <c r="IF3" s="91" t="s">
        <v>115</v>
      </c>
      <c r="IG3" s="365" t="s">
        <v>116</v>
      </c>
      <c r="IH3" s="365" t="s">
        <v>117</v>
      </c>
      <c r="II3" s="365" t="s">
        <v>118</v>
      </c>
      <c r="IJ3" s="366" t="s">
        <v>148</v>
      </c>
      <c r="IK3" s="368" t="s">
        <v>149</v>
      </c>
      <c r="IL3" s="91" t="s">
        <v>115</v>
      </c>
      <c r="IM3" s="365" t="s">
        <v>116</v>
      </c>
      <c r="IN3" s="365" t="s">
        <v>117</v>
      </c>
      <c r="IO3" s="365" t="s">
        <v>118</v>
      </c>
      <c r="IP3" s="366" t="s">
        <v>148</v>
      </c>
      <c r="IQ3" s="368" t="s">
        <v>149</v>
      </c>
      <c r="IR3" s="91" t="s">
        <v>115</v>
      </c>
      <c r="IS3" s="365" t="s">
        <v>116</v>
      </c>
      <c r="IT3" s="365" t="s">
        <v>117</v>
      </c>
      <c r="IU3" s="365" t="s">
        <v>118</v>
      </c>
      <c r="IV3" s="366" t="s">
        <v>148</v>
      </c>
      <c r="IW3" s="368" t="s">
        <v>149</v>
      </c>
      <c r="IX3" s="367" t="s">
        <v>115</v>
      </c>
      <c r="IY3" s="365" t="s">
        <v>116</v>
      </c>
      <c r="IZ3" s="365" t="s">
        <v>117</v>
      </c>
      <c r="JA3" s="365" t="s">
        <v>118</v>
      </c>
      <c r="JB3" s="366" t="s">
        <v>148</v>
      </c>
      <c r="JC3" s="368" t="s">
        <v>149</v>
      </c>
    </row>
    <row r="4" spans="1:263" ht="19.5" thickBot="1" x14ac:dyDescent="0.3">
      <c r="A4" s="82"/>
      <c r="B4" s="40">
        <v>44940</v>
      </c>
      <c r="C4" s="6"/>
      <c r="D4" s="7"/>
      <c r="E4" s="8">
        <v>712</v>
      </c>
      <c r="F4" s="7">
        <v>63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711</v>
      </c>
      <c r="R4" s="7">
        <v>63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196</v>
      </c>
      <c r="AD4" s="7">
        <v>16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711</v>
      </c>
      <c r="AP4" s="7">
        <v>63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711</v>
      </c>
      <c r="BB4" s="7">
        <v>63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711</v>
      </c>
      <c r="BN4" s="7">
        <v>63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 t="shared" ref="HM4:HM12" si="0">+E4+Q4+AC4+AO4+BA4+BM4+BY4+CK4+CW4+DI4+DU4+EG4+ES4+FE4+FQ4+GC4+GO4+HA4</f>
        <v>3752</v>
      </c>
      <c r="HN4" s="34">
        <f t="shared" ref="HN4:HN12" si="1">+F4+R4+AD4+AP4+BB4+BN4+BZ4+CL4+CX4+DJ4+DV4+EH4+ET4+FF4+FR4+GD4+GP4+HB4</f>
        <v>331</v>
      </c>
      <c r="HO4" s="34"/>
      <c r="HP4" s="34"/>
      <c r="HQ4" s="34"/>
      <c r="HR4" s="34"/>
      <c r="HS4" s="34"/>
      <c r="HT4" s="47"/>
      <c r="HU4" s="34"/>
      <c r="HV4" s="34"/>
      <c r="HW4" s="37"/>
      <c r="HY4" s="369">
        <v>25</v>
      </c>
      <c r="HZ4" s="164">
        <v>0</v>
      </c>
      <c r="IA4" s="77">
        <v>0</v>
      </c>
      <c r="IB4" s="77">
        <v>0</v>
      </c>
      <c r="IC4" s="77">
        <v>0</v>
      </c>
      <c r="ID4" s="77">
        <v>0</v>
      </c>
      <c r="IE4" s="165">
        <v>0</v>
      </c>
      <c r="IF4" s="164">
        <v>0</v>
      </c>
      <c r="IG4" s="77">
        <v>0</v>
      </c>
      <c r="IH4" s="77">
        <v>0</v>
      </c>
      <c r="II4" s="77">
        <f t="shared" ref="II4:II43" si="2">IU4*IC4/100</f>
        <v>0</v>
      </c>
      <c r="IJ4" s="77">
        <f t="shared" ref="IJ4:IJ43" si="3">IU4*ID4/100</f>
        <v>0</v>
      </c>
      <c r="IK4" s="165">
        <f t="shared" ref="IK4:IK39" si="4">IW4*IE4/100</f>
        <v>0</v>
      </c>
      <c r="IL4" s="360">
        <v>3496</v>
      </c>
      <c r="IM4" s="183">
        <v>3501</v>
      </c>
      <c r="IN4" s="183">
        <v>3472</v>
      </c>
      <c r="IO4" s="183">
        <v>3449</v>
      </c>
      <c r="IP4" s="346">
        <v>3518.7203791469196</v>
      </c>
      <c r="IQ4" s="361">
        <v>3380</v>
      </c>
      <c r="IR4" s="350">
        <v>0</v>
      </c>
      <c r="IS4" s="184">
        <v>0</v>
      </c>
      <c r="IT4" s="184">
        <v>0</v>
      </c>
      <c r="IU4" s="184">
        <v>0</v>
      </c>
      <c r="IV4" s="184">
        <v>0</v>
      </c>
      <c r="IW4" s="188">
        <v>0</v>
      </c>
      <c r="IX4" s="370">
        <v>0</v>
      </c>
      <c r="IY4" s="336">
        <v>0</v>
      </c>
      <c r="IZ4" s="336">
        <v>0</v>
      </c>
      <c r="JA4" s="336">
        <v>0</v>
      </c>
      <c r="JB4" s="336">
        <v>0</v>
      </c>
      <c r="JC4" s="335">
        <v>0</v>
      </c>
    </row>
    <row r="5" spans="1:263" ht="18.75" x14ac:dyDescent="0.25">
      <c r="A5" s="374">
        <v>25</v>
      </c>
      <c r="B5" s="41">
        <f>+B4+1</f>
        <v>44941</v>
      </c>
      <c r="C5" s="10"/>
      <c r="D5" s="11"/>
      <c r="E5" s="11">
        <f>E4-C5</f>
        <v>712</v>
      </c>
      <c r="F5" s="11">
        <f>F4-D5</f>
        <v>63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>
        <v>1</v>
      </c>
      <c r="P5" s="11">
        <v>1</v>
      </c>
      <c r="Q5" s="11">
        <f>Q4-O5</f>
        <v>710</v>
      </c>
      <c r="R5" s="11">
        <f>R4-P5</f>
        <v>62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196</v>
      </c>
      <c r="AD5" s="11">
        <f>AD4-AB5</f>
        <v>16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711</v>
      </c>
      <c r="AP5" s="11">
        <f t="shared" si="8"/>
        <v>63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711</v>
      </c>
      <c r="BB5" s="11">
        <f t="shared" si="11"/>
        <v>63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711</v>
      </c>
      <c r="BN5" s="11">
        <f t="shared" si="14"/>
        <v>63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1</v>
      </c>
      <c r="HL5" s="34">
        <f t="shared" si="53"/>
        <v>1</v>
      </c>
      <c r="HM5" s="34">
        <f t="shared" si="0"/>
        <v>3751</v>
      </c>
      <c r="HN5" s="34">
        <f t="shared" si="1"/>
        <v>330</v>
      </c>
      <c r="HO5" s="34">
        <f t="shared" ref="HO5:HO12" si="54">+G5+S5+AE5+AQ5+BC5+BO5+CA5+CM5+CY5+DK5+DW5+EI5+EU5+FG5+FS5+GE5+GQ5+HC5+I5+U5+AG5+AS5+BE5+BQ5+CC5+CO5+DA5+DM5+DY5+EK5+EW5+FI5+FU5+GG5+GS5+HE5</f>
        <v>0</v>
      </c>
      <c r="HP5" s="94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48">
        <v>26</v>
      </c>
      <c r="HZ5" s="164">
        <v>0</v>
      </c>
      <c r="IA5" s="77">
        <v>0</v>
      </c>
      <c r="IB5" s="77">
        <v>54.911900000000003</v>
      </c>
      <c r="IC5" s="77">
        <v>0</v>
      </c>
      <c r="ID5" s="77">
        <v>0</v>
      </c>
      <c r="IE5" s="165">
        <v>0</v>
      </c>
      <c r="IF5" s="164">
        <v>0</v>
      </c>
      <c r="IG5" s="77">
        <v>0</v>
      </c>
      <c r="IH5" s="77">
        <v>0.36790972999999999</v>
      </c>
      <c r="II5" s="77">
        <f t="shared" si="2"/>
        <v>0</v>
      </c>
      <c r="IJ5" s="77">
        <f t="shared" si="3"/>
        <v>0</v>
      </c>
      <c r="IK5" s="165">
        <f t="shared" si="4"/>
        <v>0</v>
      </c>
      <c r="IL5" s="360">
        <v>3662</v>
      </c>
      <c r="IM5" s="183">
        <v>3681</v>
      </c>
      <c r="IN5" s="183">
        <v>3609</v>
      </c>
      <c r="IO5" s="183">
        <v>3573</v>
      </c>
      <c r="IP5" s="346">
        <v>3642.75555555556</v>
      </c>
      <c r="IQ5" s="361">
        <v>3560</v>
      </c>
      <c r="IR5" s="350">
        <v>0.14000000000000001</v>
      </c>
      <c r="IS5" s="184">
        <v>7.0000000000000007E-2</v>
      </c>
      <c r="IT5" s="184">
        <v>0.67</v>
      </c>
      <c r="IU5" s="184">
        <v>0</v>
      </c>
      <c r="IV5" s="184">
        <v>0.04</v>
      </c>
      <c r="IW5" s="188">
        <v>0.23</v>
      </c>
      <c r="IX5" s="370">
        <v>0</v>
      </c>
      <c r="IY5" s="336">
        <v>0</v>
      </c>
      <c r="IZ5" s="336">
        <v>0</v>
      </c>
      <c r="JA5" s="336">
        <v>0</v>
      </c>
      <c r="JB5" s="336">
        <v>0</v>
      </c>
      <c r="JC5" s="335">
        <v>0</v>
      </c>
    </row>
    <row r="6" spans="1:263" ht="18.75" x14ac:dyDescent="0.25">
      <c r="A6" s="374"/>
      <c r="B6" s="41">
        <f t="shared" ref="B6:B11" si="57">+B5+1</f>
        <v>44942</v>
      </c>
      <c r="C6" s="10"/>
      <c r="D6" s="11"/>
      <c r="E6" s="11">
        <f t="shared" ref="E6:F10" si="58">E5-C6</f>
        <v>712</v>
      </c>
      <c r="F6" s="11">
        <f t="shared" si="58"/>
        <v>63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710</v>
      </c>
      <c r="R6" s="11">
        <f t="shared" si="60"/>
        <v>62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196</v>
      </c>
      <c r="AD6" s="11">
        <f t="shared" si="62"/>
        <v>16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711</v>
      </c>
      <c r="AP6" s="11">
        <f t="shared" si="8"/>
        <v>63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711</v>
      </c>
      <c r="BB6" s="11">
        <f t="shared" si="11"/>
        <v>63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711</v>
      </c>
      <c r="BN6" s="11">
        <f t="shared" si="14"/>
        <v>63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1">
        <f t="shared" si="53"/>
        <v>0</v>
      </c>
      <c r="HM6" s="11">
        <f t="shared" si="0"/>
        <v>3751</v>
      </c>
      <c r="HN6" s="11">
        <f t="shared" si="1"/>
        <v>330</v>
      </c>
      <c r="HO6" s="11">
        <f t="shared" si="54"/>
        <v>0</v>
      </c>
      <c r="HP6" s="95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48">
        <v>27</v>
      </c>
      <c r="HZ6" s="164">
        <v>54.6</v>
      </c>
      <c r="IA6" s="77">
        <v>54</v>
      </c>
      <c r="IB6" s="77">
        <v>58.376899999999999</v>
      </c>
      <c r="IC6" s="77">
        <v>0</v>
      </c>
      <c r="ID6" s="77">
        <v>0</v>
      </c>
      <c r="IE6" s="165">
        <v>54.2</v>
      </c>
      <c r="IF6" s="164">
        <v>2.5116000000000001</v>
      </c>
      <c r="IG6" s="77">
        <v>1.4688000000000003</v>
      </c>
      <c r="IH6" s="77">
        <v>4.5417228200000004</v>
      </c>
      <c r="II6" s="77">
        <f t="shared" si="2"/>
        <v>0</v>
      </c>
      <c r="IJ6" s="77">
        <f t="shared" si="3"/>
        <v>0</v>
      </c>
      <c r="IK6" s="165">
        <f t="shared" si="4"/>
        <v>1.9945600000000001</v>
      </c>
      <c r="IL6" s="360">
        <v>3834</v>
      </c>
      <c r="IM6" s="183">
        <v>3898</v>
      </c>
      <c r="IN6" s="183">
        <v>3827</v>
      </c>
      <c r="IO6" s="183">
        <v>3850</v>
      </c>
      <c r="IP6" s="346">
        <v>3870.7831325301204</v>
      </c>
      <c r="IQ6" s="361">
        <v>3700</v>
      </c>
      <c r="IR6" s="350">
        <v>4.5999999999999996</v>
      </c>
      <c r="IS6" s="184">
        <v>2.72</v>
      </c>
      <c r="IT6" s="184">
        <v>7.78</v>
      </c>
      <c r="IU6" s="184">
        <v>0.39</v>
      </c>
      <c r="IV6" s="184">
        <v>1.31</v>
      </c>
      <c r="IW6" s="188">
        <v>3.68</v>
      </c>
      <c r="IX6" s="370">
        <v>3.5000000000000003E-2</v>
      </c>
      <c r="IY6" s="336">
        <v>4.5977011494252873E-2</v>
      </c>
      <c r="IZ6" s="336">
        <v>5.4437869822485205E-2</v>
      </c>
      <c r="JA6" s="336">
        <v>0</v>
      </c>
      <c r="JB6" s="336">
        <v>0</v>
      </c>
      <c r="JC6" s="335">
        <v>0.02</v>
      </c>
    </row>
    <row r="7" spans="1:263" ht="18.75" x14ac:dyDescent="0.25">
      <c r="A7" s="374"/>
      <c r="B7" s="41">
        <f t="shared" si="57"/>
        <v>44943</v>
      </c>
      <c r="C7" s="10"/>
      <c r="D7" s="11"/>
      <c r="E7" s="11">
        <f t="shared" si="58"/>
        <v>712</v>
      </c>
      <c r="F7" s="11">
        <f t="shared" si="58"/>
        <v>63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710</v>
      </c>
      <c r="R7" s="11">
        <f t="shared" si="60"/>
        <v>62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196</v>
      </c>
      <c r="AD7" s="11">
        <f t="shared" si="62"/>
        <v>16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711</v>
      </c>
      <c r="AP7" s="11">
        <f t="shared" si="8"/>
        <v>63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711</v>
      </c>
      <c r="BB7" s="11">
        <f t="shared" si="11"/>
        <v>63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711</v>
      </c>
      <c r="BN7" s="11">
        <f t="shared" si="14"/>
        <v>63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1">
        <f t="shared" si="53"/>
        <v>0</v>
      </c>
      <c r="HM7" s="11">
        <f t="shared" si="0"/>
        <v>3751</v>
      </c>
      <c r="HN7" s="11">
        <f t="shared" si="1"/>
        <v>330</v>
      </c>
      <c r="HO7" s="11">
        <f t="shared" si="54"/>
        <v>0</v>
      </c>
      <c r="HP7" s="95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48">
        <v>28</v>
      </c>
      <c r="HZ7" s="164">
        <v>56.6952</v>
      </c>
      <c r="IA7" s="77">
        <v>56.045299999999997</v>
      </c>
      <c r="IB7" s="77">
        <v>60.150100000000002</v>
      </c>
      <c r="IC7" s="77">
        <v>56.5443</v>
      </c>
      <c r="ID7" s="77">
        <v>55.9</v>
      </c>
      <c r="IE7" s="165">
        <v>56.6</v>
      </c>
      <c r="IF7" s="164">
        <v>11.42975232</v>
      </c>
      <c r="IG7" s="77">
        <v>11.102573929999998</v>
      </c>
      <c r="IH7" s="77">
        <v>15.067600050000001</v>
      </c>
      <c r="II7" s="77">
        <f t="shared" si="2"/>
        <v>3.3813491400000002</v>
      </c>
      <c r="IJ7" s="77">
        <f t="shared" si="3"/>
        <v>3.3428200000000006</v>
      </c>
      <c r="IK7" s="165">
        <f t="shared" si="4"/>
        <v>8.874880000000001</v>
      </c>
      <c r="IL7" s="360">
        <v>3999</v>
      </c>
      <c r="IM7" s="183">
        <v>4018</v>
      </c>
      <c r="IN7" s="183">
        <v>3958</v>
      </c>
      <c r="IO7" s="183">
        <v>4014</v>
      </c>
      <c r="IP7" s="346">
        <v>4004.5258620689656</v>
      </c>
      <c r="IQ7" s="361">
        <v>3826.8</v>
      </c>
      <c r="IR7" s="350">
        <v>20.16</v>
      </c>
      <c r="IS7" s="184">
        <v>19.809999999999999</v>
      </c>
      <c r="IT7" s="184">
        <v>25.05</v>
      </c>
      <c r="IU7" s="184">
        <v>5.98</v>
      </c>
      <c r="IV7" s="184">
        <v>9.8800000000000008</v>
      </c>
      <c r="IW7" s="188">
        <v>15.68</v>
      </c>
      <c r="IX7" s="370">
        <v>5.7000000000000002E-2</v>
      </c>
      <c r="IY7" s="336">
        <v>4.6666666666666669E-2</v>
      </c>
      <c r="IZ7" s="336">
        <v>5.0297284268037923E-2</v>
      </c>
      <c r="JA7" s="336">
        <v>1.6381766381766381E-2</v>
      </c>
      <c r="JB7" s="336">
        <v>2.7E-2</v>
      </c>
      <c r="JC7" s="335">
        <v>2.1999999999999999E-2</v>
      </c>
    </row>
    <row r="8" spans="1:263" ht="18.75" x14ac:dyDescent="0.25">
      <c r="A8" s="374"/>
      <c r="B8" s="41">
        <f t="shared" si="57"/>
        <v>44944</v>
      </c>
      <c r="C8" s="10"/>
      <c r="D8" s="11"/>
      <c r="E8" s="11">
        <f t="shared" si="58"/>
        <v>712</v>
      </c>
      <c r="F8" s="11">
        <f t="shared" si="58"/>
        <v>63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710</v>
      </c>
      <c r="R8" s="11">
        <f t="shared" si="60"/>
        <v>62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196</v>
      </c>
      <c r="AD8" s="11">
        <f t="shared" si="62"/>
        <v>16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711</v>
      </c>
      <c r="AP8" s="11">
        <f t="shared" si="8"/>
        <v>63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711</v>
      </c>
      <c r="BB8" s="11">
        <f t="shared" si="11"/>
        <v>63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711</v>
      </c>
      <c r="BN8" s="11">
        <f t="shared" si="14"/>
        <v>63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1">
        <f t="shared" si="53"/>
        <v>0</v>
      </c>
      <c r="HM8" s="11">
        <f t="shared" si="0"/>
        <v>3751</v>
      </c>
      <c r="HN8" s="11">
        <f t="shared" si="1"/>
        <v>330</v>
      </c>
      <c r="HO8" s="11">
        <f t="shared" si="54"/>
        <v>0</v>
      </c>
      <c r="HP8" s="95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48">
        <v>29</v>
      </c>
      <c r="HZ8" s="164">
        <v>59.011800000000001</v>
      </c>
      <c r="IA8" s="77">
        <v>59.830500000000001</v>
      </c>
      <c r="IB8" s="77">
        <v>61.595500000000001</v>
      </c>
      <c r="IC8" s="77">
        <v>58.7</v>
      </c>
      <c r="ID8" s="77">
        <v>59.7</v>
      </c>
      <c r="IE8" s="165">
        <v>59</v>
      </c>
      <c r="IF8" s="164">
        <v>22.808060700000002</v>
      </c>
      <c r="IG8" s="77">
        <v>23.250132300000001</v>
      </c>
      <c r="IH8" s="77">
        <v>25.426622399999999</v>
      </c>
      <c r="II8" s="77">
        <f t="shared" si="2"/>
        <v>13.30142</v>
      </c>
      <c r="IJ8" s="77">
        <f t="shared" si="3"/>
        <v>13.528020000000001</v>
      </c>
      <c r="IK8" s="165">
        <f t="shared" si="4"/>
        <v>19.493600000000001</v>
      </c>
      <c r="IL8" s="360">
        <v>4118</v>
      </c>
      <c r="IM8" s="183">
        <v>4047</v>
      </c>
      <c r="IN8" s="183">
        <v>3958</v>
      </c>
      <c r="IO8" s="89">
        <v>4079</v>
      </c>
      <c r="IP8" s="346">
        <v>4113</v>
      </c>
      <c r="IQ8" s="361">
        <v>4006.1187214611873</v>
      </c>
      <c r="IR8" s="350">
        <v>38.65</v>
      </c>
      <c r="IS8" s="184">
        <v>38.86</v>
      </c>
      <c r="IT8" s="184">
        <v>41.28</v>
      </c>
      <c r="IU8" s="184">
        <v>22.66</v>
      </c>
      <c r="IV8" s="184">
        <v>26.62</v>
      </c>
      <c r="IW8" s="188">
        <v>33.04</v>
      </c>
      <c r="IX8" s="370">
        <v>4.3999999999999997E-2</v>
      </c>
      <c r="IY8" s="336">
        <v>4.0435458786936239E-2</v>
      </c>
      <c r="IZ8" s="336">
        <v>4.5089198196432069E-2</v>
      </c>
      <c r="JA8" s="336">
        <v>1.8077377935462071E-2</v>
      </c>
      <c r="JB8" s="336">
        <v>2.8000000000000001E-2</v>
      </c>
      <c r="JC8" s="335">
        <v>3.2238293699436135E-2</v>
      </c>
    </row>
    <row r="9" spans="1:263" ht="18.75" x14ac:dyDescent="0.25">
      <c r="A9" s="374"/>
      <c r="B9" s="41">
        <f t="shared" si="57"/>
        <v>44945</v>
      </c>
      <c r="C9" s="10"/>
      <c r="D9" s="11"/>
      <c r="E9" s="11">
        <f t="shared" si="58"/>
        <v>712</v>
      </c>
      <c r="F9" s="11">
        <f t="shared" si="58"/>
        <v>63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>
        <v>3280</v>
      </c>
      <c r="N9" s="20">
        <v>3950</v>
      </c>
      <c r="O9" s="10">
        <v>1</v>
      </c>
      <c r="P9" s="11"/>
      <c r="Q9" s="11">
        <f t="shared" si="60"/>
        <v>709</v>
      </c>
      <c r="R9" s="11">
        <f t="shared" si="60"/>
        <v>62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>
        <v>3280</v>
      </c>
      <c r="Z9" s="20">
        <v>3950</v>
      </c>
      <c r="AA9" s="10"/>
      <c r="AB9" s="11"/>
      <c r="AC9" s="11">
        <f t="shared" si="62"/>
        <v>196</v>
      </c>
      <c r="AD9" s="11">
        <f t="shared" si="62"/>
        <v>16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>
        <v>3280</v>
      </c>
      <c r="AL9" s="20">
        <v>3950</v>
      </c>
      <c r="AM9" s="10"/>
      <c r="AN9" s="11"/>
      <c r="AO9" s="11">
        <f t="shared" si="8"/>
        <v>711</v>
      </c>
      <c r="AP9" s="11">
        <f t="shared" si="8"/>
        <v>63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>
        <v>3280</v>
      </c>
      <c r="AX9" s="20">
        <v>3950</v>
      </c>
      <c r="AY9" s="10"/>
      <c r="AZ9" s="11"/>
      <c r="BA9" s="11">
        <f t="shared" si="11"/>
        <v>711</v>
      </c>
      <c r="BB9" s="11">
        <f t="shared" si="11"/>
        <v>63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>
        <v>3280</v>
      </c>
      <c r="BJ9" s="20">
        <v>3950</v>
      </c>
      <c r="BK9" s="10"/>
      <c r="BL9" s="11"/>
      <c r="BM9" s="11">
        <f t="shared" si="14"/>
        <v>711</v>
      </c>
      <c r="BN9" s="11">
        <f t="shared" si="14"/>
        <v>63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>
        <v>3280</v>
      </c>
      <c r="BV9" s="20">
        <v>3950</v>
      </c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1</v>
      </c>
      <c r="HL9" s="11">
        <f t="shared" si="53"/>
        <v>0</v>
      </c>
      <c r="HM9" s="11">
        <f t="shared" si="0"/>
        <v>3750</v>
      </c>
      <c r="HN9" s="11">
        <f t="shared" si="1"/>
        <v>330</v>
      </c>
      <c r="HO9" s="11">
        <f t="shared" si="54"/>
        <v>0</v>
      </c>
      <c r="HP9" s="95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>
        <v>3280</v>
      </c>
      <c r="HW9" s="22">
        <v>3950</v>
      </c>
      <c r="HY9" s="348">
        <v>30</v>
      </c>
      <c r="HZ9" s="164">
        <v>60.343000000000004</v>
      </c>
      <c r="IA9" s="77">
        <v>61.563600000000001</v>
      </c>
      <c r="IB9" s="77">
        <v>62.8855</v>
      </c>
      <c r="IC9" s="89">
        <v>60.2</v>
      </c>
      <c r="ID9" s="89">
        <v>61.3</v>
      </c>
      <c r="IE9" s="90">
        <v>59.8</v>
      </c>
      <c r="IF9" s="164">
        <v>29.387041000000004</v>
      </c>
      <c r="IG9" s="77">
        <v>30.972647160000001</v>
      </c>
      <c r="IH9" s="77">
        <v>33.329315000000001</v>
      </c>
      <c r="II9" s="77">
        <f t="shared" si="2"/>
        <v>23.164960000000001</v>
      </c>
      <c r="IJ9" s="77">
        <f t="shared" si="3"/>
        <v>23.588239999999995</v>
      </c>
      <c r="IK9" s="165">
        <f t="shared" si="4"/>
        <v>27.484079999999999</v>
      </c>
      <c r="IL9" s="360">
        <v>4148</v>
      </c>
      <c r="IM9" s="183">
        <v>4194</v>
      </c>
      <c r="IN9" s="183">
        <v>4131</v>
      </c>
      <c r="IO9" s="89">
        <v>4236</v>
      </c>
      <c r="IP9" s="346">
        <v>4153</v>
      </c>
      <c r="IQ9" s="361">
        <v>4046.6375545851529</v>
      </c>
      <c r="IR9" s="350">
        <v>48.7</v>
      </c>
      <c r="IS9" s="184">
        <v>50.31</v>
      </c>
      <c r="IT9" s="184">
        <v>53</v>
      </c>
      <c r="IU9" s="184">
        <v>38.479999999999997</v>
      </c>
      <c r="IV9" s="184">
        <v>42.22</v>
      </c>
      <c r="IW9" s="188">
        <v>45.96</v>
      </c>
      <c r="IX9" s="370">
        <v>4.2999999999999997E-2</v>
      </c>
      <c r="IY9" s="336">
        <v>4.3618479400145127E-2</v>
      </c>
      <c r="IZ9" s="336">
        <v>4.1099053336411916E-2</v>
      </c>
      <c r="JA9" s="336">
        <v>2.2495500899820036E-2</v>
      </c>
      <c r="JB9" s="336">
        <v>3.5000000000000003E-2</v>
      </c>
      <c r="JC9" s="335">
        <v>3.6112586298459905E-2</v>
      </c>
    </row>
    <row r="10" spans="1:263" ht="18.75" x14ac:dyDescent="0.25">
      <c r="A10" s="374"/>
      <c r="B10" s="41">
        <f t="shared" si="57"/>
        <v>44946</v>
      </c>
      <c r="C10" s="10"/>
      <c r="D10" s="11"/>
      <c r="E10" s="11">
        <f t="shared" si="58"/>
        <v>712</v>
      </c>
      <c r="F10" s="11">
        <f t="shared" si="58"/>
        <v>63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>
        <v>3332.7272727272725</v>
      </c>
      <c r="N10" s="38">
        <v>3846.1538461538462</v>
      </c>
      <c r="O10" s="10"/>
      <c r="P10" s="11"/>
      <c r="Q10" s="11">
        <f t="shared" si="60"/>
        <v>709</v>
      </c>
      <c r="R10" s="11">
        <f t="shared" si="60"/>
        <v>62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>
        <v>3389.375</v>
      </c>
      <c r="Z10" s="38">
        <v>4106.1538461538457</v>
      </c>
      <c r="AA10" s="10"/>
      <c r="AB10" s="11"/>
      <c r="AC10" s="11">
        <f t="shared" si="62"/>
        <v>196</v>
      </c>
      <c r="AD10" s="11">
        <f t="shared" si="62"/>
        <v>16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>
        <v>3348</v>
      </c>
      <c r="AL10" s="38">
        <v>4185</v>
      </c>
      <c r="AM10" s="10"/>
      <c r="AN10" s="11"/>
      <c r="AO10" s="11">
        <f t="shared" si="8"/>
        <v>711</v>
      </c>
      <c r="AP10" s="11">
        <f t="shared" si="8"/>
        <v>63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>
        <v>3418.5714285714284</v>
      </c>
      <c r="AX10" s="38">
        <v>4157.5</v>
      </c>
      <c r="AY10" s="10"/>
      <c r="AZ10" s="11"/>
      <c r="BA10" s="11">
        <f t="shared" si="11"/>
        <v>711</v>
      </c>
      <c r="BB10" s="11">
        <f t="shared" si="11"/>
        <v>63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>
        <v>3553.8461538461538</v>
      </c>
      <c r="BJ10" s="38">
        <v>4100</v>
      </c>
      <c r="BK10" s="10"/>
      <c r="BL10" s="11"/>
      <c r="BM10" s="11">
        <f t="shared" si="14"/>
        <v>711</v>
      </c>
      <c r="BN10" s="11">
        <f t="shared" si="14"/>
        <v>63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>
        <v>3545.6410256410259</v>
      </c>
      <c r="BV10" s="38">
        <v>4321.5384615384619</v>
      </c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1">
        <f t="shared" si="53"/>
        <v>0</v>
      </c>
      <c r="HM10" s="11">
        <f t="shared" si="0"/>
        <v>3750</v>
      </c>
      <c r="HN10" s="11">
        <f t="shared" si="1"/>
        <v>330</v>
      </c>
      <c r="HO10" s="11">
        <f t="shared" si="54"/>
        <v>0</v>
      </c>
      <c r="HP10" s="95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>
        <v>3449.2021276595747</v>
      </c>
      <c r="HW10" s="22">
        <v>4110.1470588235297</v>
      </c>
      <c r="HY10" s="348">
        <v>31</v>
      </c>
      <c r="HZ10" s="164">
        <v>60.881599999999999</v>
      </c>
      <c r="IA10" s="77">
        <v>63.491199999999999</v>
      </c>
      <c r="IB10" s="77">
        <v>63.5</v>
      </c>
      <c r="IC10" s="77">
        <v>62.414285714285718</v>
      </c>
      <c r="ID10" s="77">
        <v>63.5</v>
      </c>
      <c r="IE10" s="165">
        <v>60.6</v>
      </c>
      <c r="IF10" s="164">
        <v>31.65234384</v>
      </c>
      <c r="IG10" s="77">
        <v>35.18682304</v>
      </c>
      <c r="IH10" s="77">
        <v>36.588699999999996</v>
      </c>
      <c r="II10" s="77">
        <f t="shared" si="2"/>
        <v>31.019900000000003</v>
      </c>
      <c r="IJ10" s="77">
        <f t="shared" si="3"/>
        <v>31.559500000000003</v>
      </c>
      <c r="IK10" s="165">
        <f t="shared" si="4"/>
        <v>31.845299999999998</v>
      </c>
      <c r="IL10" s="360">
        <v>4240</v>
      </c>
      <c r="IM10" s="183">
        <v>4298</v>
      </c>
      <c r="IN10" s="183">
        <v>4283</v>
      </c>
      <c r="IO10" s="346">
        <v>4236.1139896373061</v>
      </c>
      <c r="IP10" s="346">
        <v>4314</v>
      </c>
      <c r="IQ10" s="361">
        <v>4192</v>
      </c>
      <c r="IR10" s="350">
        <v>51.99</v>
      </c>
      <c r="IS10" s="184">
        <v>55.42</v>
      </c>
      <c r="IT10" s="184">
        <v>57.62</v>
      </c>
      <c r="IU10" s="184">
        <v>49.7</v>
      </c>
      <c r="IV10" s="184">
        <v>50.84</v>
      </c>
      <c r="IW10" s="188">
        <v>52.55</v>
      </c>
      <c r="IX10" s="370">
        <v>3.5999999999999997E-2</v>
      </c>
      <c r="IY10" s="336">
        <v>3.5301053872798291E-2</v>
      </c>
      <c r="IZ10" s="336">
        <v>3.7975587122564068E-2</v>
      </c>
      <c r="JA10" s="336">
        <v>2.3E-2</v>
      </c>
      <c r="JB10" s="336">
        <v>2.5559366323697534E-2</v>
      </c>
      <c r="JC10" s="335">
        <v>2.7762415661984292E-2</v>
      </c>
    </row>
    <row r="11" spans="1:263" ht="18.75" x14ac:dyDescent="0.25">
      <c r="A11" s="374"/>
      <c r="B11" s="41">
        <f t="shared" si="57"/>
        <v>44947</v>
      </c>
      <c r="C11" s="10"/>
      <c r="D11" s="11"/>
      <c r="E11" s="11">
        <f>E10-C11</f>
        <v>712</v>
      </c>
      <c r="F11" s="11">
        <f>F10-D11</f>
        <v>63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>
        <v>96.969696969696969</v>
      </c>
      <c r="N11" s="103">
        <v>100</v>
      </c>
      <c r="O11" s="10"/>
      <c r="P11" s="11"/>
      <c r="Q11" s="11">
        <f>Q10-O11</f>
        <v>709</v>
      </c>
      <c r="R11" s="11">
        <f>R10-P11</f>
        <v>62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>
        <v>78.125</v>
      </c>
      <c r="Z11" s="103">
        <v>92.307692307692307</v>
      </c>
      <c r="AA11" s="10"/>
      <c r="AB11" s="11"/>
      <c r="AC11" s="11">
        <f>AC10-AA11</f>
        <v>196</v>
      </c>
      <c r="AD11" s="11">
        <f>AD10-AB11</f>
        <v>16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>
        <v>100</v>
      </c>
      <c r="AL11" s="103">
        <v>100</v>
      </c>
      <c r="AM11" s="10"/>
      <c r="AN11" s="11"/>
      <c r="AO11" s="11">
        <f t="shared" si="8"/>
        <v>711</v>
      </c>
      <c r="AP11" s="11">
        <f t="shared" si="8"/>
        <v>63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>
        <v>91.428571428571431</v>
      </c>
      <c r="AX11" s="103">
        <v>91.666666666666671</v>
      </c>
      <c r="AY11" s="10"/>
      <c r="AZ11" s="11">
        <v>1</v>
      </c>
      <c r="BA11" s="11">
        <f t="shared" si="11"/>
        <v>711</v>
      </c>
      <c r="BB11" s="11">
        <f t="shared" si="11"/>
        <v>62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>
        <v>89.743589743589737</v>
      </c>
      <c r="BJ11" s="103">
        <v>92.307692307692307</v>
      </c>
      <c r="BK11" s="10"/>
      <c r="BL11" s="11"/>
      <c r="BM11" s="11">
        <f t="shared" si="14"/>
        <v>711</v>
      </c>
      <c r="BN11" s="11">
        <f t="shared" si="14"/>
        <v>63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>
        <v>84.615384615384613</v>
      </c>
      <c r="BV11" s="103">
        <v>100</v>
      </c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103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103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103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103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103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103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103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103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103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103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103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103"/>
      <c r="HK11" s="10">
        <f t="shared" si="53"/>
        <v>0</v>
      </c>
      <c r="HL11" s="11">
        <f t="shared" si="53"/>
        <v>1</v>
      </c>
      <c r="HM11" s="11">
        <f t="shared" si="0"/>
        <v>3750</v>
      </c>
      <c r="HN11" s="11">
        <f t="shared" si="1"/>
        <v>329</v>
      </c>
      <c r="HO11" s="11">
        <f t="shared" si="54"/>
        <v>0</v>
      </c>
      <c r="HP11" s="95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>
        <v>81.38297872340425</v>
      </c>
      <c r="HW11" s="22">
        <v>89.705882352941174</v>
      </c>
      <c r="HY11" s="348">
        <v>32</v>
      </c>
      <c r="HZ11" s="164">
        <v>62.1496</v>
      </c>
      <c r="IA11" s="77">
        <v>64.016199999999998</v>
      </c>
      <c r="IB11" s="77">
        <v>64.917199999999994</v>
      </c>
      <c r="IC11" s="77">
        <v>63.657142857142851</v>
      </c>
      <c r="ID11" s="77">
        <v>64.8</v>
      </c>
      <c r="IE11" s="165">
        <v>61.5</v>
      </c>
      <c r="IF11" s="164">
        <v>32.746624239999996</v>
      </c>
      <c r="IG11" s="77">
        <v>36.674880979999998</v>
      </c>
      <c r="IH11" s="77">
        <v>39.463165879999998</v>
      </c>
      <c r="II11" s="77">
        <f t="shared" si="2"/>
        <v>34.820457142857137</v>
      </c>
      <c r="IJ11" s="77">
        <f t="shared" si="3"/>
        <v>35.445599999999999</v>
      </c>
      <c r="IK11" s="165">
        <f t="shared" si="4"/>
        <v>34.470749999999995</v>
      </c>
      <c r="IL11" s="360">
        <v>4342</v>
      </c>
      <c r="IM11" s="183">
        <v>4441</v>
      </c>
      <c r="IN11" s="183">
        <v>4310</v>
      </c>
      <c r="IO11" s="346">
        <v>4297.1400000000003</v>
      </c>
      <c r="IP11" s="346">
        <v>4329</v>
      </c>
      <c r="IQ11" s="361">
        <v>4356.2</v>
      </c>
      <c r="IR11" s="350">
        <v>52.69</v>
      </c>
      <c r="IS11" s="184">
        <v>57.29</v>
      </c>
      <c r="IT11" s="184">
        <v>60.79</v>
      </c>
      <c r="IU11" s="184">
        <v>54.7</v>
      </c>
      <c r="IV11" s="184">
        <v>55.32</v>
      </c>
      <c r="IW11" s="188">
        <v>56.05</v>
      </c>
      <c r="IX11" s="370">
        <v>2.8542303771661569E-2</v>
      </c>
      <c r="IY11" s="336">
        <v>3.1581969566465688E-2</v>
      </c>
      <c r="IZ11" s="336">
        <v>3.9876880984952123E-2</v>
      </c>
      <c r="JA11" s="336">
        <v>2.4E-2</v>
      </c>
      <c r="JB11" s="336">
        <v>2.4E-2</v>
      </c>
      <c r="JC11" s="335">
        <v>2.4E-2</v>
      </c>
    </row>
    <row r="12" spans="1:263" ht="19.5" thickBot="1" x14ac:dyDescent="0.3">
      <c r="A12" s="375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1.6075388026607556</v>
      </c>
      <c r="N12" s="67">
        <f>N10/N9*100-100</f>
        <v>-2.6290165530671885</v>
      </c>
      <c r="O12" s="26">
        <f>SUM(O5:O11)</f>
        <v>2</v>
      </c>
      <c r="P12" s="27">
        <f>SUM(P5:P11)</f>
        <v>1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3.3346036585365937</v>
      </c>
      <c r="Z12" s="67">
        <f>Z10/Z9*100-100</f>
        <v>3.953261927945448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2.0731707317073216</v>
      </c>
      <c r="AL12" s="67">
        <f>AL10/AL9*100-100</f>
        <v>5.9493670886076018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>
        <f>AW10/AW9*100-100</f>
        <v>4.2247386759581786</v>
      </c>
      <c r="AX12" s="67">
        <f>AX10/AX9*100-100</f>
        <v>5.2531645569620338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>
        <f>BI10/BI9*100-100</f>
        <v>8.3489681050656657</v>
      </c>
      <c r="BJ12" s="67">
        <f>BJ10/BJ9*100-100</f>
        <v>3.7974683544303787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>
        <f>BU10/BU9*100-100</f>
        <v>8.0988117573483436</v>
      </c>
      <c r="BV12" s="67">
        <f>BV10/BV9*100-100</f>
        <v>9.4060370009737113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7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7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7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7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7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7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7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7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7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7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7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7" t="e">
        <f>HJ10/HJ9*100-100</f>
        <v>#DIV/0!</v>
      </c>
      <c r="HK12" s="26">
        <f t="shared" si="53"/>
        <v>2</v>
      </c>
      <c r="HL12" s="27">
        <f t="shared" si="53"/>
        <v>2</v>
      </c>
      <c r="HM12" s="27">
        <f t="shared" si="0"/>
        <v>0</v>
      </c>
      <c r="HN12" s="27">
        <f t="shared" si="1"/>
        <v>0</v>
      </c>
      <c r="HO12" s="27">
        <f t="shared" si="54"/>
        <v>0</v>
      </c>
      <c r="HP12" s="96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>
        <f>HV10/HV9*100-100</f>
        <v>5.1586014530358142</v>
      </c>
      <c r="HW12" s="67">
        <f>HW10/HW9*100-100</f>
        <v>4.0543559195830312</v>
      </c>
      <c r="HY12" s="348">
        <v>33</v>
      </c>
      <c r="HZ12" s="164">
        <v>63.443100000000001</v>
      </c>
      <c r="IA12" s="77">
        <v>64.272800000000004</v>
      </c>
      <c r="IB12" s="77">
        <v>65.956599999999995</v>
      </c>
      <c r="IC12" s="77">
        <v>64.5</v>
      </c>
      <c r="ID12" s="77">
        <v>64.400000000000006</v>
      </c>
      <c r="IE12" s="165">
        <v>64</v>
      </c>
      <c r="IF12" s="164">
        <v>35.369528250000002</v>
      </c>
      <c r="IG12" s="77">
        <v>36.988996399999998</v>
      </c>
      <c r="IH12" s="77">
        <v>40.00927355999999</v>
      </c>
      <c r="II12" s="77">
        <f t="shared" si="2"/>
        <v>37.00365</v>
      </c>
      <c r="IJ12" s="77">
        <f t="shared" si="3"/>
        <v>36.946280000000002</v>
      </c>
      <c r="IK12" s="165">
        <f t="shared" si="4"/>
        <v>36.351999999999997</v>
      </c>
      <c r="IL12" s="360">
        <v>4370</v>
      </c>
      <c r="IM12" s="183">
        <v>4454</v>
      </c>
      <c r="IN12" s="183">
        <v>4358</v>
      </c>
      <c r="IO12" s="346">
        <v>4345</v>
      </c>
      <c r="IP12" s="346">
        <v>4433</v>
      </c>
      <c r="IQ12" s="361">
        <v>4326</v>
      </c>
      <c r="IR12" s="351">
        <v>55.75</v>
      </c>
      <c r="IS12" s="184">
        <v>57.55</v>
      </c>
      <c r="IT12" s="184">
        <v>60.66</v>
      </c>
      <c r="IU12" s="184">
        <v>57.37</v>
      </c>
      <c r="IV12" s="184">
        <v>57.92</v>
      </c>
      <c r="IW12" s="188">
        <v>56.8</v>
      </c>
      <c r="IX12" s="370">
        <v>2.8679976162097734E-2</v>
      </c>
      <c r="IY12" s="336">
        <v>2.8950978268717061E-2</v>
      </c>
      <c r="IZ12" s="336">
        <v>3.2018178062383808E-2</v>
      </c>
      <c r="JA12" s="336">
        <v>2.7E-2</v>
      </c>
      <c r="JB12" s="336">
        <v>2.4E-2</v>
      </c>
      <c r="JC12" s="33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5.3304904051172707E-4</v>
      </c>
      <c r="HL13" s="66">
        <f>HL12/HN4</f>
        <v>6.0422960725075529E-3</v>
      </c>
      <c r="HM13" s="30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48">
        <v>34</v>
      </c>
      <c r="HZ13" s="164">
        <v>63.6</v>
      </c>
      <c r="IA13" s="77">
        <v>65.031599999999997</v>
      </c>
      <c r="IB13" s="77">
        <v>65.768799999999999</v>
      </c>
      <c r="IC13" s="89">
        <v>64.7</v>
      </c>
      <c r="ID13" s="89">
        <v>65</v>
      </c>
      <c r="IE13" s="165">
        <v>64.44285714285715</v>
      </c>
      <c r="IF13" s="164">
        <v>35.049959999999999</v>
      </c>
      <c r="IG13" s="77">
        <v>37.607774280000001</v>
      </c>
      <c r="IH13" s="77">
        <v>40.63196464</v>
      </c>
      <c r="II13" s="77">
        <f t="shared" si="2"/>
        <v>36.924289999999999</v>
      </c>
      <c r="IJ13" s="77">
        <f t="shared" si="3"/>
        <v>37.095500000000001</v>
      </c>
      <c r="IK13" s="165">
        <f t="shared" si="4"/>
        <v>36.655097142857151</v>
      </c>
      <c r="IL13" s="360">
        <v>4456</v>
      </c>
      <c r="IM13" s="183">
        <v>4446</v>
      </c>
      <c r="IN13" s="183">
        <v>4400</v>
      </c>
      <c r="IO13" s="89">
        <v>4408</v>
      </c>
      <c r="IP13" s="89">
        <v>4353</v>
      </c>
      <c r="IQ13" s="361">
        <v>4237.45</v>
      </c>
      <c r="IR13" s="350">
        <v>55.11</v>
      </c>
      <c r="IS13" s="184">
        <v>57.83</v>
      </c>
      <c r="IT13" s="324">
        <v>61.78</v>
      </c>
      <c r="IU13" s="324">
        <v>57.07</v>
      </c>
      <c r="IV13" s="324">
        <v>57.63</v>
      </c>
      <c r="IW13" s="188">
        <v>56.88</v>
      </c>
      <c r="IX13" s="370">
        <v>2.5000000000000001E-2</v>
      </c>
      <c r="IY13" s="336">
        <v>2.1066686447592908E-2</v>
      </c>
      <c r="IZ13" s="336">
        <v>2.5716035104428873E-2</v>
      </c>
      <c r="JA13" s="336">
        <v>2.1999999999999999E-2</v>
      </c>
      <c r="JB13" s="336">
        <v>1.9E-2</v>
      </c>
      <c r="JC13" s="335">
        <v>1.7749327125918382E-2</v>
      </c>
    </row>
    <row r="14" spans="1:263" ht="18.75" x14ac:dyDescent="0.25">
      <c r="A14" s="373">
        <v>26</v>
      </c>
      <c r="B14" s="68">
        <f>B11+1</f>
        <v>44948</v>
      </c>
      <c r="C14" s="33"/>
      <c r="D14" s="34"/>
      <c r="E14" s="34">
        <f>E11-C14</f>
        <v>712</v>
      </c>
      <c r="F14" s="34">
        <f>F11-D14</f>
        <v>63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/>
      <c r="P14" s="34"/>
      <c r="Q14" s="34">
        <f>Q11-O14</f>
        <v>709</v>
      </c>
      <c r="R14" s="34">
        <f>R11-P14</f>
        <v>62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196</v>
      </c>
      <c r="AD14" s="34">
        <f>AD11-AB14</f>
        <v>16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711</v>
      </c>
      <c r="AP14" s="34">
        <f>AP11-AN14</f>
        <v>63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711</v>
      </c>
      <c r="BB14" s="34">
        <f>BB11-AZ14</f>
        <v>62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711</v>
      </c>
      <c r="BN14" s="34">
        <f>BN11-BL14</f>
        <v>63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0</v>
      </c>
      <c r="HL14" s="34">
        <f t="shared" si="101"/>
        <v>0</v>
      </c>
      <c r="HM14" s="34">
        <f t="shared" si="101"/>
        <v>3750</v>
      </c>
      <c r="HN14" s="34">
        <f t="shared" si="101"/>
        <v>329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94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48">
        <v>35</v>
      </c>
      <c r="HZ14" s="164">
        <v>63.929900000000004</v>
      </c>
      <c r="IA14" s="77">
        <v>66.119900000000001</v>
      </c>
      <c r="IB14" s="77">
        <v>66.783000000000001</v>
      </c>
      <c r="IC14" s="89">
        <v>66.400000000000006</v>
      </c>
      <c r="ID14" s="89">
        <v>66.400000000000006</v>
      </c>
      <c r="IE14" s="165">
        <v>64.385714285714286</v>
      </c>
      <c r="IF14" s="164">
        <v>34.752293640000005</v>
      </c>
      <c r="IG14" s="77">
        <v>38.382601950000002</v>
      </c>
      <c r="IH14" s="77">
        <v>41.131649700000004</v>
      </c>
      <c r="II14" s="77">
        <f t="shared" si="2"/>
        <v>37.257040000000003</v>
      </c>
      <c r="IJ14" s="77">
        <f t="shared" si="3"/>
        <v>37.257040000000003</v>
      </c>
      <c r="IK14" s="165">
        <f t="shared" si="4"/>
        <v>36.345735714285716</v>
      </c>
      <c r="IL14" s="360">
        <v>4555</v>
      </c>
      <c r="IM14" s="183">
        <v>4486</v>
      </c>
      <c r="IN14" s="183">
        <v>4366</v>
      </c>
      <c r="IO14" s="89">
        <v>4497</v>
      </c>
      <c r="IP14" s="89">
        <v>4472</v>
      </c>
      <c r="IQ14" s="361">
        <v>4354.5787545787543</v>
      </c>
      <c r="IR14" s="350">
        <v>54.36</v>
      </c>
      <c r="IS14" s="324">
        <v>58.05</v>
      </c>
      <c r="IT14" s="184">
        <v>61.59</v>
      </c>
      <c r="IU14" s="184">
        <v>56.11</v>
      </c>
      <c r="IV14" s="184">
        <v>55.37</v>
      </c>
      <c r="IW14" s="188">
        <v>56.45</v>
      </c>
      <c r="IX14" s="370">
        <v>2.3E-2</v>
      </c>
      <c r="IY14" s="336">
        <v>2.0974339903309779E-2</v>
      </c>
      <c r="IZ14" s="336">
        <v>2.1885753613214039E-2</v>
      </c>
      <c r="JA14" s="336">
        <v>1.695034463356309E-2</v>
      </c>
      <c r="JB14" s="336">
        <v>1.6E-2</v>
      </c>
      <c r="JC14" s="335">
        <v>1.1044028861728759E-2</v>
      </c>
    </row>
    <row r="15" spans="1:263" ht="18.75" x14ac:dyDescent="0.25">
      <c r="A15" s="374"/>
      <c r="B15" s="41">
        <f t="shared" ref="B15:B20" si="106">+B14+1</f>
        <v>44949</v>
      </c>
      <c r="C15" s="10"/>
      <c r="D15" s="11"/>
      <c r="E15" s="69">
        <f t="shared" ref="E15:F19" si="107">E14-C15</f>
        <v>712</v>
      </c>
      <c r="F15" s="69">
        <f t="shared" si="107"/>
        <v>63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9">
        <f t="shared" ref="Q15:R20" si="109">Q14-O15</f>
        <v>709</v>
      </c>
      <c r="R15" s="69">
        <f t="shared" si="109"/>
        <v>62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9">
        <f t="shared" ref="AC15:AD20" si="110">AC14-AA15</f>
        <v>196</v>
      </c>
      <c r="AD15" s="69">
        <f t="shared" si="110"/>
        <v>16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9">
        <f t="shared" ref="AO15:AP20" si="111">AO14-AM15</f>
        <v>711</v>
      </c>
      <c r="AP15" s="69">
        <f t="shared" si="111"/>
        <v>63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9">
        <f t="shared" ref="BA15:BB20" si="112">BA14-AY15</f>
        <v>711</v>
      </c>
      <c r="BB15" s="69">
        <f t="shared" si="112"/>
        <v>62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9">
        <f t="shared" ref="BM15:BN20" si="113">BM14-BK15</f>
        <v>711</v>
      </c>
      <c r="BN15" s="69">
        <f t="shared" si="113"/>
        <v>63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9">
        <f t="shared" ref="BY15:BZ20" si="114">BY14-BW15</f>
        <v>0</v>
      </c>
      <c r="BZ15" s="69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9">
        <f t="shared" ref="CK15:CL20" si="115">CK14-CI15</f>
        <v>0</v>
      </c>
      <c r="CL15" s="69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9">
        <f t="shared" ref="CW15:CX20" si="116">CW14-CU15</f>
        <v>0</v>
      </c>
      <c r="CX15" s="69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9">
        <f t="shared" ref="DI15:DJ20" si="117">DI14-DG15</f>
        <v>0</v>
      </c>
      <c r="DJ15" s="69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9">
        <f t="shared" ref="DU15:DV20" si="118">DU14-DS15</f>
        <v>0</v>
      </c>
      <c r="DV15" s="69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9">
        <f t="shared" ref="EG15:EH20" si="119">EG14-EE15</f>
        <v>0</v>
      </c>
      <c r="EH15" s="69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9">
        <f t="shared" ref="ES15:ET20" si="120">ES14-EQ15</f>
        <v>0</v>
      </c>
      <c r="ET15" s="69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9">
        <f t="shared" ref="FE15:FF20" si="121">FE14-FC15</f>
        <v>0</v>
      </c>
      <c r="FF15" s="69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9">
        <f t="shared" ref="FQ15:FR20" si="122">FQ14-FO15</f>
        <v>0</v>
      </c>
      <c r="FR15" s="69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9">
        <f t="shared" ref="GC15:GD20" si="123">GC14-GA15</f>
        <v>0</v>
      </c>
      <c r="GD15" s="69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9">
        <f t="shared" ref="GO15:GP20" si="124">GO14-GM15</f>
        <v>0</v>
      </c>
      <c r="GP15" s="69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9">
        <f t="shared" ref="HA15:HB20" si="125">HA14-GY15</f>
        <v>0</v>
      </c>
      <c r="HB15" s="69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1">
        <f t="shared" si="101"/>
        <v>0</v>
      </c>
      <c r="HM15" s="11">
        <f t="shared" si="101"/>
        <v>3750</v>
      </c>
      <c r="HN15" s="11">
        <f t="shared" si="101"/>
        <v>329</v>
      </c>
      <c r="HO15" s="11">
        <f t="shared" si="102"/>
        <v>0</v>
      </c>
      <c r="HP15" s="95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48">
        <v>36</v>
      </c>
      <c r="HZ15" s="164">
        <v>64.057199999999995</v>
      </c>
      <c r="IA15" s="77">
        <v>66.982100000000003</v>
      </c>
      <c r="IB15" s="77">
        <v>67.130099999999999</v>
      </c>
      <c r="IC15" s="89">
        <v>66.499999999999986</v>
      </c>
      <c r="ID15" s="89">
        <v>66.599999999999994</v>
      </c>
      <c r="IE15" s="165">
        <v>64.7</v>
      </c>
      <c r="IF15" s="164">
        <v>34.039996079999995</v>
      </c>
      <c r="IG15" s="77">
        <v>36.666001540000003</v>
      </c>
      <c r="IH15" s="77">
        <v>39.828288329999999</v>
      </c>
      <c r="II15" s="77">
        <f t="shared" si="2"/>
        <v>36.97399999999999</v>
      </c>
      <c r="IJ15" s="77">
        <f t="shared" si="3"/>
        <v>37.029599999999995</v>
      </c>
      <c r="IK15" s="165">
        <f t="shared" si="4"/>
        <v>35.966730000000005</v>
      </c>
      <c r="IL15" s="360">
        <v>4533</v>
      </c>
      <c r="IM15" s="183">
        <v>4606</v>
      </c>
      <c r="IN15" s="183">
        <v>4535</v>
      </c>
      <c r="IO15" s="346">
        <v>4525.6111111111113</v>
      </c>
      <c r="IP15" s="346">
        <v>4502</v>
      </c>
      <c r="IQ15" s="361">
        <v>4372.37</v>
      </c>
      <c r="IR15" s="350">
        <v>53.14</v>
      </c>
      <c r="IS15" s="184">
        <v>54.74</v>
      </c>
      <c r="IT15" s="184">
        <v>59.33</v>
      </c>
      <c r="IU15" s="184">
        <v>55.6</v>
      </c>
      <c r="IV15" s="184">
        <v>57.08</v>
      </c>
      <c r="IW15" s="188">
        <v>55.59</v>
      </c>
      <c r="IX15" s="370">
        <v>1.6E-2</v>
      </c>
      <c r="IY15" s="336">
        <v>1.532232454747539E-2</v>
      </c>
      <c r="IZ15" s="336">
        <v>1.5796306982111943E-2</v>
      </c>
      <c r="JA15" s="336">
        <v>1.5611633875106929E-2</v>
      </c>
      <c r="JB15" s="336">
        <v>1.4E-2</v>
      </c>
      <c r="JC15" s="335">
        <v>9.4679891794409374E-3</v>
      </c>
    </row>
    <row r="16" spans="1:263" ht="18.75" x14ac:dyDescent="0.25">
      <c r="A16" s="374"/>
      <c r="B16" s="41">
        <f t="shared" si="106"/>
        <v>44950</v>
      </c>
      <c r="C16" s="10"/>
      <c r="D16" s="11"/>
      <c r="E16" s="69">
        <f t="shared" si="107"/>
        <v>712</v>
      </c>
      <c r="F16" s="69">
        <f t="shared" si="107"/>
        <v>63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69">
        <f t="shared" si="109"/>
        <v>709</v>
      </c>
      <c r="R16" s="69">
        <f t="shared" si="109"/>
        <v>62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3</v>
      </c>
      <c r="AB16" s="11"/>
      <c r="AC16" s="69">
        <f t="shared" si="110"/>
        <v>193</v>
      </c>
      <c r="AD16" s="69">
        <f t="shared" si="110"/>
        <v>16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/>
      <c r="AN16" s="11"/>
      <c r="AO16" s="69">
        <f t="shared" si="111"/>
        <v>711</v>
      </c>
      <c r="AP16" s="69">
        <f t="shared" si="111"/>
        <v>63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69">
        <f t="shared" si="112"/>
        <v>711</v>
      </c>
      <c r="BB16" s="69">
        <f t="shared" si="112"/>
        <v>62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69">
        <f t="shared" si="113"/>
        <v>711</v>
      </c>
      <c r="BN16" s="69">
        <f t="shared" si="113"/>
        <v>63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9">
        <f t="shared" si="114"/>
        <v>0</v>
      </c>
      <c r="BZ16" s="69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9">
        <f t="shared" si="115"/>
        <v>0</v>
      </c>
      <c r="CL16" s="69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9">
        <f t="shared" si="116"/>
        <v>0</v>
      </c>
      <c r="CX16" s="69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9">
        <f t="shared" si="117"/>
        <v>0</v>
      </c>
      <c r="DJ16" s="69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9">
        <f t="shared" si="118"/>
        <v>0</v>
      </c>
      <c r="DV16" s="69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9">
        <f t="shared" si="119"/>
        <v>0</v>
      </c>
      <c r="EH16" s="69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9">
        <f t="shared" si="120"/>
        <v>0</v>
      </c>
      <c r="ET16" s="69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9">
        <f t="shared" si="121"/>
        <v>0</v>
      </c>
      <c r="FF16" s="69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9">
        <f t="shared" si="122"/>
        <v>0</v>
      </c>
      <c r="FR16" s="69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9">
        <f t="shared" si="123"/>
        <v>0</v>
      </c>
      <c r="GD16" s="69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9">
        <f t="shared" si="124"/>
        <v>0</v>
      </c>
      <c r="GP16" s="69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9">
        <f t="shared" si="125"/>
        <v>0</v>
      </c>
      <c r="HB16" s="69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3</v>
      </c>
      <c r="HL16" s="11">
        <f t="shared" si="101"/>
        <v>0</v>
      </c>
      <c r="HM16" s="11">
        <f t="shared" si="101"/>
        <v>3747</v>
      </c>
      <c r="HN16" s="11">
        <f t="shared" si="101"/>
        <v>329</v>
      </c>
      <c r="HO16" s="11">
        <f t="shared" si="102"/>
        <v>0</v>
      </c>
      <c r="HP16" s="95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48">
        <v>37</v>
      </c>
      <c r="HZ16" s="164">
        <v>64.504499999999993</v>
      </c>
      <c r="IA16" s="77">
        <v>67.492900000000006</v>
      </c>
      <c r="IB16" s="77">
        <v>67.6999</v>
      </c>
      <c r="IC16" s="77">
        <v>66.842857142857142</v>
      </c>
      <c r="ID16" s="77">
        <v>66.5</v>
      </c>
      <c r="IE16" s="165">
        <v>64.885714285714286</v>
      </c>
      <c r="IF16" s="164">
        <v>33.019853549999993</v>
      </c>
      <c r="IG16" s="77">
        <v>36.952362749999999</v>
      </c>
      <c r="IH16" s="77">
        <v>40.484540199999998</v>
      </c>
      <c r="II16" s="77">
        <f t="shared" si="2"/>
        <v>36.563042857142861</v>
      </c>
      <c r="IJ16" s="77">
        <f t="shared" si="3"/>
        <v>36.375500000000002</v>
      </c>
      <c r="IK16" s="165">
        <f t="shared" si="4"/>
        <v>36.212717142857144</v>
      </c>
      <c r="IL16" s="360">
        <v>4594</v>
      </c>
      <c r="IM16" s="183">
        <v>4659</v>
      </c>
      <c r="IN16" s="183">
        <v>4584</v>
      </c>
      <c r="IO16" s="346">
        <v>4536.55</v>
      </c>
      <c r="IP16" s="346">
        <v>4469</v>
      </c>
      <c r="IQ16" s="361">
        <v>4443.6899999999996</v>
      </c>
      <c r="IR16" s="350">
        <v>51.19</v>
      </c>
      <c r="IS16" s="184">
        <v>54.75</v>
      </c>
      <c r="IT16" s="184">
        <v>59.8</v>
      </c>
      <c r="IU16" s="184">
        <v>54.7</v>
      </c>
      <c r="IV16" s="184">
        <v>54.83</v>
      </c>
      <c r="IW16" s="188">
        <v>55.81</v>
      </c>
      <c r="IX16" s="370">
        <v>1.4999999999999999E-2</v>
      </c>
      <c r="IY16" s="336">
        <v>1.6441854896639796E-2</v>
      </c>
      <c r="IZ16" s="336">
        <v>1.3411204845338524E-2</v>
      </c>
      <c r="JA16" s="336">
        <v>1.294168969027192E-2</v>
      </c>
      <c r="JB16" s="336">
        <v>1.0919088766692852E-2</v>
      </c>
      <c r="JC16" s="335">
        <v>9.1888466413181241E-3</v>
      </c>
    </row>
    <row r="17" spans="1:263" ht="18.75" x14ac:dyDescent="0.25">
      <c r="A17" s="374"/>
      <c r="B17" s="41">
        <f t="shared" si="106"/>
        <v>44951</v>
      </c>
      <c r="C17" s="10"/>
      <c r="D17" s="11"/>
      <c r="E17" s="69">
        <f t="shared" si="107"/>
        <v>712</v>
      </c>
      <c r="F17" s="69">
        <f t="shared" si="107"/>
        <v>63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9">
        <f t="shared" si="109"/>
        <v>709</v>
      </c>
      <c r="R17" s="69">
        <f t="shared" si="109"/>
        <v>62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9">
        <f t="shared" si="110"/>
        <v>193</v>
      </c>
      <c r="AD17" s="69">
        <f t="shared" si="110"/>
        <v>16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9">
        <f t="shared" si="111"/>
        <v>711</v>
      </c>
      <c r="AP17" s="69">
        <f t="shared" si="111"/>
        <v>63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9">
        <f t="shared" si="112"/>
        <v>711</v>
      </c>
      <c r="BB17" s="69">
        <f t="shared" si="112"/>
        <v>62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69">
        <f t="shared" si="113"/>
        <v>711</v>
      </c>
      <c r="BN17" s="69">
        <f t="shared" si="113"/>
        <v>63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9">
        <f t="shared" si="114"/>
        <v>0</v>
      </c>
      <c r="BZ17" s="69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9">
        <f t="shared" si="115"/>
        <v>0</v>
      </c>
      <c r="CL17" s="69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9">
        <f t="shared" si="116"/>
        <v>0</v>
      </c>
      <c r="CX17" s="69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9">
        <f t="shared" si="117"/>
        <v>0</v>
      </c>
      <c r="DJ17" s="69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9">
        <f t="shared" si="118"/>
        <v>0</v>
      </c>
      <c r="DV17" s="69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9">
        <f t="shared" si="119"/>
        <v>0</v>
      </c>
      <c r="EH17" s="69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9">
        <f t="shared" si="120"/>
        <v>0</v>
      </c>
      <c r="ET17" s="69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9">
        <f t="shared" si="121"/>
        <v>0</v>
      </c>
      <c r="FF17" s="69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9">
        <f t="shared" si="122"/>
        <v>0</v>
      </c>
      <c r="FR17" s="69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9">
        <f t="shared" si="123"/>
        <v>0</v>
      </c>
      <c r="GD17" s="69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9">
        <f t="shared" si="124"/>
        <v>0</v>
      </c>
      <c r="GP17" s="69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9">
        <f t="shared" si="125"/>
        <v>0</v>
      </c>
      <c r="HB17" s="69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1">
        <f t="shared" si="101"/>
        <v>0</v>
      </c>
      <c r="HM17" s="11">
        <f t="shared" si="101"/>
        <v>3747</v>
      </c>
      <c r="HN17" s="11">
        <f t="shared" si="101"/>
        <v>329</v>
      </c>
      <c r="HO17" s="11">
        <f t="shared" si="102"/>
        <v>0</v>
      </c>
      <c r="HP17" s="95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48">
        <v>38</v>
      </c>
      <c r="HZ17" s="164">
        <v>65.5184</v>
      </c>
      <c r="IA17" s="77">
        <v>68.283900000000003</v>
      </c>
      <c r="IB17" s="77">
        <v>67.960800000000006</v>
      </c>
      <c r="IC17" s="77">
        <v>67.01428571428572</v>
      </c>
      <c r="ID17" s="77">
        <v>67.3</v>
      </c>
      <c r="IE17" s="165">
        <v>65.871428571428581</v>
      </c>
      <c r="IF17" s="164">
        <v>33.22438064</v>
      </c>
      <c r="IG17" s="77">
        <v>35.691994530000002</v>
      </c>
      <c r="IH17" s="77">
        <v>39.267750240000005</v>
      </c>
      <c r="II17" s="77">
        <f t="shared" si="2"/>
        <v>35.64489857142857</v>
      </c>
      <c r="IJ17" s="77">
        <f t="shared" si="3"/>
        <v>35.796869999999998</v>
      </c>
      <c r="IK17" s="165">
        <f t="shared" si="4"/>
        <v>35.761598571428578</v>
      </c>
      <c r="IL17" s="360">
        <v>4520</v>
      </c>
      <c r="IM17" s="183">
        <v>4623</v>
      </c>
      <c r="IN17" s="183">
        <v>4587</v>
      </c>
      <c r="IO17" s="346">
        <v>4610.652173913043</v>
      </c>
      <c r="IP17" s="346">
        <v>4508</v>
      </c>
      <c r="IQ17" s="361">
        <v>4471.9327731092435</v>
      </c>
      <c r="IR17" s="350">
        <v>50.71</v>
      </c>
      <c r="IS17" s="184">
        <v>52.27</v>
      </c>
      <c r="IT17" s="184">
        <v>57.78</v>
      </c>
      <c r="IU17" s="184">
        <v>53.19</v>
      </c>
      <c r="IV17" s="184">
        <v>52.7</v>
      </c>
      <c r="IW17" s="188">
        <v>54.29</v>
      </c>
      <c r="IX17" s="370">
        <v>0.01</v>
      </c>
      <c r="IY17" s="336">
        <v>1.010696538364356E-2</v>
      </c>
      <c r="IZ17" s="336">
        <v>1.3318284424379233E-2</v>
      </c>
      <c r="JA17" s="336">
        <v>8.9999999999999993E-3</v>
      </c>
      <c r="JB17" s="336">
        <v>7.2267389340560069E-3</v>
      </c>
      <c r="JC17" s="335">
        <v>6.0000000000000001E-3</v>
      </c>
    </row>
    <row r="18" spans="1:263" ht="18.75" x14ac:dyDescent="0.25">
      <c r="A18" s="374"/>
      <c r="B18" s="41">
        <f>+B17+1</f>
        <v>44952</v>
      </c>
      <c r="C18" s="10"/>
      <c r="D18" s="11"/>
      <c r="E18" s="69">
        <f t="shared" si="107"/>
        <v>712</v>
      </c>
      <c r="F18" s="69">
        <f t="shared" si="107"/>
        <v>63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>
        <v>3460</v>
      </c>
      <c r="N18" s="38">
        <v>4040</v>
      </c>
      <c r="O18" s="10"/>
      <c r="P18" s="11"/>
      <c r="Q18" s="69">
        <f t="shared" si="109"/>
        <v>709</v>
      </c>
      <c r="R18" s="69">
        <f t="shared" si="109"/>
        <v>62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>
        <v>3460</v>
      </c>
      <c r="Z18" s="38">
        <v>4040</v>
      </c>
      <c r="AA18" s="10"/>
      <c r="AB18" s="11"/>
      <c r="AC18" s="69">
        <f t="shared" si="110"/>
        <v>193</v>
      </c>
      <c r="AD18" s="69">
        <f t="shared" si="110"/>
        <v>16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>
        <v>3460</v>
      </c>
      <c r="AL18" s="38">
        <v>4040</v>
      </c>
      <c r="AM18" s="10"/>
      <c r="AN18" s="11"/>
      <c r="AO18" s="69">
        <f t="shared" si="111"/>
        <v>711</v>
      </c>
      <c r="AP18" s="69">
        <f t="shared" si="111"/>
        <v>63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>
        <v>3460</v>
      </c>
      <c r="AX18" s="38">
        <v>4040</v>
      </c>
      <c r="AY18" s="10"/>
      <c r="AZ18" s="11"/>
      <c r="BA18" s="69">
        <f t="shared" si="112"/>
        <v>711</v>
      </c>
      <c r="BB18" s="69">
        <f t="shared" si="112"/>
        <v>62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>
        <v>3460</v>
      </c>
      <c r="BJ18" s="38">
        <v>4040</v>
      </c>
      <c r="BK18" s="10"/>
      <c r="BL18" s="11"/>
      <c r="BM18" s="69">
        <f t="shared" si="113"/>
        <v>711</v>
      </c>
      <c r="BN18" s="69">
        <f t="shared" si="113"/>
        <v>63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>
        <v>3460</v>
      </c>
      <c r="BV18" s="38">
        <v>4040</v>
      </c>
      <c r="BW18" s="10"/>
      <c r="BX18" s="11"/>
      <c r="BY18" s="69">
        <f t="shared" si="114"/>
        <v>0</v>
      </c>
      <c r="BZ18" s="69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9">
        <f t="shared" si="115"/>
        <v>0</v>
      </c>
      <c r="CL18" s="69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9">
        <f t="shared" si="116"/>
        <v>0</v>
      </c>
      <c r="CX18" s="69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9">
        <f t="shared" si="117"/>
        <v>0</v>
      </c>
      <c r="DJ18" s="69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9">
        <f t="shared" si="118"/>
        <v>0</v>
      </c>
      <c r="DV18" s="69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9">
        <f t="shared" si="119"/>
        <v>0</v>
      </c>
      <c r="EH18" s="69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9">
        <f t="shared" si="120"/>
        <v>0</v>
      </c>
      <c r="ET18" s="69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9">
        <f t="shared" si="121"/>
        <v>0</v>
      </c>
      <c r="FF18" s="69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9">
        <f t="shared" si="122"/>
        <v>0</v>
      </c>
      <c r="FR18" s="69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9">
        <f t="shared" si="123"/>
        <v>0</v>
      </c>
      <c r="GD18" s="69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9">
        <f t="shared" si="124"/>
        <v>0</v>
      </c>
      <c r="GP18" s="69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9">
        <f t="shared" si="125"/>
        <v>0</v>
      </c>
      <c r="HB18" s="69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0</v>
      </c>
      <c r="HL18" s="11">
        <f t="shared" si="101"/>
        <v>0</v>
      </c>
      <c r="HM18" s="11">
        <f t="shared" si="101"/>
        <v>3747</v>
      </c>
      <c r="HN18" s="11">
        <f t="shared" si="101"/>
        <v>329</v>
      </c>
      <c r="HO18" s="11">
        <f t="shared" si="102"/>
        <v>0</v>
      </c>
      <c r="HP18" s="95">
        <f t="shared" si="103"/>
        <v>0</v>
      </c>
      <c r="HQ18" s="15">
        <f t="shared" si="104"/>
        <v>0</v>
      </c>
      <c r="HR18" s="12" t="e">
        <f t="shared" si="126"/>
        <v>#DIV/0!</v>
      </c>
      <c r="HS18" s="16"/>
      <c r="HT18" s="17"/>
      <c r="HU18" s="16" t="e">
        <f t="shared" si="105"/>
        <v>#DIV/0!</v>
      </c>
      <c r="HV18" s="23">
        <v>3460</v>
      </c>
      <c r="HW18" s="22">
        <v>4040</v>
      </c>
      <c r="HY18" s="348">
        <v>39</v>
      </c>
      <c r="HZ18" s="164">
        <v>65.533000000000001</v>
      </c>
      <c r="IA18" s="77">
        <v>67.350099999999998</v>
      </c>
      <c r="IB18" s="77">
        <v>68.288499999999999</v>
      </c>
      <c r="IC18" s="89">
        <v>68.2</v>
      </c>
      <c r="ID18" s="89">
        <v>67.3</v>
      </c>
      <c r="IE18" s="90">
        <v>66.3</v>
      </c>
      <c r="IF18" s="164">
        <v>31.514819700000004</v>
      </c>
      <c r="IG18" s="77">
        <v>33.513409760000002</v>
      </c>
      <c r="IH18" s="77">
        <v>38.439596649999999</v>
      </c>
      <c r="II18" s="77">
        <f t="shared" si="2"/>
        <v>35.654960000000003</v>
      </c>
      <c r="IJ18" s="77">
        <f t="shared" si="3"/>
        <v>35.184440000000002</v>
      </c>
      <c r="IK18" s="165">
        <f t="shared" si="4"/>
        <v>35.868299999999998</v>
      </c>
      <c r="IL18" s="360">
        <v>4570</v>
      </c>
      <c r="IM18" s="183">
        <v>4634</v>
      </c>
      <c r="IN18" s="183">
        <v>4604</v>
      </c>
      <c r="IO18" s="346">
        <v>4596.21</v>
      </c>
      <c r="IP18" s="346">
        <v>4570</v>
      </c>
      <c r="IQ18" s="90">
        <v>4545</v>
      </c>
      <c r="IR18" s="350">
        <v>48.09</v>
      </c>
      <c r="IS18" s="184">
        <v>49.76</v>
      </c>
      <c r="IT18" s="184">
        <v>56.29</v>
      </c>
      <c r="IU18" s="184">
        <v>52.28</v>
      </c>
      <c r="IV18" s="184">
        <v>52.32</v>
      </c>
      <c r="IW18" s="188">
        <v>54.1</v>
      </c>
      <c r="IX18" s="370">
        <v>8.0000000000000002E-3</v>
      </c>
      <c r="IY18" s="336">
        <v>9.7917037564536225E-3</v>
      </c>
      <c r="IZ18" s="336">
        <v>9.488994322159135E-3</v>
      </c>
      <c r="JA18" s="336">
        <v>7.0000000000000001E-3</v>
      </c>
      <c r="JB18" s="336">
        <v>7.528957528957529E-3</v>
      </c>
      <c r="JC18" s="335">
        <v>5.0000000000000001E-3</v>
      </c>
    </row>
    <row r="19" spans="1:263" ht="18.75" x14ac:dyDescent="0.25">
      <c r="A19" s="374"/>
      <c r="B19" s="41">
        <f t="shared" si="106"/>
        <v>44953</v>
      </c>
      <c r="C19" s="10"/>
      <c r="D19" s="11"/>
      <c r="E19" s="69">
        <f t="shared" si="107"/>
        <v>712</v>
      </c>
      <c r="F19" s="69">
        <f t="shared" si="107"/>
        <v>63</v>
      </c>
      <c r="G19" s="11"/>
      <c r="H19" s="12">
        <f t="shared" si="66"/>
        <v>0</v>
      </c>
      <c r="I19" s="11"/>
      <c r="J19" s="12" t="e">
        <f t="shared" si="108"/>
        <v>#DIV/0!</v>
      </c>
      <c r="K19" s="13"/>
      <c r="L19" s="11"/>
      <c r="M19" s="25">
        <v>3387.0588235294117</v>
      </c>
      <c r="N19" s="38">
        <v>4166.363636363636</v>
      </c>
      <c r="O19" s="10"/>
      <c r="P19" s="11"/>
      <c r="Q19" s="69">
        <f t="shared" si="109"/>
        <v>709</v>
      </c>
      <c r="R19" s="69">
        <f t="shared" si="109"/>
        <v>62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>
        <v>3512</v>
      </c>
      <c r="Z19" s="38">
        <v>4247.6923076923076</v>
      </c>
      <c r="AA19" s="10"/>
      <c r="AB19" s="11"/>
      <c r="AC19" s="69">
        <f t="shared" si="110"/>
        <v>193</v>
      </c>
      <c r="AD19" s="69">
        <f t="shared" si="110"/>
        <v>16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>
        <v>3605.8333333333335</v>
      </c>
      <c r="AL19" s="38">
        <v>4201.666666666667</v>
      </c>
      <c r="AM19" s="10"/>
      <c r="AN19" s="11"/>
      <c r="AO19" s="69">
        <f t="shared" si="111"/>
        <v>711</v>
      </c>
      <c r="AP19" s="69">
        <f t="shared" si="111"/>
        <v>63</v>
      </c>
      <c r="AQ19" s="11"/>
      <c r="AR19" s="12">
        <f t="shared" si="71"/>
        <v>0</v>
      </c>
      <c r="AS19" s="11"/>
      <c r="AT19" s="12" t="e">
        <f t="shared" si="72"/>
        <v>#DIV/0!</v>
      </c>
      <c r="AU19" s="13"/>
      <c r="AV19" s="11"/>
      <c r="AW19" s="25">
        <v>3601.6666666666665</v>
      </c>
      <c r="AX19" s="38">
        <v>4343.0769230769229</v>
      </c>
      <c r="AY19" s="10"/>
      <c r="AZ19" s="11"/>
      <c r="BA19" s="69">
        <f t="shared" si="112"/>
        <v>711</v>
      </c>
      <c r="BB19" s="69">
        <f t="shared" si="112"/>
        <v>62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>
        <v>3648.5294117647059</v>
      </c>
      <c r="BJ19" s="38">
        <v>4286.9230769230771</v>
      </c>
      <c r="BK19" s="10"/>
      <c r="BL19" s="11"/>
      <c r="BM19" s="69">
        <f t="shared" si="113"/>
        <v>711</v>
      </c>
      <c r="BN19" s="69">
        <f t="shared" si="113"/>
        <v>63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>
        <v>3716.060606060606</v>
      </c>
      <c r="BV19" s="38">
        <v>4256.1538461538457</v>
      </c>
      <c r="BW19" s="10"/>
      <c r="BX19" s="11"/>
      <c r="BY19" s="69">
        <f t="shared" si="114"/>
        <v>0</v>
      </c>
      <c r="BZ19" s="69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9">
        <f t="shared" si="115"/>
        <v>0</v>
      </c>
      <c r="CL19" s="69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9">
        <f t="shared" si="116"/>
        <v>0</v>
      </c>
      <c r="CX19" s="69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9">
        <f t="shared" si="117"/>
        <v>0</v>
      </c>
      <c r="DJ19" s="69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9">
        <f t="shared" si="118"/>
        <v>0</v>
      </c>
      <c r="DV19" s="69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9">
        <f t="shared" si="119"/>
        <v>0</v>
      </c>
      <c r="EH19" s="69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9">
        <f t="shared" si="120"/>
        <v>0</v>
      </c>
      <c r="ET19" s="69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9">
        <f t="shared" si="121"/>
        <v>0</v>
      </c>
      <c r="FF19" s="69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9">
        <f t="shared" si="122"/>
        <v>0</v>
      </c>
      <c r="FR19" s="69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9">
        <f t="shared" si="123"/>
        <v>0</v>
      </c>
      <c r="GD19" s="69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9">
        <f t="shared" si="124"/>
        <v>0</v>
      </c>
      <c r="GP19" s="69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9">
        <f t="shared" si="125"/>
        <v>0</v>
      </c>
      <c r="HB19" s="69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0</v>
      </c>
      <c r="HL19" s="11">
        <f t="shared" si="101"/>
        <v>0</v>
      </c>
      <c r="HM19" s="11">
        <f t="shared" si="101"/>
        <v>3747</v>
      </c>
      <c r="HN19" s="11">
        <f t="shared" si="101"/>
        <v>329</v>
      </c>
      <c r="HO19" s="11">
        <f t="shared" si="102"/>
        <v>0</v>
      </c>
      <c r="HP19" s="95">
        <f t="shared" si="103"/>
        <v>0</v>
      </c>
      <c r="HQ19" s="15">
        <f t="shared" si="104"/>
        <v>0</v>
      </c>
      <c r="HR19" s="12" t="e">
        <f t="shared" si="126"/>
        <v>#DIV/0!</v>
      </c>
      <c r="HS19" s="16"/>
      <c r="HT19" s="17"/>
      <c r="HU19" s="16" t="e">
        <f t="shared" si="105"/>
        <v>#DIV/0!</v>
      </c>
      <c r="HV19" s="23">
        <v>3572.7513227513227</v>
      </c>
      <c r="HW19" s="22">
        <v>4257.68115942029</v>
      </c>
      <c r="HY19" s="348">
        <v>40</v>
      </c>
      <c r="HZ19" s="164">
        <v>65.942999999999998</v>
      </c>
      <c r="IA19" s="77">
        <v>68.275099999999995</v>
      </c>
      <c r="IB19" s="77">
        <v>68.908299999999997</v>
      </c>
      <c r="IC19" s="89">
        <v>69.2</v>
      </c>
      <c r="ID19" s="89">
        <v>67.400000000000006</v>
      </c>
      <c r="IE19" s="90">
        <v>66.2</v>
      </c>
      <c r="IF19" s="164">
        <v>30.241459799999998</v>
      </c>
      <c r="IG19" s="77">
        <v>33.782519479999998</v>
      </c>
      <c r="IH19" s="77">
        <v>38.175198199999997</v>
      </c>
      <c r="II19" s="77">
        <f t="shared" si="2"/>
        <v>34.6</v>
      </c>
      <c r="IJ19" s="77">
        <f t="shared" si="3"/>
        <v>33.700000000000003</v>
      </c>
      <c r="IK19" s="165">
        <f t="shared" si="4"/>
        <v>35.026420000000002</v>
      </c>
      <c r="IL19" s="360">
        <v>4661</v>
      </c>
      <c r="IM19" s="183">
        <v>4661</v>
      </c>
      <c r="IN19" s="183">
        <v>4796</v>
      </c>
      <c r="IO19" s="89">
        <v>4600</v>
      </c>
      <c r="IP19" s="89">
        <v>4616</v>
      </c>
      <c r="IQ19" s="90">
        <v>4631</v>
      </c>
      <c r="IR19" s="350">
        <v>45.86</v>
      </c>
      <c r="IS19" s="184">
        <v>49.48</v>
      </c>
      <c r="IT19" s="184">
        <v>55.4</v>
      </c>
      <c r="IU19" s="184">
        <v>50</v>
      </c>
      <c r="IV19" s="184">
        <v>50.35</v>
      </c>
      <c r="IW19" s="188">
        <v>52.91</v>
      </c>
      <c r="IX19" s="370">
        <v>6.0000000000000001E-3</v>
      </c>
      <c r="IY19" s="336">
        <v>5.3951982735365523E-3</v>
      </c>
      <c r="IZ19" s="336">
        <v>7.879029048945484E-3</v>
      </c>
      <c r="JA19" s="336">
        <v>5.0622740056247492E-3</v>
      </c>
      <c r="JB19" s="336">
        <v>4.769337495664239E-3</v>
      </c>
      <c r="JC19" s="335">
        <v>4.0000000000000001E-3</v>
      </c>
    </row>
    <row r="20" spans="1:263" ht="18.75" x14ac:dyDescent="0.25">
      <c r="A20" s="374"/>
      <c r="B20" s="41">
        <f t="shared" si="106"/>
        <v>44954</v>
      </c>
      <c r="C20" s="10"/>
      <c r="D20" s="11"/>
      <c r="E20" s="69">
        <f>E19-C20</f>
        <v>712</v>
      </c>
      <c r="F20" s="69">
        <f>F19-D20</f>
        <v>63</v>
      </c>
      <c r="G20" s="11"/>
      <c r="H20" s="12">
        <f t="shared" si="66"/>
        <v>0</v>
      </c>
      <c r="I20" s="11"/>
      <c r="J20" s="12" t="e">
        <f t="shared" si="108"/>
        <v>#DIV/0!</v>
      </c>
      <c r="K20" s="13"/>
      <c r="L20" s="11"/>
      <c r="M20" s="39">
        <v>97.058823529411768</v>
      </c>
      <c r="N20" s="43">
        <v>100</v>
      </c>
      <c r="O20" s="10">
        <v>1</v>
      </c>
      <c r="P20" s="11"/>
      <c r="Q20" s="69">
        <f t="shared" si="109"/>
        <v>708</v>
      </c>
      <c r="R20" s="69">
        <f t="shared" si="109"/>
        <v>62</v>
      </c>
      <c r="S20" s="11"/>
      <c r="T20" s="12">
        <f t="shared" si="67"/>
        <v>0</v>
      </c>
      <c r="U20" s="11"/>
      <c r="V20" s="12" t="e">
        <f t="shared" si="68"/>
        <v>#DIV/0!</v>
      </c>
      <c r="W20" s="13"/>
      <c r="X20" s="11"/>
      <c r="Y20" s="39">
        <v>90</v>
      </c>
      <c r="Z20" s="43">
        <v>92.307692307692307</v>
      </c>
      <c r="AA20" s="10"/>
      <c r="AB20" s="11"/>
      <c r="AC20" s="69">
        <f t="shared" si="110"/>
        <v>193</v>
      </c>
      <c r="AD20" s="69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9">
        <v>100</v>
      </c>
      <c r="AL20" s="43">
        <v>100</v>
      </c>
      <c r="AM20" s="10"/>
      <c r="AN20" s="11"/>
      <c r="AO20" s="69">
        <f t="shared" si="111"/>
        <v>711</v>
      </c>
      <c r="AP20" s="69">
        <f t="shared" si="111"/>
        <v>63</v>
      </c>
      <c r="AQ20" s="11"/>
      <c r="AR20" s="12">
        <f t="shared" si="71"/>
        <v>0</v>
      </c>
      <c r="AS20" s="11"/>
      <c r="AT20" s="12" t="e">
        <f t="shared" si="72"/>
        <v>#DIV/0!</v>
      </c>
      <c r="AU20" s="13"/>
      <c r="AV20" s="11"/>
      <c r="AW20" s="39">
        <v>100</v>
      </c>
      <c r="AX20" s="43">
        <v>84.615384615384613</v>
      </c>
      <c r="AY20" s="10"/>
      <c r="AZ20" s="11"/>
      <c r="BA20" s="69">
        <f t="shared" si="112"/>
        <v>711</v>
      </c>
      <c r="BB20" s="69">
        <f t="shared" si="112"/>
        <v>62</v>
      </c>
      <c r="BC20" s="11"/>
      <c r="BD20" s="12">
        <f t="shared" si="73"/>
        <v>0</v>
      </c>
      <c r="BE20" s="11"/>
      <c r="BF20" s="12" t="e">
        <f t="shared" si="74"/>
        <v>#DIV/0!</v>
      </c>
      <c r="BG20" s="13"/>
      <c r="BH20" s="11"/>
      <c r="BI20" s="39">
        <v>85.294117647058826</v>
      </c>
      <c r="BJ20" s="43">
        <v>92.307692307692307</v>
      </c>
      <c r="BK20" s="10"/>
      <c r="BL20" s="11"/>
      <c r="BM20" s="69">
        <f t="shared" si="113"/>
        <v>711</v>
      </c>
      <c r="BN20" s="69">
        <f t="shared" si="113"/>
        <v>63</v>
      </c>
      <c r="BO20" s="11"/>
      <c r="BP20" s="12">
        <f t="shared" si="75"/>
        <v>0</v>
      </c>
      <c r="BQ20" s="11"/>
      <c r="BR20" s="12" t="e">
        <f t="shared" si="76"/>
        <v>#DIV/0!</v>
      </c>
      <c r="BS20" s="13"/>
      <c r="BT20" s="11"/>
      <c r="BU20" s="39">
        <v>90.909090909090907</v>
      </c>
      <c r="BV20" s="43">
        <v>100</v>
      </c>
      <c r="BW20" s="10"/>
      <c r="BX20" s="11"/>
      <c r="BY20" s="69">
        <f t="shared" si="114"/>
        <v>0</v>
      </c>
      <c r="BZ20" s="69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9">
        <f t="shared" si="115"/>
        <v>0</v>
      </c>
      <c r="CL20" s="69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9">
        <f t="shared" si="116"/>
        <v>0</v>
      </c>
      <c r="CX20" s="69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9">
        <f t="shared" si="117"/>
        <v>0</v>
      </c>
      <c r="DJ20" s="69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9">
        <f t="shared" si="118"/>
        <v>0</v>
      </c>
      <c r="DV20" s="69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9">
        <f t="shared" si="119"/>
        <v>0</v>
      </c>
      <c r="EH20" s="69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9">
        <f t="shared" si="120"/>
        <v>0</v>
      </c>
      <c r="ET20" s="69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9">
        <f t="shared" si="121"/>
        <v>0</v>
      </c>
      <c r="FF20" s="69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9">
        <f t="shared" si="122"/>
        <v>0</v>
      </c>
      <c r="FR20" s="69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9">
        <f t="shared" si="123"/>
        <v>0</v>
      </c>
      <c r="GD20" s="69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9">
        <f t="shared" si="124"/>
        <v>0</v>
      </c>
      <c r="GP20" s="69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9">
        <f t="shared" si="125"/>
        <v>0</v>
      </c>
      <c r="HB20" s="69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1</v>
      </c>
      <c r="HL20" s="11">
        <f t="shared" si="101"/>
        <v>0</v>
      </c>
      <c r="HM20" s="11">
        <f t="shared" si="101"/>
        <v>3746</v>
      </c>
      <c r="HN20" s="11">
        <f t="shared" si="101"/>
        <v>329</v>
      </c>
      <c r="HO20" s="11">
        <f t="shared" si="102"/>
        <v>0</v>
      </c>
      <c r="HP20" s="95">
        <f t="shared" si="103"/>
        <v>0</v>
      </c>
      <c r="HQ20" s="15">
        <f t="shared" si="104"/>
        <v>0</v>
      </c>
      <c r="HR20" s="12" t="e">
        <f t="shared" si="126"/>
        <v>#DIV/0!</v>
      </c>
      <c r="HS20" s="16"/>
      <c r="HT20" s="17"/>
      <c r="HU20" s="16" t="e">
        <f t="shared" si="105"/>
        <v>#DIV/0!</v>
      </c>
      <c r="HV20" s="23">
        <v>88.888888888888886</v>
      </c>
      <c r="HW20" s="22">
        <v>98.550724637681157</v>
      </c>
      <c r="HY20" s="348">
        <v>41</v>
      </c>
      <c r="HZ20" s="164">
        <v>66.116399999999999</v>
      </c>
      <c r="IA20" s="77">
        <v>69.838099999999997</v>
      </c>
      <c r="IB20" s="77">
        <v>69.134100000000004</v>
      </c>
      <c r="IC20" s="89">
        <v>69.7</v>
      </c>
      <c r="ID20" s="89">
        <v>67.7</v>
      </c>
      <c r="IE20" s="90">
        <v>67.900000000000006</v>
      </c>
      <c r="IF20" s="164">
        <v>29.5540308</v>
      </c>
      <c r="IG20" s="77">
        <v>33.878462309999996</v>
      </c>
      <c r="IH20" s="77">
        <v>36.59267913</v>
      </c>
      <c r="II20" s="77">
        <f t="shared" si="2"/>
        <v>34.152999999999999</v>
      </c>
      <c r="IJ20" s="77">
        <f t="shared" si="3"/>
        <v>33.173000000000002</v>
      </c>
      <c r="IK20" s="165">
        <f t="shared" si="4"/>
        <v>34.642580000000009</v>
      </c>
      <c r="IL20" s="360">
        <v>4661</v>
      </c>
      <c r="IM20" s="183">
        <v>4661</v>
      </c>
      <c r="IN20" s="183">
        <v>4796</v>
      </c>
      <c r="IO20" s="89">
        <v>4600</v>
      </c>
      <c r="IP20" s="89">
        <v>4616</v>
      </c>
      <c r="IQ20" s="90">
        <v>4631</v>
      </c>
      <c r="IR20" s="350">
        <v>44.7</v>
      </c>
      <c r="IS20" s="184">
        <v>48.51</v>
      </c>
      <c r="IT20" s="184">
        <v>52.93</v>
      </c>
      <c r="IU20" s="184">
        <v>49</v>
      </c>
      <c r="IV20" s="184">
        <v>50.18</v>
      </c>
      <c r="IW20" s="188">
        <v>51.02</v>
      </c>
      <c r="IX20" s="370">
        <v>6.2384247977385707E-3</v>
      </c>
      <c r="IY20" s="336">
        <v>5.6262682161962738E-3</v>
      </c>
      <c r="IZ20" s="336">
        <v>5.9508842511105525E-3</v>
      </c>
      <c r="JA20" s="336">
        <v>3.0000000000000001E-3</v>
      </c>
      <c r="JB20" s="336">
        <v>4.0000000000000001E-3</v>
      </c>
      <c r="JC20" s="335">
        <v>4.0000000000000001E-3</v>
      </c>
    </row>
    <row r="21" spans="1:263" ht="19.5" thickBot="1" x14ac:dyDescent="0.3">
      <c r="A21" s="374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0</v>
      </c>
      <c r="H21" s="28">
        <f>((G21+I21)/7)/E20</f>
        <v>0</v>
      </c>
      <c r="I21" s="27">
        <f>SUM(I14:I20)</f>
        <v>0</v>
      </c>
      <c r="J21" s="28" t="e">
        <f>(I21/(I21+G21))</f>
        <v>#DIV/0!</v>
      </c>
      <c r="K21" s="27"/>
      <c r="L21" s="27"/>
      <c r="M21" s="29">
        <f>M19/M18*100-100</f>
        <v>-2.10812648758926</v>
      </c>
      <c r="N21" s="67">
        <f>N19/N18*100-100</f>
        <v>3.1278127812781236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0</v>
      </c>
      <c r="T21" s="28">
        <f>((S21+U21)/7)/Q20</f>
        <v>0</v>
      </c>
      <c r="U21" s="27">
        <f>SUM(U14:U20)</f>
        <v>0</v>
      </c>
      <c r="V21" s="28" t="e">
        <f>(U21/(U21+S21))</f>
        <v>#DIV/0!</v>
      </c>
      <c r="W21" s="27"/>
      <c r="X21" s="27"/>
      <c r="Y21" s="29">
        <f>Y19/Y18*100-100</f>
        <v>1.5028901734104068</v>
      </c>
      <c r="Z21" s="67">
        <f>Z19/Z18*100-100</f>
        <v>5.1408987052551396</v>
      </c>
      <c r="AA21" s="26">
        <f>SUM(AA14:AA20)</f>
        <v>3</v>
      </c>
      <c r="AB21" s="27">
        <f>SUM(AB14:AB20)</f>
        <v>0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>
        <f>AK19/AK18*100-100</f>
        <v>4.2148362235067509</v>
      </c>
      <c r="AL21" s="67">
        <f>AL19/AL18*100-100</f>
        <v>4.0016501650164997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0</v>
      </c>
      <c r="AR21" s="28">
        <f>((AQ21+AS21)/7)/AO20</f>
        <v>0</v>
      </c>
      <c r="AS21" s="27">
        <f>SUM(AS14:AS20)</f>
        <v>0</v>
      </c>
      <c r="AT21" s="28" t="e">
        <f>(AS21/(AS21+AQ21))</f>
        <v>#DIV/0!</v>
      </c>
      <c r="AU21" s="27"/>
      <c r="AV21" s="27"/>
      <c r="AW21" s="29">
        <f>AW19/AW18*100-100</f>
        <v>4.094412331406545</v>
      </c>
      <c r="AX21" s="67">
        <f>AX19/AX18*100-100</f>
        <v>7.5019040365575052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0</v>
      </c>
      <c r="BD21" s="28">
        <f>((BC21+BE21)/7)/BA20</f>
        <v>0</v>
      </c>
      <c r="BE21" s="27">
        <f>SUM(BE14:BE20)</f>
        <v>0</v>
      </c>
      <c r="BF21" s="28" t="e">
        <f>(BE21/(BE21+BC21))</f>
        <v>#DIV/0!</v>
      </c>
      <c r="BG21" s="27"/>
      <c r="BH21" s="27"/>
      <c r="BI21" s="29">
        <f>BI19/BI18*100-100</f>
        <v>5.4488269296157625</v>
      </c>
      <c r="BJ21" s="67">
        <f>BJ19/BJ18*100-100</f>
        <v>6.1119573495811181</v>
      </c>
      <c r="BK21" s="26">
        <f>SUM(BK14:BK20)</f>
        <v>0</v>
      </c>
      <c r="BL21" s="27">
        <f>SUM(BL14:BL20)</f>
        <v>0</v>
      </c>
      <c r="BM21" s="27"/>
      <c r="BN21" s="27"/>
      <c r="BO21" s="27">
        <f>SUM(BO14:BO20)</f>
        <v>0</v>
      </c>
      <c r="BP21" s="28">
        <f>((BO21+BQ21)/7)/BM20</f>
        <v>0</v>
      </c>
      <c r="BQ21" s="27">
        <f>SUM(BQ14:BQ20)</f>
        <v>0</v>
      </c>
      <c r="BR21" s="28" t="e">
        <f>(BQ21/(BQ21+BO21))</f>
        <v>#DIV/0!</v>
      </c>
      <c r="BS21" s="27"/>
      <c r="BT21" s="27"/>
      <c r="BU21" s="29">
        <f>BU19/BU18*100-100</f>
        <v>7.4005955508845744</v>
      </c>
      <c r="BV21" s="67">
        <f>BV19/BV18*100-100</f>
        <v>5.3503427265803509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7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7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7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7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7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7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7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7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7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7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7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7" t="e">
        <f>HJ19/HJ18*100-100</f>
        <v>#DIV/0!</v>
      </c>
      <c r="HK21" s="26">
        <f t="shared" si="101"/>
        <v>4</v>
      </c>
      <c r="HL21" s="27">
        <f t="shared" si="101"/>
        <v>0</v>
      </c>
      <c r="HM21" s="27">
        <f t="shared" si="101"/>
        <v>0</v>
      </c>
      <c r="HN21" s="27">
        <f t="shared" si="101"/>
        <v>0</v>
      </c>
      <c r="HO21" s="27">
        <f t="shared" si="102"/>
        <v>0</v>
      </c>
      <c r="HP21" s="96">
        <f>+((HO21)/HM20)/7</f>
        <v>0</v>
      </c>
      <c r="HQ21" s="62">
        <f t="shared" si="104"/>
        <v>0</v>
      </c>
      <c r="HR21" s="52" t="e">
        <f t="shared" si="126"/>
        <v>#DIV/0!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>
        <f>HV19/HV18*100-100</f>
        <v>3.2587087500382239</v>
      </c>
      <c r="HW21" s="67">
        <f>HW19/HW18*100-100</f>
        <v>5.3881475104032148</v>
      </c>
      <c r="HY21" s="348">
        <v>42</v>
      </c>
      <c r="HZ21" s="164">
        <v>66.282300000000006</v>
      </c>
      <c r="IA21" s="77">
        <v>70.444100000000006</v>
      </c>
      <c r="IB21" s="77">
        <v>69.834999999999994</v>
      </c>
      <c r="IC21" s="89">
        <v>69.8</v>
      </c>
      <c r="ID21" s="77">
        <v>68.178571428571431</v>
      </c>
      <c r="IE21" s="90">
        <v>68.3</v>
      </c>
      <c r="IF21" s="164">
        <v>31.238847990000004</v>
      </c>
      <c r="IG21" s="77">
        <v>32.178864879999999</v>
      </c>
      <c r="IH21" s="77">
        <v>35.944074499999999</v>
      </c>
      <c r="II21" s="77">
        <f t="shared" si="2"/>
        <v>33.469099999999997</v>
      </c>
      <c r="IJ21" s="77">
        <f t="shared" si="3"/>
        <v>32.691625000000002</v>
      </c>
      <c r="IK21" s="165">
        <f t="shared" si="4"/>
        <v>33.719709999999992</v>
      </c>
      <c r="IL21" s="360">
        <v>4838</v>
      </c>
      <c r="IM21" s="183">
        <v>4689</v>
      </c>
      <c r="IN21" s="183">
        <v>4659</v>
      </c>
      <c r="IO21" s="89">
        <v>4615</v>
      </c>
      <c r="IP21" s="346">
        <v>4600.6629834254145</v>
      </c>
      <c r="IQ21" s="90">
        <v>4675</v>
      </c>
      <c r="IR21" s="350">
        <v>47.13</v>
      </c>
      <c r="IS21" s="184">
        <v>45.68</v>
      </c>
      <c r="IT21" s="184">
        <v>51.47</v>
      </c>
      <c r="IU21" s="184">
        <v>47.95</v>
      </c>
      <c r="IV21" s="184">
        <v>49.26</v>
      </c>
      <c r="IW21" s="188">
        <v>49.37</v>
      </c>
      <c r="IX21" s="370">
        <v>7.3425585992657446E-3</v>
      </c>
      <c r="IY21" s="336">
        <v>4.4300059066745426E-3</v>
      </c>
      <c r="IZ21" s="336">
        <v>4.7536732929991353E-3</v>
      </c>
      <c r="JA21" s="336">
        <v>3.0000000000000001E-3</v>
      </c>
      <c r="JB21" s="336">
        <v>3.7499999999999999E-3</v>
      </c>
      <c r="JC21" s="335">
        <v>2.7782601146032295E-3</v>
      </c>
    </row>
    <row r="22" spans="1:263" ht="19.5" thickBot="1" x14ac:dyDescent="0.3">
      <c r="A22" s="56"/>
      <c r="B22" s="83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1.0666666666666667E-3</v>
      </c>
      <c r="HL22" s="66">
        <f>HL21/HN11</f>
        <v>0</v>
      </c>
      <c r="HM22" s="45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48">
        <v>43</v>
      </c>
      <c r="HZ22" s="164">
        <v>66.927099999999996</v>
      </c>
      <c r="IA22" s="77">
        <v>71.065700000000007</v>
      </c>
      <c r="IB22" s="77">
        <v>70.223200000000006</v>
      </c>
      <c r="IC22" s="89">
        <v>70.2</v>
      </c>
      <c r="ID22" s="77">
        <v>68.714285714285708</v>
      </c>
      <c r="IE22" s="90">
        <v>69.2</v>
      </c>
      <c r="IF22" s="164">
        <v>30.67938264</v>
      </c>
      <c r="IG22" s="77">
        <v>30.501398440000003</v>
      </c>
      <c r="IH22" s="77">
        <v>35.926189119999997</v>
      </c>
      <c r="II22" s="77">
        <f t="shared" si="2"/>
        <v>31.470659999999999</v>
      </c>
      <c r="IJ22" s="77">
        <f t="shared" si="3"/>
        <v>30.804614285714283</v>
      </c>
      <c r="IK22" s="165">
        <f t="shared" si="4"/>
        <v>33.36824</v>
      </c>
      <c r="IL22" s="360">
        <v>4838</v>
      </c>
      <c r="IM22" s="183">
        <v>4689</v>
      </c>
      <c r="IN22" s="183">
        <v>4659</v>
      </c>
      <c r="IO22" s="89">
        <v>4615</v>
      </c>
      <c r="IP22" s="346">
        <v>4600.6629834254145</v>
      </c>
      <c r="IQ22" s="90">
        <v>4675</v>
      </c>
      <c r="IR22" s="350">
        <v>45.84</v>
      </c>
      <c r="IS22" s="184">
        <v>42.92</v>
      </c>
      <c r="IT22" s="184">
        <v>51.16</v>
      </c>
      <c r="IU22" s="184">
        <v>44.83</v>
      </c>
      <c r="IV22" s="184">
        <v>48.94</v>
      </c>
      <c r="IW22" s="188">
        <v>48.22</v>
      </c>
      <c r="IX22" s="370">
        <v>6.5270336093521675E-3</v>
      </c>
      <c r="IY22" s="336">
        <v>4.1082903191825559E-3</v>
      </c>
      <c r="IZ22" s="336">
        <v>4.5502275113755691E-3</v>
      </c>
      <c r="JA22" s="336">
        <v>3.0000000000000001E-3</v>
      </c>
      <c r="JB22" s="336">
        <v>2.7068483262654517E-3</v>
      </c>
      <c r="JC22" s="335">
        <v>3.9180765805877111E-3</v>
      </c>
    </row>
    <row r="23" spans="1:263" ht="18.75" x14ac:dyDescent="0.25">
      <c r="A23" s="373">
        <v>27</v>
      </c>
      <c r="B23" s="68">
        <f>B20+1</f>
        <v>44955</v>
      </c>
      <c r="C23" s="33"/>
      <c r="D23" s="34"/>
      <c r="E23" s="34">
        <f>E20-C23</f>
        <v>712</v>
      </c>
      <c r="F23" s="34">
        <f>F20-D23</f>
        <v>63</v>
      </c>
      <c r="G23" s="34"/>
      <c r="H23" s="35">
        <f t="shared" ref="H23:H29" si="127">((G23+I23)/E23)</f>
        <v>0</v>
      </c>
      <c r="I23" s="34"/>
      <c r="J23" s="35" t="e">
        <f>I23/(G23+I23)</f>
        <v>#DIV/0!</v>
      </c>
      <c r="K23" s="36"/>
      <c r="L23" s="34"/>
      <c r="M23" s="34"/>
      <c r="N23" s="37"/>
      <c r="O23" s="33"/>
      <c r="P23" s="34"/>
      <c r="Q23" s="34">
        <f>Q20-O23</f>
        <v>708</v>
      </c>
      <c r="R23" s="34">
        <f>R20-P23</f>
        <v>62</v>
      </c>
      <c r="S23" s="34"/>
      <c r="T23" s="35">
        <f t="shared" ref="T23:T29" si="128">((S23+U23)/Q23)</f>
        <v>0</v>
      </c>
      <c r="U23" s="34"/>
      <c r="V23" s="35" t="e">
        <f t="shared" ref="V23:V29" si="129">U23/(S23+U23)</f>
        <v>#DIV/0!</v>
      </c>
      <c r="W23" s="36"/>
      <c r="X23" s="34"/>
      <c r="Y23" s="34"/>
      <c r="Z23" s="37"/>
      <c r="AA23" s="33"/>
      <c r="AB23" s="34"/>
      <c r="AC23" s="34">
        <f>AC20-AA23</f>
        <v>193</v>
      </c>
      <c r="AD23" s="34">
        <f>AD20-AB23</f>
        <v>16</v>
      </c>
      <c r="AE23" s="34"/>
      <c r="AF23" s="35">
        <f t="shared" ref="AF23:AF29" si="130">((AE23+AG23)/AC23)</f>
        <v>0</v>
      </c>
      <c r="AG23" s="34"/>
      <c r="AH23" s="35" t="e">
        <f t="shared" ref="AH23:AH29" si="131">AG23/(AE23+AG23)</f>
        <v>#DIV/0!</v>
      </c>
      <c r="AI23" s="36"/>
      <c r="AJ23" s="34"/>
      <c r="AK23" s="34"/>
      <c r="AL23" s="37"/>
      <c r="AM23" s="33"/>
      <c r="AN23" s="34"/>
      <c r="AO23" s="34">
        <f>AO20-AM23</f>
        <v>711</v>
      </c>
      <c r="AP23" s="34">
        <f>AP20-AN23</f>
        <v>63</v>
      </c>
      <c r="AQ23" s="34"/>
      <c r="AR23" s="35">
        <f t="shared" ref="AR23:AR29" si="132">((AQ23+AS23)/AO23)</f>
        <v>0</v>
      </c>
      <c r="AS23" s="34"/>
      <c r="AT23" s="35" t="e">
        <f t="shared" ref="AT23:AT29" si="133">AS23/(AQ23+AS23)</f>
        <v>#DIV/0!</v>
      </c>
      <c r="AU23" s="36"/>
      <c r="AV23" s="34"/>
      <c r="AW23" s="34"/>
      <c r="AX23" s="37"/>
      <c r="AY23" s="33"/>
      <c r="AZ23" s="34"/>
      <c r="BA23" s="34">
        <f>BA20-AY23</f>
        <v>711</v>
      </c>
      <c r="BB23" s="34">
        <f>BB20-AZ23</f>
        <v>62</v>
      </c>
      <c r="BC23" s="34"/>
      <c r="BD23" s="35">
        <f t="shared" ref="BD23:BD29" si="134">((BC23+BE23)/BA23)</f>
        <v>0</v>
      </c>
      <c r="BE23" s="34"/>
      <c r="BF23" s="35" t="e">
        <f t="shared" ref="BF23:BF29" si="135">BE23/(BC23+BE23)</f>
        <v>#DIV/0!</v>
      </c>
      <c r="BG23" s="36"/>
      <c r="BH23" s="34"/>
      <c r="BI23" s="34"/>
      <c r="BJ23" s="37"/>
      <c r="BK23" s="33"/>
      <c r="BL23" s="34"/>
      <c r="BM23" s="34">
        <f>BM20-BK23</f>
        <v>711</v>
      </c>
      <c r="BN23" s="34">
        <f>BN20-BL23</f>
        <v>63</v>
      </c>
      <c r="BO23" s="34"/>
      <c r="BP23" s="35">
        <f t="shared" ref="BP23:BP29" si="136">((BO23+BQ23)/BM23)</f>
        <v>0</v>
      </c>
      <c r="BQ23" s="34"/>
      <c r="BR23" s="35" t="e">
        <f t="shared" ref="BR23:BR29" si="137">BQ23/(BO23+BQ23)</f>
        <v>#DIV/0!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0</v>
      </c>
      <c r="HL23" s="34">
        <f t="shared" si="162"/>
        <v>0</v>
      </c>
      <c r="HM23" s="34">
        <f t="shared" si="162"/>
        <v>3746</v>
      </c>
      <c r="HN23" s="34">
        <f t="shared" si="162"/>
        <v>329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0</v>
      </c>
      <c r="HP23" s="94">
        <f t="shared" ref="HP23:HP29" si="164">+(HO23)/HM23</f>
        <v>0</v>
      </c>
      <c r="HQ23" s="48">
        <f t="shared" ref="HQ23:HQ30" si="165">+I23+U23+AG23+AS23+BE23+BQ23+CC23+CO23+DA23+DM23+DY23+EK23+EW23+FI23+FU23+GG23+GS23+HE23</f>
        <v>0</v>
      </c>
      <c r="HR23" s="35" t="e">
        <f>+(HQ23/(HO23))</f>
        <v>#DIV/0!</v>
      </c>
      <c r="HS23" s="49"/>
      <c r="HT23" s="50"/>
      <c r="HU23" s="49" t="e">
        <f t="shared" ref="HU23:HU29" si="166">+HT23/HO23*100</f>
        <v>#DIV/0!</v>
      </c>
      <c r="HV23" s="48"/>
      <c r="HW23" s="37"/>
      <c r="HY23" s="348">
        <v>44</v>
      </c>
      <c r="HZ23" s="164">
        <v>67.8536</v>
      </c>
      <c r="IA23" s="77">
        <v>71.2012</v>
      </c>
      <c r="IB23" s="77">
        <v>70.025400000000005</v>
      </c>
      <c r="IC23" s="89">
        <v>69.599999999999994</v>
      </c>
      <c r="ID23" s="77">
        <v>69.315714285714279</v>
      </c>
      <c r="IE23" s="90">
        <v>68.7</v>
      </c>
      <c r="IF23" s="164">
        <v>28.973487200000005</v>
      </c>
      <c r="IG23" s="77">
        <v>29.6909004</v>
      </c>
      <c r="IH23" s="77">
        <v>34.739600940000003</v>
      </c>
      <c r="II23" s="77">
        <f t="shared" si="2"/>
        <v>24.916799999999995</v>
      </c>
      <c r="IJ23" s="77">
        <f t="shared" si="3"/>
        <v>24.81502571428571</v>
      </c>
      <c r="IK23" s="165">
        <f t="shared" si="4"/>
        <v>31.40277</v>
      </c>
      <c r="IL23" s="360">
        <v>4888</v>
      </c>
      <c r="IM23" s="183">
        <v>4818</v>
      </c>
      <c r="IN23" s="183">
        <v>4719</v>
      </c>
      <c r="IO23" s="89">
        <v>4616</v>
      </c>
      <c r="IP23" s="346">
        <v>4716.8900000000003</v>
      </c>
      <c r="IQ23" s="90">
        <v>4751</v>
      </c>
      <c r="IR23" s="350">
        <v>42.7</v>
      </c>
      <c r="IS23" s="184">
        <v>41.7</v>
      </c>
      <c r="IT23" s="184">
        <v>49.61</v>
      </c>
      <c r="IU23" s="184">
        <v>35.799999999999997</v>
      </c>
      <c r="IV23" s="184">
        <v>47.81</v>
      </c>
      <c r="IW23" s="188">
        <v>45.71</v>
      </c>
      <c r="IX23" s="370">
        <v>5.0000000000000001E-3</v>
      </c>
      <c r="IY23" s="336">
        <v>2.9395753946652148E-3</v>
      </c>
      <c r="IZ23" s="336">
        <v>4.1757443718228029E-3</v>
      </c>
      <c r="JA23" s="336">
        <v>2E-3</v>
      </c>
      <c r="JB23" s="336">
        <v>2.1441223081942761E-3</v>
      </c>
      <c r="JC23" s="335">
        <v>2.081756245268736E-3</v>
      </c>
    </row>
    <row r="24" spans="1:263" ht="18.75" x14ac:dyDescent="0.25">
      <c r="A24" s="374"/>
      <c r="B24" s="41">
        <f t="shared" ref="B24:B29" si="167">+B23+1</f>
        <v>44956</v>
      </c>
      <c r="C24" s="10"/>
      <c r="D24" s="11"/>
      <c r="E24" s="69">
        <f t="shared" ref="E24:F28" si="168">E23-C24</f>
        <v>712</v>
      </c>
      <c r="F24" s="69">
        <f t="shared" si="168"/>
        <v>63</v>
      </c>
      <c r="G24" s="11"/>
      <c r="H24" s="12">
        <f t="shared" si="127"/>
        <v>0</v>
      </c>
      <c r="I24" s="11"/>
      <c r="J24" s="12" t="e">
        <f t="shared" ref="J24:J29" si="169">I24/(G24+I24)</f>
        <v>#DIV/0!</v>
      </c>
      <c r="K24" s="13"/>
      <c r="L24" s="11"/>
      <c r="M24" s="11"/>
      <c r="N24" s="14"/>
      <c r="O24" s="10"/>
      <c r="P24" s="11"/>
      <c r="Q24" s="69">
        <f t="shared" ref="Q24:R29" si="170">Q23-O24</f>
        <v>708</v>
      </c>
      <c r="R24" s="69">
        <f t="shared" si="170"/>
        <v>62</v>
      </c>
      <c r="S24" s="11">
        <v>1</v>
      </c>
      <c r="T24" s="12">
        <f t="shared" si="128"/>
        <v>1.4124293785310734E-3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9">
        <f t="shared" ref="AC24:AD29" si="171">AC23-AA24</f>
        <v>193</v>
      </c>
      <c r="AD24" s="69">
        <f t="shared" si="171"/>
        <v>16</v>
      </c>
      <c r="AE24" s="11"/>
      <c r="AF24" s="12">
        <f t="shared" si="130"/>
        <v>0</v>
      </c>
      <c r="AG24" s="11"/>
      <c r="AH24" s="12" t="e">
        <f t="shared" si="131"/>
        <v>#DIV/0!</v>
      </c>
      <c r="AI24" s="13"/>
      <c r="AJ24" s="11"/>
      <c r="AK24" s="11"/>
      <c r="AL24" s="14"/>
      <c r="AM24" s="10"/>
      <c r="AN24" s="11"/>
      <c r="AO24" s="69">
        <f t="shared" ref="AO24:AP29" si="172">AO23-AM24</f>
        <v>711</v>
      </c>
      <c r="AP24" s="69">
        <f t="shared" si="172"/>
        <v>63</v>
      </c>
      <c r="AQ24" s="11"/>
      <c r="AR24" s="12">
        <f t="shared" si="132"/>
        <v>0</v>
      </c>
      <c r="AS24" s="11"/>
      <c r="AT24" s="12" t="e">
        <f t="shared" si="133"/>
        <v>#DIV/0!</v>
      </c>
      <c r="AU24" s="13"/>
      <c r="AV24" s="11"/>
      <c r="AW24" s="11"/>
      <c r="AX24" s="14"/>
      <c r="AY24" s="10"/>
      <c r="AZ24" s="11"/>
      <c r="BA24" s="69">
        <f t="shared" ref="BA24:BB29" si="173">BA23-AY24</f>
        <v>711</v>
      </c>
      <c r="BB24" s="69">
        <f t="shared" si="173"/>
        <v>62</v>
      </c>
      <c r="BC24" s="11">
        <v>1</v>
      </c>
      <c r="BD24" s="12">
        <f t="shared" si="134"/>
        <v>1.4064697609001407E-3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9">
        <f t="shared" ref="BM24:BN29" si="174">BM23-BK24</f>
        <v>711</v>
      </c>
      <c r="BN24" s="69">
        <f t="shared" si="174"/>
        <v>63</v>
      </c>
      <c r="BO24" s="11"/>
      <c r="BP24" s="12">
        <f t="shared" si="136"/>
        <v>0</v>
      </c>
      <c r="BQ24" s="11"/>
      <c r="BR24" s="12" t="e">
        <f t="shared" si="137"/>
        <v>#DIV/0!</v>
      </c>
      <c r="BS24" s="13"/>
      <c r="BT24" s="11"/>
      <c r="BU24" s="11"/>
      <c r="BV24" s="14"/>
      <c r="BW24" s="10"/>
      <c r="BX24" s="11"/>
      <c r="BY24" s="69">
        <f t="shared" ref="BY24:BZ29" si="175">BY23-BW24</f>
        <v>0</v>
      </c>
      <c r="BZ24" s="69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9">
        <f t="shared" ref="CK24:CL29" si="176">CK23-CI24</f>
        <v>0</v>
      </c>
      <c r="CL24" s="69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9">
        <f t="shared" ref="CW24:CX29" si="177">CW23-CU24</f>
        <v>0</v>
      </c>
      <c r="CX24" s="69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9">
        <f t="shared" ref="DI24:DJ29" si="178">DI23-DG24</f>
        <v>0</v>
      </c>
      <c r="DJ24" s="69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9">
        <f t="shared" ref="DU24:DV29" si="179">DU23-DS24</f>
        <v>0</v>
      </c>
      <c r="DV24" s="69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9">
        <f t="shared" ref="EG24:EH29" si="180">EG23-EE24</f>
        <v>0</v>
      </c>
      <c r="EH24" s="69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9">
        <f t="shared" ref="ES24:ET29" si="181">ES23-EQ24</f>
        <v>0</v>
      </c>
      <c r="ET24" s="69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9">
        <f t="shared" ref="FE24:FF29" si="182">FE23-FC24</f>
        <v>0</v>
      </c>
      <c r="FF24" s="69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9">
        <f t="shared" ref="FQ24:FR29" si="183">FQ23-FO24</f>
        <v>0</v>
      </c>
      <c r="FR24" s="69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9">
        <f t="shared" ref="GC24:GD29" si="184">GC23-GA24</f>
        <v>0</v>
      </c>
      <c r="GD24" s="69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9">
        <f t="shared" ref="GO24:GP29" si="185">GO23-GM24</f>
        <v>0</v>
      </c>
      <c r="GP24" s="69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9">
        <f t="shared" ref="HA24:HB29" si="186">HA23-GY24</f>
        <v>0</v>
      </c>
      <c r="HB24" s="69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0</v>
      </c>
      <c r="HL24" s="11">
        <f t="shared" si="162"/>
        <v>0</v>
      </c>
      <c r="HM24" s="11">
        <f t="shared" si="162"/>
        <v>3746</v>
      </c>
      <c r="HN24" s="11">
        <f t="shared" si="162"/>
        <v>329</v>
      </c>
      <c r="HO24" s="11">
        <f t="shared" si="163"/>
        <v>2</v>
      </c>
      <c r="HP24" s="95">
        <f t="shared" si="164"/>
        <v>5.339028296849973E-4</v>
      </c>
      <c r="HQ24" s="15">
        <f t="shared" si="165"/>
        <v>0</v>
      </c>
      <c r="HR24" s="12">
        <f t="shared" ref="HR24:HR30" si="187">+(HQ24/(HO24))</f>
        <v>0</v>
      </c>
      <c r="HS24" s="16"/>
      <c r="HT24" s="17"/>
      <c r="HU24" s="16">
        <f t="shared" si="166"/>
        <v>0</v>
      </c>
      <c r="HV24" s="15"/>
      <c r="HW24" s="14"/>
      <c r="HY24" s="348">
        <v>45</v>
      </c>
      <c r="HZ24" s="164">
        <v>70.087900000000005</v>
      </c>
      <c r="IA24" s="77">
        <v>72.630399999999995</v>
      </c>
      <c r="IB24" s="77">
        <v>70.243200000000002</v>
      </c>
      <c r="IC24" s="89">
        <v>69.400000000000006</v>
      </c>
      <c r="ID24" s="77">
        <v>70.154285714285706</v>
      </c>
      <c r="IE24" s="90">
        <v>68.8</v>
      </c>
      <c r="IF24" s="164">
        <v>28.778091740000004</v>
      </c>
      <c r="IG24" s="77">
        <v>28.107964800000001</v>
      </c>
      <c r="IH24" s="77">
        <v>33.260155200000007</v>
      </c>
      <c r="II24" s="77">
        <f t="shared" si="2"/>
        <v>26.260960000000004</v>
      </c>
      <c r="IJ24" s="77">
        <f t="shared" si="3"/>
        <v>26.546381714285712</v>
      </c>
      <c r="IK24" s="165">
        <f t="shared" si="4"/>
        <v>31.221440000000001</v>
      </c>
      <c r="IL24" s="360">
        <v>4888</v>
      </c>
      <c r="IM24" s="183">
        <v>4818</v>
      </c>
      <c r="IN24" s="183">
        <v>4719</v>
      </c>
      <c r="IO24" s="89">
        <v>4616</v>
      </c>
      <c r="IP24" s="346">
        <v>4716.8900000000003</v>
      </c>
      <c r="IQ24" s="90">
        <v>4751</v>
      </c>
      <c r="IR24" s="350">
        <v>41.06</v>
      </c>
      <c r="IS24" s="184">
        <v>38.700000000000003</v>
      </c>
      <c r="IT24" s="184">
        <v>47.35</v>
      </c>
      <c r="IU24" s="184">
        <v>37.840000000000003</v>
      </c>
      <c r="IV24" s="184">
        <v>46.7</v>
      </c>
      <c r="IW24" s="188">
        <v>45.38</v>
      </c>
      <c r="IX24" s="370">
        <v>3.8415102623202721E-3</v>
      </c>
      <c r="IY24" s="336">
        <v>2.4717514124293787E-3</v>
      </c>
      <c r="IZ24" s="336">
        <v>3.0885049705626868E-3</v>
      </c>
      <c r="JA24" s="336">
        <v>1E-3</v>
      </c>
      <c r="JB24" s="336">
        <v>2.2351363433169421E-3</v>
      </c>
      <c r="JC24" s="335">
        <v>2.1233471672618474E-3</v>
      </c>
    </row>
    <row r="25" spans="1:263" ht="18.75" x14ac:dyDescent="0.25">
      <c r="A25" s="374"/>
      <c r="B25" s="41">
        <f t="shared" si="167"/>
        <v>44957</v>
      </c>
      <c r="C25" s="10"/>
      <c r="D25" s="11"/>
      <c r="E25" s="69">
        <f t="shared" si="168"/>
        <v>712</v>
      </c>
      <c r="F25" s="69">
        <f t="shared" si="168"/>
        <v>63</v>
      </c>
      <c r="G25" s="11">
        <v>1</v>
      </c>
      <c r="H25" s="12">
        <f t="shared" si="127"/>
        <v>1.4044943820224719E-3</v>
      </c>
      <c r="I25" s="11"/>
      <c r="J25" s="12">
        <f t="shared" si="169"/>
        <v>0</v>
      </c>
      <c r="K25" s="13"/>
      <c r="L25" s="11"/>
      <c r="M25" s="11"/>
      <c r="N25" s="14"/>
      <c r="O25" s="10"/>
      <c r="P25" s="11"/>
      <c r="Q25" s="69">
        <f t="shared" si="170"/>
        <v>708</v>
      </c>
      <c r="R25" s="69">
        <f t="shared" si="170"/>
        <v>62</v>
      </c>
      <c r="S25" s="11">
        <v>1</v>
      </c>
      <c r="T25" s="12">
        <f t="shared" si="128"/>
        <v>1.4124293785310734E-3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69">
        <f t="shared" si="171"/>
        <v>193</v>
      </c>
      <c r="AD25" s="69">
        <f t="shared" si="171"/>
        <v>16</v>
      </c>
      <c r="AE25" s="11"/>
      <c r="AF25" s="12">
        <f t="shared" si="130"/>
        <v>0</v>
      </c>
      <c r="AG25" s="11"/>
      <c r="AH25" s="12" t="e">
        <f t="shared" si="131"/>
        <v>#DIV/0!</v>
      </c>
      <c r="AI25" s="13"/>
      <c r="AJ25" s="11"/>
      <c r="AK25" s="11"/>
      <c r="AL25" s="14"/>
      <c r="AM25" s="10"/>
      <c r="AN25" s="11"/>
      <c r="AO25" s="69">
        <f t="shared" si="172"/>
        <v>711</v>
      </c>
      <c r="AP25" s="69">
        <f t="shared" si="172"/>
        <v>63</v>
      </c>
      <c r="AQ25" s="11">
        <v>1</v>
      </c>
      <c r="AR25" s="12">
        <f t="shared" si="132"/>
        <v>1.4064697609001407E-3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9">
        <f t="shared" si="173"/>
        <v>711</v>
      </c>
      <c r="BB25" s="69">
        <f t="shared" si="173"/>
        <v>62</v>
      </c>
      <c r="BC25" s="11"/>
      <c r="BD25" s="12">
        <f t="shared" si="134"/>
        <v>0</v>
      </c>
      <c r="BE25" s="11"/>
      <c r="BF25" s="12" t="e">
        <f t="shared" si="135"/>
        <v>#DIV/0!</v>
      </c>
      <c r="BG25" s="13"/>
      <c r="BH25" s="11"/>
      <c r="BI25" s="11"/>
      <c r="BJ25" s="14"/>
      <c r="BK25" s="10"/>
      <c r="BL25" s="11"/>
      <c r="BM25" s="69">
        <f t="shared" si="174"/>
        <v>711</v>
      </c>
      <c r="BN25" s="69">
        <f t="shared" si="174"/>
        <v>63</v>
      </c>
      <c r="BO25" s="11">
        <v>3</v>
      </c>
      <c r="BP25" s="12">
        <f t="shared" si="136"/>
        <v>4.2194092827004216E-3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9">
        <f t="shared" si="175"/>
        <v>0</v>
      </c>
      <c r="BZ25" s="69">
        <f t="shared" si="175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9">
        <f t="shared" si="176"/>
        <v>0</v>
      </c>
      <c r="CL25" s="69">
        <f t="shared" si="176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9">
        <f t="shared" si="177"/>
        <v>0</v>
      </c>
      <c r="CX25" s="69">
        <f t="shared" si="177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9">
        <f t="shared" si="178"/>
        <v>0</v>
      </c>
      <c r="DJ25" s="69">
        <f t="shared" si="178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9">
        <f t="shared" si="179"/>
        <v>0</v>
      </c>
      <c r="DV25" s="69">
        <f t="shared" si="179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9">
        <f t="shared" si="180"/>
        <v>0</v>
      </c>
      <c r="EH25" s="69">
        <f t="shared" si="180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9">
        <f t="shared" si="181"/>
        <v>0</v>
      </c>
      <c r="ET25" s="69">
        <f t="shared" si="181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9">
        <f t="shared" si="182"/>
        <v>0</v>
      </c>
      <c r="FF25" s="69">
        <f t="shared" si="182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9">
        <f t="shared" si="183"/>
        <v>0</v>
      </c>
      <c r="FR25" s="69">
        <f t="shared" si="183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9">
        <f t="shared" si="184"/>
        <v>0</v>
      </c>
      <c r="GD25" s="69">
        <f t="shared" si="184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9">
        <f t="shared" si="185"/>
        <v>0</v>
      </c>
      <c r="GP25" s="69">
        <f t="shared" si="185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9">
        <f t="shared" si="186"/>
        <v>0</v>
      </c>
      <c r="HB25" s="69">
        <f t="shared" si="186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1">
        <f t="shared" si="162"/>
        <v>0</v>
      </c>
      <c r="HM25" s="11">
        <f t="shared" si="162"/>
        <v>3746</v>
      </c>
      <c r="HN25" s="11">
        <f t="shared" si="162"/>
        <v>329</v>
      </c>
      <c r="HO25" s="11">
        <f t="shared" si="163"/>
        <v>6</v>
      </c>
      <c r="HP25" s="95">
        <f t="shared" si="164"/>
        <v>1.6017084890549919E-3</v>
      </c>
      <c r="HQ25" s="15">
        <f t="shared" si="165"/>
        <v>0</v>
      </c>
      <c r="HR25" s="12">
        <f t="shared" si="187"/>
        <v>0</v>
      </c>
      <c r="HS25" s="16"/>
      <c r="HT25" s="17"/>
      <c r="HU25" s="16">
        <f t="shared" si="166"/>
        <v>0</v>
      </c>
      <c r="HV25" s="15"/>
      <c r="HW25" s="14"/>
      <c r="HY25" s="348">
        <v>46</v>
      </c>
      <c r="HZ25" s="164">
        <v>70.257900000000006</v>
      </c>
      <c r="IA25" s="77">
        <v>72.622600000000006</v>
      </c>
      <c r="IB25" s="77">
        <v>70.678799999999995</v>
      </c>
      <c r="IC25" s="89">
        <v>69.5</v>
      </c>
      <c r="ID25" s="77">
        <v>70.082857142857137</v>
      </c>
      <c r="IE25" s="90">
        <v>70.400000000000006</v>
      </c>
      <c r="IF25" s="164">
        <v>29.065693230000001</v>
      </c>
      <c r="IG25" s="77">
        <v>27.676472860000004</v>
      </c>
      <c r="IH25" s="77">
        <v>31.5580842</v>
      </c>
      <c r="II25" s="77">
        <f t="shared" si="2"/>
        <v>27.737449999999999</v>
      </c>
      <c r="IJ25" s="77">
        <f t="shared" si="3"/>
        <v>27.970068285714284</v>
      </c>
      <c r="IK25" s="165">
        <f t="shared" si="4"/>
        <v>28.927360000000004</v>
      </c>
      <c r="IL25" s="360">
        <v>4787</v>
      </c>
      <c r="IM25" s="183">
        <v>4772</v>
      </c>
      <c r="IN25" s="183">
        <v>4901</v>
      </c>
      <c r="IO25" s="89">
        <v>4653</v>
      </c>
      <c r="IP25" s="346">
        <v>4704.7700000000004</v>
      </c>
      <c r="IQ25" s="90">
        <v>4762</v>
      </c>
      <c r="IR25" s="350">
        <v>41.37</v>
      </c>
      <c r="IS25" s="184">
        <v>38.11</v>
      </c>
      <c r="IT25" s="184">
        <v>44.65</v>
      </c>
      <c r="IU25" s="184">
        <v>39.909999999999997</v>
      </c>
      <c r="IV25" s="184">
        <v>46.65</v>
      </c>
      <c r="IW25" s="188">
        <v>41.09</v>
      </c>
      <c r="IX25" s="370">
        <v>2.4154589371980675E-3</v>
      </c>
      <c r="IY25" s="336">
        <v>2.6483688455519443E-3</v>
      </c>
      <c r="IZ25" s="336">
        <v>4.015650741350906E-3</v>
      </c>
      <c r="JA25" s="336">
        <v>1.7578326956881399E-3</v>
      </c>
      <c r="JB25" s="336">
        <v>2E-3</v>
      </c>
      <c r="JC25" s="335">
        <v>1.6051364365971107E-3</v>
      </c>
    </row>
    <row r="26" spans="1:263" ht="18.75" x14ac:dyDescent="0.25">
      <c r="A26" s="374"/>
      <c r="B26" s="41">
        <f t="shared" si="167"/>
        <v>44958</v>
      </c>
      <c r="C26" s="10"/>
      <c r="D26" s="11"/>
      <c r="E26" s="69">
        <f t="shared" si="168"/>
        <v>712</v>
      </c>
      <c r="F26" s="69">
        <f t="shared" si="168"/>
        <v>63</v>
      </c>
      <c r="G26" s="11"/>
      <c r="H26" s="12">
        <f t="shared" si="127"/>
        <v>0</v>
      </c>
      <c r="I26" s="11"/>
      <c r="J26" s="12" t="e">
        <f t="shared" si="169"/>
        <v>#DIV/0!</v>
      </c>
      <c r="K26" s="11"/>
      <c r="L26" s="11"/>
      <c r="M26" s="18"/>
      <c r="N26" s="20"/>
      <c r="O26" s="10"/>
      <c r="P26" s="11"/>
      <c r="Q26" s="69">
        <f t="shared" si="170"/>
        <v>708</v>
      </c>
      <c r="R26" s="69">
        <f t="shared" si="170"/>
        <v>62</v>
      </c>
      <c r="S26" s="11">
        <v>1</v>
      </c>
      <c r="T26" s="12">
        <f t="shared" si="128"/>
        <v>1.4124293785310734E-3</v>
      </c>
      <c r="U26" s="11"/>
      <c r="V26" s="12">
        <f t="shared" si="129"/>
        <v>0</v>
      </c>
      <c r="W26" s="11"/>
      <c r="X26" s="11"/>
      <c r="Y26" s="18"/>
      <c r="Z26" s="20"/>
      <c r="AA26" s="10"/>
      <c r="AB26" s="11"/>
      <c r="AC26" s="69">
        <f t="shared" si="171"/>
        <v>193</v>
      </c>
      <c r="AD26" s="69">
        <f t="shared" si="171"/>
        <v>16</v>
      </c>
      <c r="AE26" s="11"/>
      <c r="AF26" s="12">
        <f t="shared" si="130"/>
        <v>0</v>
      </c>
      <c r="AG26" s="11"/>
      <c r="AH26" s="12" t="e">
        <f t="shared" si="131"/>
        <v>#DIV/0!</v>
      </c>
      <c r="AI26" s="11"/>
      <c r="AJ26" s="11"/>
      <c r="AK26" s="18"/>
      <c r="AL26" s="20"/>
      <c r="AM26" s="10"/>
      <c r="AN26" s="11"/>
      <c r="AO26" s="69">
        <f t="shared" si="172"/>
        <v>711</v>
      </c>
      <c r="AP26" s="69">
        <f t="shared" si="172"/>
        <v>63</v>
      </c>
      <c r="AQ26" s="11"/>
      <c r="AR26" s="12">
        <f t="shared" si="132"/>
        <v>0</v>
      </c>
      <c r="AS26" s="11"/>
      <c r="AT26" s="12" t="e">
        <f t="shared" si="133"/>
        <v>#DIV/0!</v>
      </c>
      <c r="AU26" s="11"/>
      <c r="AV26" s="11"/>
      <c r="AW26" s="18"/>
      <c r="AX26" s="20"/>
      <c r="AY26" s="10"/>
      <c r="AZ26" s="11"/>
      <c r="BA26" s="69">
        <f t="shared" si="173"/>
        <v>711</v>
      </c>
      <c r="BB26" s="69">
        <f t="shared" si="173"/>
        <v>62</v>
      </c>
      <c r="BC26" s="11">
        <v>3</v>
      </c>
      <c r="BD26" s="12">
        <f t="shared" si="134"/>
        <v>4.2194092827004216E-3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9">
        <f t="shared" si="174"/>
        <v>711</v>
      </c>
      <c r="BN26" s="69">
        <f t="shared" si="174"/>
        <v>63</v>
      </c>
      <c r="BO26" s="11">
        <v>1</v>
      </c>
      <c r="BP26" s="12">
        <f t="shared" si="136"/>
        <v>1.4064697609001407E-3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9">
        <f t="shared" si="175"/>
        <v>0</v>
      </c>
      <c r="BZ26" s="69">
        <f t="shared" si="175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9">
        <f t="shared" si="176"/>
        <v>0</v>
      </c>
      <c r="CL26" s="69">
        <f t="shared" si="176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9">
        <f t="shared" si="177"/>
        <v>0</v>
      </c>
      <c r="CX26" s="69">
        <f t="shared" si="177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9">
        <f t="shared" si="178"/>
        <v>0</v>
      </c>
      <c r="DJ26" s="69">
        <f t="shared" si="178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9">
        <f t="shared" si="179"/>
        <v>0</v>
      </c>
      <c r="DV26" s="69">
        <f t="shared" si="179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9">
        <f t="shared" si="180"/>
        <v>0</v>
      </c>
      <c r="EH26" s="69">
        <f t="shared" si="180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9">
        <f t="shared" si="181"/>
        <v>0</v>
      </c>
      <c r="ET26" s="69">
        <f t="shared" si="181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9">
        <f t="shared" si="182"/>
        <v>0</v>
      </c>
      <c r="FF26" s="69">
        <f t="shared" si="182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9">
        <f t="shared" si="183"/>
        <v>0</v>
      </c>
      <c r="FR26" s="69">
        <f t="shared" si="183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9">
        <f t="shared" si="184"/>
        <v>0</v>
      </c>
      <c r="GD26" s="69">
        <f t="shared" si="184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9">
        <f t="shared" si="185"/>
        <v>0</v>
      </c>
      <c r="GP26" s="69">
        <f t="shared" si="185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9">
        <f t="shared" si="186"/>
        <v>0</v>
      </c>
      <c r="HB26" s="69">
        <f t="shared" si="186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0</v>
      </c>
      <c r="HL26" s="11">
        <f t="shared" si="162"/>
        <v>0</v>
      </c>
      <c r="HM26" s="11">
        <f t="shared" si="162"/>
        <v>3746</v>
      </c>
      <c r="HN26" s="11">
        <f t="shared" si="162"/>
        <v>329</v>
      </c>
      <c r="HO26" s="11">
        <f t="shared" si="163"/>
        <v>5</v>
      </c>
      <c r="HP26" s="95">
        <f t="shared" si="164"/>
        <v>1.3347570742124934E-3</v>
      </c>
      <c r="HQ26" s="15">
        <f t="shared" si="165"/>
        <v>0</v>
      </c>
      <c r="HR26" s="12">
        <f t="shared" si="187"/>
        <v>0</v>
      </c>
      <c r="HS26" s="16"/>
      <c r="HT26" s="17"/>
      <c r="HU26" s="16">
        <f t="shared" si="166"/>
        <v>0</v>
      </c>
      <c r="HV26" s="18"/>
      <c r="HW26" s="20"/>
      <c r="HY26" s="348">
        <v>47</v>
      </c>
      <c r="HZ26" s="164">
        <v>70.667699999999996</v>
      </c>
      <c r="IA26" s="77">
        <v>73.067499999999995</v>
      </c>
      <c r="IB26" s="77">
        <v>70.991299999999995</v>
      </c>
      <c r="IC26" s="89">
        <v>70.3</v>
      </c>
      <c r="ID26" s="89">
        <v>70.2</v>
      </c>
      <c r="IE26" s="90">
        <v>70.599999999999994</v>
      </c>
      <c r="IF26" s="164">
        <v>27.270665429999998</v>
      </c>
      <c r="IG26" s="77">
        <v>27.020361499999993</v>
      </c>
      <c r="IH26" s="77">
        <v>31.68341719</v>
      </c>
      <c r="II26" s="77">
        <f t="shared" si="2"/>
        <v>28.26763</v>
      </c>
      <c r="IJ26" s="77">
        <f t="shared" si="3"/>
        <v>28.227420000000002</v>
      </c>
      <c r="IK26" s="165">
        <f t="shared" si="4"/>
        <v>29.708479999999994</v>
      </c>
      <c r="IL26" s="360">
        <v>4787</v>
      </c>
      <c r="IM26" s="183">
        <v>4772</v>
      </c>
      <c r="IN26" s="183">
        <v>4901</v>
      </c>
      <c r="IO26" s="89">
        <v>4653</v>
      </c>
      <c r="IP26" s="89">
        <v>4705</v>
      </c>
      <c r="IQ26" s="90">
        <v>4762</v>
      </c>
      <c r="IR26" s="350">
        <v>38.590000000000003</v>
      </c>
      <c r="IS26" s="184">
        <v>36.979999999999997</v>
      </c>
      <c r="IT26" s="184">
        <v>44.63</v>
      </c>
      <c r="IU26" s="184">
        <v>40.21</v>
      </c>
      <c r="IV26" s="184">
        <v>43.75</v>
      </c>
      <c r="IW26" s="188">
        <v>42.08</v>
      </c>
      <c r="IX26" s="370">
        <v>2.124645892351275E-3</v>
      </c>
      <c r="IY26" s="336">
        <v>1.1329305135951663E-3</v>
      </c>
      <c r="IZ26" s="336">
        <v>3.2174364296834457E-3</v>
      </c>
      <c r="JA26" s="336">
        <v>1.2360939431396785E-3</v>
      </c>
      <c r="JB26" s="336">
        <v>2E-3</v>
      </c>
      <c r="JC26" s="335">
        <v>8.3769633507853401E-4</v>
      </c>
    </row>
    <row r="27" spans="1:263" ht="18.75" x14ac:dyDescent="0.25">
      <c r="A27" s="374"/>
      <c r="B27" s="41">
        <f>+B26+1</f>
        <v>44959</v>
      </c>
      <c r="C27" s="10"/>
      <c r="D27" s="11"/>
      <c r="E27" s="69">
        <f t="shared" si="168"/>
        <v>712</v>
      </c>
      <c r="F27" s="69">
        <f t="shared" si="168"/>
        <v>63</v>
      </c>
      <c r="G27" s="11">
        <v>2</v>
      </c>
      <c r="H27" s="12">
        <f t="shared" si="127"/>
        <v>2.8089887640449437E-3</v>
      </c>
      <c r="I27" s="11"/>
      <c r="J27" s="12">
        <f t="shared" si="169"/>
        <v>0</v>
      </c>
      <c r="K27" s="13"/>
      <c r="L27" s="13"/>
      <c r="M27" s="25">
        <v>3610</v>
      </c>
      <c r="N27" s="38">
        <v>4110</v>
      </c>
      <c r="O27" s="10"/>
      <c r="P27" s="11"/>
      <c r="Q27" s="69">
        <f t="shared" si="170"/>
        <v>708</v>
      </c>
      <c r="R27" s="69">
        <f t="shared" si="170"/>
        <v>62</v>
      </c>
      <c r="S27" s="11">
        <v>5</v>
      </c>
      <c r="T27" s="12">
        <f t="shared" si="128"/>
        <v>7.0621468926553672E-3</v>
      </c>
      <c r="U27" s="11"/>
      <c r="V27" s="12">
        <f t="shared" si="129"/>
        <v>0</v>
      </c>
      <c r="W27" s="13"/>
      <c r="X27" s="13"/>
      <c r="Y27" s="25">
        <v>3610</v>
      </c>
      <c r="Z27" s="38">
        <v>4110</v>
      </c>
      <c r="AA27" s="10"/>
      <c r="AB27" s="11"/>
      <c r="AC27" s="69">
        <f t="shared" si="171"/>
        <v>193</v>
      </c>
      <c r="AD27" s="69">
        <f t="shared" si="171"/>
        <v>16</v>
      </c>
      <c r="AE27" s="11"/>
      <c r="AF27" s="12">
        <f t="shared" si="130"/>
        <v>0</v>
      </c>
      <c r="AG27" s="11"/>
      <c r="AH27" s="12" t="e">
        <f t="shared" si="131"/>
        <v>#DIV/0!</v>
      </c>
      <c r="AI27" s="13"/>
      <c r="AJ27" s="13"/>
      <c r="AK27" s="25">
        <v>3610</v>
      </c>
      <c r="AL27" s="38">
        <v>4110</v>
      </c>
      <c r="AM27" s="10"/>
      <c r="AN27" s="11"/>
      <c r="AO27" s="69">
        <f t="shared" si="172"/>
        <v>711</v>
      </c>
      <c r="AP27" s="69">
        <f t="shared" si="172"/>
        <v>63</v>
      </c>
      <c r="AQ27" s="11">
        <v>2</v>
      </c>
      <c r="AR27" s="12">
        <f t="shared" si="132"/>
        <v>2.8129395218002813E-3</v>
      </c>
      <c r="AS27" s="11"/>
      <c r="AT27" s="12">
        <f t="shared" si="133"/>
        <v>0</v>
      </c>
      <c r="AU27" s="13"/>
      <c r="AV27" s="13"/>
      <c r="AW27" s="25">
        <v>3610</v>
      </c>
      <c r="AX27" s="38">
        <v>4110</v>
      </c>
      <c r="AY27" s="10"/>
      <c r="AZ27" s="11"/>
      <c r="BA27" s="69">
        <f t="shared" si="173"/>
        <v>711</v>
      </c>
      <c r="BB27" s="69">
        <f t="shared" si="173"/>
        <v>62</v>
      </c>
      <c r="BC27" s="11"/>
      <c r="BD27" s="12">
        <f t="shared" si="134"/>
        <v>0</v>
      </c>
      <c r="BE27" s="11"/>
      <c r="BF27" s="12" t="e">
        <f t="shared" si="135"/>
        <v>#DIV/0!</v>
      </c>
      <c r="BG27" s="13"/>
      <c r="BH27" s="13"/>
      <c r="BI27" s="25">
        <v>3610</v>
      </c>
      <c r="BJ27" s="38">
        <v>4110</v>
      </c>
      <c r="BK27" s="10">
        <v>1</v>
      </c>
      <c r="BL27" s="11"/>
      <c r="BM27" s="69">
        <f t="shared" si="174"/>
        <v>710</v>
      </c>
      <c r="BN27" s="69">
        <f t="shared" si="174"/>
        <v>63</v>
      </c>
      <c r="BO27" s="11">
        <v>8</v>
      </c>
      <c r="BP27" s="12">
        <f t="shared" si="136"/>
        <v>1.1267605633802818E-2</v>
      </c>
      <c r="BQ27" s="11"/>
      <c r="BR27" s="12">
        <f t="shared" si="137"/>
        <v>0</v>
      </c>
      <c r="BS27" s="13"/>
      <c r="BT27" s="13"/>
      <c r="BU27" s="25">
        <v>3610</v>
      </c>
      <c r="BV27" s="38">
        <v>4110</v>
      </c>
      <c r="BW27" s="10"/>
      <c r="BX27" s="11"/>
      <c r="BY27" s="69">
        <f t="shared" si="175"/>
        <v>0</v>
      </c>
      <c r="BZ27" s="69">
        <f t="shared" si="175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9">
        <f t="shared" si="176"/>
        <v>0</v>
      </c>
      <c r="CL27" s="69">
        <f t="shared" si="176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9">
        <f t="shared" si="177"/>
        <v>0</v>
      </c>
      <c r="CX27" s="69">
        <f t="shared" si="177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9">
        <f t="shared" si="178"/>
        <v>0</v>
      </c>
      <c r="DJ27" s="69">
        <f t="shared" si="178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9">
        <f t="shared" si="179"/>
        <v>0</v>
      </c>
      <c r="DV27" s="69">
        <f t="shared" si="179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9">
        <f t="shared" si="180"/>
        <v>0</v>
      </c>
      <c r="EH27" s="69">
        <f t="shared" si="180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9">
        <f t="shared" si="181"/>
        <v>0</v>
      </c>
      <c r="ET27" s="69">
        <f t="shared" si="181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9">
        <f t="shared" si="182"/>
        <v>0</v>
      </c>
      <c r="FF27" s="69">
        <f t="shared" si="182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9">
        <f t="shared" si="183"/>
        <v>0</v>
      </c>
      <c r="FR27" s="69">
        <f t="shared" si="183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9">
        <f t="shared" si="184"/>
        <v>0</v>
      </c>
      <c r="GD27" s="69">
        <f t="shared" si="184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9">
        <f t="shared" si="185"/>
        <v>0</v>
      </c>
      <c r="GP27" s="69">
        <f t="shared" si="185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9">
        <f t="shared" si="186"/>
        <v>0</v>
      </c>
      <c r="HB27" s="69">
        <f t="shared" si="186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1</v>
      </c>
      <c r="HL27" s="11">
        <f t="shared" si="162"/>
        <v>0</v>
      </c>
      <c r="HM27" s="11">
        <f t="shared" si="162"/>
        <v>3745</v>
      </c>
      <c r="HN27" s="11">
        <f t="shared" si="162"/>
        <v>329</v>
      </c>
      <c r="HO27" s="11">
        <f t="shared" si="163"/>
        <v>17</v>
      </c>
      <c r="HP27" s="95">
        <f t="shared" si="164"/>
        <v>4.5393858477970625E-3</v>
      </c>
      <c r="HQ27" s="15">
        <f t="shared" si="165"/>
        <v>0</v>
      </c>
      <c r="HR27" s="12">
        <f t="shared" si="187"/>
        <v>0</v>
      </c>
      <c r="HS27" s="16"/>
      <c r="HT27" s="17"/>
      <c r="HU27" s="16">
        <f t="shared" si="166"/>
        <v>0</v>
      </c>
      <c r="HV27" s="23">
        <v>3610</v>
      </c>
      <c r="HW27" s="22">
        <v>4110</v>
      </c>
      <c r="HY27" s="348">
        <v>48</v>
      </c>
      <c r="HZ27" s="164">
        <v>71.140199999999993</v>
      </c>
      <c r="IA27" s="77">
        <v>72.841800000000006</v>
      </c>
      <c r="IB27" s="77">
        <v>71.814700000000002</v>
      </c>
      <c r="IC27" s="89">
        <v>70.8</v>
      </c>
      <c r="ID27" s="89">
        <v>70.8</v>
      </c>
      <c r="IE27" s="90"/>
      <c r="IF27" s="164">
        <v>26.400128219999996</v>
      </c>
      <c r="IG27" s="77">
        <v>25.931680800000002</v>
      </c>
      <c r="IH27" s="77">
        <v>32.402792640000001</v>
      </c>
      <c r="II27" s="77">
        <f t="shared" si="2"/>
        <v>29.112959999999998</v>
      </c>
      <c r="IJ27" s="77">
        <f t="shared" si="3"/>
        <v>29.112959999999998</v>
      </c>
      <c r="IK27" s="165">
        <f t="shared" si="4"/>
        <v>0</v>
      </c>
      <c r="IL27" s="360">
        <v>4922</v>
      </c>
      <c r="IM27" s="183">
        <v>4942</v>
      </c>
      <c r="IN27" s="183">
        <v>4967</v>
      </c>
      <c r="IO27" s="89">
        <v>4776</v>
      </c>
      <c r="IP27" s="89">
        <v>4953</v>
      </c>
      <c r="IQ27" s="90"/>
      <c r="IR27" s="350">
        <v>37.11</v>
      </c>
      <c r="IS27" s="184">
        <v>35.6</v>
      </c>
      <c r="IT27" s="184">
        <v>45.12</v>
      </c>
      <c r="IU27" s="184">
        <v>41.12</v>
      </c>
      <c r="IV27" s="184">
        <v>41.38</v>
      </c>
      <c r="IW27" s="188"/>
      <c r="IX27" s="370">
        <v>1.6027616816668721E-3</v>
      </c>
      <c r="IY27" s="336">
        <v>1.5745965096444037E-3</v>
      </c>
      <c r="IZ27" s="336">
        <v>3.9288668320926383E-3</v>
      </c>
      <c r="JA27" s="336">
        <v>1.9294860550780565E-3</v>
      </c>
      <c r="JB27" s="336">
        <v>2E-3</v>
      </c>
      <c r="JC27" s="335"/>
    </row>
    <row r="28" spans="1:263" ht="18.75" x14ac:dyDescent="0.25">
      <c r="A28" s="374"/>
      <c r="B28" s="41">
        <f t="shared" si="167"/>
        <v>44960</v>
      </c>
      <c r="C28" s="10"/>
      <c r="D28" s="11"/>
      <c r="E28" s="69">
        <f t="shared" si="168"/>
        <v>712</v>
      </c>
      <c r="F28" s="69">
        <f t="shared" si="168"/>
        <v>63</v>
      </c>
      <c r="G28" s="11">
        <v>3</v>
      </c>
      <c r="H28" s="12">
        <f t="shared" si="127"/>
        <v>4.2134831460674156E-3</v>
      </c>
      <c r="I28" s="11"/>
      <c r="J28" s="12">
        <f t="shared" si="169"/>
        <v>0</v>
      </c>
      <c r="K28" s="13"/>
      <c r="L28" s="11"/>
      <c r="M28" s="25">
        <v>3771.6216216216217</v>
      </c>
      <c r="N28" s="38">
        <v>4283.8461538461543</v>
      </c>
      <c r="O28" s="10"/>
      <c r="P28" s="11"/>
      <c r="Q28" s="69">
        <f t="shared" si="170"/>
        <v>708</v>
      </c>
      <c r="R28" s="69">
        <f t="shared" si="170"/>
        <v>62</v>
      </c>
      <c r="S28" s="11">
        <v>9</v>
      </c>
      <c r="T28" s="12">
        <f t="shared" si="128"/>
        <v>1.2711864406779662E-2</v>
      </c>
      <c r="U28" s="11"/>
      <c r="V28" s="12">
        <f t="shared" si="129"/>
        <v>0</v>
      </c>
      <c r="W28" s="13"/>
      <c r="X28" s="11"/>
      <c r="Y28" s="25">
        <v>3976.3157894736842</v>
      </c>
      <c r="Z28" s="38">
        <v>4333.333333333333</v>
      </c>
      <c r="AA28" s="10">
        <v>1</v>
      </c>
      <c r="AB28" s="11">
        <v>1</v>
      </c>
      <c r="AC28" s="69">
        <f t="shared" si="171"/>
        <v>192</v>
      </c>
      <c r="AD28" s="69">
        <f t="shared" si="171"/>
        <v>15</v>
      </c>
      <c r="AE28" s="11">
        <v>1</v>
      </c>
      <c r="AF28" s="12">
        <f t="shared" si="130"/>
        <v>5.208333333333333E-3</v>
      </c>
      <c r="AG28" s="11"/>
      <c r="AH28" s="12">
        <f t="shared" si="131"/>
        <v>0</v>
      </c>
      <c r="AI28" s="13"/>
      <c r="AJ28" s="11"/>
      <c r="AK28" s="25">
        <v>3650.8333333333335</v>
      </c>
      <c r="AL28" s="38">
        <v>4362</v>
      </c>
      <c r="AM28" s="10"/>
      <c r="AN28" s="11"/>
      <c r="AO28" s="69">
        <f t="shared" si="172"/>
        <v>711</v>
      </c>
      <c r="AP28" s="69">
        <f t="shared" si="172"/>
        <v>63</v>
      </c>
      <c r="AQ28" s="11">
        <v>3</v>
      </c>
      <c r="AR28" s="12">
        <f t="shared" si="132"/>
        <v>4.2194092827004216E-3</v>
      </c>
      <c r="AS28" s="11"/>
      <c r="AT28" s="12">
        <f t="shared" si="133"/>
        <v>0</v>
      </c>
      <c r="AU28" s="13"/>
      <c r="AV28" s="11"/>
      <c r="AW28" s="25">
        <v>3817.9487179487178</v>
      </c>
      <c r="AX28" s="38">
        <v>4575</v>
      </c>
      <c r="AY28" s="10"/>
      <c r="AZ28" s="11"/>
      <c r="BA28" s="69">
        <f t="shared" si="173"/>
        <v>711</v>
      </c>
      <c r="BB28" s="69">
        <f t="shared" si="173"/>
        <v>62</v>
      </c>
      <c r="BC28" s="11">
        <v>10</v>
      </c>
      <c r="BD28" s="12">
        <f t="shared" si="134"/>
        <v>1.4064697609001406E-2</v>
      </c>
      <c r="BE28" s="11"/>
      <c r="BF28" s="12">
        <f t="shared" si="135"/>
        <v>0</v>
      </c>
      <c r="BG28" s="13"/>
      <c r="BH28" s="11"/>
      <c r="BI28" s="25">
        <v>3821.0256410256411</v>
      </c>
      <c r="BJ28" s="38">
        <v>4283.333333333333</v>
      </c>
      <c r="BK28" s="10"/>
      <c r="BL28" s="11"/>
      <c r="BM28" s="69">
        <f t="shared" si="174"/>
        <v>710</v>
      </c>
      <c r="BN28" s="69">
        <f t="shared" si="174"/>
        <v>63</v>
      </c>
      <c r="BO28" s="11">
        <v>8</v>
      </c>
      <c r="BP28" s="12">
        <f t="shared" si="136"/>
        <v>1.1267605633802818E-2</v>
      </c>
      <c r="BQ28" s="11"/>
      <c r="BR28" s="12">
        <f t="shared" si="137"/>
        <v>0</v>
      </c>
      <c r="BS28" s="13"/>
      <c r="BT28" s="11"/>
      <c r="BU28" s="25">
        <v>3923.3333333333335</v>
      </c>
      <c r="BV28" s="38">
        <v>4469.2857142857147</v>
      </c>
      <c r="BW28" s="10"/>
      <c r="BX28" s="11"/>
      <c r="BY28" s="69">
        <f t="shared" si="175"/>
        <v>0</v>
      </c>
      <c r="BZ28" s="69">
        <f t="shared" si="175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9">
        <f t="shared" si="176"/>
        <v>0</v>
      </c>
      <c r="CL28" s="69">
        <f t="shared" si="176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9">
        <f t="shared" si="177"/>
        <v>0</v>
      </c>
      <c r="CX28" s="69">
        <f t="shared" si="177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9">
        <f t="shared" si="178"/>
        <v>0</v>
      </c>
      <c r="DJ28" s="69">
        <f t="shared" si="178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9">
        <f t="shared" si="179"/>
        <v>0</v>
      </c>
      <c r="DV28" s="69">
        <f t="shared" si="179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9">
        <f t="shared" si="180"/>
        <v>0</v>
      </c>
      <c r="EH28" s="69">
        <f t="shared" si="180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9">
        <f t="shared" si="181"/>
        <v>0</v>
      </c>
      <c r="ET28" s="69">
        <f t="shared" si="181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9">
        <f t="shared" si="182"/>
        <v>0</v>
      </c>
      <c r="FF28" s="69">
        <f t="shared" si="182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9">
        <f t="shared" si="183"/>
        <v>0</v>
      </c>
      <c r="FR28" s="69">
        <f t="shared" si="183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9">
        <f t="shared" si="184"/>
        <v>0</v>
      </c>
      <c r="GD28" s="69">
        <f t="shared" si="184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9">
        <f t="shared" si="185"/>
        <v>0</v>
      </c>
      <c r="GP28" s="69">
        <f t="shared" si="185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9">
        <f t="shared" si="186"/>
        <v>0</v>
      </c>
      <c r="HB28" s="69">
        <f t="shared" si="186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1">
        <f t="shared" si="162"/>
        <v>1</v>
      </c>
      <c r="HM28" s="11">
        <f t="shared" si="162"/>
        <v>3744</v>
      </c>
      <c r="HN28" s="11">
        <f t="shared" si="162"/>
        <v>328</v>
      </c>
      <c r="HO28" s="11">
        <f t="shared" si="163"/>
        <v>34</v>
      </c>
      <c r="HP28" s="95">
        <f t="shared" si="164"/>
        <v>9.0811965811965819E-3</v>
      </c>
      <c r="HQ28" s="15">
        <f t="shared" si="165"/>
        <v>0</v>
      </c>
      <c r="HR28" s="12">
        <f t="shared" si="187"/>
        <v>0</v>
      </c>
      <c r="HS28" s="16"/>
      <c r="HT28" s="17"/>
      <c r="HU28" s="16">
        <f t="shared" si="166"/>
        <v>0</v>
      </c>
      <c r="HV28" s="23">
        <v>3849.9509803921569</v>
      </c>
      <c r="HW28" s="22">
        <v>4387.7941176470586</v>
      </c>
      <c r="HY28" s="348">
        <v>49</v>
      </c>
      <c r="HZ28" s="164">
        <v>70.930499999999995</v>
      </c>
      <c r="IA28" s="77">
        <v>73.069199999999995</v>
      </c>
      <c r="IB28" s="77">
        <v>72.548299999999998</v>
      </c>
      <c r="IC28" s="89">
        <v>71.2</v>
      </c>
      <c r="ID28" s="89">
        <v>70.599999999999994</v>
      </c>
      <c r="IE28" s="90"/>
      <c r="IF28" s="164">
        <v>24.726372299999998</v>
      </c>
      <c r="IG28" s="77">
        <v>26.7433272</v>
      </c>
      <c r="IH28" s="77">
        <v>32.269483839999999</v>
      </c>
      <c r="II28" s="77">
        <f t="shared" si="2"/>
        <v>27.92464</v>
      </c>
      <c r="IJ28" s="77">
        <f t="shared" si="3"/>
        <v>27.689319999999999</v>
      </c>
      <c r="IK28" s="165">
        <f t="shared" si="4"/>
        <v>0</v>
      </c>
      <c r="IL28" s="360">
        <v>4922</v>
      </c>
      <c r="IM28" s="183">
        <v>4942</v>
      </c>
      <c r="IN28" s="183">
        <v>4967</v>
      </c>
      <c r="IO28" s="89">
        <v>4776</v>
      </c>
      <c r="IP28" s="89">
        <v>4953</v>
      </c>
      <c r="IQ28" s="90"/>
      <c r="IR28" s="350">
        <v>34.86</v>
      </c>
      <c r="IS28" s="184">
        <v>36.6</v>
      </c>
      <c r="IT28" s="184">
        <v>44.48</v>
      </c>
      <c r="IU28" s="184">
        <v>39.22</v>
      </c>
      <c r="IV28" s="184">
        <v>41.76</v>
      </c>
      <c r="IW28" s="188"/>
      <c r="IX28" s="370">
        <v>1.0565240359218173E-3</v>
      </c>
      <c r="IY28" s="336">
        <v>1.4117043121149898E-3</v>
      </c>
      <c r="IZ28" s="336">
        <v>4.0025279123657043E-3</v>
      </c>
      <c r="JA28" s="336">
        <v>1E-3</v>
      </c>
      <c r="JB28" s="336">
        <v>2E-3</v>
      </c>
      <c r="JC28" s="335"/>
    </row>
    <row r="29" spans="1:263" ht="18.75" x14ac:dyDescent="0.25">
      <c r="A29" s="374"/>
      <c r="B29" s="41">
        <f t="shared" si="167"/>
        <v>44961</v>
      </c>
      <c r="C29" s="10"/>
      <c r="D29" s="11"/>
      <c r="E29" s="69">
        <f>E28-C29</f>
        <v>712</v>
      </c>
      <c r="F29" s="69">
        <f>F28-D29</f>
        <v>63</v>
      </c>
      <c r="G29" s="11">
        <v>5</v>
      </c>
      <c r="H29" s="12">
        <f t="shared" si="127"/>
        <v>7.0224719101123594E-3</v>
      </c>
      <c r="I29" s="11"/>
      <c r="J29" s="12">
        <f t="shared" si="169"/>
        <v>0</v>
      </c>
      <c r="K29" s="13"/>
      <c r="L29" s="11"/>
      <c r="M29" s="39">
        <v>89.189189189189193</v>
      </c>
      <c r="N29" s="43">
        <v>100</v>
      </c>
      <c r="O29" s="10"/>
      <c r="P29" s="11"/>
      <c r="Q29" s="69">
        <f t="shared" si="170"/>
        <v>708</v>
      </c>
      <c r="R29" s="69">
        <f t="shared" si="170"/>
        <v>62</v>
      </c>
      <c r="S29" s="11">
        <v>8</v>
      </c>
      <c r="T29" s="12">
        <f t="shared" si="128"/>
        <v>1.1299435028248588E-2</v>
      </c>
      <c r="U29" s="11"/>
      <c r="V29" s="12">
        <f t="shared" si="129"/>
        <v>0</v>
      </c>
      <c r="W29" s="13"/>
      <c r="X29" s="11"/>
      <c r="Y29" s="39">
        <v>97.368421052631575</v>
      </c>
      <c r="Z29" s="43">
        <v>100</v>
      </c>
      <c r="AA29" s="10"/>
      <c r="AB29" s="11"/>
      <c r="AC29" s="69">
        <f t="shared" si="171"/>
        <v>192</v>
      </c>
      <c r="AD29" s="69">
        <f t="shared" si="171"/>
        <v>15</v>
      </c>
      <c r="AE29" s="11">
        <v>2</v>
      </c>
      <c r="AF29" s="12">
        <f t="shared" si="130"/>
        <v>1.0416666666666666E-2</v>
      </c>
      <c r="AG29" s="11"/>
      <c r="AH29" s="12">
        <f t="shared" si="131"/>
        <v>0</v>
      </c>
      <c r="AI29" s="13"/>
      <c r="AJ29" s="11"/>
      <c r="AK29" s="39">
        <v>100</v>
      </c>
      <c r="AL29" s="43">
        <v>100</v>
      </c>
      <c r="AM29" s="10"/>
      <c r="AN29" s="11"/>
      <c r="AO29" s="69">
        <f t="shared" si="172"/>
        <v>711</v>
      </c>
      <c r="AP29" s="69">
        <f t="shared" si="172"/>
        <v>63</v>
      </c>
      <c r="AQ29" s="11">
        <v>6</v>
      </c>
      <c r="AR29" s="12">
        <f t="shared" si="132"/>
        <v>8.4388185654008432E-3</v>
      </c>
      <c r="AS29" s="11"/>
      <c r="AT29" s="12">
        <f t="shared" si="133"/>
        <v>0</v>
      </c>
      <c r="AU29" s="13"/>
      <c r="AV29" s="11"/>
      <c r="AW29" s="39">
        <v>97.435897435897431</v>
      </c>
      <c r="AX29" s="43">
        <v>100</v>
      </c>
      <c r="AY29" s="10"/>
      <c r="AZ29" s="11"/>
      <c r="BA29" s="69">
        <f t="shared" si="173"/>
        <v>711</v>
      </c>
      <c r="BB29" s="69">
        <f t="shared" si="173"/>
        <v>62</v>
      </c>
      <c r="BC29" s="11">
        <v>8</v>
      </c>
      <c r="BD29" s="12">
        <f t="shared" si="134"/>
        <v>1.1251758087201125E-2</v>
      </c>
      <c r="BE29" s="11"/>
      <c r="BF29" s="12">
        <f t="shared" si="135"/>
        <v>0</v>
      </c>
      <c r="BG29" s="13"/>
      <c r="BH29" s="11"/>
      <c r="BI29" s="39">
        <v>100</v>
      </c>
      <c r="BJ29" s="43">
        <v>100</v>
      </c>
      <c r="BK29" s="10">
        <v>1</v>
      </c>
      <c r="BL29" s="11"/>
      <c r="BM29" s="69">
        <f t="shared" si="174"/>
        <v>709</v>
      </c>
      <c r="BN29" s="69">
        <f t="shared" si="174"/>
        <v>63</v>
      </c>
      <c r="BO29" s="11">
        <v>10</v>
      </c>
      <c r="BP29" s="12">
        <f t="shared" si="136"/>
        <v>1.4104372355430184E-2</v>
      </c>
      <c r="BQ29" s="11"/>
      <c r="BR29" s="12">
        <f t="shared" si="137"/>
        <v>0</v>
      </c>
      <c r="BS29" s="13"/>
      <c r="BT29" s="11"/>
      <c r="BU29" s="39">
        <v>84.615384615384613</v>
      </c>
      <c r="BV29" s="43">
        <v>100</v>
      </c>
      <c r="BW29" s="10"/>
      <c r="BX29" s="11"/>
      <c r="BY29" s="69">
        <f t="shared" si="175"/>
        <v>0</v>
      </c>
      <c r="BZ29" s="69">
        <f t="shared" si="175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9">
        <f t="shared" si="176"/>
        <v>0</v>
      </c>
      <c r="CL29" s="69">
        <f t="shared" si="176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9">
        <f t="shared" si="177"/>
        <v>0</v>
      </c>
      <c r="CX29" s="69">
        <f t="shared" si="177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9">
        <f t="shared" si="178"/>
        <v>0</v>
      </c>
      <c r="DJ29" s="69">
        <f t="shared" si="178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9">
        <f t="shared" si="179"/>
        <v>0</v>
      </c>
      <c r="DV29" s="69">
        <f t="shared" si="179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9">
        <f t="shared" si="180"/>
        <v>0</v>
      </c>
      <c r="EH29" s="69">
        <f t="shared" si="180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9">
        <f t="shared" si="181"/>
        <v>0</v>
      </c>
      <c r="ET29" s="69">
        <f t="shared" si="181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9">
        <f t="shared" si="182"/>
        <v>0</v>
      </c>
      <c r="FF29" s="69">
        <f t="shared" si="182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9">
        <f t="shared" si="183"/>
        <v>0</v>
      </c>
      <c r="FR29" s="69">
        <f t="shared" si="183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9">
        <f t="shared" si="184"/>
        <v>0</v>
      </c>
      <c r="GD29" s="69">
        <f t="shared" si="184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9">
        <f t="shared" si="185"/>
        <v>0</v>
      </c>
      <c r="GP29" s="69">
        <f t="shared" si="185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9">
        <f t="shared" si="186"/>
        <v>0</v>
      </c>
      <c r="HB29" s="69">
        <f t="shared" si="186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1">
        <f t="shared" si="162"/>
        <v>0</v>
      </c>
      <c r="HM29" s="11">
        <f t="shared" si="162"/>
        <v>3743</v>
      </c>
      <c r="HN29" s="11">
        <f t="shared" si="162"/>
        <v>328</v>
      </c>
      <c r="HO29" s="11">
        <f t="shared" si="163"/>
        <v>39</v>
      </c>
      <c r="HP29" s="95">
        <f t="shared" si="164"/>
        <v>1.0419449639326743E-2</v>
      </c>
      <c r="HQ29" s="15">
        <f t="shared" si="165"/>
        <v>0</v>
      </c>
      <c r="HR29" s="12">
        <f t="shared" si="187"/>
        <v>0</v>
      </c>
      <c r="HS29" s="16"/>
      <c r="HT29" s="17"/>
      <c r="HU29" s="16">
        <f t="shared" si="166"/>
        <v>0</v>
      </c>
      <c r="HV29" s="23">
        <v>89.215686274509807</v>
      </c>
      <c r="HW29" s="22">
        <v>97.058823529411768</v>
      </c>
      <c r="HY29" s="348">
        <v>50</v>
      </c>
      <c r="HZ29" s="164">
        <v>71.644599999999997</v>
      </c>
      <c r="IA29" s="77">
        <v>73.292900000000003</v>
      </c>
      <c r="IB29" s="77">
        <v>73.241600000000005</v>
      </c>
      <c r="IC29" s="89">
        <v>70.8</v>
      </c>
      <c r="ID29" s="89">
        <v>70.8</v>
      </c>
      <c r="IE29" s="90"/>
      <c r="IF29" s="164">
        <v>23.936460859999997</v>
      </c>
      <c r="IG29" s="77">
        <v>26.935140750000002</v>
      </c>
      <c r="IH29" s="77">
        <v>31.098383360000003</v>
      </c>
      <c r="II29" s="77">
        <f t="shared" si="2"/>
        <v>27.073919999999998</v>
      </c>
      <c r="IJ29" s="77">
        <f t="shared" si="3"/>
        <v>27.073919999999998</v>
      </c>
      <c r="IK29" s="165">
        <f t="shared" si="4"/>
        <v>0</v>
      </c>
      <c r="IL29" s="360">
        <v>4955</v>
      </c>
      <c r="IM29" s="183">
        <v>5105</v>
      </c>
      <c r="IN29" s="183">
        <v>5036</v>
      </c>
      <c r="IO29" s="89">
        <v>4721</v>
      </c>
      <c r="IP29" s="89">
        <v>4981</v>
      </c>
      <c r="IQ29" s="90"/>
      <c r="IR29" s="350">
        <v>33.409999999999997</v>
      </c>
      <c r="IS29" s="184">
        <v>36.75</v>
      </c>
      <c r="IT29" s="184">
        <v>42.46</v>
      </c>
      <c r="IU29" s="184">
        <v>38.24</v>
      </c>
      <c r="IV29" s="184">
        <v>41.83</v>
      </c>
      <c r="IW29" s="188"/>
      <c r="IX29" s="370">
        <v>1.3831258644536654E-3</v>
      </c>
      <c r="IY29" s="336">
        <v>1.6683778234086242E-3</v>
      </c>
      <c r="IZ29" s="336">
        <v>1.6605778811026237E-3</v>
      </c>
      <c r="JA29" s="336">
        <v>1E-3</v>
      </c>
      <c r="JB29" s="336">
        <v>1.4260640631856077E-3</v>
      </c>
      <c r="JC29" s="335"/>
    </row>
    <row r="30" spans="1:263" ht="19.5" thickBot="1" x14ac:dyDescent="0.3">
      <c r="A30" s="374"/>
      <c r="B30" s="42"/>
      <c r="C30" s="26">
        <f>SUM(C23:C29)</f>
        <v>0</v>
      </c>
      <c r="D30" s="27">
        <f>SUM(D23:D29)</f>
        <v>0</v>
      </c>
      <c r="E30" s="27"/>
      <c r="F30" s="27"/>
      <c r="G30" s="27">
        <f>SUM(G23:G29)</f>
        <v>11</v>
      </c>
      <c r="H30" s="28">
        <f>((G30+I30)/7)/E29</f>
        <v>2.2070626003210273E-3</v>
      </c>
      <c r="I30" s="27">
        <f>SUM(I23:I29)</f>
        <v>0</v>
      </c>
      <c r="J30" s="28">
        <f>(I30/(I30+G30))</f>
        <v>0</v>
      </c>
      <c r="K30" s="27"/>
      <c r="L30" s="27"/>
      <c r="M30" s="29">
        <f>M28/M27*100-100</f>
        <v>4.4770532305158355</v>
      </c>
      <c r="N30" s="67">
        <f>N28/N27*100-100</f>
        <v>4.2298334269137143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25</v>
      </c>
      <c r="T30" s="28">
        <f>((S30+U30)/7)/Q29</f>
        <v>5.0443906376109772E-3</v>
      </c>
      <c r="U30" s="27">
        <f>SUM(U23:U29)</f>
        <v>0</v>
      </c>
      <c r="V30" s="28">
        <f>(U30/(U30+S30))</f>
        <v>0</v>
      </c>
      <c r="W30" s="27"/>
      <c r="X30" s="27"/>
      <c r="Y30" s="29">
        <f>Y28/Y27*100-100</f>
        <v>10.147251785974618</v>
      </c>
      <c r="Z30" s="67">
        <f>Z28/Z27*100-100</f>
        <v>5.4339010543390032</v>
      </c>
      <c r="AA30" s="26">
        <f>SUM(AA23:AA29)</f>
        <v>1</v>
      </c>
      <c r="AB30" s="27">
        <f>SUM(AB23:AB29)</f>
        <v>1</v>
      </c>
      <c r="AC30" s="27"/>
      <c r="AD30" s="27"/>
      <c r="AE30" s="27">
        <f>SUM(AE23:AE29)</f>
        <v>3</v>
      </c>
      <c r="AF30" s="28">
        <f>((AE30+AG30)/7)/AC29</f>
        <v>2.232142857142857E-3</v>
      </c>
      <c r="AG30" s="27">
        <f>SUM(AG23:AG29)</f>
        <v>0</v>
      </c>
      <c r="AH30" s="28">
        <f>(AG30/(AG30+AE30))</f>
        <v>0</v>
      </c>
      <c r="AI30" s="27"/>
      <c r="AJ30" s="27"/>
      <c r="AK30" s="29">
        <f>AK28/AK27*100-100</f>
        <v>1.1311172668513336</v>
      </c>
      <c r="AL30" s="67">
        <f>AL28/AL27*100-100</f>
        <v>6.1313868613138709</v>
      </c>
      <c r="AM30" s="26">
        <f>SUM(AM23:AM29)</f>
        <v>0</v>
      </c>
      <c r="AN30" s="27">
        <f>SUM(AN23:AN29)</f>
        <v>0</v>
      </c>
      <c r="AO30" s="27"/>
      <c r="AP30" s="27"/>
      <c r="AQ30" s="27">
        <f>SUM(AQ23:AQ29)</f>
        <v>12</v>
      </c>
      <c r="AR30" s="28">
        <f>((AQ30+AS30)/7)/AO29</f>
        <v>2.4110910186859553E-3</v>
      </c>
      <c r="AS30" s="27">
        <f>SUM(AS23:AS29)</f>
        <v>0</v>
      </c>
      <c r="AT30" s="28">
        <f>(AS30/(AS30+AQ30))</f>
        <v>0</v>
      </c>
      <c r="AU30" s="27"/>
      <c r="AV30" s="27"/>
      <c r="AW30" s="29">
        <f>AW28/AW27*100-100</f>
        <v>5.7603522977484118</v>
      </c>
      <c r="AX30" s="67">
        <f>AX28/AX27*100-100</f>
        <v>11.313868613138681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22</v>
      </c>
      <c r="BD30" s="28">
        <f>((BC30+BE30)/7)/BA29</f>
        <v>4.4203335342575846E-3</v>
      </c>
      <c r="BE30" s="27">
        <f>SUM(BE23:BE29)</f>
        <v>0</v>
      </c>
      <c r="BF30" s="28">
        <f>(BE30/(BE30+BC30))</f>
        <v>0</v>
      </c>
      <c r="BG30" s="27"/>
      <c r="BH30" s="27"/>
      <c r="BI30" s="29">
        <f>BI28/BI27*100-100</f>
        <v>5.845585623978991</v>
      </c>
      <c r="BJ30" s="67">
        <f>BJ28/BJ27*100-100</f>
        <v>4.2173560421735488</v>
      </c>
      <c r="BK30" s="26">
        <f>SUM(BK23:BK29)</f>
        <v>2</v>
      </c>
      <c r="BL30" s="27">
        <f>SUM(BL23:BL29)</f>
        <v>0</v>
      </c>
      <c r="BM30" s="27"/>
      <c r="BN30" s="27"/>
      <c r="BO30" s="27">
        <f>SUM(BO23:BO29)</f>
        <v>30</v>
      </c>
      <c r="BP30" s="28">
        <f>((BO30+BQ30)/7)/BM29</f>
        <v>6.0447310094700786E-3</v>
      </c>
      <c r="BQ30" s="27">
        <f>SUM(BQ23:BQ29)</f>
        <v>0</v>
      </c>
      <c r="BR30" s="28">
        <f>(BQ30/(BQ30+BO30))</f>
        <v>0</v>
      </c>
      <c r="BS30" s="27"/>
      <c r="BT30" s="27"/>
      <c r="BU30" s="29">
        <f>BU28/BU27*100-100</f>
        <v>8.6795937211449683</v>
      </c>
      <c r="BV30" s="67">
        <f>BV28/BV27*100-100</f>
        <v>8.7417448731317506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7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7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7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7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7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7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7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7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7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7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7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7" t="e">
        <f>HJ28/HJ27*100-100</f>
        <v>#DIV/0!</v>
      </c>
      <c r="HK30" s="26">
        <f t="shared" si="162"/>
        <v>3</v>
      </c>
      <c r="HL30" s="27">
        <f t="shared" si="162"/>
        <v>1</v>
      </c>
      <c r="HM30" s="27">
        <f t="shared" si="162"/>
        <v>0</v>
      </c>
      <c r="HN30" s="27">
        <f t="shared" si="162"/>
        <v>0</v>
      </c>
      <c r="HO30" s="27">
        <f t="shared" si="163"/>
        <v>103</v>
      </c>
      <c r="HP30" s="96">
        <f>+((HO30)/HM29)/7</f>
        <v>3.9311476661196137E-3</v>
      </c>
      <c r="HQ30" s="62">
        <f t="shared" si="165"/>
        <v>0</v>
      </c>
      <c r="HR30" s="52">
        <f t="shared" si="187"/>
        <v>0</v>
      </c>
      <c r="HS30" s="53">
        <f>SUM(HS23:HS29)/7</f>
        <v>0</v>
      </c>
      <c r="HT30" s="54">
        <f>SUM(HT23:HT29)</f>
        <v>0</v>
      </c>
      <c r="HU30" s="53" t="e">
        <f>AVERAGE(HU23:HU29)</f>
        <v>#DIV/0!</v>
      </c>
      <c r="HV30" s="63">
        <f>HV28/HV27*100-100</f>
        <v>6.6468415621096142</v>
      </c>
      <c r="HW30" s="67">
        <f>HW28/HW27*100-100</f>
        <v>6.7589809646486145</v>
      </c>
      <c r="HY30" s="348">
        <v>51</v>
      </c>
      <c r="HZ30" s="164">
        <v>72.216999999999999</v>
      </c>
      <c r="IA30" s="77">
        <v>73.7273</v>
      </c>
      <c r="IB30" s="77">
        <v>73.8352</v>
      </c>
      <c r="IC30" s="89">
        <v>71.5</v>
      </c>
      <c r="ID30" s="89">
        <v>71.7</v>
      </c>
      <c r="IE30" s="90"/>
      <c r="IF30" s="164">
        <v>24.228803499999998</v>
      </c>
      <c r="IG30" s="77">
        <v>26.689282600000002</v>
      </c>
      <c r="IH30" s="77">
        <v>30.744977280000004</v>
      </c>
      <c r="II30" s="77">
        <f t="shared" si="2"/>
        <v>26.126100000000001</v>
      </c>
      <c r="IJ30" s="77">
        <f t="shared" si="3"/>
        <v>26.199180000000002</v>
      </c>
      <c r="IK30" s="165">
        <f t="shared" si="4"/>
        <v>0</v>
      </c>
      <c r="IL30" s="360">
        <v>4955</v>
      </c>
      <c r="IM30" s="183">
        <v>5105</v>
      </c>
      <c r="IN30" s="183">
        <v>5036</v>
      </c>
      <c r="IO30" s="89">
        <v>4721</v>
      </c>
      <c r="IP30" s="89">
        <v>4981</v>
      </c>
      <c r="IQ30" s="90"/>
      <c r="IR30" s="350">
        <v>33.549999999999997</v>
      </c>
      <c r="IS30" s="184">
        <v>36.200000000000003</v>
      </c>
      <c r="IT30" s="184">
        <v>41.64</v>
      </c>
      <c r="IU30" s="184">
        <v>36.54</v>
      </c>
      <c r="IV30" s="184">
        <v>40.29</v>
      </c>
      <c r="IW30" s="188"/>
      <c r="IX30" s="370">
        <v>2E-3</v>
      </c>
      <c r="IY30" s="336">
        <v>2.2303857255313564E-3</v>
      </c>
      <c r="IZ30" s="336">
        <v>3.5219268348102703E-3</v>
      </c>
      <c r="JA30" s="336">
        <v>4.6141423462913833E-4</v>
      </c>
      <c r="JB30" s="336">
        <v>1.146131805157593E-3</v>
      </c>
      <c r="JC30" s="335"/>
    </row>
    <row r="31" spans="1:263" ht="19.5" thickBot="1" x14ac:dyDescent="0.3">
      <c r="A31" s="56"/>
      <c r="B31" s="83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8.0085424452749595E-4</v>
      </c>
      <c r="HL31" s="66">
        <f>HL30/HN20</f>
        <v>3.0395136778115501E-3</v>
      </c>
      <c r="HM31" s="45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48">
        <v>52</v>
      </c>
      <c r="HZ31" s="164">
        <v>72.304299999999998</v>
      </c>
      <c r="IA31" s="77">
        <v>74.312399999999997</v>
      </c>
      <c r="IB31" s="77">
        <v>73.396699999999996</v>
      </c>
      <c r="IC31" s="89">
        <v>71.099999999999994</v>
      </c>
      <c r="ID31" s="89">
        <v>71.599999999999994</v>
      </c>
      <c r="IE31" s="90"/>
      <c r="IF31" s="164">
        <v>21.82866817</v>
      </c>
      <c r="IG31" s="77">
        <v>26.083652400000002</v>
      </c>
      <c r="IH31" s="77">
        <v>29.307302310000001</v>
      </c>
      <c r="II31" s="77">
        <f t="shared" si="2"/>
        <v>25.596</v>
      </c>
      <c r="IJ31" s="77">
        <f t="shared" si="3"/>
        <v>25.776</v>
      </c>
      <c r="IK31" s="165">
        <f t="shared" si="4"/>
        <v>0</v>
      </c>
      <c r="IL31" s="360">
        <v>5106</v>
      </c>
      <c r="IM31" s="183">
        <v>5050</v>
      </c>
      <c r="IN31" s="183">
        <v>4919</v>
      </c>
      <c r="IO31" s="89">
        <v>4722</v>
      </c>
      <c r="IP31" s="89">
        <v>4966</v>
      </c>
      <c r="IQ31" s="90"/>
      <c r="IR31" s="350">
        <v>30.19</v>
      </c>
      <c r="IS31" s="184">
        <v>35.1</v>
      </c>
      <c r="IT31" s="184">
        <v>39.93</v>
      </c>
      <c r="IU31" s="184">
        <v>36</v>
      </c>
      <c r="IV31" s="184">
        <v>39.409999999999997</v>
      </c>
      <c r="IW31" s="188"/>
      <c r="IX31" s="370">
        <v>2E-3</v>
      </c>
      <c r="IY31" s="336">
        <v>8.1643761055925977E-4</v>
      </c>
      <c r="IZ31" s="336">
        <v>1.9011406844106464E-3</v>
      </c>
      <c r="JA31" s="336">
        <v>4.6998002584890141E-4</v>
      </c>
      <c r="JB31" s="336">
        <v>1.176470588235294E-3</v>
      </c>
      <c r="JC31" s="335"/>
    </row>
    <row r="32" spans="1:263" ht="18.75" x14ac:dyDescent="0.25">
      <c r="A32" s="373">
        <v>28</v>
      </c>
      <c r="B32" s="68">
        <f>B29+1</f>
        <v>44962</v>
      </c>
      <c r="C32" s="33"/>
      <c r="D32" s="34"/>
      <c r="E32" s="34">
        <f>E29-C32</f>
        <v>712</v>
      </c>
      <c r="F32" s="34">
        <f>F29-D32</f>
        <v>63</v>
      </c>
      <c r="G32" s="34">
        <v>7</v>
      </c>
      <c r="H32" s="35">
        <f t="shared" ref="H32:H38" si="188">((G32+I32)/E32)</f>
        <v>9.8314606741573031E-3</v>
      </c>
      <c r="I32" s="34"/>
      <c r="J32" s="35">
        <f>I32/(G32+I32)</f>
        <v>0</v>
      </c>
      <c r="K32" s="36"/>
      <c r="L32" s="34"/>
      <c r="M32" s="34"/>
      <c r="N32" s="37"/>
      <c r="O32" s="33"/>
      <c r="P32" s="34"/>
      <c r="Q32" s="34">
        <f>Q29-O32</f>
        <v>708</v>
      </c>
      <c r="R32" s="34">
        <f>R29-P32</f>
        <v>62</v>
      </c>
      <c r="S32" s="34">
        <v>18</v>
      </c>
      <c r="T32" s="35">
        <f t="shared" ref="T32:T38" si="189">((S32+U32)/Q32)</f>
        <v>2.5423728813559324E-2</v>
      </c>
      <c r="U32" s="34"/>
      <c r="V32" s="35">
        <f t="shared" ref="V32:V38" si="190">U32/(S32+U32)</f>
        <v>0</v>
      </c>
      <c r="W32" s="36"/>
      <c r="X32" s="34"/>
      <c r="Y32" s="34"/>
      <c r="Z32" s="37"/>
      <c r="AA32" s="33"/>
      <c r="AB32" s="34"/>
      <c r="AC32" s="34">
        <f>AC29-AA32</f>
        <v>192</v>
      </c>
      <c r="AD32" s="34">
        <f>AD29-AB32</f>
        <v>15</v>
      </c>
      <c r="AE32" s="34">
        <v>2</v>
      </c>
      <c r="AF32" s="35">
        <f t="shared" ref="AF32:AF38" si="191">((AE32+AG32)/AC32)</f>
        <v>1.0416666666666666E-2</v>
      </c>
      <c r="AG32" s="34"/>
      <c r="AH32" s="35">
        <f t="shared" ref="AH32:AH38" si="192">AG32/(AE32+AG32)</f>
        <v>0</v>
      </c>
      <c r="AI32" s="36"/>
      <c r="AJ32" s="34"/>
      <c r="AK32" s="34"/>
      <c r="AL32" s="37"/>
      <c r="AM32" s="33"/>
      <c r="AN32" s="34"/>
      <c r="AO32" s="34">
        <f>AO29-AM32</f>
        <v>711</v>
      </c>
      <c r="AP32" s="34">
        <f>AP29-AN32</f>
        <v>63</v>
      </c>
      <c r="AQ32" s="34">
        <v>11</v>
      </c>
      <c r="AR32" s="35">
        <f t="shared" ref="AR32:AR38" si="193">((AQ32+AS32)/AO32)</f>
        <v>1.5471167369901548E-2</v>
      </c>
      <c r="AS32" s="34"/>
      <c r="AT32" s="35">
        <f t="shared" ref="AT32:AT38" si="194">AS32/(AQ32+AS32)</f>
        <v>0</v>
      </c>
      <c r="AU32" s="36"/>
      <c r="AV32" s="34"/>
      <c r="AW32" s="34"/>
      <c r="AX32" s="37"/>
      <c r="AY32" s="33"/>
      <c r="AZ32" s="34"/>
      <c r="BA32" s="34">
        <f>BA29-AY32</f>
        <v>711</v>
      </c>
      <c r="BB32" s="34">
        <f>BB29-AZ32</f>
        <v>62</v>
      </c>
      <c r="BC32" s="34">
        <v>17</v>
      </c>
      <c r="BD32" s="35">
        <f t="shared" ref="BD32:BD38" si="195">((BC32+BE32)/BA32)</f>
        <v>2.3909985935302389E-2</v>
      </c>
      <c r="BE32" s="34"/>
      <c r="BF32" s="35">
        <f t="shared" ref="BF32:BF38" si="196">BE32/(BC32+BE32)</f>
        <v>0</v>
      </c>
      <c r="BG32" s="36"/>
      <c r="BH32" s="34"/>
      <c r="BI32" s="34"/>
      <c r="BJ32" s="37"/>
      <c r="BK32" s="33">
        <v>1</v>
      </c>
      <c r="BL32" s="34"/>
      <c r="BM32" s="34">
        <f>BM29-BK32</f>
        <v>708</v>
      </c>
      <c r="BN32" s="34">
        <f>BN29-BL32</f>
        <v>63</v>
      </c>
      <c r="BO32" s="34">
        <v>11</v>
      </c>
      <c r="BP32" s="35">
        <f t="shared" ref="BP32:BP38" si="197">((BO32+BQ32)/BM32)</f>
        <v>1.5536723163841809E-2</v>
      </c>
      <c r="BQ32" s="34"/>
      <c r="BR32" s="35">
        <f t="shared" ref="BR32:BR38" si="198">BQ32/(BO32+BQ32)</f>
        <v>0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199">((CA32+CC32)/BY32)</f>
        <v>#DIV/0!</v>
      </c>
      <c r="CC32" s="34"/>
      <c r="CD32" s="35" t="e">
        <f t="shared" ref="CD32:CD38" si="200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01">((CM32+CO32)/CK32)</f>
        <v>#DIV/0!</v>
      </c>
      <c r="CO32" s="34"/>
      <c r="CP32" s="35" t="e">
        <f t="shared" ref="CP32:CP38" si="202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03">((CY32+DA32)/CW32)</f>
        <v>#DIV/0!</v>
      </c>
      <c r="DA32" s="34"/>
      <c r="DB32" s="35" t="e">
        <f t="shared" ref="DB32:DB38" si="204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05">((DK32+DM32)/DI32)</f>
        <v>#DIV/0!</v>
      </c>
      <c r="DM32" s="34"/>
      <c r="DN32" s="35" t="e">
        <f t="shared" ref="DN32:DN38" si="206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07">((DW32+DY32)/DU32)</f>
        <v>#DIV/0!</v>
      </c>
      <c r="DY32" s="34"/>
      <c r="DZ32" s="35" t="e">
        <f t="shared" ref="DZ32:DZ38" si="208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09">((EI32+EK32)/EG32)</f>
        <v>#DIV/0!</v>
      </c>
      <c r="EK32" s="34"/>
      <c r="EL32" s="35" t="e">
        <f t="shared" ref="EL32:EL38" si="210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11">((EU32+EW32)/ES32)</f>
        <v>#DIV/0!</v>
      </c>
      <c r="EW32" s="34"/>
      <c r="EX32" s="35" t="e">
        <f t="shared" ref="EX32:EX38" si="212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13">((FG32+FI32)/FE32)</f>
        <v>#DIV/0!</v>
      </c>
      <c r="FI32" s="34"/>
      <c r="FJ32" s="35" t="e">
        <f t="shared" ref="FJ32:FJ38" si="214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15">((FS32+FU32)/FQ32)</f>
        <v>#DIV/0!</v>
      </c>
      <c r="FU32" s="34"/>
      <c r="FV32" s="35" t="e">
        <f t="shared" ref="FV32:FV38" si="216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17">((GE32+GG32)/GC32)</f>
        <v>#DIV/0!</v>
      </c>
      <c r="GG32" s="34"/>
      <c r="GH32" s="35" t="e">
        <f t="shared" ref="GH32:GH38" si="218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19">((GQ32+GS32)/GO32)</f>
        <v>#DIV/0!</v>
      </c>
      <c r="GS32" s="34"/>
      <c r="GT32" s="35" t="e">
        <f t="shared" ref="GT32:GT38" si="220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21">((HC32+HE32)/HA32)</f>
        <v>#DIV/0!</v>
      </c>
      <c r="HE32" s="34"/>
      <c r="HF32" s="35" t="e">
        <f t="shared" ref="HF32:HF38" si="222">HE32/(HC32+HE32)</f>
        <v>#DIV/0!</v>
      </c>
      <c r="HG32" s="36"/>
      <c r="HH32" s="34"/>
      <c r="HI32" s="34"/>
      <c r="HJ32" s="37"/>
      <c r="HK32" s="33">
        <f t="shared" ref="HK32:HN39" si="223">+C32+O32+AA32+AM32+AY32+BK32+BW32+CI32+CU32+DG32+DS32+EE32+EQ32+FC32+FO32+GA32+GM32+GY32</f>
        <v>1</v>
      </c>
      <c r="HL32" s="34">
        <f t="shared" si="223"/>
        <v>0</v>
      </c>
      <c r="HM32" s="34">
        <f t="shared" si="223"/>
        <v>3742</v>
      </c>
      <c r="HN32" s="34">
        <f t="shared" si="223"/>
        <v>328</v>
      </c>
      <c r="HO32" s="34">
        <f t="shared" ref="HO32:HO39" si="224">+G32+S32+AE32+AQ32+BC32+BO32+CA32+CM32+CY32+DK32+DW32+EI32+EU32+FG32+FS32+GE32+GQ32+HC32+I32+U32+AG32+AS32+BE32+BQ32+CC32+CO32+DA32+DM32+DY32+EK32+EW32+FI32+FU32+GG32+GS32+HE32</f>
        <v>66</v>
      </c>
      <c r="HP32" s="94">
        <f t="shared" ref="HP32:HP38" si="225">+(HO32)/HM32</f>
        <v>1.7637626937466594E-2</v>
      </c>
      <c r="HQ32" s="48">
        <f t="shared" ref="HQ32:HQ39" si="226">+I32+U32+AG32+AS32+BE32+BQ32+CC32+CO32+DA32+DM32+DY32+EK32+EW32+FI32+FU32+GG32+GS32+HE32</f>
        <v>0</v>
      </c>
      <c r="HR32" s="35">
        <f>+(HQ32/(HO32))</f>
        <v>0</v>
      </c>
      <c r="HS32" s="49"/>
      <c r="HT32" s="50"/>
      <c r="HU32" s="49">
        <f t="shared" ref="HU32:HU38" si="227">+HT32/HO32*100</f>
        <v>0</v>
      </c>
      <c r="HV32" s="48"/>
      <c r="HW32" s="37"/>
      <c r="HY32" s="348">
        <v>53</v>
      </c>
      <c r="HZ32" s="164">
        <v>72.626999999999995</v>
      </c>
      <c r="IA32" s="77">
        <v>74.124700000000004</v>
      </c>
      <c r="IB32" s="77">
        <v>73.255899999999997</v>
      </c>
      <c r="IC32" s="89">
        <v>71.3</v>
      </c>
      <c r="ID32" s="89">
        <v>72</v>
      </c>
      <c r="IE32" s="90"/>
      <c r="IF32" s="164">
        <v>20.843948999999999</v>
      </c>
      <c r="IG32" s="77">
        <v>24.409263710000001</v>
      </c>
      <c r="IH32" s="77">
        <v>27.009450329999996</v>
      </c>
      <c r="II32" s="77">
        <f t="shared" si="2"/>
        <v>24.127920000000003</v>
      </c>
      <c r="IJ32" s="77">
        <f t="shared" si="3"/>
        <v>24.364800000000006</v>
      </c>
      <c r="IK32" s="165">
        <f t="shared" si="4"/>
        <v>0</v>
      </c>
      <c r="IL32" s="360">
        <v>5106</v>
      </c>
      <c r="IM32" s="183">
        <v>5050</v>
      </c>
      <c r="IN32" s="183">
        <v>4919</v>
      </c>
      <c r="IO32" s="89">
        <v>4722</v>
      </c>
      <c r="IP32" s="89">
        <v>4966</v>
      </c>
      <c r="IQ32" s="90"/>
      <c r="IR32" s="350">
        <v>28.7</v>
      </c>
      <c r="IS32" s="184">
        <v>32.93</v>
      </c>
      <c r="IT32" s="184">
        <v>36.869999999999997</v>
      </c>
      <c r="IU32" s="184">
        <v>33.840000000000003</v>
      </c>
      <c r="IV32" s="184">
        <v>37.270000000000003</v>
      </c>
      <c r="IW32" s="188"/>
      <c r="IX32" s="370">
        <v>1E-3</v>
      </c>
      <c r="IY32" s="336">
        <v>1.1668611435239206E-3</v>
      </c>
      <c r="IZ32" s="336">
        <v>1.4233954451345755E-3</v>
      </c>
      <c r="JA32" s="336">
        <v>8.7807325639739089E-4</v>
      </c>
      <c r="JB32" s="336">
        <v>1.2510947078693856E-3</v>
      </c>
      <c r="JC32" s="335"/>
    </row>
    <row r="33" spans="1:263" ht="18.75" x14ac:dyDescent="0.25">
      <c r="A33" s="374"/>
      <c r="B33" s="41">
        <f t="shared" ref="B33:B38" si="228">+B32+1</f>
        <v>44963</v>
      </c>
      <c r="C33" s="10"/>
      <c r="D33" s="11"/>
      <c r="E33" s="69">
        <f t="shared" ref="E33:F37" si="229">E32-C33</f>
        <v>712</v>
      </c>
      <c r="F33" s="69">
        <f t="shared" si="229"/>
        <v>63</v>
      </c>
      <c r="G33" s="11">
        <v>8</v>
      </c>
      <c r="H33" s="12">
        <f t="shared" si="188"/>
        <v>1.1235955056179775E-2</v>
      </c>
      <c r="I33" s="11"/>
      <c r="J33" s="12">
        <f t="shared" ref="J33:J38" si="230">I33/(G33+I33)</f>
        <v>0</v>
      </c>
      <c r="K33" s="13"/>
      <c r="L33" s="11"/>
      <c r="M33" s="11"/>
      <c r="N33" s="14"/>
      <c r="O33" s="10"/>
      <c r="P33" s="11"/>
      <c r="Q33" s="69">
        <f t="shared" ref="Q33:R38" si="231">Q32-O33</f>
        <v>708</v>
      </c>
      <c r="R33" s="69">
        <f t="shared" si="231"/>
        <v>62</v>
      </c>
      <c r="S33" s="11">
        <v>22</v>
      </c>
      <c r="T33" s="12">
        <f t="shared" si="189"/>
        <v>3.1073446327683617E-2</v>
      </c>
      <c r="U33" s="11"/>
      <c r="V33" s="12">
        <f t="shared" si="190"/>
        <v>0</v>
      </c>
      <c r="W33" s="13"/>
      <c r="X33" s="11"/>
      <c r="Y33" s="11"/>
      <c r="Z33" s="14"/>
      <c r="AA33" s="10"/>
      <c r="AB33" s="11"/>
      <c r="AC33" s="69">
        <f t="shared" ref="AC33:AD38" si="232">AC32-AA33</f>
        <v>192</v>
      </c>
      <c r="AD33" s="69">
        <f t="shared" si="232"/>
        <v>15</v>
      </c>
      <c r="AE33" s="11">
        <v>3</v>
      </c>
      <c r="AF33" s="12">
        <f t="shared" si="191"/>
        <v>1.5625E-2</v>
      </c>
      <c r="AG33" s="11"/>
      <c r="AH33" s="12">
        <f t="shared" si="192"/>
        <v>0</v>
      </c>
      <c r="AI33" s="13"/>
      <c r="AJ33" s="11"/>
      <c r="AK33" s="11"/>
      <c r="AL33" s="14"/>
      <c r="AM33" s="10"/>
      <c r="AN33" s="11"/>
      <c r="AO33" s="69">
        <f t="shared" ref="AO33:AP38" si="233">AO32-AM33</f>
        <v>711</v>
      </c>
      <c r="AP33" s="69">
        <f t="shared" si="233"/>
        <v>63</v>
      </c>
      <c r="AQ33" s="11">
        <v>17</v>
      </c>
      <c r="AR33" s="12">
        <f t="shared" si="193"/>
        <v>2.3909985935302389E-2</v>
      </c>
      <c r="AS33" s="11"/>
      <c r="AT33" s="12">
        <f t="shared" si="194"/>
        <v>0</v>
      </c>
      <c r="AU33" s="13"/>
      <c r="AV33" s="11"/>
      <c r="AW33" s="11"/>
      <c r="AX33" s="14"/>
      <c r="AY33" s="10"/>
      <c r="AZ33" s="11"/>
      <c r="BA33" s="69">
        <f t="shared" ref="BA33:BB38" si="234">BA32-AY33</f>
        <v>711</v>
      </c>
      <c r="BB33" s="69">
        <f t="shared" si="234"/>
        <v>62</v>
      </c>
      <c r="BC33" s="11">
        <v>24</v>
      </c>
      <c r="BD33" s="12">
        <f t="shared" si="195"/>
        <v>3.3755274261603373E-2</v>
      </c>
      <c r="BE33" s="11"/>
      <c r="BF33" s="12">
        <f t="shared" si="196"/>
        <v>0</v>
      </c>
      <c r="BG33" s="13"/>
      <c r="BH33" s="11"/>
      <c r="BI33" s="11"/>
      <c r="BJ33" s="14"/>
      <c r="BK33" s="10"/>
      <c r="BL33" s="11"/>
      <c r="BM33" s="69">
        <f t="shared" ref="BM33:BN38" si="235">BM32-BK33</f>
        <v>708</v>
      </c>
      <c r="BN33" s="69">
        <f t="shared" si="235"/>
        <v>63</v>
      </c>
      <c r="BO33" s="11">
        <v>20</v>
      </c>
      <c r="BP33" s="12">
        <f t="shared" si="197"/>
        <v>2.8248587570621469E-2</v>
      </c>
      <c r="BQ33" s="11"/>
      <c r="BR33" s="12">
        <f t="shared" si="198"/>
        <v>0</v>
      </c>
      <c r="BS33" s="13"/>
      <c r="BT33" s="11"/>
      <c r="BU33" s="11"/>
      <c r="BV33" s="14"/>
      <c r="BW33" s="10"/>
      <c r="BX33" s="11"/>
      <c r="BY33" s="69">
        <f t="shared" ref="BY33:BZ38" si="236">BY32-BW33</f>
        <v>0</v>
      </c>
      <c r="BZ33" s="69">
        <f t="shared" si="236"/>
        <v>0</v>
      </c>
      <c r="CA33" s="11"/>
      <c r="CB33" s="12" t="e">
        <f t="shared" si="199"/>
        <v>#DIV/0!</v>
      </c>
      <c r="CC33" s="11"/>
      <c r="CD33" s="12" t="e">
        <f t="shared" si="200"/>
        <v>#DIV/0!</v>
      </c>
      <c r="CE33" s="13"/>
      <c r="CF33" s="11"/>
      <c r="CG33" s="11"/>
      <c r="CH33" s="14"/>
      <c r="CI33" s="10"/>
      <c r="CJ33" s="11"/>
      <c r="CK33" s="69">
        <f t="shared" ref="CK33:CL38" si="237">CK32-CI33</f>
        <v>0</v>
      </c>
      <c r="CL33" s="69">
        <f t="shared" si="237"/>
        <v>0</v>
      </c>
      <c r="CM33" s="11"/>
      <c r="CN33" s="12" t="e">
        <f t="shared" si="201"/>
        <v>#DIV/0!</v>
      </c>
      <c r="CO33" s="11"/>
      <c r="CP33" s="12" t="e">
        <f t="shared" si="202"/>
        <v>#DIV/0!</v>
      </c>
      <c r="CQ33" s="13"/>
      <c r="CR33" s="11"/>
      <c r="CS33" s="11"/>
      <c r="CT33" s="14"/>
      <c r="CU33" s="10"/>
      <c r="CV33" s="11"/>
      <c r="CW33" s="69">
        <f t="shared" ref="CW33:CX38" si="238">CW32-CU33</f>
        <v>0</v>
      </c>
      <c r="CX33" s="69">
        <f t="shared" si="238"/>
        <v>0</v>
      </c>
      <c r="CY33" s="11"/>
      <c r="CZ33" s="12" t="e">
        <f t="shared" si="203"/>
        <v>#DIV/0!</v>
      </c>
      <c r="DA33" s="11"/>
      <c r="DB33" s="12" t="e">
        <f t="shared" si="204"/>
        <v>#DIV/0!</v>
      </c>
      <c r="DC33" s="13"/>
      <c r="DD33" s="11"/>
      <c r="DE33" s="11"/>
      <c r="DF33" s="14"/>
      <c r="DG33" s="10"/>
      <c r="DH33" s="11"/>
      <c r="DI33" s="69">
        <f t="shared" ref="DI33:DJ38" si="239">DI32-DG33</f>
        <v>0</v>
      </c>
      <c r="DJ33" s="69">
        <f t="shared" si="239"/>
        <v>0</v>
      </c>
      <c r="DK33" s="11"/>
      <c r="DL33" s="12" t="e">
        <f t="shared" si="205"/>
        <v>#DIV/0!</v>
      </c>
      <c r="DM33" s="11"/>
      <c r="DN33" s="12" t="e">
        <f t="shared" si="206"/>
        <v>#DIV/0!</v>
      </c>
      <c r="DO33" s="13"/>
      <c r="DP33" s="11"/>
      <c r="DQ33" s="11"/>
      <c r="DR33" s="14"/>
      <c r="DS33" s="10"/>
      <c r="DT33" s="11"/>
      <c r="DU33" s="69">
        <f t="shared" ref="DU33:DV38" si="240">DU32-DS33</f>
        <v>0</v>
      </c>
      <c r="DV33" s="69">
        <f t="shared" si="240"/>
        <v>0</v>
      </c>
      <c r="DW33" s="11"/>
      <c r="DX33" s="12" t="e">
        <f t="shared" si="207"/>
        <v>#DIV/0!</v>
      </c>
      <c r="DY33" s="11"/>
      <c r="DZ33" s="12" t="e">
        <f t="shared" si="208"/>
        <v>#DIV/0!</v>
      </c>
      <c r="EA33" s="13"/>
      <c r="EB33" s="11"/>
      <c r="EC33" s="11"/>
      <c r="ED33" s="14"/>
      <c r="EE33" s="10"/>
      <c r="EF33" s="11"/>
      <c r="EG33" s="69">
        <f t="shared" ref="EG33:EH38" si="241">EG32-EE33</f>
        <v>0</v>
      </c>
      <c r="EH33" s="69">
        <f t="shared" si="241"/>
        <v>0</v>
      </c>
      <c r="EI33" s="11"/>
      <c r="EJ33" s="12" t="e">
        <f t="shared" si="209"/>
        <v>#DIV/0!</v>
      </c>
      <c r="EK33" s="11"/>
      <c r="EL33" s="12" t="e">
        <f t="shared" si="210"/>
        <v>#DIV/0!</v>
      </c>
      <c r="EM33" s="13"/>
      <c r="EN33" s="11"/>
      <c r="EO33" s="11"/>
      <c r="EP33" s="14"/>
      <c r="EQ33" s="10"/>
      <c r="ER33" s="11"/>
      <c r="ES33" s="69">
        <f t="shared" ref="ES33:ET38" si="242">ES32-EQ33</f>
        <v>0</v>
      </c>
      <c r="ET33" s="69">
        <f t="shared" si="242"/>
        <v>0</v>
      </c>
      <c r="EU33" s="11"/>
      <c r="EV33" s="12" t="e">
        <f t="shared" si="211"/>
        <v>#DIV/0!</v>
      </c>
      <c r="EW33" s="11"/>
      <c r="EX33" s="12" t="e">
        <f t="shared" si="212"/>
        <v>#DIV/0!</v>
      </c>
      <c r="EY33" s="13"/>
      <c r="EZ33" s="11"/>
      <c r="FA33" s="11"/>
      <c r="FB33" s="14"/>
      <c r="FC33" s="10"/>
      <c r="FD33" s="11"/>
      <c r="FE33" s="69">
        <f t="shared" ref="FE33:FF38" si="243">FE32-FC33</f>
        <v>0</v>
      </c>
      <c r="FF33" s="69">
        <f t="shared" si="243"/>
        <v>0</v>
      </c>
      <c r="FG33" s="11"/>
      <c r="FH33" s="12" t="e">
        <f t="shared" si="213"/>
        <v>#DIV/0!</v>
      </c>
      <c r="FI33" s="11"/>
      <c r="FJ33" s="12" t="e">
        <f t="shared" si="214"/>
        <v>#DIV/0!</v>
      </c>
      <c r="FK33" s="13"/>
      <c r="FL33" s="11"/>
      <c r="FM33" s="11"/>
      <c r="FN33" s="14"/>
      <c r="FO33" s="10"/>
      <c r="FP33" s="11"/>
      <c r="FQ33" s="69">
        <f t="shared" ref="FQ33:FR38" si="244">FQ32-FO33</f>
        <v>0</v>
      </c>
      <c r="FR33" s="69">
        <f t="shared" si="244"/>
        <v>0</v>
      </c>
      <c r="FS33" s="11"/>
      <c r="FT33" s="12" t="e">
        <f t="shared" si="215"/>
        <v>#DIV/0!</v>
      </c>
      <c r="FU33" s="11"/>
      <c r="FV33" s="12" t="e">
        <f t="shared" si="216"/>
        <v>#DIV/0!</v>
      </c>
      <c r="FW33" s="13"/>
      <c r="FX33" s="11"/>
      <c r="FY33" s="11"/>
      <c r="FZ33" s="14"/>
      <c r="GA33" s="10"/>
      <c r="GB33" s="11"/>
      <c r="GC33" s="69">
        <f t="shared" ref="GC33:GD38" si="245">GC32-GA33</f>
        <v>0</v>
      </c>
      <c r="GD33" s="69">
        <f t="shared" si="245"/>
        <v>0</v>
      </c>
      <c r="GE33" s="11"/>
      <c r="GF33" s="12" t="e">
        <f t="shared" si="217"/>
        <v>#DIV/0!</v>
      </c>
      <c r="GG33" s="11"/>
      <c r="GH33" s="12" t="e">
        <f t="shared" si="218"/>
        <v>#DIV/0!</v>
      </c>
      <c r="GI33" s="13"/>
      <c r="GJ33" s="11"/>
      <c r="GK33" s="11"/>
      <c r="GL33" s="14"/>
      <c r="GM33" s="10"/>
      <c r="GN33" s="11"/>
      <c r="GO33" s="69">
        <f t="shared" ref="GO33:GP38" si="246">GO32-GM33</f>
        <v>0</v>
      </c>
      <c r="GP33" s="69">
        <f t="shared" si="246"/>
        <v>0</v>
      </c>
      <c r="GQ33" s="11"/>
      <c r="GR33" s="12" t="e">
        <f t="shared" si="219"/>
        <v>#DIV/0!</v>
      </c>
      <c r="GS33" s="11"/>
      <c r="GT33" s="12" t="e">
        <f t="shared" si="220"/>
        <v>#DIV/0!</v>
      </c>
      <c r="GU33" s="13"/>
      <c r="GV33" s="11"/>
      <c r="GW33" s="11"/>
      <c r="GX33" s="14"/>
      <c r="GY33" s="10"/>
      <c r="GZ33" s="11"/>
      <c r="HA33" s="69">
        <f t="shared" ref="HA33:HB38" si="247">HA32-GY33</f>
        <v>0</v>
      </c>
      <c r="HB33" s="69">
        <f t="shared" si="247"/>
        <v>0</v>
      </c>
      <c r="HC33" s="11"/>
      <c r="HD33" s="12" t="e">
        <f t="shared" si="221"/>
        <v>#DIV/0!</v>
      </c>
      <c r="HE33" s="11"/>
      <c r="HF33" s="12" t="e">
        <f t="shared" si="222"/>
        <v>#DIV/0!</v>
      </c>
      <c r="HG33" s="13"/>
      <c r="HH33" s="11"/>
      <c r="HI33" s="11"/>
      <c r="HJ33" s="14"/>
      <c r="HK33" s="10">
        <f t="shared" si="223"/>
        <v>0</v>
      </c>
      <c r="HL33" s="11">
        <f t="shared" si="223"/>
        <v>0</v>
      </c>
      <c r="HM33" s="11">
        <f t="shared" si="223"/>
        <v>3742</v>
      </c>
      <c r="HN33" s="11">
        <f t="shared" si="223"/>
        <v>328</v>
      </c>
      <c r="HO33" s="11">
        <f t="shared" si="224"/>
        <v>94</v>
      </c>
      <c r="HP33" s="95">
        <f t="shared" si="225"/>
        <v>2.512025654730091E-2</v>
      </c>
      <c r="HQ33" s="15">
        <f t="shared" si="226"/>
        <v>0</v>
      </c>
      <c r="HR33" s="12">
        <f t="shared" ref="HR33:HR39" si="248">+(HQ33/(HO33))</f>
        <v>0</v>
      </c>
      <c r="HS33" s="16"/>
      <c r="HT33" s="17"/>
      <c r="HU33" s="16">
        <f t="shared" si="227"/>
        <v>0</v>
      </c>
      <c r="HV33" s="15"/>
      <c r="HW33" s="14"/>
      <c r="HY33" s="348">
        <v>54</v>
      </c>
      <c r="HZ33" s="164">
        <v>72.626400000000004</v>
      </c>
      <c r="IA33" s="77">
        <v>74.4375</v>
      </c>
      <c r="IB33" s="77">
        <v>72.770899999999997</v>
      </c>
      <c r="IC33" s="89">
        <v>71.099999999999994</v>
      </c>
      <c r="ID33" s="89">
        <v>72.3</v>
      </c>
      <c r="IE33" s="90"/>
      <c r="IF33" s="164">
        <v>20.277290880000002</v>
      </c>
      <c r="IG33" s="77">
        <v>23.52969375</v>
      </c>
      <c r="IH33" s="77">
        <v>25.455260819999999</v>
      </c>
      <c r="II33" s="77">
        <f t="shared" si="2"/>
        <v>22.830209999999997</v>
      </c>
      <c r="IJ33" s="77">
        <f t="shared" si="3"/>
        <v>23.215529999999998</v>
      </c>
      <c r="IK33" s="165">
        <f t="shared" si="4"/>
        <v>0</v>
      </c>
      <c r="IL33" s="360">
        <v>5018</v>
      </c>
      <c r="IM33" s="183">
        <v>5030</v>
      </c>
      <c r="IN33" s="183">
        <v>5055</v>
      </c>
      <c r="IO33" s="89">
        <v>4891</v>
      </c>
      <c r="IP33" s="89">
        <v>4984</v>
      </c>
      <c r="IQ33" s="90"/>
      <c r="IR33" s="350">
        <v>27.92</v>
      </c>
      <c r="IS33" s="184">
        <v>31.61</v>
      </c>
      <c r="IT33" s="184">
        <v>34.979999999999997</v>
      </c>
      <c r="IU33" s="184">
        <v>32.11</v>
      </c>
      <c r="IV33" s="184">
        <v>36.46</v>
      </c>
      <c r="IW33" s="188"/>
      <c r="IX33" s="370">
        <v>1E-3</v>
      </c>
      <c r="IY33" s="336">
        <v>3.0539013589861045E-4</v>
      </c>
      <c r="IZ33" s="336">
        <v>9.5693779904306223E-4</v>
      </c>
      <c r="JA33" s="336">
        <v>1.1986814504045551E-3</v>
      </c>
      <c r="JB33" s="336">
        <v>9.0439276485788109E-4</v>
      </c>
      <c r="JC33" s="335"/>
    </row>
    <row r="34" spans="1:263" ht="17.25" customHeight="1" x14ac:dyDescent="0.25">
      <c r="A34" s="374"/>
      <c r="B34" s="41">
        <f t="shared" si="228"/>
        <v>44964</v>
      </c>
      <c r="C34" s="10"/>
      <c r="D34" s="11"/>
      <c r="E34" s="69">
        <f t="shared" si="229"/>
        <v>712</v>
      </c>
      <c r="F34" s="69">
        <f t="shared" si="229"/>
        <v>63</v>
      </c>
      <c r="G34" s="11">
        <v>11</v>
      </c>
      <c r="H34" s="12">
        <f t="shared" si="188"/>
        <v>2.247191011235955E-2</v>
      </c>
      <c r="I34" s="11">
        <v>5</v>
      </c>
      <c r="J34" s="12">
        <f t="shared" si="230"/>
        <v>0.3125</v>
      </c>
      <c r="K34" s="13"/>
      <c r="L34" s="11"/>
      <c r="M34" s="11"/>
      <c r="N34" s="14"/>
      <c r="O34" s="10"/>
      <c r="P34" s="11"/>
      <c r="Q34" s="69">
        <f t="shared" si="231"/>
        <v>708</v>
      </c>
      <c r="R34" s="69">
        <f t="shared" si="231"/>
        <v>62</v>
      </c>
      <c r="S34" s="11">
        <v>20</v>
      </c>
      <c r="T34" s="12">
        <f t="shared" si="189"/>
        <v>3.5310734463276837E-2</v>
      </c>
      <c r="U34" s="11">
        <v>5</v>
      </c>
      <c r="V34" s="12">
        <f t="shared" si="190"/>
        <v>0.2</v>
      </c>
      <c r="W34" s="13"/>
      <c r="X34" s="11"/>
      <c r="Y34" s="11"/>
      <c r="Z34" s="14"/>
      <c r="AA34" s="10"/>
      <c r="AB34" s="11"/>
      <c r="AC34" s="69">
        <f t="shared" si="232"/>
        <v>192</v>
      </c>
      <c r="AD34" s="69">
        <f t="shared" si="232"/>
        <v>15</v>
      </c>
      <c r="AE34" s="11">
        <v>1</v>
      </c>
      <c r="AF34" s="12">
        <f t="shared" si="191"/>
        <v>5.208333333333333E-3</v>
      </c>
      <c r="AG34" s="11"/>
      <c r="AH34" s="12">
        <f t="shared" si="192"/>
        <v>0</v>
      </c>
      <c r="AI34" s="13"/>
      <c r="AJ34" s="11"/>
      <c r="AK34" s="11"/>
      <c r="AL34" s="14"/>
      <c r="AM34" s="10">
        <v>1</v>
      </c>
      <c r="AN34" s="11"/>
      <c r="AO34" s="69">
        <f t="shared" si="233"/>
        <v>710</v>
      </c>
      <c r="AP34" s="69">
        <f t="shared" si="233"/>
        <v>63</v>
      </c>
      <c r="AQ34" s="11">
        <v>11</v>
      </c>
      <c r="AR34" s="12">
        <f t="shared" si="193"/>
        <v>2.2535211267605635E-2</v>
      </c>
      <c r="AS34" s="11">
        <v>5</v>
      </c>
      <c r="AT34" s="12">
        <f t="shared" si="194"/>
        <v>0.3125</v>
      </c>
      <c r="AU34" s="13"/>
      <c r="AV34" s="11"/>
      <c r="AW34" s="11"/>
      <c r="AX34" s="14"/>
      <c r="AY34" s="10"/>
      <c r="AZ34" s="11"/>
      <c r="BA34" s="69">
        <f t="shared" si="234"/>
        <v>711</v>
      </c>
      <c r="BB34" s="69">
        <f t="shared" si="234"/>
        <v>62</v>
      </c>
      <c r="BC34" s="11">
        <v>21</v>
      </c>
      <c r="BD34" s="12">
        <f t="shared" si="195"/>
        <v>4.2194092827004218E-2</v>
      </c>
      <c r="BE34" s="11">
        <v>9</v>
      </c>
      <c r="BF34" s="12">
        <f t="shared" si="196"/>
        <v>0.3</v>
      </c>
      <c r="BG34" s="13"/>
      <c r="BH34" s="11"/>
      <c r="BI34" s="11"/>
      <c r="BJ34" s="14"/>
      <c r="BK34" s="10"/>
      <c r="BL34" s="11"/>
      <c r="BM34" s="69">
        <f t="shared" si="235"/>
        <v>708</v>
      </c>
      <c r="BN34" s="69">
        <f t="shared" si="235"/>
        <v>63</v>
      </c>
      <c r="BO34" s="11">
        <v>16</v>
      </c>
      <c r="BP34" s="12">
        <f t="shared" si="197"/>
        <v>3.1073446327683617E-2</v>
      </c>
      <c r="BQ34" s="11">
        <v>6</v>
      </c>
      <c r="BR34" s="12">
        <f t="shared" si="198"/>
        <v>0.27272727272727271</v>
      </c>
      <c r="BS34" s="13"/>
      <c r="BT34" s="11"/>
      <c r="BU34" s="11"/>
      <c r="BV34" s="14"/>
      <c r="BW34" s="10"/>
      <c r="BX34" s="11"/>
      <c r="BY34" s="69">
        <f t="shared" si="236"/>
        <v>0</v>
      </c>
      <c r="BZ34" s="69">
        <f t="shared" si="236"/>
        <v>0</v>
      </c>
      <c r="CA34" s="11"/>
      <c r="CB34" s="12" t="e">
        <f t="shared" si="199"/>
        <v>#DIV/0!</v>
      </c>
      <c r="CC34" s="11"/>
      <c r="CD34" s="12" t="e">
        <f t="shared" si="200"/>
        <v>#DIV/0!</v>
      </c>
      <c r="CE34" s="13"/>
      <c r="CF34" s="11"/>
      <c r="CG34" s="11"/>
      <c r="CH34" s="14"/>
      <c r="CI34" s="10"/>
      <c r="CJ34" s="11"/>
      <c r="CK34" s="69">
        <f t="shared" si="237"/>
        <v>0</v>
      </c>
      <c r="CL34" s="69">
        <f t="shared" si="237"/>
        <v>0</v>
      </c>
      <c r="CM34" s="11"/>
      <c r="CN34" s="12" t="e">
        <f t="shared" si="201"/>
        <v>#DIV/0!</v>
      </c>
      <c r="CO34" s="11"/>
      <c r="CP34" s="12" t="e">
        <f t="shared" si="202"/>
        <v>#DIV/0!</v>
      </c>
      <c r="CQ34" s="13"/>
      <c r="CR34" s="11"/>
      <c r="CS34" s="11"/>
      <c r="CT34" s="14"/>
      <c r="CU34" s="10"/>
      <c r="CV34" s="11"/>
      <c r="CW34" s="69">
        <f t="shared" si="238"/>
        <v>0</v>
      </c>
      <c r="CX34" s="69">
        <f t="shared" si="238"/>
        <v>0</v>
      </c>
      <c r="CY34" s="11"/>
      <c r="CZ34" s="12" t="e">
        <f t="shared" si="203"/>
        <v>#DIV/0!</v>
      </c>
      <c r="DA34" s="11"/>
      <c r="DB34" s="12" t="e">
        <f t="shared" si="204"/>
        <v>#DIV/0!</v>
      </c>
      <c r="DC34" s="13"/>
      <c r="DD34" s="11"/>
      <c r="DE34" s="11"/>
      <c r="DF34" s="14"/>
      <c r="DG34" s="10"/>
      <c r="DH34" s="11"/>
      <c r="DI34" s="69">
        <f t="shared" si="239"/>
        <v>0</v>
      </c>
      <c r="DJ34" s="69">
        <f t="shared" si="239"/>
        <v>0</v>
      </c>
      <c r="DK34" s="11"/>
      <c r="DL34" s="12" t="e">
        <f t="shared" si="205"/>
        <v>#DIV/0!</v>
      </c>
      <c r="DM34" s="11"/>
      <c r="DN34" s="12" t="e">
        <f t="shared" si="206"/>
        <v>#DIV/0!</v>
      </c>
      <c r="DO34" s="13"/>
      <c r="DP34" s="11"/>
      <c r="DQ34" s="11"/>
      <c r="DR34" s="14"/>
      <c r="DS34" s="10"/>
      <c r="DT34" s="11"/>
      <c r="DU34" s="69">
        <f t="shared" si="240"/>
        <v>0</v>
      </c>
      <c r="DV34" s="69">
        <f t="shared" si="240"/>
        <v>0</v>
      </c>
      <c r="DW34" s="11"/>
      <c r="DX34" s="12" t="e">
        <f t="shared" si="207"/>
        <v>#DIV/0!</v>
      </c>
      <c r="DY34" s="11"/>
      <c r="DZ34" s="12" t="e">
        <f t="shared" si="208"/>
        <v>#DIV/0!</v>
      </c>
      <c r="EA34" s="13"/>
      <c r="EB34" s="11"/>
      <c r="EC34" s="11"/>
      <c r="ED34" s="14"/>
      <c r="EE34" s="10"/>
      <c r="EF34" s="11"/>
      <c r="EG34" s="69">
        <f t="shared" si="241"/>
        <v>0</v>
      </c>
      <c r="EH34" s="69">
        <f t="shared" si="241"/>
        <v>0</v>
      </c>
      <c r="EI34" s="11"/>
      <c r="EJ34" s="12" t="e">
        <f t="shared" si="209"/>
        <v>#DIV/0!</v>
      </c>
      <c r="EK34" s="11"/>
      <c r="EL34" s="12" t="e">
        <f t="shared" si="210"/>
        <v>#DIV/0!</v>
      </c>
      <c r="EM34" s="13"/>
      <c r="EN34" s="11"/>
      <c r="EO34" s="11"/>
      <c r="EP34" s="14"/>
      <c r="EQ34" s="10"/>
      <c r="ER34" s="11"/>
      <c r="ES34" s="69">
        <f t="shared" si="242"/>
        <v>0</v>
      </c>
      <c r="ET34" s="69">
        <f t="shared" si="242"/>
        <v>0</v>
      </c>
      <c r="EU34" s="11"/>
      <c r="EV34" s="12" t="e">
        <f t="shared" si="211"/>
        <v>#DIV/0!</v>
      </c>
      <c r="EW34" s="11"/>
      <c r="EX34" s="12" t="e">
        <f t="shared" si="212"/>
        <v>#DIV/0!</v>
      </c>
      <c r="EY34" s="13"/>
      <c r="EZ34" s="11"/>
      <c r="FA34" s="11"/>
      <c r="FB34" s="14"/>
      <c r="FC34" s="10"/>
      <c r="FD34" s="11"/>
      <c r="FE34" s="69">
        <f t="shared" si="243"/>
        <v>0</v>
      </c>
      <c r="FF34" s="69">
        <f t="shared" si="243"/>
        <v>0</v>
      </c>
      <c r="FG34" s="11"/>
      <c r="FH34" s="12" t="e">
        <f t="shared" si="213"/>
        <v>#DIV/0!</v>
      </c>
      <c r="FI34" s="11"/>
      <c r="FJ34" s="12" t="e">
        <f t="shared" si="214"/>
        <v>#DIV/0!</v>
      </c>
      <c r="FK34" s="13"/>
      <c r="FL34" s="11"/>
      <c r="FM34" s="11"/>
      <c r="FN34" s="14"/>
      <c r="FO34" s="10"/>
      <c r="FP34" s="11"/>
      <c r="FQ34" s="69">
        <f t="shared" si="244"/>
        <v>0</v>
      </c>
      <c r="FR34" s="69">
        <f t="shared" si="244"/>
        <v>0</v>
      </c>
      <c r="FS34" s="11"/>
      <c r="FT34" s="12" t="e">
        <f t="shared" si="215"/>
        <v>#DIV/0!</v>
      </c>
      <c r="FU34" s="11"/>
      <c r="FV34" s="12" t="e">
        <f t="shared" si="216"/>
        <v>#DIV/0!</v>
      </c>
      <c r="FW34" s="13"/>
      <c r="FX34" s="11"/>
      <c r="FY34" s="11"/>
      <c r="FZ34" s="14"/>
      <c r="GA34" s="10"/>
      <c r="GB34" s="11"/>
      <c r="GC34" s="69">
        <f t="shared" si="245"/>
        <v>0</v>
      </c>
      <c r="GD34" s="69">
        <f t="shared" si="245"/>
        <v>0</v>
      </c>
      <c r="GE34" s="11"/>
      <c r="GF34" s="12" t="e">
        <f t="shared" si="217"/>
        <v>#DIV/0!</v>
      </c>
      <c r="GG34" s="11"/>
      <c r="GH34" s="12" t="e">
        <f t="shared" si="218"/>
        <v>#DIV/0!</v>
      </c>
      <c r="GI34" s="13"/>
      <c r="GJ34" s="11"/>
      <c r="GK34" s="11"/>
      <c r="GL34" s="14"/>
      <c r="GM34" s="10"/>
      <c r="GN34" s="11"/>
      <c r="GO34" s="69">
        <f t="shared" si="246"/>
        <v>0</v>
      </c>
      <c r="GP34" s="69">
        <f t="shared" si="246"/>
        <v>0</v>
      </c>
      <c r="GQ34" s="11"/>
      <c r="GR34" s="12" t="e">
        <f t="shared" si="219"/>
        <v>#DIV/0!</v>
      </c>
      <c r="GS34" s="11"/>
      <c r="GT34" s="12" t="e">
        <f t="shared" si="220"/>
        <v>#DIV/0!</v>
      </c>
      <c r="GU34" s="13"/>
      <c r="GV34" s="11"/>
      <c r="GW34" s="11"/>
      <c r="GX34" s="14"/>
      <c r="GY34" s="10"/>
      <c r="GZ34" s="11"/>
      <c r="HA34" s="69">
        <f t="shared" si="247"/>
        <v>0</v>
      </c>
      <c r="HB34" s="69">
        <f t="shared" si="247"/>
        <v>0</v>
      </c>
      <c r="HC34" s="11"/>
      <c r="HD34" s="12" t="e">
        <f t="shared" si="221"/>
        <v>#DIV/0!</v>
      </c>
      <c r="HE34" s="11"/>
      <c r="HF34" s="12" t="e">
        <f t="shared" si="222"/>
        <v>#DIV/0!</v>
      </c>
      <c r="HG34" s="13"/>
      <c r="HH34" s="11"/>
      <c r="HI34" s="11"/>
      <c r="HJ34" s="14"/>
      <c r="HK34" s="10">
        <f t="shared" si="223"/>
        <v>1</v>
      </c>
      <c r="HL34" s="11">
        <f t="shared" si="223"/>
        <v>0</v>
      </c>
      <c r="HM34" s="11">
        <f t="shared" si="223"/>
        <v>3741</v>
      </c>
      <c r="HN34" s="11">
        <f t="shared" si="223"/>
        <v>328</v>
      </c>
      <c r="HO34" s="11">
        <f t="shared" si="224"/>
        <v>110</v>
      </c>
      <c r="HP34" s="95">
        <f t="shared" si="225"/>
        <v>2.9403902699812884E-2</v>
      </c>
      <c r="HQ34" s="15">
        <f t="shared" si="226"/>
        <v>30</v>
      </c>
      <c r="HR34" s="12">
        <f t="shared" si="248"/>
        <v>0.27272727272727271</v>
      </c>
      <c r="HS34" s="16"/>
      <c r="HT34" s="17">
        <v>71</v>
      </c>
      <c r="HU34" s="16">
        <f t="shared" si="227"/>
        <v>64.545454545454547</v>
      </c>
      <c r="HV34" s="15"/>
      <c r="HW34" s="14"/>
      <c r="HY34" s="348">
        <v>55</v>
      </c>
      <c r="HZ34" s="164">
        <v>73.292500000000004</v>
      </c>
      <c r="IA34" s="77">
        <v>74.437799999999996</v>
      </c>
      <c r="IB34" s="77">
        <v>72.949700000000007</v>
      </c>
      <c r="IC34" s="89">
        <v>71.900000000000006</v>
      </c>
      <c r="ID34" s="89">
        <v>72.7</v>
      </c>
      <c r="IE34" s="90"/>
      <c r="IF34" s="164">
        <v>19.231952</v>
      </c>
      <c r="IG34" s="77">
        <v>21.94426344</v>
      </c>
      <c r="IH34" s="77">
        <v>23.672177650000002</v>
      </c>
      <c r="II34" s="77">
        <f t="shared" si="2"/>
        <v>21.922310000000003</v>
      </c>
      <c r="IJ34" s="77">
        <f t="shared" si="3"/>
        <v>22.166229999999999</v>
      </c>
      <c r="IK34" s="165">
        <f t="shared" si="4"/>
        <v>0</v>
      </c>
      <c r="IL34" s="360">
        <v>5018</v>
      </c>
      <c r="IM34" s="183">
        <v>5030</v>
      </c>
      <c r="IN34" s="183">
        <v>5055</v>
      </c>
      <c r="IO34" s="89">
        <v>4891</v>
      </c>
      <c r="IP34" s="89">
        <v>4984</v>
      </c>
      <c r="IQ34" s="90"/>
      <c r="IR34" s="350">
        <v>26.24</v>
      </c>
      <c r="IS34" s="184">
        <v>29.48</v>
      </c>
      <c r="IT34" s="184">
        <v>32.450000000000003</v>
      </c>
      <c r="IU34" s="184">
        <v>30.49</v>
      </c>
      <c r="IV34" s="184">
        <v>33.61</v>
      </c>
      <c r="IW34" s="188"/>
      <c r="IX34" s="370">
        <v>1E-3</v>
      </c>
      <c r="IY34" s="336">
        <v>1.6425755584756899E-4</v>
      </c>
      <c r="IZ34" s="336">
        <v>8.6206896551724137E-4</v>
      </c>
      <c r="JA34" s="336">
        <v>1E-3</v>
      </c>
      <c r="JB34" s="336">
        <v>8.4281500210703754E-4</v>
      </c>
      <c r="JC34" s="335"/>
    </row>
    <row r="35" spans="1:263" ht="18.75" x14ac:dyDescent="0.25">
      <c r="A35" s="374"/>
      <c r="B35" s="41">
        <f t="shared" si="228"/>
        <v>44965</v>
      </c>
      <c r="C35" s="10"/>
      <c r="D35" s="11"/>
      <c r="E35" s="69">
        <f t="shared" si="229"/>
        <v>712</v>
      </c>
      <c r="F35" s="69">
        <f t="shared" si="229"/>
        <v>63</v>
      </c>
      <c r="G35" s="11">
        <v>23</v>
      </c>
      <c r="H35" s="12">
        <f t="shared" si="188"/>
        <v>3.6516853932584269E-2</v>
      </c>
      <c r="I35" s="11">
        <v>3</v>
      </c>
      <c r="J35" s="12">
        <f t="shared" si="230"/>
        <v>0.11538461538461539</v>
      </c>
      <c r="K35" s="11"/>
      <c r="L35" s="11"/>
      <c r="M35" s="18"/>
      <c r="N35" s="20"/>
      <c r="O35" s="10"/>
      <c r="P35" s="11"/>
      <c r="Q35" s="69">
        <f t="shared" si="231"/>
        <v>708</v>
      </c>
      <c r="R35" s="69">
        <f t="shared" si="231"/>
        <v>62</v>
      </c>
      <c r="S35" s="11">
        <v>30</v>
      </c>
      <c r="T35" s="12">
        <f t="shared" si="189"/>
        <v>5.3672316384180789E-2</v>
      </c>
      <c r="U35" s="11">
        <v>8</v>
      </c>
      <c r="V35" s="12">
        <f t="shared" si="190"/>
        <v>0.21052631578947367</v>
      </c>
      <c r="W35" s="177">
        <v>126.7413</v>
      </c>
      <c r="X35" s="11"/>
      <c r="Y35" s="18"/>
      <c r="Z35" s="20"/>
      <c r="AA35" s="10"/>
      <c r="AB35" s="11"/>
      <c r="AC35" s="69">
        <f t="shared" si="232"/>
        <v>192</v>
      </c>
      <c r="AD35" s="69">
        <f t="shared" si="232"/>
        <v>15</v>
      </c>
      <c r="AE35" s="11">
        <v>5</v>
      </c>
      <c r="AF35" s="12">
        <f t="shared" si="191"/>
        <v>4.6875E-2</v>
      </c>
      <c r="AG35" s="11">
        <v>4</v>
      </c>
      <c r="AH35" s="12">
        <f t="shared" si="192"/>
        <v>0.44444444444444442</v>
      </c>
      <c r="AI35" s="177">
        <v>130.88579999999999</v>
      </c>
      <c r="AJ35" s="11"/>
      <c r="AK35" s="18"/>
      <c r="AL35" s="20"/>
      <c r="AM35" s="10"/>
      <c r="AN35" s="11"/>
      <c r="AO35" s="69">
        <f t="shared" si="233"/>
        <v>710</v>
      </c>
      <c r="AP35" s="69">
        <f t="shared" si="233"/>
        <v>63</v>
      </c>
      <c r="AQ35" s="11">
        <v>35</v>
      </c>
      <c r="AR35" s="12">
        <f t="shared" si="193"/>
        <v>5.7746478873239436E-2</v>
      </c>
      <c r="AS35" s="11">
        <v>6</v>
      </c>
      <c r="AT35" s="12">
        <f t="shared" si="194"/>
        <v>0.14634146341463414</v>
      </c>
      <c r="AU35" s="177">
        <v>125.8203</v>
      </c>
      <c r="AV35" s="11"/>
      <c r="AW35" s="18"/>
      <c r="AX35" s="20"/>
      <c r="AY35" s="10"/>
      <c r="AZ35" s="11"/>
      <c r="BA35" s="69">
        <f t="shared" si="234"/>
        <v>711</v>
      </c>
      <c r="BB35" s="69">
        <f t="shared" si="234"/>
        <v>62</v>
      </c>
      <c r="BC35" s="11">
        <v>35</v>
      </c>
      <c r="BD35" s="12">
        <f t="shared" si="195"/>
        <v>6.7510548523206745E-2</v>
      </c>
      <c r="BE35" s="11">
        <v>13</v>
      </c>
      <c r="BF35" s="12">
        <f t="shared" si="196"/>
        <v>0.27083333333333331</v>
      </c>
      <c r="BG35" s="177">
        <v>125.35979999999999</v>
      </c>
      <c r="BH35" s="11"/>
      <c r="BI35" s="18"/>
      <c r="BJ35" s="20"/>
      <c r="BK35" s="10"/>
      <c r="BL35" s="11"/>
      <c r="BM35" s="69">
        <f t="shared" si="235"/>
        <v>708</v>
      </c>
      <c r="BN35" s="69">
        <f t="shared" si="235"/>
        <v>63</v>
      </c>
      <c r="BO35" s="11">
        <v>31</v>
      </c>
      <c r="BP35" s="12">
        <f t="shared" si="197"/>
        <v>5.0847457627118647E-2</v>
      </c>
      <c r="BQ35" s="11">
        <v>5</v>
      </c>
      <c r="BR35" s="12">
        <f t="shared" si="198"/>
        <v>0.1388888888888889</v>
      </c>
      <c r="BS35" s="177">
        <v>124.4388</v>
      </c>
      <c r="BT35" s="11"/>
      <c r="BU35" s="18"/>
      <c r="BV35" s="20"/>
      <c r="BW35" s="10"/>
      <c r="BX35" s="11"/>
      <c r="BY35" s="69">
        <f t="shared" si="236"/>
        <v>0</v>
      </c>
      <c r="BZ35" s="69">
        <f t="shared" si="236"/>
        <v>0</v>
      </c>
      <c r="CA35" s="11"/>
      <c r="CB35" s="12" t="e">
        <f t="shared" si="199"/>
        <v>#DIV/0!</v>
      </c>
      <c r="CC35" s="11"/>
      <c r="CD35" s="12" t="e">
        <f t="shared" si="200"/>
        <v>#DIV/0!</v>
      </c>
      <c r="CE35" s="11"/>
      <c r="CF35" s="11"/>
      <c r="CG35" s="18"/>
      <c r="CH35" s="20"/>
      <c r="CI35" s="10"/>
      <c r="CJ35" s="11"/>
      <c r="CK35" s="69">
        <f t="shared" si="237"/>
        <v>0</v>
      </c>
      <c r="CL35" s="69">
        <f t="shared" si="237"/>
        <v>0</v>
      </c>
      <c r="CM35" s="11"/>
      <c r="CN35" s="12" t="e">
        <f t="shared" si="201"/>
        <v>#DIV/0!</v>
      </c>
      <c r="CO35" s="11"/>
      <c r="CP35" s="12" t="e">
        <f t="shared" si="202"/>
        <v>#DIV/0!</v>
      </c>
      <c r="CQ35" s="11"/>
      <c r="CR35" s="11"/>
      <c r="CS35" s="18"/>
      <c r="CT35" s="20"/>
      <c r="CU35" s="10"/>
      <c r="CV35" s="11"/>
      <c r="CW35" s="69">
        <f t="shared" si="238"/>
        <v>0</v>
      </c>
      <c r="CX35" s="69">
        <f t="shared" si="238"/>
        <v>0</v>
      </c>
      <c r="CY35" s="11"/>
      <c r="CZ35" s="12" t="e">
        <f t="shared" si="203"/>
        <v>#DIV/0!</v>
      </c>
      <c r="DA35" s="11"/>
      <c r="DB35" s="12" t="e">
        <f t="shared" si="204"/>
        <v>#DIV/0!</v>
      </c>
      <c r="DC35" s="11"/>
      <c r="DD35" s="11"/>
      <c r="DE35" s="18"/>
      <c r="DF35" s="20"/>
      <c r="DG35" s="10"/>
      <c r="DH35" s="11"/>
      <c r="DI35" s="69">
        <f t="shared" si="239"/>
        <v>0</v>
      </c>
      <c r="DJ35" s="69">
        <f t="shared" si="239"/>
        <v>0</v>
      </c>
      <c r="DK35" s="11"/>
      <c r="DL35" s="12" t="e">
        <f t="shared" si="205"/>
        <v>#DIV/0!</v>
      </c>
      <c r="DM35" s="11"/>
      <c r="DN35" s="12" t="e">
        <f t="shared" si="206"/>
        <v>#DIV/0!</v>
      </c>
      <c r="DO35" s="11"/>
      <c r="DP35" s="11"/>
      <c r="DQ35" s="18"/>
      <c r="DR35" s="20"/>
      <c r="DS35" s="10"/>
      <c r="DT35" s="11"/>
      <c r="DU35" s="69">
        <f t="shared" si="240"/>
        <v>0</v>
      </c>
      <c r="DV35" s="69">
        <f t="shared" si="240"/>
        <v>0</v>
      </c>
      <c r="DW35" s="11"/>
      <c r="DX35" s="12" t="e">
        <f t="shared" si="207"/>
        <v>#DIV/0!</v>
      </c>
      <c r="DY35" s="11"/>
      <c r="DZ35" s="12" t="e">
        <f t="shared" si="208"/>
        <v>#DIV/0!</v>
      </c>
      <c r="EA35" s="11"/>
      <c r="EB35" s="11"/>
      <c r="EC35" s="18"/>
      <c r="ED35" s="20"/>
      <c r="EE35" s="10"/>
      <c r="EF35" s="11"/>
      <c r="EG35" s="69">
        <f t="shared" si="241"/>
        <v>0</v>
      </c>
      <c r="EH35" s="69">
        <f t="shared" si="241"/>
        <v>0</v>
      </c>
      <c r="EI35" s="11"/>
      <c r="EJ35" s="12" t="e">
        <f t="shared" si="209"/>
        <v>#DIV/0!</v>
      </c>
      <c r="EK35" s="11"/>
      <c r="EL35" s="12" t="e">
        <f t="shared" si="210"/>
        <v>#DIV/0!</v>
      </c>
      <c r="EM35" s="11"/>
      <c r="EN35" s="11"/>
      <c r="EO35" s="18"/>
      <c r="EP35" s="20"/>
      <c r="EQ35" s="10"/>
      <c r="ER35" s="11"/>
      <c r="ES35" s="69">
        <f t="shared" si="242"/>
        <v>0</v>
      </c>
      <c r="ET35" s="69">
        <f t="shared" si="242"/>
        <v>0</v>
      </c>
      <c r="EU35" s="11"/>
      <c r="EV35" s="12" t="e">
        <f t="shared" si="211"/>
        <v>#DIV/0!</v>
      </c>
      <c r="EW35" s="11"/>
      <c r="EX35" s="12" t="e">
        <f t="shared" si="212"/>
        <v>#DIV/0!</v>
      </c>
      <c r="EY35" s="11"/>
      <c r="EZ35" s="11"/>
      <c r="FA35" s="18"/>
      <c r="FB35" s="20"/>
      <c r="FC35" s="10"/>
      <c r="FD35" s="11"/>
      <c r="FE35" s="69">
        <f t="shared" si="243"/>
        <v>0</v>
      </c>
      <c r="FF35" s="69">
        <f t="shared" si="243"/>
        <v>0</v>
      </c>
      <c r="FG35" s="11"/>
      <c r="FH35" s="12" t="e">
        <f t="shared" si="213"/>
        <v>#DIV/0!</v>
      </c>
      <c r="FI35" s="11"/>
      <c r="FJ35" s="12" t="e">
        <f t="shared" si="214"/>
        <v>#DIV/0!</v>
      </c>
      <c r="FK35" s="11"/>
      <c r="FL35" s="11"/>
      <c r="FM35" s="18"/>
      <c r="FN35" s="20"/>
      <c r="FO35" s="10"/>
      <c r="FP35" s="11"/>
      <c r="FQ35" s="69">
        <f t="shared" si="244"/>
        <v>0</v>
      </c>
      <c r="FR35" s="69">
        <f t="shared" si="244"/>
        <v>0</v>
      </c>
      <c r="FS35" s="11"/>
      <c r="FT35" s="12" t="e">
        <f t="shared" si="215"/>
        <v>#DIV/0!</v>
      </c>
      <c r="FU35" s="11"/>
      <c r="FV35" s="12" t="e">
        <f t="shared" si="216"/>
        <v>#DIV/0!</v>
      </c>
      <c r="FW35" s="11"/>
      <c r="FX35" s="11"/>
      <c r="FY35" s="18"/>
      <c r="FZ35" s="20"/>
      <c r="GA35" s="10"/>
      <c r="GB35" s="11"/>
      <c r="GC35" s="69">
        <f t="shared" si="245"/>
        <v>0</v>
      </c>
      <c r="GD35" s="69">
        <f t="shared" si="245"/>
        <v>0</v>
      </c>
      <c r="GE35" s="11"/>
      <c r="GF35" s="12" t="e">
        <f t="shared" si="217"/>
        <v>#DIV/0!</v>
      </c>
      <c r="GG35" s="11"/>
      <c r="GH35" s="12" t="e">
        <f t="shared" si="218"/>
        <v>#DIV/0!</v>
      </c>
      <c r="GI35" s="11"/>
      <c r="GJ35" s="11"/>
      <c r="GK35" s="18"/>
      <c r="GL35" s="20"/>
      <c r="GM35" s="10"/>
      <c r="GN35" s="11"/>
      <c r="GO35" s="69">
        <f t="shared" si="246"/>
        <v>0</v>
      </c>
      <c r="GP35" s="69">
        <f t="shared" si="246"/>
        <v>0</v>
      </c>
      <c r="GQ35" s="11"/>
      <c r="GR35" s="12" t="e">
        <f t="shared" si="219"/>
        <v>#DIV/0!</v>
      </c>
      <c r="GS35" s="11"/>
      <c r="GT35" s="12" t="e">
        <f t="shared" si="220"/>
        <v>#DIV/0!</v>
      </c>
      <c r="GU35" s="11"/>
      <c r="GV35" s="11"/>
      <c r="GW35" s="18"/>
      <c r="GX35" s="20"/>
      <c r="GY35" s="10"/>
      <c r="GZ35" s="11"/>
      <c r="HA35" s="69">
        <f t="shared" si="247"/>
        <v>0</v>
      </c>
      <c r="HB35" s="69">
        <f t="shared" si="247"/>
        <v>0</v>
      </c>
      <c r="HC35" s="11"/>
      <c r="HD35" s="12" t="e">
        <f t="shared" si="221"/>
        <v>#DIV/0!</v>
      </c>
      <c r="HE35" s="11"/>
      <c r="HF35" s="12" t="e">
        <f t="shared" si="222"/>
        <v>#DIV/0!</v>
      </c>
      <c r="HG35" s="11"/>
      <c r="HH35" s="11"/>
      <c r="HI35" s="18"/>
      <c r="HJ35" s="20"/>
      <c r="HK35" s="10">
        <f t="shared" si="223"/>
        <v>0</v>
      </c>
      <c r="HL35" s="11">
        <f t="shared" si="223"/>
        <v>0</v>
      </c>
      <c r="HM35" s="11">
        <f t="shared" si="223"/>
        <v>3741</v>
      </c>
      <c r="HN35" s="11">
        <f t="shared" si="223"/>
        <v>328</v>
      </c>
      <c r="HO35" s="11">
        <f t="shared" si="224"/>
        <v>198</v>
      </c>
      <c r="HP35" s="95">
        <f t="shared" si="225"/>
        <v>5.2927024859663191E-2</v>
      </c>
      <c r="HQ35" s="15">
        <f t="shared" si="226"/>
        <v>39</v>
      </c>
      <c r="HR35" s="12">
        <f t="shared" si="248"/>
        <v>0.19696969696969696</v>
      </c>
      <c r="HS35" s="16">
        <v>55.3</v>
      </c>
      <c r="HT35" s="17">
        <v>152</v>
      </c>
      <c r="HU35" s="16">
        <f t="shared" si="227"/>
        <v>76.767676767676761</v>
      </c>
      <c r="HV35" s="18"/>
      <c r="HW35" s="20"/>
      <c r="HY35" s="348">
        <v>56</v>
      </c>
      <c r="HZ35" s="164">
        <v>72.948400000000007</v>
      </c>
      <c r="IA35" s="77">
        <v>74.815899999999999</v>
      </c>
      <c r="IB35" s="77">
        <v>73.698899999999995</v>
      </c>
      <c r="IC35" s="89">
        <v>72.099999999999994</v>
      </c>
      <c r="ID35" s="89"/>
      <c r="IE35" s="90"/>
      <c r="IF35" s="164">
        <v>18.806097520000002</v>
      </c>
      <c r="IG35" s="77">
        <v>20.043179609999999</v>
      </c>
      <c r="IH35" s="77">
        <v>23.399400749999998</v>
      </c>
      <c r="II35" s="77">
        <f t="shared" si="2"/>
        <v>20.865740000000002</v>
      </c>
      <c r="IJ35" s="77">
        <f t="shared" si="3"/>
        <v>0</v>
      </c>
      <c r="IK35" s="165">
        <f t="shared" si="4"/>
        <v>0</v>
      </c>
      <c r="IL35" s="360">
        <v>5026</v>
      </c>
      <c r="IM35" s="183">
        <v>5001</v>
      </c>
      <c r="IN35" s="183">
        <v>5019</v>
      </c>
      <c r="IO35" s="89">
        <v>4866</v>
      </c>
      <c r="IP35" s="89"/>
      <c r="IQ35" s="90"/>
      <c r="IR35" s="350">
        <v>25.78</v>
      </c>
      <c r="IS35" s="184">
        <v>26.79</v>
      </c>
      <c r="IT35" s="184">
        <v>31.75</v>
      </c>
      <c r="IU35" s="184">
        <v>28.94</v>
      </c>
      <c r="IV35" s="184"/>
      <c r="IW35" s="188"/>
      <c r="IX35" s="370">
        <v>0</v>
      </c>
      <c r="IY35" s="336">
        <v>7.2714051990547168E-4</v>
      </c>
      <c r="IZ35" s="336">
        <v>1.514692517418964E-3</v>
      </c>
      <c r="JA35" s="336">
        <v>0</v>
      </c>
      <c r="JB35" s="336"/>
      <c r="JC35" s="335"/>
    </row>
    <row r="36" spans="1:263" ht="18.75" x14ac:dyDescent="0.25">
      <c r="A36" s="374"/>
      <c r="B36" s="41">
        <f>+B35+1</f>
        <v>44966</v>
      </c>
      <c r="C36" s="10"/>
      <c r="D36" s="11"/>
      <c r="E36" s="69">
        <f t="shared" si="229"/>
        <v>712</v>
      </c>
      <c r="F36" s="69">
        <f t="shared" si="229"/>
        <v>63</v>
      </c>
      <c r="G36" s="11">
        <v>30</v>
      </c>
      <c r="H36" s="12">
        <f t="shared" si="188"/>
        <v>4.9157303370786519E-2</v>
      </c>
      <c r="I36" s="11">
        <v>5</v>
      </c>
      <c r="J36" s="12">
        <f t="shared" si="230"/>
        <v>0.14285714285714285</v>
      </c>
      <c r="K36" s="13"/>
      <c r="L36" s="13"/>
      <c r="M36" s="25">
        <v>3730</v>
      </c>
      <c r="N36" s="38">
        <v>4170</v>
      </c>
      <c r="O36" s="10"/>
      <c r="P36" s="11"/>
      <c r="Q36" s="69">
        <f t="shared" si="231"/>
        <v>708</v>
      </c>
      <c r="R36" s="69">
        <f t="shared" si="231"/>
        <v>62</v>
      </c>
      <c r="S36" s="11">
        <v>43</v>
      </c>
      <c r="T36" s="12">
        <f t="shared" si="189"/>
        <v>6.7796610169491525E-2</v>
      </c>
      <c r="U36" s="11">
        <v>5</v>
      </c>
      <c r="V36" s="12">
        <f t="shared" si="190"/>
        <v>0.10416666666666667</v>
      </c>
      <c r="W36" s="13"/>
      <c r="X36" s="13"/>
      <c r="Y36" s="25">
        <v>3730</v>
      </c>
      <c r="Z36" s="38">
        <v>4170</v>
      </c>
      <c r="AA36" s="10"/>
      <c r="AB36" s="11"/>
      <c r="AC36" s="69">
        <f t="shared" si="232"/>
        <v>192</v>
      </c>
      <c r="AD36" s="69">
        <f t="shared" si="232"/>
        <v>15</v>
      </c>
      <c r="AE36" s="11">
        <v>9</v>
      </c>
      <c r="AF36" s="12">
        <f t="shared" si="191"/>
        <v>4.6875E-2</v>
      </c>
      <c r="AG36" s="11">
        <v>0</v>
      </c>
      <c r="AH36" s="12">
        <f t="shared" si="192"/>
        <v>0</v>
      </c>
      <c r="AI36" s="13"/>
      <c r="AJ36" s="13"/>
      <c r="AK36" s="25">
        <v>3730</v>
      </c>
      <c r="AL36" s="38">
        <v>4170</v>
      </c>
      <c r="AM36" s="10"/>
      <c r="AN36" s="11"/>
      <c r="AO36" s="69">
        <f t="shared" si="233"/>
        <v>710</v>
      </c>
      <c r="AP36" s="69">
        <f t="shared" si="233"/>
        <v>63</v>
      </c>
      <c r="AQ36" s="11">
        <v>52</v>
      </c>
      <c r="AR36" s="12">
        <f t="shared" si="193"/>
        <v>8.5915492957746475E-2</v>
      </c>
      <c r="AS36" s="11">
        <v>9</v>
      </c>
      <c r="AT36" s="12">
        <f t="shared" si="194"/>
        <v>0.14754098360655737</v>
      </c>
      <c r="AU36" s="13"/>
      <c r="AV36" s="13"/>
      <c r="AW36" s="25">
        <v>3730</v>
      </c>
      <c r="AX36" s="38">
        <v>4170</v>
      </c>
      <c r="AY36" s="10"/>
      <c r="AZ36" s="11"/>
      <c r="BA36" s="69">
        <f t="shared" si="234"/>
        <v>711</v>
      </c>
      <c r="BB36" s="69">
        <f t="shared" si="234"/>
        <v>62</v>
      </c>
      <c r="BC36" s="11">
        <v>57</v>
      </c>
      <c r="BD36" s="12">
        <f t="shared" si="195"/>
        <v>9.5639943741209557E-2</v>
      </c>
      <c r="BE36" s="11">
        <v>11</v>
      </c>
      <c r="BF36" s="12">
        <f t="shared" si="196"/>
        <v>0.16176470588235295</v>
      </c>
      <c r="BG36" s="13"/>
      <c r="BH36" s="13"/>
      <c r="BI36" s="25">
        <v>3730</v>
      </c>
      <c r="BJ36" s="38">
        <v>4170</v>
      </c>
      <c r="BK36" s="10"/>
      <c r="BL36" s="11"/>
      <c r="BM36" s="69">
        <f t="shared" si="235"/>
        <v>708</v>
      </c>
      <c r="BN36" s="69">
        <f t="shared" si="235"/>
        <v>63</v>
      </c>
      <c r="BO36" s="11">
        <v>48</v>
      </c>
      <c r="BP36" s="12">
        <f t="shared" si="197"/>
        <v>8.3333333333333329E-2</v>
      </c>
      <c r="BQ36" s="11">
        <v>11</v>
      </c>
      <c r="BR36" s="12">
        <f t="shared" si="198"/>
        <v>0.1864406779661017</v>
      </c>
      <c r="BS36" s="13"/>
      <c r="BT36" s="13"/>
      <c r="BU36" s="25">
        <v>3730</v>
      </c>
      <c r="BV36" s="38">
        <v>4170</v>
      </c>
      <c r="BW36" s="10"/>
      <c r="BX36" s="11"/>
      <c r="BY36" s="69">
        <f t="shared" si="236"/>
        <v>0</v>
      </c>
      <c r="BZ36" s="69">
        <f t="shared" si="236"/>
        <v>0</v>
      </c>
      <c r="CA36" s="11"/>
      <c r="CB36" s="12" t="e">
        <f t="shared" si="199"/>
        <v>#DIV/0!</v>
      </c>
      <c r="CC36" s="11"/>
      <c r="CD36" s="12" t="e">
        <f t="shared" si="200"/>
        <v>#DIV/0!</v>
      </c>
      <c r="CE36" s="13"/>
      <c r="CF36" s="13"/>
      <c r="CG36" s="25"/>
      <c r="CH36" s="38"/>
      <c r="CI36" s="10"/>
      <c r="CJ36" s="11"/>
      <c r="CK36" s="69">
        <f t="shared" si="237"/>
        <v>0</v>
      </c>
      <c r="CL36" s="69">
        <f t="shared" si="237"/>
        <v>0</v>
      </c>
      <c r="CM36" s="11"/>
      <c r="CN36" s="12" t="e">
        <f t="shared" si="201"/>
        <v>#DIV/0!</v>
      </c>
      <c r="CO36" s="11"/>
      <c r="CP36" s="12" t="e">
        <f t="shared" si="202"/>
        <v>#DIV/0!</v>
      </c>
      <c r="CQ36" s="13"/>
      <c r="CR36" s="13"/>
      <c r="CS36" s="25"/>
      <c r="CT36" s="38"/>
      <c r="CU36" s="10"/>
      <c r="CV36" s="11"/>
      <c r="CW36" s="69">
        <f t="shared" si="238"/>
        <v>0</v>
      </c>
      <c r="CX36" s="69">
        <f t="shared" si="238"/>
        <v>0</v>
      </c>
      <c r="CY36" s="11"/>
      <c r="CZ36" s="12" t="e">
        <f t="shared" si="203"/>
        <v>#DIV/0!</v>
      </c>
      <c r="DA36" s="11"/>
      <c r="DB36" s="12" t="e">
        <f t="shared" si="204"/>
        <v>#DIV/0!</v>
      </c>
      <c r="DC36" s="13"/>
      <c r="DD36" s="13"/>
      <c r="DE36" s="25"/>
      <c r="DF36" s="38"/>
      <c r="DG36" s="10"/>
      <c r="DH36" s="11"/>
      <c r="DI36" s="69">
        <f t="shared" si="239"/>
        <v>0</v>
      </c>
      <c r="DJ36" s="69">
        <f t="shared" si="239"/>
        <v>0</v>
      </c>
      <c r="DK36" s="11"/>
      <c r="DL36" s="12" t="e">
        <f t="shared" si="205"/>
        <v>#DIV/0!</v>
      </c>
      <c r="DM36" s="11"/>
      <c r="DN36" s="12" t="e">
        <f t="shared" si="206"/>
        <v>#DIV/0!</v>
      </c>
      <c r="DO36" s="13"/>
      <c r="DP36" s="13"/>
      <c r="DQ36" s="25"/>
      <c r="DR36" s="38"/>
      <c r="DS36" s="10"/>
      <c r="DT36" s="11"/>
      <c r="DU36" s="69">
        <f t="shared" si="240"/>
        <v>0</v>
      </c>
      <c r="DV36" s="69">
        <f t="shared" si="240"/>
        <v>0</v>
      </c>
      <c r="DW36" s="11"/>
      <c r="DX36" s="12" t="e">
        <f t="shared" si="207"/>
        <v>#DIV/0!</v>
      </c>
      <c r="DY36" s="11"/>
      <c r="DZ36" s="12" t="e">
        <f t="shared" si="208"/>
        <v>#DIV/0!</v>
      </c>
      <c r="EA36" s="13"/>
      <c r="EB36" s="13"/>
      <c r="EC36" s="25"/>
      <c r="ED36" s="38"/>
      <c r="EE36" s="10"/>
      <c r="EF36" s="11"/>
      <c r="EG36" s="69">
        <f t="shared" si="241"/>
        <v>0</v>
      </c>
      <c r="EH36" s="69">
        <f t="shared" si="241"/>
        <v>0</v>
      </c>
      <c r="EI36" s="11"/>
      <c r="EJ36" s="12" t="e">
        <f t="shared" si="209"/>
        <v>#DIV/0!</v>
      </c>
      <c r="EK36" s="11"/>
      <c r="EL36" s="12" t="e">
        <f t="shared" si="210"/>
        <v>#DIV/0!</v>
      </c>
      <c r="EM36" s="13"/>
      <c r="EN36" s="13"/>
      <c r="EO36" s="25"/>
      <c r="EP36" s="38"/>
      <c r="EQ36" s="10"/>
      <c r="ER36" s="11"/>
      <c r="ES36" s="69">
        <f t="shared" si="242"/>
        <v>0</v>
      </c>
      <c r="ET36" s="69">
        <f t="shared" si="242"/>
        <v>0</v>
      </c>
      <c r="EU36" s="11"/>
      <c r="EV36" s="12" t="e">
        <f t="shared" si="211"/>
        <v>#DIV/0!</v>
      </c>
      <c r="EW36" s="11"/>
      <c r="EX36" s="12" t="e">
        <f t="shared" si="212"/>
        <v>#DIV/0!</v>
      </c>
      <c r="EY36" s="13"/>
      <c r="EZ36" s="13"/>
      <c r="FA36" s="25"/>
      <c r="FB36" s="38"/>
      <c r="FC36" s="10"/>
      <c r="FD36" s="11"/>
      <c r="FE36" s="69">
        <f t="shared" si="243"/>
        <v>0</v>
      </c>
      <c r="FF36" s="69">
        <f t="shared" si="243"/>
        <v>0</v>
      </c>
      <c r="FG36" s="11"/>
      <c r="FH36" s="12" t="e">
        <f t="shared" si="213"/>
        <v>#DIV/0!</v>
      </c>
      <c r="FI36" s="11"/>
      <c r="FJ36" s="12" t="e">
        <f t="shared" si="214"/>
        <v>#DIV/0!</v>
      </c>
      <c r="FK36" s="13"/>
      <c r="FL36" s="13"/>
      <c r="FM36" s="25"/>
      <c r="FN36" s="38"/>
      <c r="FO36" s="10"/>
      <c r="FP36" s="11"/>
      <c r="FQ36" s="69">
        <f t="shared" si="244"/>
        <v>0</v>
      </c>
      <c r="FR36" s="69">
        <f t="shared" si="244"/>
        <v>0</v>
      </c>
      <c r="FS36" s="11"/>
      <c r="FT36" s="12" t="e">
        <f t="shared" si="215"/>
        <v>#DIV/0!</v>
      </c>
      <c r="FU36" s="11"/>
      <c r="FV36" s="12" t="e">
        <f t="shared" si="216"/>
        <v>#DIV/0!</v>
      </c>
      <c r="FW36" s="13"/>
      <c r="FX36" s="13"/>
      <c r="FY36" s="25"/>
      <c r="FZ36" s="38"/>
      <c r="GA36" s="10"/>
      <c r="GB36" s="11"/>
      <c r="GC36" s="69">
        <f t="shared" si="245"/>
        <v>0</v>
      </c>
      <c r="GD36" s="69">
        <f t="shared" si="245"/>
        <v>0</v>
      </c>
      <c r="GE36" s="11"/>
      <c r="GF36" s="12" t="e">
        <f t="shared" si="217"/>
        <v>#DIV/0!</v>
      </c>
      <c r="GG36" s="11"/>
      <c r="GH36" s="12" t="e">
        <f t="shared" si="218"/>
        <v>#DIV/0!</v>
      </c>
      <c r="GI36" s="13"/>
      <c r="GJ36" s="13"/>
      <c r="GK36" s="25"/>
      <c r="GL36" s="38"/>
      <c r="GM36" s="10"/>
      <c r="GN36" s="11"/>
      <c r="GO36" s="69">
        <f t="shared" si="246"/>
        <v>0</v>
      </c>
      <c r="GP36" s="69">
        <f t="shared" si="246"/>
        <v>0</v>
      </c>
      <c r="GQ36" s="11"/>
      <c r="GR36" s="12" t="e">
        <f t="shared" si="219"/>
        <v>#DIV/0!</v>
      </c>
      <c r="GS36" s="11"/>
      <c r="GT36" s="12" t="e">
        <f t="shared" si="220"/>
        <v>#DIV/0!</v>
      </c>
      <c r="GU36" s="13"/>
      <c r="GV36" s="13"/>
      <c r="GW36" s="25"/>
      <c r="GX36" s="38"/>
      <c r="GY36" s="10"/>
      <c r="GZ36" s="11"/>
      <c r="HA36" s="69">
        <f t="shared" si="247"/>
        <v>0</v>
      </c>
      <c r="HB36" s="69">
        <f t="shared" si="247"/>
        <v>0</v>
      </c>
      <c r="HC36" s="11"/>
      <c r="HD36" s="12" t="e">
        <f t="shared" si="221"/>
        <v>#DIV/0!</v>
      </c>
      <c r="HE36" s="11"/>
      <c r="HF36" s="12" t="e">
        <f t="shared" si="222"/>
        <v>#DIV/0!</v>
      </c>
      <c r="HG36" s="13"/>
      <c r="HH36" s="13"/>
      <c r="HI36" s="25"/>
      <c r="HJ36" s="38"/>
      <c r="HK36" s="10">
        <f t="shared" si="223"/>
        <v>0</v>
      </c>
      <c r="HL36" s="11">
        <f t="shared" si="223"/>
        <v>0</v>
      </c>
      <c r="HM36" s="11">
        <f t="shared" si="223"/>
        <v>3741</v>
      </c>
      <c r="HN36" s="11">
        <f t="shared" si="223"/>
        <v>328</v>
      </c>
      <c r="HO36" s="11">
        <f t="shared" si="224"/>
        <v>280</v>
      </c>
      <c r="HP36" s="95">
        <f t="shared" si="225"/>
        <v>7.4846297781341886E-2</v>
      </c>
      <c r="HQ36" s="15">
        <f t="shared" si="226"/>
        <v>41</v>
      </c>
      <c r="HR36" s="12">
        <f t="shared" si="248"/>
        <v>0.14642857142857144</v>
      </c>
      <c r="HS36" s="16">
        <v>55.7</v>
      </c>
      <c r="HT36" s="17">
        <v>222</v>
      </c>
      <c r="HU36" s="16">
        <f t="shared" si="227"/>
        <v>79.285714285714278</v>
      </c>
      <c r="HV36" s="23">
        <v>3730</v>
      </c>
      <c r="HW36" s="22">
        <v>4170</v>
      </c>
      <c r="HY36" s="348">
        <v>57</v>
      </c>
      <c r="HZ36" s="164">
        <v>72.904700000000005</v>
      </c>
      <c r="IA36" s="77">
        <v>75.217600000000004</v>
      </c>
      <c r="IB36" s="77">
        <v>73.097200000000001</v>
      </c>
      <c r="IC36" s="89">
        <v>72.5</v>
      </c>
      <c r="ID36" s="89"/>
      <c r="IE36" s="90"/>
      <c r="IF36" s="164">
        <v>17.817908680000002</v>
      </c>
      <c r="IG36" s="77">
        <v>17.946919360000003</v>
      </c>
      <c r="IH36" s="77">
        <v>21.62946148</v>
      </c>
      <c r="II36" s="77">
        <f t="shared" si="2"/>
        <v>20.952500000000001</v>
      </c>
      <c r="IJ36" s="77">
        <f t="shared" si="3"/>
        <v>0</v>
      </c>
      <c r="IK36" s="165">
        <f t="shared" si="4"/>
        <v>0</v>
      </c>
      <c r="IL36" s="360">
        <v>5026</v>
      </c>
      <c r="IM36" s="183">
        <v>5001</v>
      </c>
      <c r="IN36" s="183">
        <v>5019</v>
      </c>
      <c r="IO36" s="89">
        <v>4866</v>
      </c>
      <c r="IP36" s="89"/>
      <c r="IQ36" s="90"/>
      <c r="IR36" s="350">
        <v>24.44</v>
      </c>
      <c r="IS36" s="184">
        <v>23.86</v>
      </c>
      <c r="IT36" s="184">
        <v>29.59</v>
      </c>
      <c r="IU36" s="184">
        <v>28.9</v>
      </c>
      <c r="IV36" s="184"/>
      <c r="IW36" s="188"/>
      <c r="IX36" s="370">
        <v>5.8696928194091171E-4</v>
      </c>
      <c r="IY36" s="336">
        <v>1.4314928425357874E-3</v>
      </c>
      <c r="IZ36" s="336">
        <v>3.2948929159802305E-4</v>
      </c>
      <c r="JA36" s="336">
        <v>0</v>
      </c>
      <c r="JB36" s="336"/>
      <c r="JC36" s="335"/>
    </row>
    <row r="37" spans="1:263" ht="18.75" x14ac:dyDescent="0.25">
      <c r="A37" s="374"/>
      <c r="B37" s="41">
        <f t="shared" si="228"/>
        <v>44967</v>
      </c>
      <c r="C37" s="10"/>
      <c r="D37" s="11"/>
      <c r="E37" s="69">
        <f t="shared" si="229"/>
        <v>712</v>
      </c>
      <c r="F37" s="69">
        <f t="shared" si="229"/>
        <v>63</v>
      </c>
      <c r="G37" s="11">
        <v>36</v>
      </c>
      <c r="H37" s="12">
        <f t="shared" si="188"/>
        <v>6.1797752808988762E-2</v>
      </c>
      <c r="I37" s="11">
        <v>8</v>
      </c>
      <c r="J37" s="12">
        <f t="shared" si="230"/>
        <v>0.18181818181818182</v>
      </c>
      <c r="K37" s="180">
        <v>130</v>
      </c>
      <c r="L37" s="11"/>
      <c r="M37" s="25">
        <v>4005.83</v>
      </c>
      <c r="N37" s="38">
        <v>4250.83</v>
      </c>
      <c r="O37" s="10"/>
      <c r="P37" s="11"/>
      <c r="Q37" s="69">
        <f t="shared" si="231"/>
        <v>708</v>
      </c>
      <c r="R37" s="69">
        <f t="shared" si="231"/>
        <v>62</v>
      </c>
      <c r="S37" s="11">
        <v>55</v>
      </c>
      <c r="T37" s="12">
        <f t="shared" si="189"/>
        <v>8.1920903954802254E-2</v>
      </c>
      <c r="U37" s="11">
        <v>3</v>
      </c>
      <c r="V37" s="12">
        <f t="shared" si="190"/>
        <v>5.1724137931034482E-2</v>
      </c>
      <c r="W37" s="13"/>
      <c r="X37" s="11"/>
      <c r="Y37" s="25">
        <v>4044.1</v>
      </c>
      <c r="Z37" s="38">
        <v>4313.1000000000004</v>
      </c>
      <c r="AA37" s="10">
        <v>1</v>
      </c>
      <c r="AB37" s="11">
        <v>1</v>
      </c>
      <c r="AC37" s="69">
        <f t="shared" si="232"/>
        <v>191</v>
      </c>
      <c r="AD37" s="69">
        <f t="shared" si="232"/>
        <v>14</v>
      </c>
      <c r="AE37" s="11">
        <v>11</v>
      </c>
      <c r="AF37" s="12">
        <f t="shared" si="191"/>
        <v>6.2827225130890049E-2</v>
      </c>
      <c r="AG37" s="11">
        <v>1</v>
      </c>
      <c r="AH37" s="12">
        <f t="shared" si="192"/>
        <v>8.3333333333333329E-2</v>
      </c>
      <c r="AI37" s="13"/>
      <c r="AJ37" s="11"/>
      <c r="AK37" s="25">
        <v>3876.4</v>
      </c>
      <c r="AL37" s="38">
        <v>4260</v>
      </c>
      <c r="AM37" s="10"/>
      <c r="AN37" s="11"/>
      <c r="AO37" s="69">
        <f t="shared" si="233"/>
        <v>710</v>
      </c>
      <c r="AP37" s="69">
        <f t="shared" si="233"/>
        <v>63</v>
      </c>
      <c r="AQ37" s="11">
        <v>58</v>
      </c>
      <c r="AR37" s="12">
        <f t="shared" si="193"/>
        <v>9.154929577464789E-2</v>
      </c>
      <c r="AS37" s="11">
        <v>7</v>
      </c>
      <c r="AT37" s="12">
        <f t="shared" si="194"/>
        <v>0.1076923076923077</v>
      </c>
      <c r="AU37" s="13"/>
      <c r="AV37" s="11"/>
      <c r="AW37" s="25">
        <v>3993.95</v>
      </c>
      <c r="AX37" s="38">
        <v>4471.54</v>
      </c>
      <c r="AY37" s="10"/>
      <c r="AZ37" s="11"/>
      <c r="BA37" s="69">
        <f t="shared" si="234"/>
        <v>711</v>
      </c>
      <c r="BB37" s="69">
        <f t="shared" si="234"/>
        <v>62</v>
      </c>
      <c r="BC37" s="11">
        <v>62</v>
      </c>
      <c r="BD37" s="12">
        <f t="shared" si="195"/>
        <v>0.10548523206751055</v>
      </c>
      <c r="BE37" s="11">
        <v>13</v>
      </c>
      <c r="BF37" s="12">
        <f t="shared" si="196"/>
        <v>0.17333333333333334</v>
      </c>
      <c r="BG37" s="13"/>
      <c r="BH37" s="11"/>
      <c r="BI37" s="25">
        <v>3978.86</v>
      </c>
      <c r="BJ37" s="38">
        <v>4499.17</v>
      </c>
      <c r="BK37" s="10"/>
      <c r="BL37" s="11"/>
      <c r="BM37" s="69">
        <f t="shared" si="235"/>
        <v>708</v>
      </c>
      <c r="BN37" s="69">
        <f t="shared" si="235"/>
        <v>63</v>
      </c>
      <c r="BO37" s="11">
        <v>64</v>
      </c>
      <c r="BP37" s="12">
        <f t="shared" si="197"/>
        <v>0.1059322033898305</v>
      </c>
      <c r="BQ37" s="11">
        <v>11</v>
      </c>
      <c r="BR37" s="12">
        <f t="shared" si="198"/>
        <v>0.14666666666666667</v>
      </c>
      <c r="BS37" s="13"/>
      <c r="BT37" s="11"/>
      <c r="BU37" s="25">
        <v>4088.33</v>
      </c>
      <c r="BV37" s="38">
        <v>4385.71</v>
      </c>
      <c r="BW37" s="10"/>
      <c r="BX37" s="11"/>
      <c r="BY37" s="69">
        <f t="shared" si="236"/>
        <v>0</v>
      </c>
      <c r="BZ37" s="69">
        <f t="shared" si="236"/>
        <v>0</v>
      </c>
      <c r="CA37" s="11"/>
      <c r="CB37" s="12" t="e">
        <f t="shared" si="199"/>
        <v>#DIV/0!</v>
      </c>
      <c r="CC37" s="11"/>
      <c r="CD37" s="12" t="e">
        <f t="shared" si="200"/>
        <v>#DIV/0!</v>
      </c>
      <c r="CE37" s="13"/>
      <c r="CF37" s="11"/>
      <c r="CG37" s="25"/>
      <c r="CH37" s="38"/>
      <c r="CI37" s="10"/>
      <c r="CJ37" s="11"/>
      <c r="CK37" s="69">
        <f t="shared" si="237"/>
        <v>0</v>
      </c>
      <c r="CL37" s="69">
        <f t="shared" si="237"/>
        <v>0</v>
      </c>
      <c r="CM37" s="11"/>
      <c r="CN37" s="12" t="e">
        <f t="shared" si="201"/>
        <v>#DIV/0!</v>
      </c>
      <c r="CO37" s="11"/>
      <c r="CP37" s="12" t="e">
        <f t="shared" si="202"/>
        <v>#DIV/0!</v>
      </c>
      <c r="CQ37" s="13"/>
      <c r="CR37" s="11"/>
      <c r="CS37" s="25"/>
      <c r="CT37" s="38"/>
      <c r="CU37" s="10"/>
      <c r="CV37" s="11"/>
      <c r="CW37" s="69">
        <f t="shared" si="238"/>
        <v>0</v>
      </c>
      <c r="CX37" s="69">
        <f t="shared" si="238"/>
        <v>0</v>
      </c>
      <c r="CY37" s="11"/>
      <c r="CZ37" s="12" t="e">
        <f t="shared" si="203"/>
        <v>#DIV/0!</v>
      </c>
      <c r="DA37" s="11"/>
      <c r="DB37" s="12" t="e">
        <f t="shared" si="204"/>
        <v>#DIV/0!</v>
      </c>
      <c r="DC37" s="13"/>
      <c r="DD37" s="11"/>
      <c r="DE37" s="25"/>
      <c r="DF37" s="38"/>
      <c r="DG37" s="10"/>
      <c r="DH37" s="11"/>
      <c r="DI37" s="69">
        <f t="shared" si="239"/>
        <v>0</v>
      </c>
      <c r="DJ37" s="69">
        <f t="shared" si="239"/>
        <v>0</v>
      </c>
      <c r="DK37" s="11"/>
      <c r="DL37" s="12" t="e">
        <f t="shared" si="205"/>
        <v>#DIV/0!</v>
      </c>
      <c r="DM37" s="11"/>
      <c r="DN37" s="12" t="e">
        <f t="shared" si="206"/>
        <v>#DIV/0!</v>
      </c>
      <c r="DO37" s="13"/>
      <c r="DP37" s="11"/>
      <c r="DQ37" s="25"/>
      <c r="DR37" s="38"/>
      <c r="DS37" s="10"/>
      <c r="DT37" s="11"/>
      <c r="DU37" s="69">
        <f t="shared" si="240"/>
        <v>0</v>
      </c>
      <c r="DV37" s="69">
        <f t="shared" si="240"/>
        <v>0</v>
      </c>
      <c r="DW37" s="11"/>
      <c r="DX37" s="12" t="e">
        <f t="shared" si="207"/>
        <v>#DIV/0!</v>
      </c>
      <c r="DY37" s="11"/>
      <c r="DZ37" s="12" t="e">
        <f t="shared" si="208"/>
        <v>#DIV/0!</v>
      </c>
      <c r="EA37" s="13"/>
      <c r="EB37" s="11"/>
      <c r="EC37" s="25"/>
      <c r="ED37" s="38"/>
      <c r="EE37" s="10"/>
      <c r="EF37" s="11"/>
      <c r="EG37" s="69">
        <f t="shared" si="241"/>
        <v>0</v>
      </c>
      <c r="EH37" s="69">
        <f t="shared" si="241"/>
        <v>0</v>
      </c>
      <c r="EI37" s="11"/>
      <c r="EJ37" s="12" t="e">
        <f t="shared" si="209"/>
        <v>#DIV/0!</v>
      </c>
      <c r="EK37" s="11"/>
      <c r="EL37" s="12" t="e">
        <f t="shared" si="210"/>
        <v>#DIV/0!</v>
      </c>
      <c r="EM37" s="13"/>
      <c r="EN37" s="11"/>
      <c r="EO37" s="25"/>
      <c r="EP37" s="38"/>
      <c r="EQ37" s="10"/>
      <c r="ER37" s="11"/>
      <c r="ES37" s="69">
        <f t="shared" si="242"/>
        <v>0</v>
      </c>
      <c r="ET37" s="69">
        <f t="shared" si="242"/>
        <v>0</v>
      </c>
      <c r="EU37" s="11"/>
      <c r="EV37" s="12" t="e">
        <f t="shared" si="211"/>
        <v>#DIV/0!</v>
      </c>
      <c r="EW37" s="11"/>
      <c r="EX37" s="12" t="e">
        <f t="shared" si="212"/>
        <v>#DIV/0!</v>
      </c>
      <c r="EY37" s="13"/>
      <c r="EZ37" s="11"/>
      <c r="FA37" s="25"/>
      <c r="FB37" s="38"/>
      <c r="FC37" s="10"/>
      <c r="FD37" s="11"/>
      <c r="FE37" s="69">
        <f t="shared" si="243"/>
        <v>0</v>
      </c>
      <c r="FF37" s="69">
        <f t="shared" si="243"/>
        <v>0</v>
      </c>
      <c r="FG37" s="11"/>
      <c r="FH37" s="12" t="e">
        <f t="shared" si="213"/>
        <v>#DIV/0!</v>
      </c>
      <c r="FI37" s="11"/>
      <c r="FJ37" s="12" t="e">
        <f t="shared" si="214"/>
        <v>#DIV/0!</v>
      </c>
      <c r="FK37" s="13"/>
      <c r="FL37" s="11"/>
      <c r="FM37" s="25"/>
      <c r="FN37" s="38"/>
      <c r="FO37" s="10"/>
      <c r="FP37" s="11"/>
      <c r="FQ37" s="69">
        <f t="shared" si="244"/>
        <v>0</v>
      </c>
      <c r="FR37" s="69">
        <f t="shared" si="244"/>
        <v>0</v>
      </c>
      <c r="FS37" s="11"/>
      <c r="FT37" s="12" t="e">
        <f t="shared" si="215"/>
        <v>#DIV/0!</v>
      </c>
      <c r="FU37" s="11"/>
      <c r="FV37" s="12" t="e">
        <f t="shared" si="216"/>
        <v>#DIV/0!</v>
      </c>
      <c r="FW37" s="13"/>
      <c r="FX37" s="11"/>
      <c r="FY37" s="25"/>
      <c r="FZ37" s="38"/>
      <c r="GA37" s="10"/>
      <c r="GB37" s="11"/>
      <c r="GC37" s="69">
        <f t="shared" si="245"/>
        <v>0</v>
      </c>
      <c r="GD37" s="69">
        <f t="shared" si="245"/>
        <v>0</v>
      </c>
      <c r="GE37" s="11"/>
      <c r="GF37" s="12" t="e">
        <f t="shared" si="217"/>
        <v>#DIV/0!</v>
      </c>
      <c r="GG37" s="11"/>
      <c r="GH37" s="12" t="e">
        <f t="shared" si="218"/>
        <v>#DIV/0!</v>
      </c>
      <c r="GI37" s="13"/>
      <c r="GJ37" s="11"/>
      <c r="GK37" s="25"/>
      <c r="GL37" s="38"/>
      <c r="GM37" s="10"/>
      <c r="GN37" s="11"/>
      <c r="GO37" s="69">
        <f t="shared" si="246"/>
        <v>0</v>
      </c>
      <c r="GP37" s="69">
        <f t="shared" si="246"/>
        <v>0</v>
      </c>
      <c r="GQ37" s="11"/>
      <c r="GR37" s="12" t="e">
        <f t="shared" si="219"/>
        <v>#DIV/0!</v>
      </c>
      <c r="GS37" s="11"/>
      <c r="GT37" s="12" t="e">
        <f t="shared" si="220"/>
        <v>#DIV/0!</v>
      </c>
      <c r="GU37" s="13"/>
      <c r="GV37" s="11"/>
      <c r="GW37" s="25"/>
      <c r="GX37" s="38"/>
      <c r="GY37" s="10"/>
      <c r="GZ37" s="11"/>
      <c r="HA37" s="69">
        <f t="shared" si="247"/>
        <v>0</v>
      </c>
      <c r="HB37" s="69">
        <f t="shared" si="247"/>
        <v>0</v>
      </c>
      <c r="HC37" s="11"/>
      <c r="HD37" s="12" t="e">
        <f t="shared" si="221"/>
        <v>#DIV/0!</v>
      </c>
      <c r="HE37" s="11"/>
      <c r="HF37" s="12" t="e">
        <f t="shared" si="222"/>
        <v>#DIV/0!</v>
      </c>
      <c r="HG37" s="13"/>
      <c r="HH37" s="11"/>
      <c r="HI37" s="25"/>
      <c r="HJ37" s="38"/>
      <c r="HK37" s="10">
        <f t="shared" si="223"/>
        <v>1</v>
      </c>
      <c r="HL37" s="11">
        <f t="shared" si="223"/>
        <v>1</v>
      </c>
      <c r="HM37" s="11">
        <f t="shared" si="223"/>
        <v>3740</v>
      </c>
      <c r="HN37" s="11">
        <f t="shared" si="223"/>
        <v>327</v>
      </c>
      <c r="HO37" s="11">
        <f t="shared" si="224"/>
        <v>329</v>
      </c>
      <c r="HP37" s="95">
        <f t="shared" si="225"/>
        <v>8.7967914438502673E-2</v>
      </c>
      <c r="HQ37" s="15">
        <f t="shared" si="226"/>
        <v>43</v>
      </c>
      <c r="HR37" s="12">
        <f t="shared" si="248"/>
        <v>0.13069908814589665</v>
      </c>
      <c r="HS37" s="16">
        <v>56.6</v>
      </c>
      <c r="HT37" s="17">
        <v>265</v>
      </c>
      <c r="HU37" s="16">
        <f t="shared" si="227"/>
        <v>80.547112462006083</v>
      </c>
      <c r="HV37" s="23">
        <v>4013.9</v>
      </c>
      <c r="HW37" s="22">
        <v>4377.1000000000004</v>
      </c>
      <c r="HY37" s="348">
        <v>58</v>
      </c>
      <c r="HZ37" s="164">
        <v>73.231499999999997</v>
      </c>
      <c r="IA37" s="77">
        <v>75.361000000000004</v>
      </c>
      <c r="IB37" s="77">
        <v>73.868499999999997</v>
      </c>
      <c r="IC37" s="89">
        <v>72.8</v>
      </c>
      <c r="ID37" s="89"/>
      <c r="IE37" s="90"/>
      <c r="IF37" s="164">
        <v>16.740720899999999</v>
      </c>
      <c r="IG37" s="77">
        <v>15.6826241</v>
      </c>
      <c r="IH37" s="77">
        <v>21.251967449999999</v>
      </c>
      <c r="II37" s="77">
        <f t="shared" si="2"/>
        <v>20.478639999999999</v>
      </c>
      <c r="IJ37" s="77">
        <f t="shared" si="3"/>
        <v>0</v>
      </c>
      <c r="IK37" s="165">
        <f t="shared" si="4"/>
        <v>0</v>
      </c>
      <c r="IL37" s="360">
        <v>5333</v>
      </c>
      <c r="IM37" s="183">
        <v>4962</v>
      </c>
      <c r="IN37" s="183">
        <v>5025</v>
      </c>
      <c r="IO37" s="89">
        <v>4964</v>
      </c>
      <c r="IP37" s="89"/>
      <c r="IQ37" s="90"/>
      <c r="IR37" s="350">
        <v>22.86</v>
      </c>
      <c r="IS37" s="184">
        <v>20.81</v>
      </c>
      <c r="IT37" s="184">
        <v>28.77</v>
      </c>
      <c r="IU37" s="184">
        <v>28.13</v>
      </c>
      <c r="IV37" s="184"/>
      <c r="IW37" s="188"/>
      <c r="IX37" s="370">
        <v>0</v>
      </c>
      <c r="IY37" s="336">
        <v>4.7047753469771819E-4</v>
      </c>
      <c r="IZ37" s="336">
        <v>1.3610071452875127E-3</v>
      </c>
      <c r="JA37" s="336">
        <v>0</v>
      </c>
      <c r="JB37" s="336"/>
      <c r="JC37" s="335"/>
    </row>
    <row r="38" spans="1:263" ht="18.75" x14ac:dyDescent="0.25">
      <c r="A38" s="374"/>
      <c r="B38" s="41">
        <f t="shared" si="228"/>
        <v>44968</v>
      </c>
      <c r="C38" s="10"/>
      <c r="D38" s="11"/>
      <c r="E38" s="69">
        <f>E37-C38</f>
        <v>712</v>
      </c>
      <c r="F38" s="69">
        <f>F37-D38</f>
        <v>63</v>
      </c>
      <c r="G38" s="11">
        <v>60</v>
      </c>
      <c r="H38" s="12">
        <f t="shared" si="188"/>
        <v>9.6910112359550563E-2</v>
      </c>
      <c r="I38" s="11">
        <v>9</v>
      </c>
      <c r="J38" s="12">
        <f t="shared" si="230"/>
        <v>0.13043478260869565</v>
      </c>
      <c r="K38" s="13"/>
      <c r="L38" s="11"/>
      <c r="M38" s="39">
        <v>91.7</v>
      </c>
      <c r="N38" s="43">
        <v>100</v>
      </c>
      <c r="O38" s="10"/>
      <c r="P38" s="11"/>
      <c r="Q38" s="69">
        <f t="shared" si="231"/>
        <v>708</v>
      </c>
      <c r="R38" s="69">
        <f t="shared" si="231"/>
        <v>62</v>
      </c>
      <c r="S38" s="11">
        <v>85</v>
      </c>
      <c r="T38" s="12">
        <f t="shared" si="189"/>
        <v>0.13983050847457626</v>
      </c>
      <c r="U38" s="11">
        <v>14</v>
      </c>
      <c r="V38" s="12">
        <f t="shared" si="190"/>
        <v>0.14141414141414141</v>
      </c>
      <c r="W38" s="13"/>
      <c r="X38" s="11"/>
      <c r="Y38" s="39">
        <v>97.3</v>
      </c>
      <c r="Z38" s="43">
        <v>100</v>
      </c>
      <c r="AA38" s="10"/>
      <c r="AB38" s="11">
        <v>1</v>
      </c>
      <c r="AC38" s="69">
        <f t="shared" si="232"/>
        <v>191</v>
      </c>
      <c r="AD38" s="69">
        <f t="shared" si="232"/>
        <v>13</v>
      </c>
      <c r="AE38" s="11">
        <v>14</v>
      </c>
      <c r="AF38" s="12">
        <f t="shared" si="191"/>
        <v>7.8534031413612565E-2</v>
      </c>
      <c r="AG38" s="11">
        <v>1</v>
      </c>
      <c r="AH38" s="12">
        <f t="shared" si="192"/>
        <v>6.6666666666666666E-2</v>
      </c>
      <c r="AI38" s="13"/>
      <c r="AJ38" s="11"/>
      <c r="AK38" s="39">
        <v>81.8</v>
      </c>
      <c r="AL38" s="43">
        <v>100</v>
      </c>
      <c r="AM38" s="10">
        <v>1</v>
      </c>
      <c r="AN38" s="11"/>
      <c r="AO38" s="69">
        <f t="shared" si="233"/>
        <v>709</v>
      </c>
      <c r="AP38" s="69">
        <f t="shared" si="233"/>
        <v>63</v>
      </c>
      <c r="AQ38" s="11">
        <v>85</v>
      </c>
      <c r="AR38" s="12">
        <f t="shared" si="193"/>
        <v>0.14245416078984485</v>
      </c>
      <c r="AS38" s="11">
        <v>16</v>
      </c>
      <c r="AT38" s="12">
        <f t="shared" si="194"/>
        <v>0.15841584158415842</v>
      </c>
      <c r="AU38" s="173">
        <v>129.1</v>
      </c>
      <c r="AV38" s="11"/>
      <c r="AW38" s="39">
        <v>100</v>
      </c>
      <c r="AX38" s="43">
        <v>92.31</v>
      </c>
      <c r="AY38" s="10"/>
      <c r="AZ38" s="11"/>
      <c r="BA38" s="69">
        <f t="shared" si="234"/>
        <v>711</v>
      </c>
      <c r="BB38" s="69">
        <f t="shared" si="234"/>
        <v>62</v>
      </c>
      <c r="BC38" s="11">
        <v>90</v>
      </c>
      <c r="BD38" s="12">
        <f t="shared" si="195"/>
        <v>0.15611814345991562</v>
      </c>
      <c r="BE38" s="11">
        <v>21</v>
      </c>
      <c r="BF38" s="12">
        <f t="shared" si="196"/>
        <v>0.1891891891891892</v>
      </c>
      <c r="BG38" s="173">
        <v>128.69999999999999</v>
      </c>
      <c r="BH38" s="11"/>
      <c r="BI38" s="39">
        <v>100</v>
      </c>
      <c r="BJ38" s="43">
        <v>100</v>
      </c>
      <c r="BK38" s="10"/>
      <c r="BL38" s="11"/>
      <c r="BM38" s="69">
        <f t="shared" si="235"/>
        <v>708</v>
      </c>
      <c r="BN38" s="69">
        <f t="shared" si="235"/>
        <v>63</v>
      </c>
      <c r="BO38" s="11">
        <v>81</v>
      </c>
      <c r="BP38" s="12">
        <f t="shared" si="197"/>
        <v>0.12853107344632769</v>
      </c>
      <c r="BQ38" s="11">
        <v>10</v>
      </c>
      <c r="BR38" s="12">
        <f t="shared" si="198"/>
        <v>0.10989010989010989</v>
      </c>
      <c r="BS38" s="13"/>
      <c r="BT38" s="11"/>
      <c r="BU38" s="39">
        <v>100</v>
      </c>
      <c r="BV38" s="43">
        <v>100</v>
      </c>
      <c r="BW38" s="10"/>
      <c r="BX38" s="11"/>
      <c r="BY38" s="69">
        <f t="shared" si="236"/>
        <v>0</v>
      </c>
      <c r="BZ38" s="69">
        <f t="shared" si="236"/>
        <v>0</v>
      </c>
      <c r="CA38" s="11"/>
      <c r="CB38" s="12" t="e">
        <f t="shared" si="199"/>
        <v>#DIV/0!</v>
      </c>
      <c r="CC38" s="11"/>
      <c r="CD38" s="12" t="e">
        <f t="shared" si="200"/>
        <v>#DIV/0!</v>
      </c>
      <c r="CE38" s="13"/>
      <c r="CF38" s="11"/>
      <c r="CG38" s="39"/>
      <c r="CH38" s="43"/>
      <c r="CI38" s="10"/>
      <c r="CJ38" s="11"/>
      <c r="CK38" s="69">
        <f t="shared" si="237"/>
        <v>0</v>
      </c>
      <c r="CL38" s="69">
        <f t="shared" si="237"/>
        <v>0</v>
      </c>
      <c r="CM38" s="11"/>
      <c r="CN38" s="12" t="e">
        <f t="shared" si="201"/>
        <v>#DIV/0!</v>
      </c>
      <c r="CO38" s="11"/>
      <c r="CP38" s="12" t="e">
        <f t="shared" si="202"/>
        <v>#DIV/0!</v>
      </c>
      <c r="CQ38" s="13"/>
      <c r="CR38" s="11"/>
      <c r="CS38" s="39"/>
      <c r="CT38" s="43"/>
      <c r="CU38" s="10"/>
      <c r="CV38" s="11"/>
      <c r="CW38" s="69">
        <f t="shared" si="238"/>
        <v>0</v>
      </c>
      <c r="CX38" s="69">
        <f t="shared" si="238"/>
        <v>0</v>
      </c>
      <c r="CY38" s="11"/>
      <c r="CZ38" s="12" t="e">
        <f t="shared" si="203"/>
        <v>#DIV/0!</v>
      </c>
      <c r="DA38" s="11"/>
      <c r="DB38" s="12" t="e">
        <f t="shared" si="204"/>
        <v>#DIV/0!</v>
      </c>
      <c r="DC38" s="13"/>
      <c r="DD38" s="11"/>
      <c r="DE38" s="39"/>
      <c r="DF38" s="43"/>
      <c r="DG38" s="10"/>
      <c r="DH38" s="11"/>
      <c r="DI38" s="69">
        <f t="shared" si="239"/>
        <v>0</v>
      </c>
      <c r="DJ38" s="69">
        <f t="shared" si="239"/>
        <v>0</v>
      </c>
      <c r="DK38" s="11"/>
      <c r="DL38" s="12" t="e">
        <f t="shared" si="205"/>
        <v>#DIV/0!</v>
      </c>
      <c r="DM38" s="11"/>
      <c r="DN38" s="12" t="e">
        <f t="shared" si="206"/>
        <v>#DIV/0!</v>
      </c>
      <c r="DO38" s="13"/>
      <c r="DP38" s="11"/>
      <c r="DQ38" s="39"/>
      <c r="DR38" s="43"/>
      <c r="DS38" s="10"/>
      <c r="DT38" s="11"/>
      <c r="DU38" s="69">
        <f t="shared" si="240"/>
        <v>0</v>
      </c>
      <c r="DV38" s="69">
        <f t="shared" si="240"/>
        <v>0</v>
      </c>
      <c r="DW38" s="11"/>
      <c r="DX38" s="12" t="e">
        <f t="shared" si="207"/>
        <v>#DIV/0!</v>
      </c>
      <c r="DY38" s="11"/>
      <c r="DZ38" s="12" t="e">
        <f t="shared" si="208"/>
        <v>#DIV/0!</v>
      </c>
      <c r="EA38" s="13"/>
      <c r="EB38" s="11"/>
      <c r="EC38" s="39"/>
      <c r="ED38" s="43"/>
      <c r="EE38" s="10"/>
      <c r="EF38" s="11"/>
      <c r="EG38" s="69">
        <f t="shared" si="241"/>
        <v>0</v>
      </c>
      <c r="EH38" s="69">
        <f t="shared" si="241"/>
        <v>0</v>
      </c>
      <c r="EI38" s="11"/>
      <c r="EJ38" s="12" t="e">
        <f t="shared" si="209"/>
        <v>#DIV/0!</v>
      </c>
      <c r="EK38" s="11"/>
      <c r="EL38" s="12" t="e">
        <f t="shared" si="210"/>
        <v>#DIV/0!</v>
      </c>
      <c r="EM38" s="13"/>
      <c r="EN38" s="11"/>
      <c r="EO38" s="39"/>
      <c r="EP38" s="43"/>
      <c r="EQ38" s="10"/>
      <c r="ER38" s="11"/>
      <c r="ES38" s="69">
        <f t="shared" si="242"/>
        <v>0</v>
      </c>
      <c r="ET38" s="69">
        <f t="shared" si="242"/>
        <v>0</v>
      </c>
      <c r="EU38" s="11"/>
      <c r="EV38" s="12" t="e">
        <f t="shared" si="211"/>
        <v>#DIV/0!</v>
      </c>
      <c r="EW38" s="11"/>
      <c r="EX38" s="12" t="e">
        <f t="shared" si="212"/>
        <v>#DIV/0!</v>
      </c>
      <c r="EY38" s="13"/>
      <c r="EZ38" s="11"/>
      <c r="FA38" s="39"/>
      <c r="FB38" s="43"/>
      <c r="FC38" s="10"/>
      <c r="FD38" s="11"/>
      <c r="FE38" s="69">
        <f t="shared" si="243"/>
        <v>0</v>
      </c>
      <c r="FF38" s="69">
        <f t="shared" si="243"/>
        <v>0</v>
      </c>
      <c r="FG38" s="11"/>
      <c r="FH38" s="12" t="e">
        <f t="shared" si="213"/>
        <v>#DIV/0!</v>
      </c>
      <c r="FI38" s="11"/>
      <c r="FJ38" s="12" t="e">
        <f t="shared" si="214"/>
        <v>#DIV/0!</v>
      </c>
      <c r="FK38" s="13"/>
      <c r="FL38" s="11"/>
      <c r="FM38" s="39"/>
      <c r="FN38" s="43"/>
      <c r="FO38" s="10"/>
      <c r="FP38" s="11"/>
      <c r="FQ38" s="69">
        <f t="shared" si="244"/>
        <v>0</v>
      </c>
      <c r="FR38" s="69">
        <f t="shared" si="244"/>
        <v>0</v>
      </c>
      <c r="FS38" s="11"/>
      <c r="FT38" s="12" t="e">
        <f t="shared" si="215"/>
        <v>#DIV/0!</v>
      </c>
      <c r="FU38" s="11"/>
      <c r="FV38" s="12" t="e">
        <f t="shared" si="216"/>
        <v>#DIV/0!</v>
      </c>
      <c r="FW38" s="13"/>
      <c r="FX38" s="11"/>
      <c r="FY38" s="39"/>
      <c r="FZ38" s="43"/>
      <c r="GA38" s="10"/>
      <c r="GB38" s="11"/>
      <c r="GC38" s="69">
        <f t="shared" si="245"/>
        <v>0</v>
      </c>
      <c r="GD38" s="69">
        <f t="shared" si="245"/>
        <v>0</v>
      </c>
      <c r="GE38" s="11"/>
      <c r="GF38" s="12" t="e">
        <f t="shared" si="217"/>
        <v>#DIV/0!</v>
      </c>
      <c r="GG38" s="11"/>
      <c r="GH38" s="12" t="e">
        <f t="shared" si="218"/>
        <v>#DIV/0!</v>
      </c>
      <c r="GI38" s="13"/>
      <c r="GJ38" s="11"/>
      <c r="GK38" s="39"/>
      <c r="GL38" s="43"/>
      <c r="GM38" s="10"/>
      <c r="GN38" s="11"/>
      <c r="GO38" s="69">
        <f t="shared" si="246"/>
        <v>0</v>
      </c>
      <c r="GP38" s="69">
        <f t="shared" si="246"/>
        <v>0</v>
      </c>
      <c r="GQ38" s="11"/>
      <c r="GR38" s="12" t="e">
        <f t="shared" si="219"/>
        <v>#DIV/0!</v>
      </c>
      <c r="GS38" s="11"/>
      <c r="GT38" s="12" t="e">
        <f t="shared" si="220"/>
        <v>#DIV/0!</v>
      </c>
      <c r="GU38" s="13"/>
      <c r="GV38" s="11"/>
      <c r="GW38" s="39"/>
      <c r="GX38" s="43"/>
      <c r="GY38" s="10"/>
      <c r="GZ38" s="11"/>
      <c r="HA38" s="69">
        <f t="shared" si="247"/>
        <v>0</v>
      </c>
      <c r="HB38" s="69">
        <f t="shared" si="247"/>
        <v>0</v>
      </c>
      <c r="HC38" s="11"/>
      <c r="HD38" s="12" t="e">
        <f t="shared" si="221"/>
        <v>#DIV/0!</v>
      </c>
      <c r="HE38" s="11"/>
      <c r="HF38" s="12" t="e">
        <f t="shared" si="222"/>
        <v>#DIV/0!</v>
      </c>
      <c r="HG38" s="13"/>
      <c r="HH38" s="11"/>
      <c r="HI38" s="39"/>
      <c r="HJ38" s="43"/>
      <c r="HK38" s="10">
        <f t="shared" si="223"/>
        <v>1</v>
      </c>
      <c r="HL38" s="11">
        <f t="shared" si="223"/>
        <v>1</v>
      </c>
      <c r="HM38" s="11">
        <f t="shared" si="223"/>
        <v>3739</v>
      </c>
      <c r="HN38" s="11">
        <f t="shared" si="223"/>
        <v>326</v>
      </c>
      <c r="HO38" s="11">
        <f t="shared" si="224"/>
        <v>486</v>
      </c>
      <c r="HP38" s="95">
        <f t="shared" si="225"/>
        <v>0.12998127841668897</v>
      </c>
      <c r="HQ38" s="15">
        <f t="shared" si="226"/>
        <v>71</v>
      </c>
      <c r="HR38" s="12">
        <f t="shared" si="248"/>
        <v>0.14609053497942387</v>
      </c>
      <c r="HS38" s="16">
        <v>57.5</v>
      </c>
      <c r="HT38" s="17">
        <v>386</v>
      </c>
      <c r="HU38" s="16">
        <f t="shared" si="227"/>
        <v>79.423868312757207</v>
      </c>
      <c r="HV38" s="23">
        <v>96.37</v>
      </c>
      <c r="HW38" s="22">
        <v>98.53</v>
      </c>
      <c r="HY38" s="348">
        <v>59</v>
      </c>
      <c r="HZ38" s="164">
        <v>73.432000000000002</v>
      </c>
      <c r="IA38" s="77">
        <v>74.866900000000001</v>
      </c>
      <c r="IB38" s="77">
        <v>74.071399999999997</v>
      </c>
      <c r="IC38" s="89">
        <v>73.3</v>
      </c>
      <c r="ID38" s="89"/>
      <c r="IE38" s="90"/>
      <c r="IF38" s="164">
        <v>15.406033600000001</v>
      </c>
      <c r="IG38" s="77">
        <v>14.239684379999998</v>
      </c>
      <c r="IH38" s="77">
        <v>20.23630648</v>
      </c>
      <c r="II38" s="77">
        <f t="shared" si="2"/>
        <v>20.010899999999999</v>
      </c>
      <c r="IJ38" s="77">
        <f t="shared" si="3"/>
        <v>0</v>
      </c>
      <c r="IK38" s="165">
        <f t="shared" si="4"/>
        <v>0</v>
      </c>
      <c r="IL38" s="360">
        <v>5333</v>
      </c>
      <c r="IM38" s="183">
        <v>4962</v>
      </c>
      <c r="IN38" s="183">
        <v>5025</v>
      </c>
      <c r="IO38" s="89">
        <v>4964</v>
      </c>
      <c r="IP38" s="89"/>
      <c r="IQ38" s="90"/>
      <c r="IR38" s="350">
        <v>20.98</v>
      </c>
      <c r="IS38" s="184">
        <v>19.02</v>
      </c>
      <c r="IT38" s="184">
        <v>27.32</v>
      </c>
      <c r="IU38" s="184">
        <v>27.3</v>
      </c>
      <c r="IV38" s="184"/>
      <c r="IW38" s="188"/>
      <c r="IX38" s="370">
        <v>2.3078698361412417E-4</v>
      </c>
      <c r="IY38" s="336">
        <v>5.1612903225806454E-4</v>
      </c>
      <c r="IZ38" s="336">
        <v>8.9847259658580418E-4</v>
      </c>
      <c r="JA38" s="336">
        <v>6.3421595053115589E-4</v>
      </c>
      <c r="JB38" s="336"/>
      <c r="JC38" s="335"/>
    </row>
    <row r="39" spans="1:263" ht="19.5" thickBot="1" x14ac:dyDescent="0.3">
      <c r="A39" s="374"/>
      <c r="B39" s="42"/>
      <c r="C39" s="26">
        <f>SUM(C32:C38)</f>
        <v>0</v>
      </c>
      <c r="D39" s="27">
        <f>SUM(D32:D38)</f>
        <v>0</v>
      </c>
      <c r="E39" s="27"/>
      <c r="F39" s="27"/>
      <c r="G39" s="27">
        <f>SUM(G32:G38)</f>
        <v>175</v>
      </c>
      <c r="H39" s="28">
        <f>((G39+I39)/7)/E38</f>
        <v>4.1131621187800962E-2</v>
      </c>
      <c r="I39" s="27">
        <f>SUM(I32:I38)</f>
        <v>30</v>
      </c>
      <c r="J39" s="28">
        <f>(I39/(I39+G39))</f>
        <v>0.14634146341463414</v>
      </c>
      <c r="K39" s="27"/>
      <c r="L39" s="27"/>
      <c r="M39" s="29">
        <f>M37/M36*100-100</f>
        <v>7.3949061662198261</v>
      </c>
      <c r="N39" s="67">
        <f>N37/N36*100-100</f>
        <v>1.9383693045563462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273</v>
      </c>
      <c r="T39" s="28">
        <f>((S39+U39)/7)/Q38</f>
        <v>6.2146892655367235E-2</v>
      </c>
      <c r="U39" s="27">
        <f>SUM(U32:U38)</f>
        <v>35</v>
      </c>
      <c r="V39" s="28">
        <f>(U39/(U39+S39))</f>
        <v>0.11363636363636363</v>
      </c>
      <c r="W39" s="27"/>
      <c r="X39" s="27"/>
      <c r="Y39" s="29">
        <f>Y37/Y36*100-100</f>
        <v>8.4209115281501283</v>
      </c>
      <c r="Z39" s="67">
        <f>Z37/Z36*100-100</f>
        <v>3.431654676259015</v>
      </c>
      <c r="AA39" s="26">
        <f>SUM(AA32:AA38)</f>
        <v>1</v>
      </c>
      <c r="AB39" s="27">
        <f>SUM(AB32:AB38)</f>
        <v>2</v>
      </c>
      <c r="AC39" s="27"/>
      <c r="AD39" s="27"/>
      <c r="AE39" s="27">
        <f>SUM(AE32:AE38)</f>
        <v>45</v>
      </c>
      <c r="AF39" s="28">
        <f>((AE39+AG39)/7)/AC38</f>
        <v>3.8145100972326103E-2</v>
      </c>
      <c r="AG39" s="27">
        <f>SUM(AG32:AG38)</f>
        <v>6</v>
      </c>
      <c r="AH39" s="28">
        <f>(AG39/(AG39+AE39))</f>
        <v>0.11764705882352941</v>
      </c>
      <c r="AI39" s="27"/>
      <c r="AJ39" s="27"/>
      <c r="AK39" s="29">
        <f>AK37/AK36*100-100</f>
        <v>3.9249329758713145</v>
      </c>
      <c r="AL39" s="67">
        <f>AL37/AL36*100-100</f>
        <v>2.1582733812949755</v>
      </c>
      <c r="AM39" s="26">
        <f>SUM(AM32:AM38)</f>
        <v>2</v>
      </c>
      <c r="AN39" s="27">
        <f>SUM(AN32:AN38)</f>
        <v>0</v>
      </c>
      <c r="AO39" s="27"/>
      <c r="AP39" s="27"/>
      <c r="AQ39" s="27">
        <f>SUM(AQ32:AQ38)</f>
        <v>269</v>
      </c>
      <c r="AR39" s="28">
        <f>((AQ39+AS39)/7)/AO38</f>
        <v>6.2865202498488815E-2</v>
      </c>
      <c r="AS39" s="27">
        <f>SUM(AS32:AS38)</f>
        <v>43</v>
      </c>
      <c r="AT39" s="28">
        <f>(AS39/(AS39+AQ39))</f>
        <v>0.13782051282051283</v>
      </c>
      <c r="AU39" s="27"/>
      <c r="AV39" s="27"/>
      <c r="AW39" s="29">
        <f>AW37/AW36*100-100</f>
        <v>7.0764075067023953</v>
      </c>
      <c r="AX39" s="67">
        <f>AX37/AX36*100-100</f>
        <v>7.2311750599520366</v>
      </c>
      <c r="AY39" s="26">
        <f>SUM(AY32:AY38)</f>
        <v>0</v>
      </c>
      <c r="AZ39" s="27">
        <f>SUM(AZ32:AZ38)</f>
        <v>0</v>
      </c>
      <c r="BA39" s="27"/>
      <c r="BB39" s="27"/>
      <c r="BC39" s="27">
        <f>SUM(BC32:BC38)</f>
        <v>306</v>
      </c>
      <c r="BD39" s="28">
        <f>((BC39+BE39)/7)/BA38</f>
        <v>7.494474583082178E-2</v>
      </c>
      <c r="BE39" s="27">
        <f>SUM(BE32:BE38)</f>
        <v>67</v>
      </c>
      <c r="BF39" s="28">
        <f>(BE39/(BE39+BC39))</f>
        <v>0.17962466487935658</v>
      </c>
      <c r="BG39" s="27"/>
      <c r="BH39" s="27"/>
      <c r="BI39" s="29">
        <f>BI37/BI36*100-100</f>
        <v>6.6718498659517564</v>
      </c>
      <c r="BJ39" s="67">
        <f>BJ37/BJ36*100-100</f>
        <v>7.8937649880095933</v>
      </c>
      <c r="BK39" s="26">
        <f>SUM(BK32:BK38)</f>
        <v>1</v>
      </c>
      <c r="BL39" s="27">
        <f>SUM(BL32:BL38)</f>
        <v>0</v>
      </c>
      <c r="BM39" s="27"/>
      <c r="BN39" s="27"/>
      <c r="BO39" s="27">
        <f>SUM(BO32:BO38)</f>
        <v>271</v>
      </c>
      <c r="BP39" s="28">
        <f>((BO39+BQ39)/7)/BM38</f>
        <v>6.3357546408393861E-2</v>
      </c>
      <c r="BQ39" s="27">
        <f>SUM(BQ32:BQ38)</f>
        <v>43</v>
      </c>
      <c r="BR39" s="28">
        <f>(BQ39/(BQ39+BO39))</f>
        <v>0.13694267515923567</v>
      </c>
      <c r="BS39" s="27"/>
      <c r="BT39" s="27"/>
      <c r="BU39" s="29">
        <f>BU37/BU36*100-100</f>
        <v>9.6067024128686285</v>
      </c>
      <c r="BV39" s="67">
        <f>BV37/BV36*100-100</f>
        <v>5.1729016786570696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7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7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7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7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7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7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7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7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7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7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7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7" t="e">
        <f>HJ37/HJ36*100-100</f>
        <v>#DIV/0!</v>
      </c>
      <c r="HK39" s="26">
        <f t="shared" si="223"/>
        <v>4</v>
      </c>
      <c r="HL39" s="27">
        <f t="shared" si="223"/>
        <v>2</v>
      </c>
      <c r="HM39" s="27">
        <f t="shared" si="223"/>
        <v>0</v>
      </c>
      <c r="HN39" s="27">
        <f t="shared" si="223"/>
        <v>0</v>
      </c>
      <c r="HO39" s="27">
        <f t="shared" si="224"/>
        <v>1563</v>
      </c>
      <c r="HP39" s="96">
        <f>+((HO39)/HM38)/7</f>
        <v>5.9718030030947923E-2</v>
      </c>
      <c r="HQ39" s="62">
        <f t="shared" si="226"/>
        <v>224</v>
      </c>
      <c r="HR39" s="52">
        <f t="shared" si="248"/>
        <v>0.14331413947536789</v>
      </c>
      <c r="HS39" s="53">
        <f>SUM(HS32:HS38)/7</f>
        <v>32.157142857142858</v>
      </c>
      <c r="HT39" s="54">
        <f>SUM(HT32:HT38)</f>
        <v>1096</v>
      </c>
      <c r="HU39" s="53">
        <f>AVERAGE(HU32:HU38)</f>
        <v>54.367118053372693</v>
      </c>
      <c r="HV39" s="63">
        <f>HV37/HV36*100-100</f>
        <v>7.61126005361929</v>
      </c>
      <c r="HW39" s="67">
        <f>HW37/HW36*100-100</f>
        <v>4.9664268585132021</v>
      </c>
      <c r="HY39" s="348">
        <v>60</v>
      </c>
      <c r="HZ39" s="164">
        <v>73.311000000000007</v>
      </c>
      <c r="IA39" s="77">
        <v>75.011700000000005</v>
      </c>
      <c r="IB39" s="89"/>
      <c r="IC39" s="89">
        <v>73.099999999999994</v>
      </c>
      <c r="ID39" s="89"/>
      <c r="IE39" s="90"/>
      <c r="IF39" s="164">
        <v>13.606521600000001</v>
      </c>
      <c r="IG39" s="77">
        <v>14.004684390000001</v>
      </c>
      <c r="IH39" s="77">
        <v>0</v>
      </c>
      <c r="II39" s="77">
        <f t="shared" si="2"/>
        <v>20.007469999999998</v>
      </c>
      <c r="IJ39" s="77">
        <f t="shared" si="3"/>
        <v>0</v>
      </c>
      <c r="IK39" s="165">
        <f t="shared" si="4"/>
        <v>0</v>
      </c>
      <c r="IL39" s="360">
        <v>5090</v>
      </c>
      <c r="IM39" s="183">
        <v>5357</v>
      </c>
      <c r="IN39" s="183">
        <v>5198</v>
      </c>
      <c r="IO39" s="89">
        <v>5038</v>
      </c>
      <c r="IP39" s="89"/>
      <c r="IQ39" s="90"/>
      <c r="IR39" s="350">
        <v>18.559999999999999</v>
      </c>
      <c r="IS39" s="184">
        <v>18.670000000000002</v>
      </c>
      <c r="IT39" s="184">
        <v>26.59</v>
      </c>
      <c r="IU39" s="184">
        <v>27.37</v>
      </c>
      <c r="IV39" s="184"/>
      <c r="IW39" s="188"/>
      <c r="IX39" s="370">
        <v>0</v>
      </c>
      <c r="IY39" s="336">
        <v>3.1172069825436408E-4</v>
      </c>
      <c r="IZ39" s="336">
        <v>1.8542555164101615E-4</v>
      </c>
      <c r="JA39" s="336">
        <v>3.1816735602927139E-4</v>
      </c>
      <c r="JB39" s="336"/>
      <c r="JC39" s="335"/>
    </row>
    <row r="40" spans="1:263" ht="19.5" thickBot="1" x14ac:dyDescent="0.3">
      <c r="A40" s="56"/>
      <c r="B40" s="83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1.0686615014694097E-3</v>
      </c>
      <c r="HL40" s="66">
        <f>HL39/HN29</f>
        <v>6.0975609756097563E-3</v>
      </c>
      <c r="HM40" s="45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48">
        <v>61</v>
      </c>
      <c r="HZ40" s="164"/>
      <c r="IA40" s="77"/>
      <c r="IB40" s="89"/>
      <c r="IC40" s="89">
        <v>73.099999999999994</v>
      </c>
      <c r="ID40" s="89"/>
      <c r="IE40" s="90"/>
      <c r="IF40" s="164"/>
      <c r="IG40" s="77"/>
      <c r="IH40" s="77"/>
      <c r="II40" s="77">
        <f t="shared" si="2"/>
        <v>18.757459999999998</v>
      </c>
      <c r="IJ40" s="77">
        <f t="shared" si="3"/>
        <v>0</v>
      </c>
      <c r="IK40" s="165"/>
      <c r="IL40" s="360"/>
      <c r="IM40" s="183"/>
      <c r="IN40" s="183"/>
      <c r="IO40" s="89">
        <v>5038</v>
      </c>
      <c r="IP40" s="89"/>
      <c r="IQ40" s="90"/>
      <c r="IR40" s="350"/>
      <c r="IS40" s="184"/>
      <c r="IT40" s="184"/>
      <c r="IU40" s="184">
        <v>25.66</v>
      </c>
      <c r="IV40" s="184"/>
      <c r="IW40" s="188"/>
      <c r="IX40" s="370"/>
      <c r="IY40" s="336"/>
      <c r="IZ40" s="336"/>
      <c r="JA40" s="336">
        <v>5.1194539249146758E-4</v>
      </c>
      <c r="JB40" s="336"/>
      <c r="JC40" s="335"/>
    </row>
    <row r="41" spans="1:263" ht="18.75" x14ac:dyDescent="0.25">
      <c r="A41" s="373">
        <v>29</v>
      </c>
      <c r="B41" s="68">
        <f>B38+1</f>
        <v>44969</v>
      </c>
      <c r="C41" s="33"/>
      <c r="D41" s="34"/>
      <c r="E41" s="34">
        <f>E38-C41</f>
        <v>712</v>
      </c>
      <c r="F41" s="34">
        <f>F38-D41</f>
        <v>63</v>
      </c>
      <c r="G41" s="34">
        <v>70</v>
      </c>
      <c r="H41" s="35">
        <f t="shared" ref="H41:H47" si="249">((G41+I41)/E41)</f>
        <v>0.11376404494382023</v>
      </c>
      <c r="I41" s="34">
        <v>11</v>
      </c>
      <c r="J41" s="35">
        <f>I41/(G41+I41)</f>
        <v>0.13580246913580246</v>
      </c>
      <c r="K41" s="36"/>
      <c r="L41" s="34"/>
      <c r="M41" s="34"/>
      <c r="N41" s="37"/>
      <c r="O41" s="33"/>
      <c r="P41" s="34"/>
      <c r="Q41" s="34">
        <f>Q38-O41</f>
        <v>708</v>
      </c>
      <c r="R41" s="34">
        <f>R38-P41</f>
        <v>62</v>
      </c>
      <c r="S41" s="34">
        <v>86</v>
      </c>
      <c r="T41" s="35">
        <f t="shared" ref="T41:T47" si="250">((S41+U41)/Q41)</f>
        <v>0.13983050847457626</v>
      </c>
      <c r="U41" s="34">
        <v>13</v>
      </c>
      <c r="V41" s="35">
        <f t="shared" ref="V41:V47" si="251">U41/(S41+U41)</f>
        <v>0.13131313131313133</v>
      </c>
      <c r="W41" s="36"/>
      <c r="X41" s="34"/>
      <c r="Y41" s="34"/>
      <c r="Z41" s="37"/>
      <c r="AA41" s="33"/>
      <c r="AB41" s="34"/>
      <c r="AC41" s="34">
        <f>AC38-AA41</f>
        <v>191</v>
      </c>
      <c r="AD41" s="34">
        <f>AD38-AB41</f>
        <v>13</v>
      </c>
      <c r="AE41" s="34">
        <v>19</v>
      </c>
      <c r="AF41" s="35">
        <f t="shared" ref="AF41:AF47" si="252">((AE41+AG41)/AC41)</f>
        <v>0.1099476439790576</v>
      </c>
      <c r="AG41" s="34">
        <v>2</v>
      </c>
      <c r="AH41" s="35">
        <f t="shared" ref="AH41:AH47" si="253">AG41/(AE41+AG41)</f>
        <v>9.5238095238095233E-2</v>
      </c>
      <c r="AI41" s="36"/>
      <c r="AJ41" s="34"/>
      <c r="AK41" s="34"/>
      <c r="AL41" s="37"/>
      <c r="AM41" s="33">
        <v>1</v>
      </c>
      <c r="AN41" s="34"/>
      <c r="AO41" s="34">
        <f>AO38-AM41</f>
        <v>708</v>
      </c>
      <c r="AP41" s="34">
        <f>AP38-AN41</f>
        <v>63</v>
      </c>
      <c r="AQ41" s="34">
        <v>97</v>
      </c>
      <c r="AR41" s="35">
        <f t="shared" ref="AR41:AR47" si="254">((AQ41+AS41)/AO41)</f>
        <v>0.15536723163841809</v>
      </c>
      <c r="AS41" s="34">
        <v>13</v>
      </c>
      <c r="AT41" s="35">
        <f t="shared" ref="AT41:AT47" si="255">AS41/(AQ41+AS41)</f>
        <v>0.11818181818181818</v>
      </c>
      <c r="AU41" s="36"/>
      <c r="AV41" s="34"/>
      <c r="AW41" s="34"/>
      <c r="AX41" s="37"/>
      <c r="AY41" s="33">
        <v>1</v>
      </c>
      <c r="AZ41" s="34"/>
      <c r="BA41" s="34">
        <f>BA38-AY41</f>
        <v>710</v>
      </c>
      <c r="BB41" s="34">
        <f>BB38-AZ41</f>
        <v>62</v>
      </c>
      <c r="BC41" s="34">
        <v>105</v>
      </c>
      <c r="BD41" s="35">
        <f t="shared" ref="BD41:BD47" si="256">((BC41+BE41)/BA41)</f>
        <v>0.18169014084507043</v>
      </c>
      <c r="BE41" s="34">
        <v>24</v>
      </c>
      <c r="BF41" s="35">
        <f t="shared" ref="BF41:BF47" si="257">BE41/(BC41+BE41)</f>
        <v>0.18604651162790697</v>
      </c>
      <c r="BG41" s="36"/>
      <c r="BH41" s="34"/>
      <c r="BI41" s="34"/>
      <c r="BJ41" s="37"/>
      <c r="BK41" s="33"/>
      <c r="BL41" s="34"/>
      <c r="BM41" s="34">
        <f>BM38-BK41</f>
        <v>708</v>
      </c>
      <c r="BN41" s="34">
        <f>BN38-BL41</f>
        <v>63</v>
      </c>
      <c r="BO41" s="34">
        <v>85</v>
      </c>
      <c r="BP41" s="35">
        <f t="shared" ref="BP41:BP47" si="258">((BO41+BQ41)/BM41)</f>
        <v>0.14548022598870056</v>
      </c>
      <c r="BQ41" s="34">
        <v>18</v>
      </c>
      <c r="BR41" s="35">
        <f t="shared" ref="BR41:BR47" si="259">BQ41/(BO41+BQ41)</f>
        <v>0.17475728155339806</v>
      </c>
      <c r="BS41" s="181">
        <v>127.9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60">((CA41+CC41)/BY41)</f>
        <v>#DIV/0!</v>
      </c>
      <c r="CC41" s="34"/>
      <c r="CD41" s="35" t="e">
        <f t="shared" ref="CD41:CD47" si="26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62">((CM41+CO41)/CK41)</f>
        <v>#DIV/0!</v>
      </c>
      <c r="CO41" s="34"/>
      <c r="CP41" s="35" t="e">
        <f t="shared" ref="CP41:CP47" si="26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64">((CY41+DA41)/CW41)</f>
        <v>#DIV/0!</v>
      </c>
      <c r="DA41" s="34"/>
      <c r="DB41" s="35" t="e">
        <f t="shared" ref="DB41:DB47" si="26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66">((DK41+DM41)/DI41)</f>
        <v>#DIV/0!</v>
      </c>
      <c r="DM41" s="34"/>
      <c r="DN41" s="35" t="e">
        <f t="shared" ref="DN41:DN47" si="26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68">((DW41+DY41)/DU41)</f>
        <v>#DIV/0!</v>
      </c>
      <c r="DY41" s="34"/>
      <c r="DZ41" s="35" t="e">
        <f t="shared" ref="DZ41:DZ47" si="26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70">((EI41+EK41)/EG41)</f>
        <v>#DIV/0!</v>
      </c>
      <c r="EK41" s="34"/>
      <c r="EL41" s="35" t="e">
        <f t="shared" ref="EL41:EL47" si="27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72">((EU41+EW41)/ES41)</f>
        <v>#DIV/0!</v>
      </c>
      <c r="EW41" s="34"/>
      <c r="EX41" s="35" t="e">
        <f t="shared" ref="EX41:EX47" si="27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74">((FG41+FI41)/FE41)</f>
        <v>#DIV/0!</v>
      </c>
      <c r="FI41" s="34"/>
      <c r="FJ41" s="35" t="e">
        <f t="shared" ref="FJ41:FJ47" si="27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76">((FS41+FU41)/FQ41)</f>
        <v>#DIV/0!</v>
      </c>
      <c r="FU41" s="34"/>
      <c r="FV41" s="35" t="e">
        <f t="shared" ref="FV41:FV47" si="27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78">((GE41+GG41)/GC41)</f>
        <v>#DIV/0!</v>
      </c>
      <c r="GG41" s="34"/>
      <c r="GH41" s="35" t="e">
        <f t="shared" ref="GH41:GH47" si="27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280">((GQ41+GS41)/GO41)</f>
        <v>#DIV/0!</v>
      </c>
      <c r="GS41" s="34"/>
      <c r="GT41" s="35" t="e">
        <f t="shared" ref="GT41:GT47" si="28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282">((HC41+HE41)/HA41)</f>
        <v>#DIV/0!</v>
      </c>
      <c r="HE41" s="34"/>
      <c r="HF41" s="35" t="e">
        <f t="shared" ref="HF41:HF47" si="283">HE41/(HC41+HE41)</f>
        <v>#DIV/0!</v>
      </c>
      <c r="HG41" s="36"/>
      <c r="HH41" s="34"/>
      <c r="HI41" s="34"/>
      <c r="HJ41" s="37"/>
      <c r="HK41" s="33">
        <f t="shared" ref="HK41:HN48" si="284">+C41+O41+AA41+AM41+AY41+BK41+BW41+CI41+CU41+DG41+DS41+EE41+EQ41+FC41+FO41+GA41+GM41+GY41</f>
        <v>2</v>
      </c>
      <c r="HL41" s="34">
        <f t="shared" si="284"/>
        <v>0</v>
      </c>
      <c r="HM41" s="34">
        <f t="shared" si="284"/>
        <v>3737</v>
      </c>
      <c r="HN41" s="34">
        <f t="shared" si="284"/>
        <v>326</v>
      </c>
      <c r="HO41" s="34">
        <f t="shared" ref="HO41:HO48" si="285">+G41+S41+AE41+AQ41+BC41+BO41+CA41+CM41+CY41+DK41+DW41+EI41+EU41+FG41+FS41+GE41+GQ41+HC41+I41+U41+AG41+AS41+BE41+BQ41+CC41+CO41+DA41+DM41+DY41+EK41+EW41+FI41+FU41+GG41+GS41+HE41</f>
        <v>543</v>
      </c>
      <c r="HP41" s="94">
        <f t="shared" ref="HP41:HP47" si="286">+(HO41)/HM41</f>
        <v>0.14530371956114529</v>
      </c>
      <c r="HQ41" s="48">
        <f t="shared" ref="HQ41:HQ48" si="287">+I41+U41+AG41+AS41+BE41+BQ41+CC41+CO41+DA41+DM41+DY41+EK41+EW41+FI41+FU41+GG41+GS41+HE41</f>
        <v>81</v>
      </c>
      <c r="HR41" s="35">
        <f>+(HQ41/(HO41))</f>
        <v>0.14917127071823205</v>
      </c>
      <c r="HS41" s="49">
        <v>57.4</v>
      </c>
      <c r="HT41" s="50">
        <v>434</v>
      </c>
      <c r="HU41" s="49">
        <f t="shared" ref="HU41:HU47" si="288">+HT41/HO41*100</f>
        <v>79.926335174953948</v>
      </c>
      <c r="HV41" s="48"/>
      <c r="HW41" s="37"/>
      <c r="HY41" s="348">
        <v>62</v>
      </c>
      <c r="HZ41" s="164"/>
      <c r="IA41" s="77"/>
      <c r="IB41" s="89"/>
      <c r="IC41" s="89">
        <v>73.8</v>
      </c>
      <c r="ID41" s="89"/>
      <c r="IE41" s="90"/>
      <c r="IF41" s="164"/>
      <c r="IG41" s="77"/>
      <c r="IH41" s="77"/>
      <c r="II41" s="77">
        <f t="shared" si="2"/>
        <v>17.800560000000001</v>
      </c>
      <c r="IJ41" s="77">
        <f t="shared" si="3"/>
        <v>0</v>
      </c>
      <c r="IK41" s="165"/>
      <c r="IL41" s="360"/>
      <c r="IM41" s="183"/>
      <c r="IN41" s="183"/>
      <c r="IO41" s="89">
        <v>5182</v>
      </c>
      <c r="IP41" s="89"/>
      <c r="IQ41" s="90"/>
      <c r="IR41" s="350"/>
      <c r="IS41" s="184"/>
      <c r="IT41" s="184"/>
      <c r="IU41" s="184">
        <v>24.12</v>
      </c>
      <c r="IV41" s="184"/>
      <c r="IW41" s="188"/>
      <c r="IX41" s="370"/>
      <c r="IY41" s="336"/>
      <c r="IZ41" s="336"/>
      <c r="JA41" s="336">
        <v>0</v>
      </c>
      <c r="JB41" s="336"/>
      <c r="JC41" s="335"/>
    </row>
    <row r="42" spans="1:263" ht="18.75" x14ac:dyDescent="0.25">
      <c r="A42" s="374"/>
      <c r="B42" s="41">
        <f t="shared" ref="B42:B47" si="289">+B41+1</f>
        <v>44970</v>
      </c>
      <c r="C42" s="10">
        <v>1</v>
      </c>
      <c r="D42" s="11"/>
      <c r="E42" s="69">
        <f t="shared" ref="E42:F46" si="290">E41-C42</f>
        <v>711</v>
      </c>
      <c r="F42" s="69">
        <f t="shared" si="290"/>
        <v>63</v>
      </c>
      <c r="G42" s="11">
        <v>76</v>
      </c>
      <c r="H42" s="12">
        <f t="shared" si="249"/>
        <v>0.13080168776371309</v>
      </c>
      <c r="I42" s="11">
        <v>17</v>
      </c>
      <c r="J42" s="12">
        <f t="shared" ref="J42:J47" si="291">I42/(G42+I42)</f>
        <v>0.18279569892473119</v>
      </c>
      <c r="K42" s="13"/>
      <c r="L42" s="11"/>
      <c r="M42" s="11"/>
      <c r="N42" s="14"/>
      <c r="O42" s="10"/>
      <c r="P42" s="11"/>
      <c r="Q42" s="69">
        <f t="shared" ref="Q42:R47" si="292">Q41-O42</f>
        <v>708</v>
      </c>
      <c r="R42" s="69">
        <f t="shared" si="292"/>
        <v>62</v>
      </c>
      <c r="S42" s="11">
        <v>110</v>
      </c>
      <c r="T42" s="12">
        <f t="shared" si="250"/>
        <v>0.17655367231638419</v>
      </c>
      <c r="U42" s="11">
        <v>15</v>
      </c>
      <c r="V42" s="12">
        <f t="shared" si="251"/>
        <v>0.12</v>
      </c>
      <c r="W42" s="13"/>
      <c r="X42" s="11"/>
      <c r="Y42" s="11"/>
      <c r="Z42" s="14"/>
      <c r="AA42" s="10"/>
      <c r="AB42" s="11"/>
      <c r="AC42" s="69">
        <f t="shared" ref="AC42:AD47" si="293">AC41-AA42</f>
        <v>191</v>
      </c>
      <c r="AD42" s="69">
        <f t="shared" si="293"/>
        <v>13</v>
      </c>
      <c r="AE42" s="11">
        <v>27</v>
      </c>
      <c r="AF42" s="12">
        <f t="shared" si="252"/>
        <v>0.14136125654450263</v>
      </c>
      <c r="AG42" s="11">
        <v>0</v>
      </c>
      <c r="AH42" s="12">
        <f t="shared" si="253"/>
        <v>0</v>
      </c>
      <c r="AI42" s="13"/>
      <c r="AJ42" s="11"/>
      <c r="AK42" s="11"/>
      <c r="AL42" s="14"/>
      <c r="AM42" s="10"/>
      <c r="AN42" s="11"/>
      <c r="AO42" s="69">
        <f t="shared" ref="AO42:AP47" si="294">AO41-AM42</f>
        <v>708</v>
      </c>
      <c r="AP42" s="69">
        <f t="shared" si="294"/>
        <v>63</v>
      </c>
      <c r="AQ42" s="11">
        <v>96</v>
      </c>
      <c r="AR42" s="12">
        <f t="shared" si="254"/>
        <v>0.15677966101694915</v>
      </c>
      <c r="AS42" s="11">
        <v>15</v>
      </c>
      <c r="AT42" s="12">
        <f t="shared" si="255"/>
        <v>0.13513513513513514</v>
      </c>
      <c r="AU42" s="13"/>
      <c r="AV42" s="11"/>
      <c r="AW42" s="11"/>
      <c r="AX42" s="14"/>
      <c r="AY42" s="10"/>
      <c r="AZ42" s="11"/>
      <c r="BA42" s="69">
        <f t="shared" ref="BA42:BB47" si="295">BA41-AY42</f>
        <v>710</v>
      </c>
      <c r="BB42" s="69">
        <f t="shared" si="295"/>
        <v>62</v>
      </c>
      <c r="BC42" s="11">
        <v>102</v>
      </c>
      <c r="BD42" s="12">
        <f t="shared" si="256"/>
        <v>0.17746478873239438</v>
      </c>
      <c r="BE42" s="11">
        <v>24</v>
      </c>
      <c r="BF42" s="12">
        <f t="shared" si="257"/>
        <v>0.19047619047619047</v>
      </c>
      <c r="BG42" s="13"/>
      <c r="BH42" s="11"/>
      <c r="BI42" s="11"/>
      <c r="BJ42" s="14"/>
      <c r="BK42" s="10"/>
      <c r="BL42" s="11"/>
      <c r="BM42" s="69">
        <f t="shared" ref="BM42:BN47" si="296">BM41-BK42</f>
        <v>708</v>
      </c>
      <c r="BN42" s="69">
        <f t="shared" si="296"/>
        <v>63</v>
      </c>
      <c r="BO42" s="11">
        <v>93</v>
      </c>
      <c r="BP42" s="12">
        <f t="shared" si="258"/>
        <v>0.15254237288135594</v>
      </c>
      <c r="BQ42" s="11">
        <v>15</v>
      </c>
      <c r="BR42" s="12">
        <f t="shared" si="259"/>
        <v>0.1388888888888889</v>
      </c>
      <c r="BS42" s="13"/>
      <c r="BT42" s="11"/>
      <c r="BU42" s="11"/>
      <c r="BV42" s="14"/>
      <c r="BW42" s="10"/>
      <c r="BX42" s="11"/>
      <c r="BY42" s="69">
        <f t="shared" ref="BY42:BZ47" si="297">BY41-BW42</f>
        <v>0</v>
      </c>
      <c r="BZ42" s="69">
        <f t="shared" si="297"/>
        <v>0</v>
      </c>
      <c r="CA42" s="11"/>
      <c r="CB42" s="12" t="e">
        <f t="shared" si="260"/>
        <v>#DIV/0!</v>
      </c>
      <c r="CC42" s="11"/>
      <c r="CD42" s="12" t="e">
        <f t="shared" si="261"/>
        <v>#DIV/0!</v>
      </c>
      <c r="CE42" s="13"/>
      <c r="CF42" s="11"/>
      <c r="CG42" s="11"/>
      <c r="CH42" s="14"/>
      <c r="CI42" s="10"/>
      <c r="CJ42" s="11"/>
      <c r="CK42" s="69">
        <f t="shared" ref="CK42:CL47" si="298">CK41-CI42</f>
        <v>0</v>
      </c>
      <c r="CL42" s="69">
        <f t="shared" si="298"/>
        <v>0</v>
      </c>
      <c r="CM42" s="11"/>
      <c r="CN42" s="12" t="e">
        <f t="shared" si="262"/>
        <v>#DIV/0!</v>
      </c>
      <c r="CO42" s="11"/>
      <c r="CP42" s="12" t="e">
        <f t="shared" si="263"/>
        <v>#DIV/0!</v>
      </c>
      <c r="CQ42" s="13"/>
      <c r="CR42" s="11"/>
      <c r="CS42" s="11"/>
      <c r="CT42" s="14"/>
      <c r="CU42" s="10"/>
      <c r="CV42" s="11"/>
      <c r="CW42" s="69">
        <f t="shared" ref="CW42:CX47" si="299">CW41-CU42</f>
        <v>0</v>
      </c>
      <c r="CX42" s="69">
        <f t="shared" si="299"/>
        <v>0</v>
      </c>
      <c r="CY42" s="11"/>
      <c r="CZ42" s="12" t="e">
        <f t="shared" si="264"/>
        <v>#DIV/0!</v>
      </c>
      <c r="DA42" s="11"/>
      <c r="DB42" s="12" t="e">
        <f t="shared" si="265"/>
        <v>#DIV/0!</v>
      </c>
      <c r="DC42" s="13"/>
      <c r="DD42" s="11"/>
      <c r="DE42" s="11"/>
      <c r="DF42" s="14"/>
      <c r="DG42" s="10"/>
      <c r="DH42" s="11"/>
      <c r="DI42" s="69">
        <f t="shared" ref="DI42:DJ47" si="300">DI41-DG42</f>
        <v>0</v>
      </c>
      <c r="DJ42" s="69">
        <f t="shared" si="300"/>
        <v>0</v>
      </c>
      <c r="DK42" s="11"/>
      <c r="DL42" s="12" t="e">
        <f t="shared" si="266"/>
        <v>#DIV/0!</v>
      </c>
      <c r="DM42" s="11"/>
      <c r="DN42" s="12" t="e">
        <f t="shared" si="267"/>
        <v>#DIV/0!</v>
      </c>
      <c r="DO42" s="13"/>
      <c r="DP42" s="11"/>
      <c r="DQ42" s="11"/>
      <c r="DR42" s="14"/>
      <c r="DS42" s="10"/>
      <c r="DT42" s="11"/>
      <c r="DU42" s="69">
        <f t="shared" ref="DU42:DV47" si="301">DU41-DS42</f>
        <v>0</v>
      </c>
      <c r="DV42" s="69">
        <f t="shared" si="301"/>
        <v>0</v>
      </c>
      <c r="DW42" s="11"/>
      <c r="DX42" s="12" t="e">
        <f t="shared" si="268"/>
        <v>#DIV/0!</v>
      </c>
      <c r="DY42" s="11"/>
      <c r="DZ42" s="12" t="e">
        <f t="shared" si="269"/>
        <v>#DIV/0!</v>
      </c>
      <c r="EA42" s="13"/>
      <c r="EB42" s="11"/>
      <c r="EC42" s="11"/>
      <c r="ED42" s="14"/>
      <c r="EE42" s="10"/>
      <c r="EF42" s="11"/>
      <c r="EG42" s="69">
        <f t="shared" ref="EG42:EH47" si="302">EG41-EE42</f>
        <v>0</v>
      </c>
      <c r="EH42" s="69">
        <f t="shared" si="302"/>
        <v>0</v>
      </c>
      <c r="EI42" s="11"/>
      <c r="EJ42" s="12" t="e">
        <f t="shared" si="270"/>
        <v>#DIV/0!</v>
      </c>
      <c r="EK42" s="11"/>
      <c r="EL42" s="12" t="e">
        <f t="shared" si="271"/>
        <v>#DIV/0!</v>
      </c>
      <c r="EM42" s="13"/>
      <c r="EN42" s="11"/>
      <c r="EO42" s="11"/>
      <c r="EP42" s="14"/>
      <c r="EQ42" s="10"/>
      <c r="ER42" s="11"/>
      <c r="ES42" s="69">
        <f t="shared" ref="ES42:ET47" si="303">ES41-EQ42</f>
        <v>0</v>
      </c>
      <c r="ET42" s="69">
        <f t="shared" si="303"/>
        <v>0</v>
      </c>
      <c r="EU42" s="11"/>
      <c r="EV42" s="12" t="e">
        <f t="shared" si="272"/>
        <v>#DIV/0!</v>
      </c>
      <c r="EW42" s="11"/>
      <c r="EX42" s="12" t="e">
        <f t="shared" si="273"/>
        <v>#DIV/0!</v>
      </c>
      <c r="EY42" s="13"/>
      <c r="EZ42" s="11"/>
      <c r="FA42" s="11"/>
      <c r="FB42" s="14"/>
      <c r="FC42" s="10"/>
      <c r="FD42" s="11"/>
      <c r="FE42" s="69">
        <f t="shared" ref="FE42:FF47" si="304">FE41-FC42</f>
        <v>0</v>
      </c>
      <c r="FF42" s="69">
        <f t="shared" si="304"/>
        <v>0</v>
      </c>
      <c r="FG42" s="11"/>
      <c r="FH42" s="12" t="e">
        <f t="shared" si="274"/>
        <v>#DIV/0!</v>
      </c>
      <c r="FI42" s="11"/>
      <c r="FJ42" s="12" t="e">
        <f t="shared" si="275"/>
        <v>#DIV/0!</v>
      </c>
      <c r="FK42" s="13"/>
      <c r="FL42" s="11"/>
      <c r="FM42" s="11"/>
      <c r="FN42" s="14"/>
      <c r="FO42" s="10"/>
      <c r="FP42" s="11"/>
      <c r="FQ42" s="69">
        <f t="shared" ref="FQ42:FR47" si="305">FQ41-FO42</f>
        <v>0</v>
      </c>
      <c r="FR42" s="69">
        <f t="shared" si="305"/>
        <v>0</v>
      </c>
      <c r="FS42" s="11"/>
      <c r="FT42" s="12" t="e">
        <f t="shared" si="276"/>
        <v>#DIV/0!</v>
      </c>
      <c r="FU42" s="11"/>
      <c r="FV42" s="12" t="e">
        <f t="shared" si="277"/>
        <v>#DIV/0!</v>
      </c>
      <c r="FW42" s="13"/>
      <c r="FX42" s="11"/>
      <c r="FY42" s="11"/>
      <c r="FZ42" s="14"/>
      <c r="GA42" s="10"/>
      <c r="GB42" s="11"/>
      <c r="GC42" s="69">
        <f t="shared" ref="GC42:GD47" si="306">GC41-GA42</f>
        <v>0</v>
      </c>
      <c r="GD42" s="69">
        <f t="shared" si="306"/>
        <v>0</v>
      </c>
      <c r="GE42" s="11"/>
      <c r="GF42" s="12" t="e">
        <f t="shared" si="278"/>
        <v>#DIV/0!</v>
      </c>
      <c r="GG42" s="11"/>
      <c r="GH42" s="12" t="e">
        <f t="shared" si="279"/>
        <v>#DIV/0!</v>
      </c>
      <c r="GI42" s="13"/>
      <c r="GJ42" s="11"/>
      <c r="GK42" s="11"/>
      <c r="GL42" s="14"/>
      <c r="GM42" s="10"/>
      <c r="GN42" s="11"/>
      <c r="GO42" s="69">
        <f t="shared" ref="GO42:GP47" si="307">GO41-GM42</f>
        <v>0</v>
      </c>
      <c r="GP42" s="69">
        <f t="shared" si="307"/>
        <v>0</v>
      </c>
      <c r="GQ42" s="11"/>
      <c r="GR42" s="12" t="e">
        <f t="shared" si="280"/>
        <v>#DIV/0!</v>
      </c>
      <c r="GS42" s="11"/>
      <c r="GT42" s="12" t="e">
        <f t="shared" si="281"/>
        <v>#DIV/0!</v>
      </c>
      <c r="GU42" s="13"/>
      <c r="GV42" s="11"/>
      <c r="GW42" s="11"/>
      <c r="GX42" s="14"/>
      <c r="GY42" s="10"/>
      <c r="GZ42" s="11"/>
      <c r="HA42" s="69">
        <f t="shared" ref="HA42:HB47" si="308">HA41-GY42</f>
        <v>0</v>
      </c>
      <c r="HB42" s="69">
        <f t="shared" si="308"/>
        <v>0</v>
      </c>
      <c r="HC42" s="11"/>
      <c r="HD42" s="12" t="e">
        <f t="shared" si="282"/>
        <v>#DIV/0!</v>
      </c>
      <c r="HE42" s="11"/>
      <c r="HF42" s="12" t="e">
        <f t="shared" si="283"/>
        <v>#DIV/0!</v>
      </c>
      <c r="HG42" s="13"/>
      <c r="HH42" s="11"/>
      <c r="HI42" s="11"/>
      <c r="HJ42" s="14"/>
      <c r="HK42" s="10">
        <f t="shared" si="284"/>
        <v>1</v>
      </c>
      <c r="HL42" s="11">
        <f t="shared" si="284"/>
        <v>0</v>
      </c>
      <c r="HM42" s="11">
        <f t="shared" si="284"/>
        <v>3736</v>
      </c>
      <c r="HN42" s="11">
        <f t="shared" si="284"/>
        <v>326</v>
      </c>
      <c r="HO42" s="11">
        <f t="shared" si="285"/>
        <v>590</v>
      </c>
      <c r="HP42" s="95">
        <f t="shared" si="286"/>
        <v>0.15792291220556745</v>
      </c>
      <c r="HQ42" s="15">
        <f t="shared" si="287"/>
        <v>86</v>
      </c>
      <c r="HR42" s="12">
        <f t="shared" ref="HR42:HR48" si="309">+(HQ42/(HO42))</f>
        <v>0.14576271186440679</v>
      </c>
      <c r="HS42" s="16">
        <v>58</v>
      </c>
      <c r="HT42" s="17">
        <v>473</v>
      </c>
      <c r="HU42" s="16">
        <f t="shared" si="288"/>
        <v>80.169491525423737</v>
      </c>
      <c r="HV42" s="15"/>
      <c r="HW42" s="14"/>
      <c r="HY42" s="348">
        <v>63</v>
      </c>
      <c r="HZ42" s="164"/>
      <c r="IA42" s="77"/>
      <c r="IB42" s="89"/>
      <c r="IC42" s="89">
        <v>74.5</v>
      </c>
      <c r="ID42" s="89"/>
      <c r="IE42" s="90"/>
      <c r="IF42" s="164"/>
      <c r="IG42" s="77"/>
      <c r="IH42" s="77"/>
      <c r="II42" s="77">
        <f t="shared" si="2"/>
        <v>17.306349999999998</v>
      </c>
      <c r="IJ42" s="77">
        <f t="shared" si="3"/>
        <v>0</v>
      </c>
      <c r="IK42" s="165"/>
      <c r="IL42" s="360"/>
      <c r="IM42" s="183"/>
      <c r="IN42" s="183"/>
      <c r="IO42" s="89">
        <v>5182</v>
      </c>
      <c r="IP42" s="89"/>
      <c r="IQ42" s="90"/>
      <c r="IR42" s="350"/>
      <c r="IS42" s="184"/>
      <c r="IT42" s="184"/>
      <c r="IU42" s="184">
        <v>23.23</v>
      </c>
      <c r="IV42" s="184"/>
      <c r="IW42" s="188"/>
      <c r="IX42" s="370"/>
      <c r="IY42" s="336"/>
      <c r="IZ42" s="336"/>
      <c r="JA42" s="336">
        <v>9.5183704549781079E-4</v>
      </c>
      <c r="JB42" s="336"/>
      <c r="JC42" s="335"/>
    </row>
    <row r="43" spans="1:263" ht="19.5" thickBot="1" x14ac:dyDescent="0.3">
      <c r="A43" s="374"/>
      <c r="B43" s="41">
        <f t="shared" si="289"/>
        <v>44971</v>
      </c>
      <c r="C43" s="10"/>
      <c r="D43" s="11"/>
      <c r="E43" s="69">
        <f t="shared" si="290"/>
        <v>711</v>
      </c>
      <c r="F43" s="69">
        <f t="shared" si="290"/>
        <v>63</v>
      </c>
      <c r="G43" s="11">
        <v>109</v>
      </c>
      <c r="H43" s="12">
        <f t="shared" si="249"/>
        <v>0.17440225035161744</v>
      </c>
      <c r="I43" s="11">
        <v>15</v>
      </c>
      <c r="J43" s="12">
        <f t="shared" si="291"/>
        <v>0.12096774193548387</v>
      </c>
      <c r="K43" s="182">
        <v>132.80000000000001</v>
      </c>
      <c r="L43" s="11"/>
      <c r="M43" s="11"/>
      <c r="N43" s="14"/>
      <c r="O43" s="10"/>
      <c r="P43" s="11"/>
      <c r="Q43" s="69">
        <f t="shared" si="292"/>
        <v>708</v>
      </c>
      <c r="R43" s="69">
        <f t="shared" si="292"/>
        <v>62</v>
      </c>
      <c r="S43" s="11">
        <v>128</v>
      </c>
      <c r="T43" s="12">
        <f t="shared" si="250"/>
        <v>0.20480225988700565</v>
      </c>
      <c r="U43" s="11">
        <v>17</v>
      </c>
      <c r="V43" s="12">
        <f t="shared" si="251"/>
        <v>0.11724137931034483</v>
      </c>
      <c r="W43" s="182">
        <v>129.9</v>
      </c>
      <c r="X43" s="11"/>
      <c r="Y43" s="11"/>
      <c r="Z43" s="14"/>
      <c r="AA43" s="10"/>
      <c r="AB43" s="11"/>
      <c r="AC43" s="69">
        <f t="shared" si="293"/>
        <v>191</v>
      </c>
      <c r="AD43" s="69">
        <f t="shared" si="293"/>
        <v>13</v>
      </c>
      <c r="AE43" s="11">
        <v>27</v>
      </c>
      <c r="AF43" s="12">
        <f t="shared" si="252"/>
        <v>0.15706806282722513</v>
      </c>
      <c r="AG43" s="11">
        <v>3</v>
      </c>
      <c r="AH43" s="12">
        <f t="shared" si="253"/>
        <v>0.1</v>
      </c>
      <c r="AI43" s="182">
        <v>133.69999999999999</v>
      </c>
      <c r="AJ43" s="11"/>
      <c r="AK43" s="11"/>
      <c r="AL43" s="14"/>
      <c r="AM43" s="10"/>
      <c r="AN43" s="11"/>
      <c r="AO43" s="69">
        <f t="shared" si="294"/>
        <v>708</v>
      </c>
      <c r="AP43" s="69">
        <f t="shared" si="294"/>
        <v>63</v>
      </c>
      <c r="AQ43" s="11">
        <v>124</v>
      </c>
      <c r="AR43" s="12">
        <f t="shared" si="254"/>
        <v>0.20480225988700565</v>
      </c>
      <c r="AS43" s="11">
        <v>21</v>
      </c>
      <c r="AT43" s="12">
        <f t="shared" si="255"/>
        <v>0.14482758620689656</v>
      </c>
      <c r="AU43" s="13"/>
      <c r="AV43" s="11"/>
      <c r="AW43" s="11"/>
      <c r="AX43" s="14"/>
      <c r="AY43" s="10"/>
      <c r="AZ43" s="11"/>
      <c r="BA43" s="69">
        <f t="shared" si="295"/>
        <v>710</v>
      </c>
      <c r="BB43" s="69">
        <f t="shared" si="295"/>
        <v>62</v>
      </c>
      <c r="BC43" s="11">
        <v>141</v>
      </c>
      <c r="BD43" s="12">
        <f t="shared" si="256"/>
        <v>0.22535211267605634</v>
      </c>
      <c r="BE43" s="11">
        <v>19</v>
      </c>
      <c r="BF43" s="12">
        <f t="shared" si="257"/>
        <v>0.11874999999999999</v>
      </c>
      <c r="BG43" s="13"/>
      <c r="BH43" s="11"/>
      <c r="BI43" s="11"/>
      <c r="BJ43" s="14"/>
      <c r="BK43" s="10"/>
      <c r="BL43" s="11"/>
      <c r="BM43" s="69">
        <f t="shared" si="296"/>
        <v>708</v>
      </c>
      <c r="BN43" s="69">
        <f t="shared" si="296"/>
        <v>63</v>
      </c>
      <c r="BO43" s="11">
        <v>104</v>
      </c>
      <c r="BP43" s="12">
        <f t="shared" si="258"/>
        <v>0.17372881355932204</v>
      </c>
      <c r="BQ43" s="11">
        <v>19</v>
      </c>
      <c r="BR43" s="12">
        <f t="shared" si="259"/>
        <v>0.15447154471544716</v>
      </c>
      <c r="BS43" s="13"/>
      <c r="BT43" s="11"/>
      <c r="BU43" s="11"/>
      <c r="BV43" s="14"/>
      <c r="BW43" s="10"/>
      <c r="BX43" s="11"/>
      <c r="BY43" s="69">
        <f t="shared" si="297"/>
        <v>0</v>
      </c>
      <c r="BZ43" s="69">
        <f t="shared" si="297"/>
        <v>0</v>
      </c>
      <c r="CA43" s="11"/>
      <c r="CB43" s="12" t="e">
        <f t="shared" si="260"/>
        <v>#DIV/0!</v>
      </c>
      <c r="CC43" s="11"/>
      <c r="CD43" s="12" t="e">
        <f t="shared" si="261"/>
        <v>#DIV/0!</v>
      </c>
      <c r="CE43" s="13"/>
      <c r="CF43" s="11"/>
      <c r="CG43" s="11"/>
      <c r="CH43" s="14"/>
      <c r="CI43" s="10"/>
      <c r="CJ43" s="11"/>
      <c r="CK43" s="69">
        <f t="shared" si="298"/>
        <v>0</v>
      </c>
      <c r="CL43" s="69">
        <f t="shared" si="298"/>
        <v>0</v>
      </c>
      <c r="CM43" s="11"/>
      <c r="CN43" s="12" t="e">
        <f t="shared" si="262"/>
        <v>#DIV/0!</v>
      </c>
      <c r="CO43" s="11"/>
      <c r="CP43" s="12" t="e">
        <f t="shared" si="263"/>
        <v>#DIV/0!</v>
      </c>
      <c r="CQ43" s="13"/>
      <c r="CR43" s="11"/>
      <c r="CS43" s="11"/>
      <c r="CT43" s="14"/>
      <c r="CU43" s="10"/>
      <c r="CV43" s="11"/>
      <c r="CW43" s="69">
        <f t="shared" si="299"/>
        <v>0</v>
      </c>
      <c r="CX43" s="69">
        <f t="shared" si="299"/>
        <v>0</v>
      </c>
      <c r="CY43" s="11"/>
      <c r="CZ43" s="12" t="e">
        <f t="shared" si="264"/>
        <v>#DIV/0!</v>
      </c>
      <c r="DA43" s="11"/>
      <c r="DB43" s="12" t="e">
        <f t="shared" si="265"/>
        <v>#DIV/0!</v>
      </c>
      <c r="DC43" s="13"/>
      <c r="DD43" s="11"/>
      <c r="DE43" s="11"/>
      <c r="DF43" s="14"/>
      <c r="DG43" s="10"/>
      <c r="DH43" s="11"/>
      <c r="DI43" s="69">
        <f t="shared" si="300"/>
        <v>0</v>
      </c>
      <c r="DJ43" s="69">
        <f t="shared" si="300"/>
        <v>0</v>
      </c>
      <c r="DK43" s="11"/>
      <c r="DL43" s="12" t="e">
        <f t="shared" si="266"/>
        <v>#DIV/0!</v>
      </c>
      <c r="DM43" s="11"/>
      <c r="DN43" s="12" t="e">
        <f t="shared" si="267"/>
        <v>#DIV/0!</v>
      </c>
      <c r="DO43" s="13"/>
      <c r="DP43" s="11"/>
      <c r="DQ43" s="11"/>
      <c r="DR43" s="14"/>
      <c r="DS43" s="10"/>
      <c r="DT43" s="11"/>
      <c r="DU43" s="69">
        <f t="shared" si="301"/>
        <v>0</v>
      </c>
      <c r="DV43" s="69">
        <f t="shared" si="301"/>
        <v>0</v>
      </c>
      <c r="DW43" s="11"/>
      <c r="DX43" s="12" t="e">
        <f t="shared" si="268"/>
        <v>#DIV/0!</v>
      </c>
      <c r="DY43" s="11"/>
      <c r="DZ43" s="12" t="e">
        <f t="shared" si="269"/>
        <v>#DIV/0!</v>
      </c>
      <c r="EA43" s="13"/>
      <c r="EB43" s="11"/>
      <c r="EC43" s="11"/>
      <c r="ED43" s="14"/>
      <c r="EE43" s="10"/>
      <c r="EF43" s="11"/>
      <c r="EG43" s="69">
        <f t="shared" si="302"/>
        <v>0</v>
      </c>
      <c r="EH43" s="69">
        <f t="shared" si="302"/>
        <v>0</v>
      </c>
      <c r="EI43" s="11"/>
      <c r="EJ43" s="12" t="e">
        <f t="shared" si="270"/>
        <v>#DIV/0!</v>
      </c>
      <c r="EK43" s="11"/>
      <c r="EL43" s="12" t="e">
        <f t="shared" si="271"/>
        <v>#DIV/0!</v>
      </c>
      <c r="EM43" s="13"/>
      <c r="EN43" s="11"/>
      <c r="EO43" s="11"/>
      <c r="EP43" s="14"/>
      <c r="EQ43" s="10"/>
      <c r="ER43" s="11"/>
      <c r="ES43" s="69">
        <f t="shared" si="303"/>
        <v>0</v>
      </c>
      <c r="ET43" s="69">
        <f t="shared" si="303"/>
        <v>0</v>
      </c>
      <c r="EU43" s="11"/>
      <c r="EV43" s="12" t="e">
        <f t="shared" si="272"/>
        <v>#DIV/0!</v>
      </c>
      <c r="EW43" s="11"/>
      <c r="EX43" s="12" t="e">
        <f t="shared" si="273"/>
        <v>#DIV/0!</v>
      </c>
      <c r="EY43" s="13"/>
      <c r="EZ43" s="11"/>
      <c r="FA43" s="11"/>
      <c r="FB43" s="14"/>
      <c r="FC43" s="10"/>
      <c r="FD43" s="11"/>
      <c r="FE43" s="69">
        <f t="shared" si="304"/>
        <v>0</v>
      </c>
      <c r="FF43" s="69">
        <f t="shared" si="304"/>
        <v>0</v>
      </c>
      <c r="FG43" s="11"/>
      <c r="FH43" s="12" t="e">
        <f t="shared" si="274"/>
        <v>#DIV/0!</v>
      </c>
      <c r="FI43" s="11"/>
      <c r="FJ43" s="12" t="e">
        <f t="shared" si="275"/>
        <v>#DIV/0!</v>
      </c>
      <c r="FK43" s="13"/>
      <c r="FL43" s="11"/>
      <c r="FM43" s="11"/>
      <c r="FN43" s="14"/>
      <c r="FO43" s="10"/>
      <c r="FP43" s="11"/>
      <c r="FQ43" s="69">
        <f t="shared" si="305"/>
        <v>0</v>
      </c>
      <c r="FR43" s="69">
        <f t="shared" si="305"/>
        <v>0</v>
      </c>
      <c r="FS43" s="11"/>
      <c r="FT43" s="12" t="e">
        <f t="shared" si="276"/>
        <v>#DIV/0!</v>
      </c>
      <c r="FU43" s="11"/>
      <c r="FV43" s="12" t="e">
        <f t="shared" si="277"/>
        <v>#DIV/0!</v>
      </c>
      <c r="FW43" s="13"/>
      <c r="FX43" s="11"/>
      <c r="FY43" s="11"/>
      <c r="FZ43" s="14"/>
      <c r="GA43" s="10"/>
      <c r="GB43" s="11"/>
      <c r="GC43" s="69">
        <f t="shared" si="306"/>
        <v>0</v>
      </c>
      <c r="GD43" s="69">
        <f t="shared" si="306"/>
        <v>0</v>
      </c>
      <c r="GE43" s="11"/>
      <c r="GF43" s="12" t="e">
        <f t="shared" si="278"/>
        <v>#DIV/0!</v>
      </c>
      <c r="GG43" s="11"/>
      <c r="GH43" s="12" t="e">
        <f t="shared" si="279"/>
        <v>#DIV/0!</v>
      </c>
      <c r="GI43" s="13"/>
      <c r="GJ43" s="11"/>
      <c r="GK43" s="11"/>
      <c r="GL43" s="14"/>
      <c r="GM43" s="10"/>
      <c r="GN43" s="11"/>
      <c r="GO43" s="69">
        <f t="shared" si="307"/>
        <v>0</v>
      </c>
      <c r="GP43" s="69">
        <f t="shared" si="307"/>
        <v>0</v>
      </c>
      <c r="GQ43" s="11"/>
      <c r="GR43" s="12" t="e">
        <f t="shared" si="280"/>
        <v>#DIV/0!</v>
      </c>
      <c r="GS43" s="11"/>
      <c r="GT43" s="12" t="e">
        <f t="shared" si="281"/>
        <v>#DIV/0!</v>
      </c>
      <c r="GU43" s="13"/>
      <c r="GV43" s="11"/>
      <c r="GW43" s="11"/>
      <c r="GX43" s="14"/>
      <c r="GY43" s="10"/>
      <c r="GZ43" s="11"/>
      <c r="HA43" s="69">
        <f t="shared" si="308"/>
        <v>0</v>
      </c>
      <c r="HB43" s="69">
        <f t="shared" si="308"/>
        <v>0</v>
      </c>
      <c r="HC43" s="11"/>
      <c r="HD43" s="12" t="e">
        <f t="shared" si="282"/>
        <v>#DIV/0!</v>
      </c>
      <c r="HE43" s="11"/>
      <c r="HF43" s="12" t="e">
        <f t="shared" si="283"/>
        <v>#DIV/0!</v>
      </c>
      <c r="HG43" s="13"/>
      <c r="HH43" s="11"/>
      <c r="HI43" s="11"/>
      <c r="HJ43" s="14"/>
      <c r="HK43" s="10">
        <f t="shared" si="284"/>
        <v>0</v>
      </c>
      <c r="HL43" s="11">
        <f t="shared" si="284"/>
        <v>0</v>
      </c>
      <c r="HM43" s="11">
        <f t="shared" si="284"/>
        <v>3736</v>
      </c>
      <c r="HN43" s="11">
        <f t="shared" si="284"/>
        <v>326</v>
      </c>
      <c r="HO43" s="11">
        <f t="shared" si="285"/>
        <v>727</v>
      </c>
      <c r="HP43" s="95">
        <f t="shared" si="286"/>
        <v>0.19459314775160599</v>
      </c>
      <c r="HQ43" s="15">
        <f t="shared" si="287"/>
        <v>94</v>
      </c>
      <c r="HR43" s="12">
        <f t="shared" si="309"/>
        <v>0.12929848693259974</v>
      </c>
      <c r="HS43" s="16">
        <v>57.7</v>
      </c>
      <c r="HT43" s="17">
        <v>601</v>
      </c>
      <c r="HU43" s="16">
        <f t="shared" si="288"/>
        <v>82.668500687757913</v>
      </c>
      <c r="HV43" s="15"/>
      <c r="HW43" s="14"/>
      <c r="HY43" s="349">
        <v>64</v>
      </c>
      <c r="HZ43" s="185"/>
      <c r="IA43" s="79"/>
      <c r="IB43" s="186"/>
      <c r="IC43" s="186">
        <v>74.400000000000006</v>
      </c>
      <c r="ID43" s="186"/>
      <c r="IE43" s="80"/>
      <c r="IF43" s="185"/>
      <c r="IG43" s="79"/>
      <c r="IH43" s="79"/>
      <c r="II43" s="79">
        <f t="shared" si="2"/>
        <v>16.628400000000003</v>
      </c>
      <c r="IJ43" s="79">
        <f t="shared" si="3"/>
        <v>0</v>
      </c>
      <c r="IK43" s="347"/>
      <c r="IL43" s="362"/>
      <c r="IM43" s="187"/>
      <c r="IN43" s="187"/>
      <c r="IO43" s="186">
        <v>5191</v>
      </c>
      <c r="IP43" s="186"/>
      <c r="IQ43" s="80"/>
      <c r="IR43" s="352"/>
      <c r="IS43" s="189"/>
      <c r="IT43" s="189"/>
      <c r="IU43" s="189">
        <v>22.35</v>
      </c>
      <c r="IV43" s="189"/>
      <c r="IW43" s="190"/>
      <c r="IX43" s="371"/>
      <c r="IY43" s="337"/>
      <c r="IZ43" s="337"/>
      <c r="JA43" s="337">
        <v>7.9491255961844202E-4</v>
      </c>
      <c r="JB43" s="337"/>
      <c r="JC43" s="340"/>
    </row>
    <row r="44" spans="1:263" ht="18.75" x14ac:dyDescent="0.25">
      <c r="A44" s="374"/>
      <c r="B44" s="41">
        <f t="shared" si="289"/>
        <v>44972</v>
      </c>
      <c r="C44" s="10">
        <v>1</v>
      </c>
      <c r="D44" s="11"/>
      <c r="E44" s="69">
        <f t="shared" si="290"/>
        <v>710</v>
      </c>
      <c r="F44" s="69">
        <f t="shared" si="290"/>
        <v>63</v>
      </c>
      <c r="G44" s="11">
        <v>128</v>
      </c>
      <c r="H44" s="12">
        <f t="shared" si="249"/>
        <v>0.20563380281690141</v>
      </c>
      <c r="I44" s="11">
        <v>18</v>
      </c>
      <c r="J44" s="12">
        <f t="shared" si="291"/>
        <v>0.12328767123287671</v>
      </c>
      <c r="K44" s="11"/>
      <c r="L44" s="11"/>
      <c r="M44" s="18"/>
      <c r="N44" s="20"/>
      <c r="O44" s="10"/>
      <c r="P44" s="11"/>
      <c r="Q44" s="69">
        <f t="shared" si="292"/>
        <v>708</v>
      </c>
      <c r="R44" s="69">
        <f t="shared" si="292"/>
        <v>62</v>
      </c>
      <c r="S44" s="11">
        <v>160</v>
      </c>
      <c r="T44" s="12">
        <f t="shared" si="250"/>
        <v>0.25423728813559321</v>
      </c>
      <c r="U44" s="11">
        <v>20</v>
      </c>
      <c r="V44" s="12">
        <f t="shared" si="251"/>
        <v>0.1111111111111111</v>
      </c>
      <c r="W44" s="191">
        <v>136.30000000000001</v>
      </c>
      <c r="X44" s="11"/>
      <c r="Y44" s="18"/>
      <c r="Z44" s="20"/>
      <c r="AA44" s="10">
        <v>1</v>
      </c>
      <c r="AB44" s="11"/>
      <c r="AC44" s="69">
        <f t="shared" si="293"/>
        <v>190</v>
      </c>
      <c r="AD44" s="69">
        <f t="shared" si="293"/>
        <v>13</v>
      </c>
      <c r="AE44" s="11">
        <v>40</v>
      </c>
      <c r="AF44" s="12">
        <f t="shared" si="252"/>
        <v>0.23684210526315788</v>
      </c>
      <c r="AG44" s="11">
        <v>5</v>
      </c>
      <c r="AH44" s="12">
        <f t="shared" si="253"/>
        <v>0.1111111111111111</v>
      </c>
      <c r="AI44" s="11"/>
      <c r="AJ44" s="11"/>
      <c r="AK44" s="18"/>
      <c r="AL44" s="20"/>
      <c r="AM44" s="10"/>
      <c r="AN44" s="11"/>
      <c r="AO44" s="69">
        <f t="shared" si="294"/>
        <v>708</v>
      </c>
      <c r="AP44" s="69">
        <f t="shared" si="294"/>
        <v>63</v>
      </c>
      <c r="AQ44" s="11">
        <v>155</v>
      </c>
      <c r="AR44" s="12">
        <f t="shared" si="254"/>
        <v>0.23870056497175141</v>
      </c>
      <c r="AS44" s="11">
        <v>14</v>
      </c>
      <c r="AT44" s="12">
        <f t="shared" si="255"/>
        <v>8.2840236686390539E-2</v>
      </c>
      <c r="AU44" s="11"/>
      <c r="AV44" s="11"/>
      <c r="AW44" s="18"/>
      <c r="AX44" s="20"/>
      <c r="AY44" s="10"/>
      <c r="AZ44" s="11"/>
      <c r="BA44" s="69">
        <f t="shared" si="295"/>
        <v>710</v>
      </c>
      <c r="BB44" s="69">
        <f t="shared" si="295"/>
        <v>62</v>
      </c>
      <c r="BC44" s="11">
        <v>163</v>
      </c>
      <c r="BD44" s="12">
        <f t="shared" si="256"/>
        <v>0.25492957746478873</v>
      </c>
      <c r="BE44" s="11">
        <v>18</v>
      </c>
      <c r="BF44" s="12">
        <f t="shared" si="257"/>
        <v>9.9447513812154692E-2</v>
      </c>
      <c r="BG44" s="191">
        <v>132.5</v>
      </c>
      <c r="BH44" s="11"/>
      <c r="BI44" s="18"/>
      <c r="BJ44" s="20"/>
      <c r="BK44" s="10"/>
      <c r="BL44" s="11"/>
      <c r="BM44" s="69">
        <f t="shared" si="296"/>
        <v>708</v>
      </c>
      <c r="BN44" s="69">
        <f t="shared" si="296"/>
        <v>63</v>
      </c>
      <c r="BO44" s="11">
        <v>170</v>
      </c>
      <c r="BP44" s="12">
        <f t="shared" si="258"/>
        <v>0.25847457627118642</v>
      </c>
      <c r="BQ44" s="11">
        <v>13</v>
      </c>
      <c r="BR44" s="12">
        <f t="shared" si="259"/>
        <v>7.1038251366120214E-2</v>
      </c>
      <c r="BS44" s="191">
        <v>131.80000000000001</v>
      </c>
      <c r="BT44" s="11"/>
      <c r="BU44" s="18"/>
      <c r="BV44" s="20"/>
      <c r="BW44" s="10"/>
      <c r="BX44" s="11"/>
      <c r="BY44" s="69">
        <f t="shared" si="297"/>
        <v>0</v>
      </c>
      <c r="BZ44" s="69">
        <f t="shared" si="297"/>
        <v>0</v>
      </c>
      <c r="CA44" s="11"/>
      <c r="CB44" s="12" t="e">
        <f t="shared" si="260"/>
        <v>#DIV/0!</v>
      </c>
      <c r="CC44" s="11"/>
      <c r="CD44" s="12" t="e">
        <f t="shared" si="261"/>
        <v>#DIV/0!</v>
      </c>
      <c r="CE44" s="11"/>
      <c r="CF44" s="11"/>
      <c r="CG44" s="18"/>
      <c r="CH44" s="20"/>
      <c r="CI44" s="10"/>
      <c r="CJ44" s="11"/>
      <c r="CK44" s="69">
        <f t="shared" si="298"/>
        <v>0</v>
      </c>
      <c r="CL44" s="69">
        <f t="shared" si="298"/>
        <v>0</v>
      </c>
      <c r="CM44" s="11"/>
      <c r="CN44" s="12" t="e">
        <f t="shared" si="262"/>
        <v>#DIV/0!</v>
      </c>
      <c r="CO44" s="11"/>
      <c r="CP44" s="12" t="e">
        <f t="shared" si="263"/>
        <v>#DIV/0!</v>
      </c>
      <c r="CQ44" s="11"/>
      <c r="CR44" s="11"/>
      <c r="CS44" s="18"/>
      <c r="CT44" s="20"/>
      <c r="CU44" s="10"/>
      <c r="CV44" s="11"/>
      <c r="CW44" s="69">
        <f t="shared" si="299"/>
        <v>0</v>
      </c>
      <c r="CX44" s="69">
        <f t="shared" si="299"/>
        <v>0</v>
      </c>
      <c r="CY44" s="11"/>
      <c r="CZ44" s="12" t="e">
        <f t="shared" si="264"/>
        <v>#DIV/0!</v>
      </c>
      <c r="DA44" s="11"/>
      <c r="DB44" s="12" t="e">
        <f t="shared" si="265"/>
        <v>#DIV/0!</v>
      </c>
      <c r="DC44" s="11"/>
      <c r="DD44" s="11"/>
      <c r="DE44" s="18"/>
      <c r="DF44" s="20"/>
      <c r="DG44" s="10"/>
      <c r="DH44" s="11"/>
      <c r="DI44" s="69">
        <f t="shared" si="300"/>
        <v>0</v>
      </c>
      <c r="DJ44" s="69">
        <f t="shared" si="300"/>
        <v>0</v>
      </c>
      <c r="DK44" s="11"/>
      <c r="DL44" s="12" t="e">
        <f t="shared" si="266"/>
        <v>#DIV/0!</v>
      </c>
      <c r="DM44" s="11"/>
      <c r="DN44" s="12" t="e">
        <f t="shared" si="267"/>
        <v>#DIV/0!</v>
      </c>
      <c r="DO44" s="11"/>
      <c r="DP44" s="11"/>
      <c r="DQ44" s="18"/>
      <c r="DR44" s="20"/>
      <c r="DS44" s="10"/>
      <c r="DT44" s="11"/>
      <c r="DU44" s="69">
        <f t="shared" si="301"/>
        <v>0</v>
      </c>
      <c r="DV44" s="69">
        <f t="shared" si="301"/>
        <v>0</v>
      </c>
      <c r="DW44" s="11"/>
      <c r="DX44" s="12" t="e">
        <f t="shared" si="268"/>
        <v>#DIV/0!</v>
      </c>
      <c r="DY44" s="11"/>
      <c r="DZ44" s="12" t="e">
        <f t="shared" si="269"/>
        <v>#DIV/0!</v>
      </c>
      <c r="EA44" s="11"/>
      <c r="EB44" s="11"/>
      <c r="EC44" s="18"/>
      <c r="ED44" s="20"/>
      <c r="EE44" s="10"/>
      <c r="EF44" s="11"/>
      <c r="EG44" s="69">
        <f t="shared" si="302"/>
        <v>0</v>
      </c>
      <c r="EH44" s="69">
        <f t="shared" si="302"/>
        <v>0</v>
      </c>
      <c r="EI44" s="11"/>
      <c r="EJ44" s="12" t="e">
        <f t="shared" si="270"/>
        <v>#DIV/0!</v>
      </c>
      <c r="EK44" s="11"/>
      <c r="EL44" s="12" t="e">
        <f t="shared" si="271"/>
        <v>#DIV/0!</v>
      </c>
      <c r="EM44" s="11"/>
      <c r="EN44" s="11"/>
      <c r="EO44" s="18"/>
      <c r="EP44" s="20"/>
      <c r="EQ44" s="10"/>
      <c r="ER44" s="11"/>
      <c r="ES44" s="69">
        <f t="shared" si="303"/>
        <v>0</v>
      </c>
      <c r="ET44" s="69">
        <f t="shared" si="303"/>
        <v>0</v>
      </c>
      <c r="EU44" s="11"/>
      <c r="EV44" s="12" t="e">
        <f t="shared" si="272"/>
        <v>#DIV/0!</v>
      </c>
      <c r="EW44" s="11"/>
      <c r="EX44" s="12" t="e">
        <f t="shared" si="273"/>
        <v>#DIV/0!</v>
      </c>
      <c r="EY44" s="11"/>
      <c r="EZ44" s="11"/>
      <c r="FA44" s="18"/>
      <c r="FB44" s="20"/>
      <c r="FC44" s="10"/>
      <c r="FD44" s="11"/>
      <c r="FE44" s="69">
        <f t="shared" si="304"/>
        <v>0</v>
      </c>
      <c r="FF44" s="69">
        <f t="shared" si="304"/>
        <v>0</v>
      </c>
      <c r="FG44" s="11"/>
      <c r="FH44" s="12" t="e">
        <f t="shared" si="274"/>
        <v>#DIV/0!</v>
      </c>
      <c r="FI44" s="11"/>
      <c r="FJ44" s="12" t="e">
        <f t="shared" si="275"/>
        <v>#DIV/0!</v>
      </c>
      <c r="FK44" s="11"/>
      <c r="FL44" s="11"/>
      <c r="FM44" s="18"/>
      <c r="FN44" s="20"/>
      <c r="FO44" s="10"/>
      <c r="FP44" s="11"/>
      <c r="FQ44" s="69">
        <f t="shared" si="305"/>
        <v>0</v>
      </c>
      <c r="FR44" s="69">
        <f t="shared" si="305"/>
        <v>0</v>
      </c>
      <c r="FS44" s="11"/>
      <c r="FT44" s="12" t="e">
        <f t="shared" si="276"/>
        <v>#DIV/0!</v>
      </c>
      <c r="FU44" s="11"/>
      <c r="FV44" s="12" t="e">
        <f t="shared" si="277"/>
        <v>#DIV/0!</v>
      </c>
      <c r="FW44" s="11"/>
      <c r="FX44" s="11"/>
      <c r="FY44" s="18"/>
      <c r="FZ44" s="20"/>
      <c r="GA44" s="10"/>
      <c r="GB44" s="11"/>
      <c r="GC44" s="69">
        <f t="shared" si="306"/>
        <v>0</v>
      </c>
      <c r="GD44" s="69">
        <f t="shared" si="306"/>
        <v>0</v>
      </c>
      <c r="GE44" s="11"/>
      <c r="GF44" s="12" t="e">
        <f t="shared" si="278"/>
        <v>#DIV/0!</v>
      </c>
      <c r="GG44" s="11"/>
      <c r="GH44" s="12" t="e">
        <f t="shared" si="279"/>
        <v>#DIV/0!</v>
      </c>
      <c r="GI44" s="11"/>
      <c r="GJ44" s="11"/>
      <c r="GK44" s="18"/>
      <c r="GL44" s="20"/>
      <c r="GM44" s="10"/>
      <c r="GN44" s="11"/>
      <c r="GO44" s="69">
        <f t="shared" si="307"/>
        <v>0</v>
      </c>
      <c r="GP44" s="69">
        <f t="shared" si="307"/>
        <v>0</v>
      </c>
      <c r="GQ44" s="11"/>
      <c r="GR44" s="12" t="e">
        <f t="shared" si="280"/>
        <v>#DIV/0!</v>
      </c>
      <c r="GS44" s="11"/>
      <c r="GT44" s="12" t="e">
        <f t="shared" si="281"/>
        <v>#DIV/0!</v>
      </c>
      <c r="GU44" s="11"/>
      <c r="GV44" s="11"/>
      <c r="GW44" s="18"/>
      <c r="GX44" s="20"/>
      <c r="GY44" s="10"/>
      <c r="GZ44" s="11"/>
      <c r="HA44" s="69">
        <f t="shared" si="308"/>
        <v>0</v>
      </c>
      <c r="HB44" s="69">
        <f t="shared" si="308"/>
        <v>0</v>
      </c>
      <c r="HC44" s="11"/>
      <c r="HD44" s="12" t="e">
        <f t="shared" si="282"/>
        <v>#DIV/0!</v>
      </c>
      <c r="HE44" s="11"/>
      <c r="HF44" s="12" t="e">
        <f t="shared" si="283"/>
        <v>#DIV/0!</v>
      </c>
      <c r="HG44" s="11"/>
      <c r="HH44" s="11"/>
      <c r="HI44" s="18"/>
      <c r="HJ44" s="20"/>
      <c r="HK44" s="10">
        <f t="shared" si="284"/>
        <v>2</v>
      </c>
      <c r="HL44" s="11">
        <f t="shared" si="284"/>
        <v>0</v>
      </c>
      <c r="HM44" s="11">
        <f t="shared" si="284"/>
        <v>3734</v>
      </c>
      <c r="HN44" s="11">
        <f t="shared" si="284"/>
        <v>326</v>
      </c>
      <c r="HO44" s="11">
        <f t="shared" si="285"/>
        <v>904</v>
      </c>
      <c r="HP44" s="95">
        <f t="shared" si="286"/>
        <v>0.24209962506695232</v>
      </c>
      <c r="HQ44" s="15">
        <f t="shared" si="287"/>
        <v>88</v>
      </c>
      <c r="HR44" s="12">
        <f t="shared" si="309"/>
        <v>9.7345132743362831E-2</v>
      </c>
      <c r="HS44" s="16">
        <v>58.7</v>
      </c>
      <c r="HT44" s="17">
        <v>765</v>
      </c>
      <c r="HU44" s="16">
        <f t="shared" si="288"/>
        <v>84.623893805309734</v>
      </c>
      <c r="HV44" s="18"/>
      <c r="HW44" s="20"/>
    </row>
    <row r="45" spans="1:263" ht="18.75" x14ac:dyDescent="0.25">
      <c r="A45" s="374"/>
      <c r="B45" s="41">
        <f>+B44+1</f>
        <v>44973</v>
      </c>
      <c r="C45" s="10"/>
      <c r="D45" s="11"/>
      <c r="E45" s="69">
        <f t="shared" si="290"/>
        <v>710</v>
      </c>
      <c r="F45" s="69">
        <f t="shared" si="290"/>
        <v>63</v>
      </c>
      <c r="G45" s="11">
        <v>133</v>
      </c>
      <c r="H45" s="12">
        <f t="shared" si="249"/>
        <v>0.20140845070422536</v>
      </c>
      <c r="I45" s="11">
        <v>10</v>
      </c>
      <c r="J45" s="12">
        <f t="shared" si="291"/>
        <v>6.9930069930069935E-2</v>
      </c>
      <c r="K45" s="13"/>
      <c r="L45" s="13"/>
      <c r="M45" s="25">
        <v>3810</v>
      </c>
      <c r="N45" s="38">
        <v>4220</v>
      </c>
      <c r="O45" s="10">
        <v>1</v>
      </c>
      <c r="P45" s="11"/>
      <c r="Q45" s="69">
        <f t="shared" si="292"/>
        <v>707</v>
      </c>
      <c r="R45" s="69">
        <f t="shared" si="292"/>
        <v>62</v>
      </c>
      <c r="S45" s="11">
        <v>170</v>
      </c>
      <c r="T45" s="12">
        <f t="shared" si="250"/>
        <v>0.25742574257425743</v>
      </c>
      <c r="U45" s="11">
        <v>12</v>
      </c>
      <c r="V45" s="12">
        <f t="shared" si="251"/>
        <v>6.5934065934065936E-2</v>
      </c>
      <c r="W45" s="13"/>
      <c r="X45" s="13"/>
      <c r="Y45" s="25">
        <v>3810</v>
      </c>
      <c r="Z45" s="38">
        <v>4220</v>
      </c>
      <c r="AA45" s="10"/>
      <c r="AB45" s="11"/>
      <c r="AC45" s="69">
        <f t="shared" si="293"/>
        <v>190</v>
      </c>
      <c r="AD45" s="69">
        <f t="shared" si="293"/>
        <v>13</v>
      </c>
      <c r="AE45" s="11">
        <v>30</v>
      </c>
      <c r="AF45" s="12">
        <f t="shared" si="252"/>
        <v>0.19473684210526315</v>
      </c>
      <c r="AG45" s="11">
        <v>7</v>
      </c>
      <c r="AH45" s="12">
        <f t="shared" si="253"/>
        <v>0.1891891891891892</v>
      </c>
      <c r="AI45" s="13"/>
      <c r="AJ45" s="13"/>
      <c r="AK45" s="25">
        <v>3810</v>
      </c>
      <c r="AL45" s="38">
        <v>4220</v>
      </c>
      <c r="AM45" s="10"/>
      <c r="AN45" s="11"/>
      <c r="AO45" s="69">
        <f t="shared" si="294"/>
        <v>708</v>
      </c>
      <c r="AP45" s="69">
        <f t="shared" si="294"/>
        <v>63</v>
      </c>
      <c r="AQ45" s="11">
        <v>150</v>
      </c>
      <c r="AR45" s="12">
        <f t="shared" si="254"/>
        <v>0.24576271186440679</v>
      </c>
      <c r="AS45" s="11">
        <v>24</v>
      </c>
      <c r="AT45" s="12">
        <f t="shared" si="255"/>
        <v>0.13793103448275862</v>
      </c>
      <c r="AU45" s="193">
        <v>132.85320000000002</v>
      </c>
      <c r="AV45" s="13"/>
      <c r="AW45" s="25">
        <v>3810</v>
      </c>
      <c r="AX45" s="38">
        <v>4220</v>
      </c>
      <c r="AY45" s="10"/>
      <c r="AZ45" s="11"/>
      <c r="BA45" s="69">
        <f t="shared" si="295"/>
        <v>710</v>
      </c>
      <c r="BB45" s="69">
        <f t="shared" si="295"/>
        <v>62</v>
      </c>
      <c r="BC45" s="11">
        <v>177</v>
      </c>
      <c r="BD45" s="12">
        <f t="shared" si="256"/>
        <v>0.27464788732394368</v>
      </c>
      <c r="BE45" s="11">
        <v>18</v>
      </c>
      <c r="BF45" s="12">
        <f t="shared" si="257"/>
        <v>9.2307692307692313E-2</v>
      </c>
      <c r="BG45" s="13"/>
      <c r="BH45" s="13"/>
      <c r="BI45" s="25">
        <v>3810</v>
      </c>
      <c r="BJ45" s="38">
        <v>4220</v>
      </c>
      <c r="BK45" s="10"/>
      <c r="BL45" s="11"/>
      <c r="BM45" s="69">
        <f t="shared" si="296"/>
        <v>708</v>
      </c>
      <c r="BN45" s="69">
        <f t="shared" si="296"/>
        <v>63</v>
      </c>
      <c r="BO45" s="11">
        <v>173</v>
      </c>
      <c r="BP45" s="12">
        <f t="shared" si="258"/>
        <v>0.26836158192090398</v>
      </c>
      <c r="BQ45" s="11">
        <v>17</v>
      </c>
      <c r="BR45" s="12">
        <f t="shared" si="259"/>
        <v>8.9473684210526316E-2</v>
      </c>
      <c r="BS45" s="13"/>
      <c r="BT45" s="13"/>
      <c r="BU45" s="25">
        <v>3810</v>
      </c>
      <c r="BV45" s="38">
        <v>4220</v>
      </c>
      <c r="BW45" s="10"/>
      <c r="BX45" s="11"/>
      <c r="BY45" s="69">
        <f t="shared" si="297"/>
        <v>0</v>
      </c>
      <c r="BZ45" s="69">
        <f t="shared" si="297"/>
        <v>0</v>
      </c>
      <c r="CA45" s="11"/>
      <c r="CB45" s="12" t="e">
        <f t="shared" si="260"/>
        <v>#DIV/0!</v>
      </c>
      <c r="CC45" s="11"/>
      <c r="CD45" s="12" t="e">
        <f t="shared" si="261"/>
        <v>#DIV/0!</v>
      </c>
      <c r="CE45" s="13"/>
      <c r="CF45" s="13"/>
      <c r="CG45" s="25"/>
      <c r="CH45" s="38"/>
      <c r="CI45" s="10"/>
      <c r="CJ45" s="11"/>
      <c r="CK45" s="69">
        <f t="shared" si="298"/>
        <v>0</v>
      </c>
      <c r="CL45" s="69">
        <f t="shared" si="298"/>
        <v>0</v>
      </c>
      <c r="CM45" s="11"/>
      <c r="CN45" s="12" t="e">
        <f t="shared" si="262"/>
        <v>#DIV/0!</v>
      </c>
      <c r="CO45" s="11"/>
      <c r="CP45" s="12" t="e">
        <f t="shared" si="263"/>
        <v>#DIV/0!</v>
      </c>
      <c r="CQ45" s="13"/>
      <c r="CR45" s="13"/>
      <c r="CS45" s="25"/>
      <c r="CT45" s="38"/>
      <c r="CU45" s="10"/>
      <c r="CV45" s="11"/>
      <c r="CW45" s="69">
        <f t="shared" si="299"/>
        <v>0</v>
      </c>
      <c r="CX45" s="69">
        <f t="shared" si="299"/>
        <v>0</v>
      </c>
      <c r="CY45" s="11"/>
      <c r="CZ45" s="12" t="e">
        <f t="shared" si="264"/>
        <v>#DIV/0!</v>
      </c>
      <c r="DA45" s="11"/>
      <c r="DB45" s="12" t="e">
        <f t="shared" si="265"/>
        <v>#DIV/0!</v>
      </c>
      <c r="DC45" s="13"/>
      <c r="DD45" s="13"/>
      <c r="DE45" s="25"/>
      <c r="DF45" s="38"/>
      <c r="DG45" s="10"/>
      <c r="DH45" s="11"/>
      <c r="DI45" s="69">
        <f t="shared" si="300"/>
        <v>0</v>
      </c>
      <c r="DJ45" s="69">
        <f t="shared" si="300"/>
        <v>0</v>
      </c>
      <c r="DK45" s="11"/>
      <c r="DL45" s="12" t="e">
        <f t="shared" si="266"/>
        <v>#DIV/0!</v>
      </c>
      <c r="DM45" s="11"/>
      <c r="DN45" s="12" t="e">
        <f t="shared" si="267"/>
        <v>#DIV/0!</v>
      </c>
      <c r="DO45" s="13"/>
      <c r="DP45" s="13"/>
      <c r="DQ45" s="25"/>
      <c r="DR45" s="38"/>
      <c r="DS45" s="10"/>
      <c r="DT45" s="11"/>
      <c r="DU45" s="69">
        <f t="shared" si="301"/>
        <v>0</v>
      </c>
      <c r="DV45" s="69">
        <f t="shared" si="301"/>
        <v>0</v>
      </c>
      <c r="DW45" s="11"/>
      <c r="DX45" s="12" t="e">
        <f t="shared" si="268"/>
        <v>#DIV/0!</v>
      </c>
      <c r="DY45" s="11"/>
      <c r="DZ45" s="12" t="e">
        <f t="shared" si="269"/>
        <v>#DIV/0!</v>
      </c>
      <c r="EA45" s="13"/>
      <c r="EB45" s="13"/>
      <c r="EC45" s="25"/>
      <c r="ED45" s="38"/>
      <c r="EE45" s="10"/>
      <c r="EF45" s="11"/>
      <c r="EG45" s="69">
        <f t="shared" si="302"/>
        <v>0</v>
      </c>
      <c r="EH45" s="69">
        <f t="shared" si="302"/>
        <v>0</v>
      </c>
      <c r="EI45" s="11"/>
      <c r="EJ45" s="12" t="e">
        <f t="shared" si="270"/>
        <v>#DIV/0!</v>
      </c>
      <c r="EK45" s="11"/>
      <c r="EL45" s="12" t="e">
        <f t="shared" si="271"/>
        <v>#DIV/0!</v>
      </c>
      <c r="EM45" s="13"/>
      <c r="EN45" s="13"/>
      <c r="EO45" s="25"/>
      <c r="EP45" s="38"/>
      <c r="EQ45" s="10"/>
      <c r="ER45" s="11"/>
      <c r="ES45" s="69">
        <f t="shared" si="303"/>
        <v>0</v>
      </c>
      <c r="ET45" s="69">
        <f t="shared" si="303"/>
        <v>0</v>
      </c>
      <c r="EU45" s="11"/>
      <c r="EV45" s="12" t="e">
        <f t="shared" si="272"/>
        <v>#DIV/0!</v>
      </c>
      <c r="EW45" s="11"/>
      <c r="EX45" s="12" t="e">
        <f t="shared" si="273"/>
        <v>#DIV/0!</v>
      </c>
      <c r="EY45" s="13"/>
      <c r="EZ45" s="13"/>
      <c r="FA45" s="25"/>
      <c r="FB45" s="38"/>
      <c r="FC45" s="10"/>
      <c r="FD45" s="11"/>
      <c r="FE45" s="69">
        <f t="shared" si="304"/>
        <v>0</v>
      </c>
      <c r="FF45" s="69">
        <f t="shared" si="304"/>
        <v>0</v>
      </c>
      <c r="FG45" s="11"/>
      <c r="FH45" s="12" t="e">
        <f t="shared" si="274"/>
        <v>#DIV/0!</v>
      </c>
      <c r="FI45" s="11"/>
      <c r="FJ45" s="12" t="e">
        <f t="shared" si="275"/>
        <v>#DIV/0!</v>
      </c>
      <c r="FK45" s="13"/>
      <c r="FL45" s="13"/>
      <c r="FM45" s="25"/>
      <c r="FN45" s="38"/>
      <c r="FO45" s="10"/>
      <c r="FP45" s="11"/>
      <c r="FQ45" s="69">
        <f t="shared" si="305"/>
        <v>0</v>
      </c>
      <c r="FR45" s="69">
        <f t="shared" si="305"/>
        <v>0</v>
      </c>
      <c r="FS45" s="11"/>
      <c r="FT45" s="12" t="e">
        <f t="shared" si="276"/>
        <v>#DIV/0!</v>
      </c>
      <c r="FU45" s="11"/>
      <c r="FV45" s="12" t="e">
        <f t="shared" si="277"/>
        <v>#DIV/0!</v>
      </c>
      <c r="FW45" s="13"/>
      <c r="FX45" s="13"/>
      <c r="FY45" s="25"/>
      <c r="FZ45" s="38"/>
      <c r="GA45" s="10"/>
      <c r="GB45" s="11"/>
      <c r="GC45" s="69">
        <f t="shared" si="306"/>
        <v>0</v>
      </c>
      <c r="GD45" s="69">
        <f t="shared" si="306"/>
        <v>0</v>
      </c>
      <c r="GE45" s="11"/>
      <c r="GF45" s="12" t="e">
        <f t="shared" si="278"/>
        <v>#DIV/0!</v>
      </c>
      <c r="GG45" s="11"/>
      <c r="GH45" s="12" t="e">
        <f t="shared" si="279"/>
        <v>#DIV/0!</v>
      </c>
      <c r="GI45" s="13"/>
      <c r="GJ45" s="13"/>
      <c r="GK45" s="25"/>
      <c r="GL45" s="38"/>
      <c r="GM45" s="10"/>
      <c r="GN45" s="11"/>
      <c r="GO45" s="69">
        <f t="shared" si="307"/>
        <v>0</v>
      </c>
      <c r="GP45" s="69">
        <f t="shared" si="307"/>
        <v>0</v>
      </c>
      <c r="GQ45" s="11"/>
      <c r="GR45" s="12" t="e">
        <f t="shared" si="280"/>
        <v>#DIV/0!</v>
      </c>
      <c r="GS45" s="11"/>
      <c r="GT45" s="12" t="e">
        <f t="shared" si="281"/>
        <v>#DIV/0!</v>
      </c>
      <c r="GU45" s="13"/>
      <c r="GV45" s="13"/>
      <c r="GW45" s="25"/>
      <c r="GX45" s="38"/>
      <c r="GY45" s="10"/>
      <c r="GZ45" s="11"/>
      <c r="HA45" s="69">
        <f t="shared" si="308"/>
        <v>0</v>
      </c>
      <c r="HB45" s="69">
        <f t="shared" si="308"/>
        <v>0</v>
      </c>
      <c r="HC45" s="11"/>
      <c r="HD45" s="12" t="e">
        <f t="shared" si="282"/>
        <v>#DIV/0!</v>
      </c>
      <c r="HE45" s="11"/>
      <c r="HF45" s="12" t="e">
        <f t="shared" si="283"/>
        <v>#DIV/0!</v>
      </c>
      <c r="HG45" s="13"/>
      <c r="HH45" s="13"/>
      <c r="HI45" s="25"/>
      <c r="HJ45" s="38"/>
      <c r="HK45" s="10">
        <f t="shared" si="284"/>
        <v>1</v>
      </c>
      <c r="HL45" s="11">
        <f t="shared" si="284"/>
        <v>0</v>
      </c>
      <c r="HM45" s="11">
        <f t="shared" si="284"/>
        <v>3733</v>
      </c>
      <c r="HN45" s="11">
        <f t="shared" si="284"/>
        <v>326</v>
      </c>
      <c r="HO45" s="11">
        <f t="shared" si="285"/>
        <v>921</v>
      </c>
      <c r="HP45" s="95">
        <f t="shared" si="286"/>
        <v>0.24671845700508974</v>
      </c>
      <c r="HQ45" s="15">
        <f t="shared" si="287"/>
        <v>88</v>
      </c>
      <c r="HR45" s="12">
        <f t="shared" si="309"/>
        <v>9.5548317046688383E-2</v>
      </c>
      <c r="HS45" s="16">
        <v>59.2</v>
      </c>
      <c r="HT45" s="17">
        <v>783</v>
      </c>
      <c r="HU45" s="16">
        <f t="shared" si="288"/>
        <v>85.016286644951151</v>
      </c>
      <c r="HV45" s="23">
        <v>3810</v>
      </c>
      <c r="HW45" s="22">
        <v>4220</v>
      </c>
    </row>
    <row r="46" spans="1:263" ht="18.75" x14ac:dyDescent="0.25">
      <c r="A46" s="374"/>
      <c r="B46" s="41">
        <f t="shared" si="289"/>
        <v>44974</v>
      </c>
      <c r="C46" s="10"/>
      <c r="D46" s="11"/>
      <c r="E46" s="69">
        <f t="shared" si="290"/>
        <v>710</v>
      </c>
      <c r="F46" s="69">
        <f t="shared" si="290"/>
        <v>63</v>
      </c>
      <c r="G46" s="11">
        <v>171</v>
      </c>
      <c r="H46" s="12">
        <f t="shared" si="249"/>
        <v>0.25774647887323943</v>
      </c>
      <c r="I46" s="11">
        <v>12</v>
      </c>
      <c r="J46" s="12">
        <f t="shared" si="291"/>
        <v>6.5573770491803282E-2</v>
      </c>
      <c r="K46" s="194">
        <v>136.1</v>
      </c>
      <c r="L46" s="11"/>
      <c r="M46" s="25">
        <v>4010.2272727272725</v>
      </c>
      <c r="N46" s="38">
        <v>4390.7142857142853</v>
      </c>
      <c r="O46" s="10">
        <v>1</v>
      </c>
      <c r="P46" s="11"/>
      <c r="Q46" s="69">
        <f t="shared" si="292"/>
        <v>706</v>
      </c>
      <c r="R46" s="69">
        <f t="shared" si="292"/>
        <v>62</v>
      </c>
      <c r="S46" s="11">
        <v>205</v>
      </c>
      <c r="T46" s="12">
        <f t="shared" si="250"/>
        <v>0.31303116147308779</v>
      </c>
      <c r="U46" s="11">
        <v>16</v>
      </c>
      <c r="V46" s="12">
        <f t="shared" si="251"/>
        <v>7.2398190045248875E-2</v>
      </c>
      <c r="W46" s="13"/>
      <c r="X46" s="11"/>
      <c r="Y46" s="25">
        <v>4090</v>
      </c>
      <c r="Z46" s="38">
        <v>4479.090909090909</v>
      </c>
      <c r="AA46" s="10"/>
      <c r="AB46" s="11"/>
      <c r="AC46" s="69">
        <f t="shared" si="293"/>
        <v>190</v>
      </c>
      <c r="AD46" s="69">
        <f t="shared" si="293"/>
        <v>13</v>
      </c>
      <c r="AE46" s="11">
        <v>44</v>
      </c>
      <c r="AF46" s="12">
        <f t="shared" si="252"/>
        <v>0.25263157894736843</v>
      </c>
      <c r="AG46" s="11">
        <v>4</v>
      </c>
      <c r="AH46" s="12">
        <f t="shared" si="253"/>
        <v>8.3333333333333329E-2</v>
      </c>
      <c r="AI46" s="194">
        <v>136.80000000000001</v>
      </c>
      <c r="AJ46" s="11"/>
      <c r="AK46" s="25">
        <v>3898</v>
      </c>
      <c r="AL46" s="38">
        <v>4335</v>
      </c>
      <c r="AM46" s="10"/>
      <c r="AN46" s="11"/>
      <c r="AO46" s="69">
        <f t="shared" si="294"/>
        <v>708</v>
      </c>
      <c r="AP46" s="69">
        <f t="shared" si="294"/>
        <v>63</v>
      </c>
      <c r="AQ46" s="11">
        <v>205</v>
      </c>
      <c r="AR46" s="12">
        <f t="shared" si="254"/>
        <v>0.31779661016949151</v>
      </c>
      <c r="AS46" s="11">
        <v>20</v>
      </c>
      <c r="AT46" s="12">
        <f t="shared" si="255"/>
        <v>8.8888888888888892E-2</v>
      </c>
      <c r="AU46" s="13"/>
      <c r="AV46" s="11"/>
      <c r="AW46" s="25">
        <v>4069.1891891891892</v>
      </c>
      <c r="AX46" s="38">
        <v>4583.8461538461543</v>
      </c>
      <c r="AY46" s="10">
        <v>1</v>
      </c>
      <c r="AZ46" s="11"/>
      <c r="BA46" s="69">
        <f t="shared" si="295"/>
        <v>709</v>
      </c>
      <c r="BB46" s="69">
        <f t="shared" si="295"/>
        <v>62</v>
      </c>
      <c r="BC46" s="11">
        <v>204</v>
      </c>
      <c r="BD46" s="12">
        <f t="shared" si="256"/>
        <v>0.32581100141043723</v>
      </c>
      <c r="BE46" s="11">
        <v>27</v>
      </c>
      <c r="BF46" s="12">
        <f t="shared" si="257"/>
        <v>0.11688311688311688</v>
      </c>
      <c r="BG46" s="13"/>
      <c r="BH46" s="11"/>
      <c r="BI46" s="25">
        <v>4154.4827586206893</v>
      </c>
      <c r="BJ46" s="38">
        <v>4467.5</v>
      </c>
      <c r="BK46" s="10"/>
      <c r="BL46" s="11"/>
      <c r="BM46" s="69">
        <f t="shared" si="296"/>
        <v>708</v>
      </c>
      <c r="BN46" s="69">
        <f t="shared" si="296"/>
        <v>63</v>
      </c>
      <c r="BO46" s="11">
        <v>186</v>
      </c>
      <c r="BP46" s="12">
        <f t="shared" si="258"/>
        <v>0.2980225988700565</v>
      </c>
      <c r="BQ46" s="11">
        <v>25</v>
      </c>
      <c r="BR46" s="12">
        <f t="shared" si="259"/>
        <v>0.11848341232227488</v>
      </c>
      <c r="BS46" s="13"/>
      <c r="BT46" s="11"/>
      <c r="BU46" s="25">
        <v>4156</v>
      </c>
      <c r="BV46" s="38">
        <v>4700</v>
      </c>
      <c r="BW46" s="10"/>
      <c r="BX46" s="11"/>
      <c r="BY46" s="69">
        <f t="shared" si="297"/>
        <v>0</v>
      </c>
      <c r="BZ46" s="69">
        <f t="shared" si="297"/>
        <v>0</v>
      </c>
      <c r="CA46" s="11"/>
      <c r="CB46" s="12" t="e">
        <f t="shared" si="260"/>
        <v>#DIV/0!</v>
      </c>
      <c r="CC46" s="11"/>
      <c r="CD46" s="12" t="e">
        <f t="shared" si="261"/>
        <v>#DIV/0!</v>
      </c>
      <c r="CE46" s="13"/>
      <c r="CF46" s="11"/>
      <c r="CG46" s="25"/>
      <c r="CH46" s="38"/>
      <c r="CI46" s="10"/>
      <c r="CJ46" s="11"/>
      <c r="CK46" s="69">
        <f t="shared" si="298"/>
        <v>0</v>
      </c>
      <c r="CL46" s="69">
        <f t="shared" si="298"/>
        <v>0</v>
      </c>
      <c r="CM46" s="11"/>
      <c r="CN46" s="12" t="e">
        <f t="shared" si="262"/>
        <v>#DIV/0!</v>
      </c>
      <c r="CO46" s="11"/>
      <c r="CP46" s="12" t="e">
        <f t="shared" si="263"/>
        <v>#DIV/0!</v>
      </c>
      <c r="CQ46" s="13"/>
      <c r="CR46" s="11"/>
      <c r="CS46" s="25"/>
      <c r="CT46" s="38"/>
      <c r="CU46" s="10"/>
      <c r="CV46" s="11"/>
      <c r="CW46" s="69">
        <f t="shared" si="299"/>
        <v>0</v>
      </c>
      <c r="CX46" s="69">
        <f t="shared" si="299"/>
        <v>0</v>
      </c>
      <c r="CY46" s="11"/>
      <c r="CZ46" s="12" t="e">
        <f t="shared" si="264"/>
        <v>#DIV/0!</v>
      </c>
      <c r="DA46" s="11"/>
      <c r="DB46" s="12" t="e">
        <f t="shared" si="265"/>
        <v>#DIV/0!</v>
      </c>
      <c r="DC46" s="13"/>
      <c r="DD46" s="11"/>
      <c r="DE46" s="25"/>
      <c r="DF46" s="38"/>
      <c r="DG46" s="10"/>
      <c r="DH46" s="11"/>
      <c r="DI46" s="69">
        <f t="shared" si="300"/>
        <v>0</v>
      </c>
      <c r="DJ46" s="69">
        <f t="shared" si="300"/>
        <v>0</v>
      </c>
      <c r="DK46" s="11"/>
      <c r="DL46" s="12" t="e">
        <f t="shared" si="266"/>
        <v>#DIV/0!</v>
      </c>
      <c r="DM46" s="11"/>
      <c r="DN46" s="12" t="e">
        <f t="shared" si="267"/>
        <v>#DIV/0!</v>
      </c>
      <c r="DO46" s="13"/>
      <c r="DP46" s="11"/>
      <c r="DQ46" s="25"/>
      <c r="DR46" s="38"/>
      <c r="DS46" s="10"/>
      <c r="DT46" s="11"/>
      <c r="DU46" s="69">
        <f t="shared" si="301"/>
        <v>0</v>
      </c>
      <c r="DV46" s="69">
        <f t="shared" si="301"/>
        <v>0</v>
      </c>
      <c r="DW46" s="11"/>
      <c r="DX46" s="12" t="e">
        <f t="shared" si="268"/>
        <v>#DIV/0!</v>
      </c>
      <c r="DY46" s="11"/>
      <c r="DZ46" s="12" t="e">
        <f t="shared" si="269"/>
        <v>#DIV/0!</v>
      </c>
      <c r="EA46" s="13"/>
      <c r="EB46" s="11"/>
      <c r="EC46" s="25"/>
      <c r="ED46" s="38"/>
      <c r="EE46" s="10"/>
      <c r="EF46" s="11"/>
      <c r="EG46" s="69">
        <f t="shared" si="302"/>
        <v>0</v>
      </c>
      <c r="EH46" s="69">
        <f t="shared" si="302"/>
        <v>0</v>
      </c>
      <c r="EI46" s="11"/>
      <c r="EJ46" s="12" t="e">
        <f t="shared" si="270"/>
        <v>#DIV/0!</v>
      </c>
      <c r="EK46" s="11"/>
      <c r="EL46" s="12" t="e">
        <f t="shared" si="271"/>
        <v>#DIV/0!</v>
      </c>
      <c r="EM46" s="13"/>
      <c r="EN46" s="11"/>
      <c r="EO46" s="25"/>
      <c r="EP46" s="38"/>
      <c r="EQ46" s="10"/>
      <c r="ER46" s="11"/>
      <c r="ES46" s="69">
        <f t="shared" si="303"/>
        <v>0</v>
      </c>
      <c r="ET46" s="69">
        <f t="shared" si="303"/>
        <v>0</v>
      </c>
      <c r="EU46" s="11"/>
      <c r="EV46" s="12" t="e">
        <f t="shared" si="272"/>
        <v>#DIV/0!</v>
      </c>
      <c r="EW46" s="11"/>
      <c r="EX46" s="12" t="e">
        <f t="shared" si="273"/>
        <v>#DIV/0!</v>
      </c>
      <c r="EY46" s="13"/>
      <c r="EZ46" s="11"/>
      <c r="FA46" s="25"/>
      <c r="FB46" s="38"/>
      <c r="FC46" s="10"/>
      <c r="FD46" s="11"/>
      <c r="FE46" s="69">
        <f t="shared" si="304"/>
        <v>0</v>
      </c>
      <c r="FF46" s="69">
        <f t="shared" si="304"/>
        <v>0</v>
      </c>
      <c r="FG46" s="11"/>
      <c r="FH46" s="12" t="e">
        <f t="shared" si="274"/>
        <v>#DIV/0!</v>
      </c>
      <c r="FI46" s="11"/>
      <c r="FJ46" s="12" t="e">
        <f t="shared" si="275"/>
        <v>#DIV/0!</v>
      </c>
      <c r="FK46" s="13"/>
      <c r="FL46" s="11"/>
      <c r="FM46" s="25"/>
      <c r="FN46" s="38"/>
      <c r="FO46" s="10"/>
      <c r="FP46" s="11"/>
      <c r="FQ46" s="69">
        <f t="shared" si="305"/>
        <v>0</v>
      </c>
      <c r="FR46" s="69">
        <f t="shared" si="305"/>
        <v>0</v>
      </c>
      <c r="FS46" s="11"/>
      <c r="FT46" s="12" t="e">
        <f t="shared" si="276"/>
        <v>#DIV/0!</v>
      </c>
      <c r="FU46" s="11"/>
      <c r="FV46" s="12" t="e">
        <f t="shared" si="277"/>
        <v>#DIV/0!</v>
      </c>
      <c r="FW46" s="13"/>
      <c r="FX46" s="11"/>
      <c r="FY46" s="25"/>
      <c r="FZ46" s="38"/>
      <c r="GA46" s="10"/>
      <c r="GB46" s="11"/>
      <c r="GC46" s="69">
        <f t="shared" si="306"/>
        <v>0</v>
      </c>
      <c r="GD46" s="69">
        <f t="shared" si="306"/>
        <v>0</v>
      </c>
      <c r="GE46" s="11"/>
      <c r="GF46" s="12" t="e">
        <f t="shared" si="278"/>
        <v>#DIV/0!</v>
      </c>
      <c r="GG46" s="11"/>
      <c r="GH46" s="12" t="e">
        <f t="shared" si="279"/>
        <v>#DIV/0!</v>
      </c>
      <c r="GI46" s="13"/>
      <c r="GJ46" s="11"/>
      <c r="GK46" s="25"/>
      <c r="GL46" s="38"/>
      <c r="GM46" s="10"/>
      <c r="GN46" s="11"/>
      <c r="GO46" s="69">
        <f t="shared" si="307"/>
        <v>0</v>
      </c>
      <c r="GP46" s="69">
        <f t="shared" si="307"/>
        <v>0</v>
      </c>
      <c r="GQ46" s="11"/>
      <c r="GR46" s="12" t="e">
        <f t="shared" si="280"/>
        <v>#DIV/0!</v>
      </c>
      <c r="GS46" s="11"/>
      <c r="GT46" s="12" t="e">
        <f t="shared" si="281"/>
        <v>#DIV/0!</v>
      </c>
      <c r="GU46" s="13"/>
      <c r="GV46" s="11"/>
      <c r="GW46" s="25"/>
      <c r="GX46" s="38"/>
      <c r="GY46" s="10"/>
      <c r="GZ46" s="11"/>
      <c r="HA46" s="69">
        <f t="shared" si="308"/>
        <v>0</v>
      </c>
      <c r="HB46" s="69">
        <f t="shared" si="308"/>
        <v>0</v>
      </c>
      <c r="HC46" s="11"/>
      <c r="HD46" s="12" t="e">
        <f t="shared" si="282"/>
        <v>#DIV/0!</v>
      </c>
      <c r="HE46" s="11"/>
      <c r="HF46" s="12" t="e">
        <f t="shared" si="283"/>
        <v>#DIV/0!</v>
      </c>
      <c r="HG46" s="13"/>
      <c r="HH46" s="11"/>
      <c r="HI46" s="25"/>
      <c r="HJ46" s="38"/>
      <c r="HK46" s="10">
        <f t="shared" si="284"/>
        <v>2</v>
      </c>
      <c r="HL46" s="11">
        <f t="shared" si="284"/>
        <v>0</v>
      </c>
      <c r="HM46" s="11">
        <f t="shared" si="284"/>
        <v>3731</v>
      </c>
      <c r="HN46" s="11">
        <f t="shared" si="284"/>
        <v>326</v>
      </c>
      <c r="HO46" s="11">
        <f t="shared" si="285"/>
        <v>1119</v>
      </c>
      <c r="HP46" s="95">
        <f t="shared" si="286"/>
        <v>0.29991959260251944</v>
      </c>
      <c r="HQ46" s="15">
        <f t="shared" si="287"/>
        <v>104</v>
      </c>
      <c r="HR46" s="12">
        <f t="shared" si="309"/>
        <v>9.2940125111706878E-2</v>
      </c>
      <c r="HS46" s="16">
        <v>59.4</v>
      </c>
      <c r="HT46" s="17">
        <v>947</v>
      </c>
      <c r="HU46" s="16">
        <f t="shared" si="288"/>
        <v>84.629133154602314</v>
      </c>
      <c r="HV46" s="23">
        <v>4079.4240837696334</v>
      </c>
      <c r="HW46" s="22">
        <v>4515.8823529411766</v>
      </c>
    </row>
    <row r="47" spans="1:263" ht="18.75" x14ac:dyDescent="0.25">
      <c r="A47" s="374"/>
      <c r="B47" s="41">
        <f t="shared" si="289"/>
        <v>44975</v>
      </c>
      <c r="C47" s="10"/>
      <c r="D47" s="11"/>
      <c r="E47" s="69">
        <f>E46-C47</f>
        <v>710</v>
      </c>
      <c r="F47" s="69">
        <f>F46-D47</f>
        <v>63</v>
      </c>
      <c r="G47" s="11">
        <v>180</v>
      </c>
      <c r="H47" s="12">
        <f t="shared" si="249"/>
        <v>0.26197183098591548</v>
      </c>
      <c r="I47" s="11">
        <v>6</v>
      </c>
      <c r="J47" s="12">
        <f t="shared" si="291"/>
        <v>3.2258064516129031E-2</v>
      </c>
      <c r="K47" s="13"/>
      <c r="L47" s="11"/>
      <c r="M47" s="39">
        <v>93.181818181818187</v>
      </c>
      <c r="N47" s="43">
        <v>100</v>
      </c>
      <c r="O47" s="10"/>
      <c r="P47" s="11"/>
      <c r="Q47" s="69">
        <f t="shared" si="292"/>
        <v>706</v>
      </c>
      <c r="R47" s="69">
        <f t="shared" si="292"/>
        <v>62</v>
      </c>
      <c r="S47" s="11">
        <v>201</v>
      </c>
      <c r="T47" s="12">
        <f t="shared" si="250"/>
        <v>0.3002832861189802</v>
      </c>
      <c r="U47" s="11">
        <v>11</v>
      </c>
      <c r="V47" s="12">
        <f t="shared" si="251"/>
        <v>5.1886792452830191E-2</v>
      </c>
      <c r="W47" s="13"/>
      <c r="X47" s="11"/>
      <c r="Y47" s="39">
        <v>94.444444444444443</v>
      </c>
      <c r="Z47" s="43">
        <v>100</v>
      </c>
      <c r="AA47" s="10"/>
      <c r="AB47" s="11"/>
      <c r="AC47" s="69">
        <f t="shared" si="293"/>
        <v>190</v>
      </c>
      <c r="AD47" s="69">
        <f t="shared" si="293"/>
        <v>13</v>
      </c>
      <c r="AE47" s="11">
        <v>45</v>
      </c>
      <c r="AF47" s="12">
        <f t="shared" si="252"/>
        <v>0.26842105263157895</v>
      </c>
      <c r="AG47" s="11">
        <v>6</v>
      </c>
      <c r="AH47" s="12">
        <f t="shared" si="253"/>
        <v>0.11764705882352941</v>
      </c>
      <c r="AI47" s="13"/>
      <c r="AJ47" s="11"/>
      <c r="AK47" s="39">
        <v>100</v>
      </c>
      <c r="AL47" s="43">
        <v>100</v>
      </c>
      <c r="AM47" s="10"/>
      <c r="AN47" s="11"/>
      <c r="AO47" s="69">
        <f t="shared" si="294"/>
        <v>708</v>
      </c>
      <c r="AP47" s="69">
        <f t="shared" si="294"/>
        <v>63</v>
      </c>
      <c r="AQ47" s="11">
        <v>212</v>
      </c>
      <c r="AR47" s="12">
        <f t="shared" si="254"/>
        <v>0.32909604519774011</v>
      </c>
      <c r="AS47" s="11">
        <v>21</v>
      </c>
      <c r="AT47" s="12">
        <f t="shared" si="255"/>
        <v>9.012875536480687E-2</v>
      </c>
      <c r="AU47" s="13"/>
      <c r="AV47" s="11"/>
      <c r="AW47" s="39">
        <v>94.594594594594597</v>
      </c>
      <c r="AX47" s="43">
        <v>100</v>
      </c>
      <c r="AY47" s="10"/>
      <c r="AZ47" s="11"/>
      <c r="BA47" s="69">
        <f t="shared" si="295"/>
        <v>709</v>
      </c>
      <c r="BB47" s="69">
        <f t="shared" si="295"/>
        <v>62</v>
      </c>
      <c r="BC47" s="11">
        <v>215</v>
      </c>
      <c r="BD47" s="12">
        <f t="shared" si="256"/>
        <v>0.33427362482369533</v>
      </c>
      <c r="BE47" s="11">
        <v>22</v>
      </c>
      <c r="BF47" s="12">
        <f t="shared" si="257"/>
        <v>9.2827004219409287E-2</v>
      </c>
      <c r="BG47" s="13"/>
      <c r="BH47" s="11"/>
      <c r="BI47" s="39">
        <v>93.103448275862064</v>
      </c>
      <c r="BJ47" s="43">
        <v>100</v>
      </c>
      <c r="BK47" s="10"/>
      <c r="BL47" s="11"/>
      <c r="BM47" s="69">
        <f t="shared" si="296"/>
        <v>708</v>
      </c>
      <c r="BN47" s="69">
        <f t="shared" si="296"/>
        <v>63</v>
      </c>
      <c r="BO47" s="11">
        <v>184</v>
      </c>
      <c r="BP47" s="12">
        <f t="shared" si="258"/>
        <v>0.2768361581920904</v>
      </c>
      <c r="BQ47" s="11">
        <v>12</v>
      </c>
      <c r="BR47" s="12">
        <f t="shared" si="259"/>
        <v>6.1224489795918366E-2</v>
      </c>
      <c r="BS47" s="13"/>
      <c r="BT47" s="11"/>
      <c r="BU47" s="39">
        <v>80</v>
      </c>
      <c r="BV47" s="43">
        <v>92.857142857142861</v>
      </c>
      <c r="BW47" s="10"/>
      <c r="BX47" s="11"/>
      <c r="BY47" s="69">
        <f t="shared" si="297"/>
        <v>0</v>
      </c>
      <c r="BZ47" s="69">
        <f t="shared" si="297"/>
        <v>0</v>
      </c>
      <c r="CA47" s="11"/>
      <c r="CB47" s="12" t="e">
        <f t="shared" si="260"/>
        <v>#DIV/0!</v>
      </c>
      <c r="CC47" s="11"/>
      <c r="CD47" s="12" t="e">
        <f t="shared" si="261"/>
        <v>#DIV/0!</v>
      </c>
      <c r="CE47" s="13"/>
      <c r="CF47" s="11"/>
      <c r="CG47" s="39"/>
      <c r="CH47" s="43"/>
      <c r="CI47" s="10"/>
      <c r="CJ47" s="11"/>
      <c r="CK47" s="69">
        <f t="shared" si="298"/>
        <v>0</v>
      </c>
      <c r="CL47" s="69">
        <f t="shared" si="298"/>
        <v>0</v>
      </c>
      <c r="CM47" s="11"/>
      <c r="CN47" s="12" t="e">
        <f t="shared" si="262"/>
        <v>#DIV/0!</v>
      </c>
      <c r="CO47" s="11"/>
      <c r="CP47" s="12" t="e">
        <f t="shared" si="263"/>
        <v>#DIV/0!</v>
      </c>
      <c r="CQ47" s="13"/>
      <c r="CR47" s="11"/>
      <c r="CS47" s="39"/>
      <c r="CT47" s="43"/>
      <c r="CU47" s="10"/>
      <c r="CV47" s="11"/>
      <c r="CW47" s="69">
        <f t="shared" si="299"/>
        <v>0</v>
      </c>
      <c r="CX47" s="69">
        <f t="shared" si="299"/>
        <v>0</v>
      </c>
      <c r="CY47" s="11"/>
      <c r="CZ47" s="12" t="e">
        <f t="shared" si="264"/>
        <v>#DIV/0!</v>
      </c>
      <c r="DA47" s="11"/>
      <c r="DB47" s="12" t="e">
        <f t="shared" si="265"/>
        <v>#DIV/0!</v>
      </c>
      <c r="DC47" s="13"/>
      <c r="DD47" s="11"/>
      <c r="DE47" s="39"/>
      <c r="DF47" s="43"/>
      <c r="DG47" s="10"/>
      <c r="DH47" s="11"/>
      <c r="DI47" s="69">
        <f t="shared" si="300"/>
        <v>0</v>
      </c>
      <c r="DJ47" s="69">
        <f t="shared" si="300"/>
        <v>0</v>
      </c>
      <c r="DK47" s="11"/>
      <c r="DL47" s="12" t="e">
        <f t="shared" si="266"/>
        <v>#DIV/0!</v>
      </c>
      <c r="DM47" s="11"/>
      <c r="DN47" s="12" t="e">
        <f t="shared" si="267"/>
        <v>#DIV/0!</v>
      </c>
      <c r="DO47" s="13"/>
      <c r="DP47" s="11"/>
      <c r="DQ47" s="39"/>
      <c r="DR47" s="43"/>
      <c r="DS47" s="10"/>
      <c r="DT47" s="11"/>
      <c r="DU47" s="69">
        <f t="shared" si="301"/>
        <v>0</v>
      </c>
      <c r="DV47" s="69">
        <f t="shared" si="301"/>
        <v>0</v>
      </c>
      <c r="DW47" s="11"/>
      <c r="DX47" s="12" t="e">
        <f t="shared" si="268"/>
        <v>#DIV/0!</v>
      </c>
      <c r="DY47" s="11"/>
      <c r="DZ47" s="12" t="e">
        <f t="shared" si="269"/>
        <v>#DIV/0!</v>
      </c>
      <c r="EA47" s="13"/>
      <c r="EB47" s="11"/>
      <c r="EC47" s="39"/>
      <c r="ED47" s="43"/>
      <c r="EE47" s="10"/>
      <c r="EF47" s="11"/>
      <c r="EG47" s="69">
        <f t="shared" si="302"/>
        <v>0</v>
      </c>
      <c r="EH47" s="69">
        <f t="shared" si="302"/>
        <v>0</v>
      </c>
      <c r="EI47" s="11"/>
      <c r="EJ47" s="12" t="e">
        <f t="shared" si="270"/>
        <v>#DIV/0!</v>
      </c>
      <c r="EK47" s="11"/>
      <c r="EL47" s="12" t="e">
        <f t="shared" si="271"/>
        <v>#DIV/0!</v>
      </c>
      <c r="EM47" s="13"/>
      <c r="EN47" s="11"/>
      <c r="EO47" s="39"/>
      <c r="EP47" s="43"/>
      <c r="EQ47" s="10"/>
      <c r="ER47" s="11"/>
      <c r="ES47" s="69">
        <f t="shared" si="303"/>
        <v>0</v>
      </c>
      <c r="ET47" s="69">
        <f t="shared" si="303"/>
        <v>0</v>
      </c>
      <c r="EU47" s="11"/>
      <c r="EV47" s="12" t="e">
        <f t="shared" si="272"/>
        <v>#DIV/0!</v>
      </c>
      <c r="EW47" s="11"/>
      <c r="EX47" s="12" t="e">
        <f t="shared" si="273"/>
        <v>#DIV/0!</v>
      </c>
      <c r="EY47" s="13"/>
      <c r="EZ47" s="11"/>
      <c r="FA47" s="39"/>
      <c r="FB47" s="43"/>
      <c r="FC47" s="10"/>
      <c r="FD47" s="11"/>
      <c r="FE47" s="69">
        <f t="shared" si="304"/>
        <v>0</v>
      </c>
      <c r="FF47" s="69">
        <f t="shared" si="304"/>
        <v>0</v>
      </c>
      <c r="FG47" s="11"/>
      <c r="FH47" s="12" t="e">
        <f t="shared" si="274"/>
        <v>#DIV/0!</v>
      </c>
      <c r="FI47" s="11"/>
      <c r="FJ47" s="12" t="e">
        <f t="shared" si="275"/>
        <v>#DIV/0!</v>
      </c>
      <c r="FK47" s="13"/>
      <c r="FL47" s="11"/>
      <c r="FM47" s="39"/>
      <c r="FN47" s="43"/>
      <c r="FO47" s="10"/>
      <c r="FP47" s="11"/>
      <c r="FQ47" s="69">
        <f t="shared" si="305"/>
        <v>0</v>
      </c>
      <c r="FR47" s="69">
        <f t="shared" si="305"/>
        <v>0</v>
      </c>
      <c r="FS47" s="11"/>
      <c r="FT47" s="12" t="e">
        <f t="shared" si="276"/>
        <v>#DIV/0!</v>
      </c>
      <c r="FU47" s="11"/>
      <c r="FV47" s="12" t="e">
        <f t="shared" si="277"/>
        <v>#DIV/0!</v>
      </c>
      <c r="FW47" s="13"/>
      <c r="FX47" s="11"/>
      <c r="FY47" s="39"/>
      <c r="FZ47" s="43"/>
      <c r="GA47" s="10"/>
      <c r="GB47" s="11"/>
      <c r="GC47" s="69">
        <f t="shared" si="306"/>
        <v>0</v>
      </c>
      <c r="GD47" s="69">
        <f t="shared" si="306"/>
        <v>0</v>
      </c>
      <c r="GE47" s="11"/>
      <c r="GF47" s="12" t="e">
        <f t="shared" si="278"/>
        <v>#DIV/0!</v>
      </c>
      <c r="GG47" s="11"/>
      <c r="GH47" s="12" t="e">
        <f t="shared" si="279"/>
        <v>#DIV/0!</v>
      </c>
      <c r="GI47" s="13"/>
      <c r="GJ47" s="11"/>
      <c r="GK47" s="39"/>
      <c r="GL47" s="43"/>
      <c r="GM47" s="10"/>
      <c r="GN47" s="11"/>
      <c r="GO47" s="69">
        <f t="shared" si="307"/>
        <v>0</v>
      </c>
      <c r="GP47" s="69">
        <f t="shared" si="307"/>
        <v>0</v>
      </c>
      <c r="GQ47" s="11"/>
      <c r="GR47" s="12" t="e">
        <f t="shared" si="280"/>
        <v>#DIV/0!</v>
      </c>
      <c r="GS47" s="11"/>
      <c r="GT47" s="12" t="e">
        <f t="shared" si="281"/>
        <v>#DIV/0!</v>
      </c>
      <c r="GU47" s="13"/>
      <c r="GV47" s="11"/>
      <c r="GW47" s="39"/>
      <c r="GX47" s="43"/>
      <c r="GY47" s="10"/>
      <c r="GZ47" s="11"/>
      <c r="HA47" s="69">
        <f t="shared" si="308"/>
        <v>0</v>
      </c>
      <c r="HB47" s="69">
        <f t="shared" si="308"/>
        <v>0</v>
      </c>
      <c r="HC47" s="11"/>
      <c r="HD47" s="12" t="e">
        <f t="shared" si="282"/>
        <v>#DIV/0!</v>
      </c>
      <c r="HE47" s="11"/>
      <c r="HF47" s="12" t="e">
        <f t="shared" si="283"/>
        <v>#DIV/0!</v>
      </c>
      <c r="HG47" s="13"/>
      <c r="HH47" s="11"/>
      <c r="HI47" s="39"/>
      <c r="HJ47" s="43"/>
      <c r="HK47" s="10">
        <f t="shared" si="284"/>
        <v>0</v>
      </c>
      <c r="HL47" s="11">
        <f t="shared" si="284"/>
        <v>0</v>
      </c>
      <c r="HM47" s="11">
        <f t="shared" si="284"/>
        <v>3731</v>
      </c>
      <c r="HN47" s="11">
        <f t="shared" si="284"/>
        <v>326</v>
      </c>
      <c r="HO47" s="11">
        <f t="shared" si="285"/>
        <v>1115</v>
      </c>
      <c r="HP47" s="95">
        <f t="shared" si="286"/>
        <v>0.29884749396944521</v>
      </c>
      <c r="HQ47" s="15">
        <f t="shared" si="287"/>
        <v>78</v>
      </c>
      <c r="HR47" s="12">
        <f t="shared" si="309"/>
        <v>6.9955156950672642E-2</v>
      </c>
      <c r="HS47" s="16">
        <v>60.6</v>
      </c>
      <c r="HT47" s="17">
        <v>975</v>
      </c>
      <c r="HU47" s="16">
        <f t="shared" si="288"/>
        <v>87.443946188340803</v>
      </c>
      <c r="HV47" s="23">
        <v>93.717277486911001</v>
      </c>
      <c r="HW47" s="22">
        <v>97.058823529411768</v>
      </c>
    </row>
    <row r="48" spans="1:263" ht="19.5" thickBot="1" x14ac:dyDescent="0.3">
      <c r="A48" s="374"/>
      <c r="B48" s="42"/>
      <c r="C48" s="26">
        <f>SUM(C41:C47)</f>
        <v>2</v>
      </c>
      <c r="D48" s="27">
        <f>SUM(D41:D47)</f>
        <v>0</v>
      </c>
      <c r="E48" s="27"/>
      <c r="F48" s="27"/>
      <c r="G48" s="27">
        <f>SUM(G41:G47)</f>
        <v>867</v>
      </c>
      <c r="H48" s="28">
        <f>((G48+I48)/7)/E47</f>
        <v>0.19235412474849095</v>
      </c>
      <c r="I48" s="27">
        <f>SUM(I41:I47)</f>
        <v>89</v>
      </c>
      <c r="J48" s="28">
        <f>(I48/(I48+G48))</f>
        <v>9.3096234309623424E-2</v>
      </c>
      <c r="K48" s="27"/>
      <c r="L48" s="27"/>
      <c r="M48" s="29">
        <f>M46/M45*100-100</f>
        <v>5.2553089954664642</v>
      </c>
      <c r="N48" s="67">
        <f>N46/N45*100-100</f>
        <v>4.0453622207176494</v>
      </c>
      <c r="O48" s="26">
        <f>SUM(O41:O47)</f>
        <v>2</v>
      </c>
      <c r="P48" s="27">
        <f>SUM(P41:P47)</f>
        <v>0</v>
      </c>
      <c r="Q48" s="27"/>
      <c r="R48" s="27"/>
      <c r="S48" s="27">
        <f>SUM(S41:S47)</f>
        <v>1060</v>
      </c>
      <c r="T48" s="28">
        <f>((S48+U48)/7)/Q47</f>
        <v>0.23553217320922704</v>
      </c>
      <c r="U48" s="27">
        <f>SUM(U41:U47)</f>
        <v>104</v>
      </c>
      <c r="V48" s="28">
        <f>(U48/(U48+S48))</f>
        <v>8.9347079037800689E-2</v>
      </c>
      <c r="W48" s="27"/>
      <c r="X48" s="27"/>
      <c r="Y48" s="29">
        <f>Y46/Y45*100-100</f>
        <v>7.349081364829388</v>
      </c>
      <c r="Z48" s="67">
        <f>Z46/Z45*100-100</f>
        <v>6.1395950021542376</v>
      </c>
      <c r="AA48" s="26">
        <f>SUM(AA41:AA47)</f>
        <v>1</v>
      </c>
      <c r="AB48" s="27">
        <f>SUM(AB41:AB47)</f>
        <v>0</v>
      </c>
      <c r="AC48" s="27"/>
      <c r="AD48" s="27"/>
      <c r="AE48" s="27">
        <f>SUM(AE41:AE47)</f>
        <v>232</v>
      </c>
      <c r="AF48" s="28">
        <f>((AE48+AG48)/7)/AC47</f>
        <v>0.19473684210526315</v>
      </c>
      <c r="AG48" s="27">
        <f>SUM(AG41:AG47)</f>
        <v>27</v>
      </c>
      <c r="AH48" s="28">
        <f>(AG48/(AG48+AE48))</f>
        <v>0.10424710424710425</v>
      </c>
      <c r="AI48" s="27"/>
      <c r="AJ48" s="27"/>
      <c r="AK48" s="29">
        <f>AK46/AK45*100-100</f>
        <v>2.3097112860892395</v>
      </c>
      <c r="AL48" s="67">
        <f>AL46/AL45*100-100</f>
        <v>2.7251184834123308</v>
      </c>
      <c r="AM48" s="26">
        <f>SUM(AM41:AM47)</f>
        <v>1</v>
      </c>
      <c r="AN48" s="27">
        <f>SUM(AN41:AN47)</f>
        <v>0</v>
      </c>
      <c r="AO48" s="27"/>
      <c r="AP48" s="27"/>
      <c r="AQ48" s="27">
        <f>SUM(AQ41:AQ47)</f>
        <v>1039</v>
      </c>
      <c r="AR48" s="28">
        <f>((AQ48+AS48)/7)/AO47</f>
        <v>0.2354721549636804</v>
      </c>
      <c r="AS48" s="27">
        <f>SUM(AS41:AS47)</f>
        <v>128</v>
      </c>
      <c r="AT48" s="28">
        <f>(AS48/(AS48+AQ48))</f>
        <v>0.10968294772922023</v>
      </c>
      <c r="AU48" s="27"/>
      <c r="AV48" s="27"/>
      <c r="AW48" s="29">
        <f>AW46/AW45*100-100</f>
        <v>6.8028658579839743</v>
      </c>
      <c r="AX48" s="67">
        <f>AX46/AX45*100-100</f>
        <v>8.6219467736055435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1107</v>
      </c>
      <c r="BD48" s="28">
        <f>((BC48+BE48)/7)/BA47</f>
        <v>0.25367721136409432</v>
      </c>
      <c r="BE48" s="27">
        <f>SUM(BE41:BE47)</f>
        <v>152</v>
      </c>
      <c r="BF48" s="28">
        <f>(BE48/(BE48+BC48))</f>
        <v>0.12073073868149325</v>
      </c>
      <c r="BG48" s="27"/>
      <c r="BH48" s="27"/>
      <c r="BI48" s="29">
        <f>BI46/BI45*100-100</f>
        <v>9.0415422210154759</v>
      </c>
      <c r="BJ48" s="67">
        <f>BJ46/BJ45*100-100</f>
        <v>5.8649289099526101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995</v>
      </c>
      <c r="BP48" s="28">
        <f>((BO48+BQ48)/7)/BM47</f>
        <v>0.2247780468119451</v>
      </c>
      <c r="BQ48" s="27">
        <f>SUM(BQ41:BQ47)</f>
        <v>119</v>
      </c>
      <c r="BR48" s="28">
        <f>(BQ48/(BQ48+BO48))</f>
        <v>0.10682226211849193</v>
      </c>
      <c r="BS48" s="27"/>
      <c r="BT48" s="27"/>
      <c r="BU48" s="29">
        <f>BU46/BU45*100-100</f>
        <v>9.0813648293963212</v>
      </c>
      <c r="BV48" s="67">
        <f>BV46/BV45*100-100</f>
        <v>11.374407582938389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7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7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7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7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7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7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7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7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7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7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7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7" t="e">
        <f>HJ46/HJ45*100-100</f>
        <v>#DIV/0!</v>
      </c>
      <c r="HK48" s="26">
        <f t="shared" si="284"/>
        <v>8</v>
      </c>
      <c r="HL48" s="27">
        <f t="shared" si="284"/>
        <v>0</v>
      </c>
      <c r="HM48" s="27">
        <f t="shared" si="284"/>
        <v>0</v>
      </c>
      <c r="HN48" s="27">
        <f t="shared" si="284"/>
        <v>0</v>
      </c>
      <c r="HO48" s="27">
        <f t="shared" si="285"/>
        <v>5919</v>
      </c>
      <c r="HP48" s="96">
        <f>+((HO48)/HM47)/7</f>
        <v>0.22663399318451583</v>
      </c>
      <c r="HQ48" s="62">
        <f t="shared" si="287"/>
        <v>619</v>
      </c>
      <c r="HR48" s="52">
        <f t="shared" si="309"/>
        <v>0.10457847609393478</v>
      </c>
      <c r="HS48" s="53">
        <f>SUM(HS41:HS47)/7</f>
        <v>58.714285714285715</v>
      </c>
      <c r="HT48" s="54">
        <f>SUM(HT41:HT47)</f>
        <v>4978</v>
      </c>
      <c r="HU48" s="53">
        <f>AVERAGE(HU41:HU47)</f>
        <v>83.496798168762794</v>
      </c>
      <c r="HV48" s="63">
        <f>HV46/HV45*100-100</f>
        <v>7.0714982616701718</v>
      </c>
      <c r="HW48" s="67">
        <f>HW46/HW45*100-100</f>
        <v>7.0114301644828743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2.1396095212623694E-3</v>
      </c>
      <c r="HL49" s="66">
        <f>HL48/HN38</f>
        <v>0</v>
      </c>
      <c r="HM49" s="45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373">
        <v>30</v>
      </c>
      <c r="B50" s="68">
        <f>B47+1</f>
        <v>44976</v>
      </c>
      <c r="C50" s="33"/>
      <c r="D50" s="34"/>
      <c r="E50" s="34">
        <f>E47-C50</f>
        <v>710</v>
      </c>
      <c r="F50" s="34">
        <f>F47-D50</f>
        <v>63</v>
      </c>
      <c r="G50" s="34">
        <v>198</v>
      </c>
      <c r="H50" s="35">
        <f t="shared" ref="H50:H56" si="310">((G50+I50)/E50)</f>
        <v>0.29436619718309859</v>
      </c>
      <c r="I50" s="34">
        <v>11</v>
      </c>
      <c r="J50" s="35">
        <f>I50/(G50+I50)</f>
        <v>5.2631578947368418E-2</v>
      </c>
      <c r="K50" s="36"/>
      <c r="L50" s="34"/>
      <c r="M50" s="34"/>
      <c r="N50" s="37"/>
      <c r="O50" s="33">
        <v>1</v>
      </c>
      <c r="P50" s="34"/>
      <c r="Q50" s="34">
        <f>Q47-O50</f>
        <v>705</v>
      </c>
      <c r="R50" s="34">
        <f>R47-P50</f>
        <v>62</v>
      </c>
      <c r="S50" s="34">
        <v>211</v>
      </c>
      <c r="T50" s="35">
        <f t="shared" ref="T50:T56" si="311">((S50+U50)/Q50)</f>
        <v>0.31631205673758866</v>
      </c>
      <c r="U50" s="34">
        <v>12</v>
      </c>
      <c r="V50" s="35">
        <f t="shared" ref="V50:V56" si="312">U50/(S50+U50)</f>
        <v>5.3811659192825115E-2</v>
      </c>
      <c r="W50" s="36"/>
      <c r="X50" s="34"/>
      <c r="Y50" s="34"/>
      <c r="Z50" s="37"/>
      <c r="AA50" s="33"/>
      <c r="AB50" s="34"/>
      <c r="AC50" s="34">
        <f>AC47-AA50</f>
        <v>190</v>
      </c>
      <c r="AD50" s="34">
        <f>AD47-AB50</f>
        <v>13</v>
      </c>
      <c r="AE50" s="34">
        <v>52</v>
      </c>
      <c r="AF50" s="35">
        <f t="shared" ref="AF50:AF56" si="313">((AE50+AG50)/AC50)</f>
        <v>0.27894736842105261</v>
      </c>
      <c r="AG50" s="34">
        <v>1</v>
      </c>
      <c r="AH50" s="35">
        <f t="shared" ref="AH50:AH56" si="314">AG50/(AE50+AG50)</f>
        <v>1.8867924528301886E-2</v>
      </c>
      <c r="AI50" s="36"/>
      <c r="AJ50" s="34"/>
      <c r="AK50" s="34"/>
      <c r="AL50" s="37"/>
      <c r="AM50" s="33"/>
      <c r="AN50" s="34"/>
      <c r="AO50" s="34">
        <f>AO47-AM50</f>
        <v>708</v>
      </c>
      <c r="AP50" s="34">
        <f>AP47-AN50</f>
        <v>63</v>
      </c>
      <c r="AQ50" s="34">
        <v>253</v>
      </c>
      <c r="AR50" s="35">
        <f t="shared" ref="AR50:AR56" si="315">((AQ50+AS50)/AO50)</f>
        <v>0.3728813559322034</v>
      </c>
      <c r="AS50" s="34">
        <v>11</v>
      </c>
      <c r="AT50" s="35">
        <f t="shared" ref="AT50:AT56" si="316">AS50/(AQ50+AS50)</f>
        <v>4.1666666666666664E-2</v>
      </c>
      <c r="AU50" s="196">
        <v>137.1</v>
      </c>
      <c r="AV50" s="34"/>
      <c r="AW50" s="34"/>
      <c r="AX50" s="37"/>
      <c r="AY50" s="33"/>
      <c r="AZ50" s="34"/>
      <c r="BA50" s="34">
        <f>BA47-AY50</f>
        <v>709</v>
      </c>
      <c r="BB50" s="34">
        <f>BB47-AZ50</f>
        <v>62</v>
      </c>
      <c r="BC50" s="34">
        <v>236</v>
      </c>
      <c r="BD50" s="35">
        <f t="shared" ref="BD50:BD56" si="317">((BC50+BE50)/BA50)</f>
        <v>0.34978843441466856</v>
      </c>
      <c r="BE50" s="34">
        <v>12</v>
      </c>
      <c r="BF50" s="35">
        <f t="shared" ref="BF50:BF56" si="318">BE50/(BC50+BE50)</f>
        <v>4.8387096774193547E-2</v>
      </c>
      <c r="BG50" s="196">
        <v>136.80000000000001</v>
      </c>
      <c r="BH50" s="34"/>
      <c r="BI50" s="34"/>
      <c r="BJ50" s="37"/>
      <c r="BK50" s="33"/>
      <c r="BL50" s="34"/>
      <c r="BM50" s="34">
        <f>BM47-BK50</f>
        <v>708</v>
      </c>
      <c r="BN50" s="34">
        <f>BN47-BL50</f>
        <v>63</v>
      </c>
      <c r="BO50" s="34">
        <v>219</v>
      </c>
      <c r="BP50" s="35">
        <f t="shared" ref="BP50:BP56" si="319">((BO50+BQ50)/BM50)</f>
        <v>0.32627118644067798</v>
      </c>
      <c r="BQ50" s="34">
        <v>12</v>
      </c>
      <c r="BR50" s="35">
        <f t="shared" ref="BR50:BR56" si="320">BQ50/(BO50+BQ50)</f>
        <v>5.1948051948051951E-2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21">((CA50+CC50)/BY50)</f>
        <v>#DIV/0!</v>
      </c>
      <c r="CC50" s="34"/>
      <c r="CD50" s="35" t="e">
        <f t="shared" ref="CD50:CD56" si="322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23">((CM50+CO50)/CK50)</f>
        <v>#DIV/0!</v>
      </c>
      <c r="CO50" s="34"/>
      <c r="CP50" s="35" t="e">
        <f t="shared" ref="CP50:CP56" si="324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25">((CY50+DA50)/CW50)</f>
        <v>#DIV/0!</v>
      </c>
      <c r="DA50" s="34"/>
      <c r="DB50" s="35" t="e">
        <f t="shared" ref="DB50:DB56" si="326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27">((DK50+DM50)/DI50)</f>
        <v>#DIV/0!</v>
      </c>
      <c r="DM50" s="34"/>
      <c r="DN50" s="35" t="e">
        <f t="shared" ref="DN50:DN56" si="328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29">((DW50+DY50)/DU50)</f>
        <v>#DIV/0!</v>
      </c>
      <c r="DY50" s="34"/>
      <c r="DZ50" s="35" t="e">
        <f t="shared" ref="DZ50:DZ56" si="330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31">((EI50+EK50)/EG50)</f>
        <v>#DIV/0!</v>
      </c>
      <c r="EK50" s="34"/>
      <c r="EL50" s="35" t="e">
        <f t="shared" ref="EL50:EL56" si="332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33">((EU50+EW50)/ES50)</f>
        <v>#DIV/0!</v>
      </c>
      <c r="EW50" s="34"/>
      <c r="EX50" s="35" t="e">
        <f t="shared" ref="EX50:EX56" si="334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35">((FG50+FI50)/FE50)</f>
        <v>#DIV/0!</v>
      </c>
      <c r="FI50" s="34"/>
      <c r="FJ50" s="35" t="e">
        <f t="shared" ref="FJ50:FJ56" si="336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37">((FS50+FU50)/FQ50)</f>
        <v>#DIV/0!</v>
      </c>
      <c r="FU50" s="34"/>
      <c r="FV50" s="35" t="e">
        <f t="shared" ref="FV50:FV56" si="338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39">((GE50+GG50)/GC50)</f>
        <v>#DIV/0!</v>
      </c>
      <c r="GG50" s="34"/>
      <c r="GH50" s="35" t="e">
        <f t="shared" ref="GH50:GH56" si="340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41">((GQ50+GS50)/GO50)</f>
        <v>#DIV/0!</v>
      </c>
      <c r="GS50" s="34"/>
      <c r="GT50" s="35" t="e">
        <f t="shared" ref="GT50:GT56" si="342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43">((HC50+HE50)/HA50)</f>
        <v>#DIV/0!</v>
      </c>
      <c r="HE50" s="34"/>
      <c r="HF50" s="35" t="e">
        <f t="shared" ref="HF50:HF56" si="344">HE50/(HC50+HE50)</f>
        <v>#DIV/0!</v>
      </c>
      <c r="HG50" s="36"/>
      <c r="HH50" s="34"/>
      <c r="HI50" s="34"/>
      <c r="HJ50" s="37"/>
      <c r="HK50" s="33">
        <f t="shared" ref="HK50:HN57" si="345">+C50+O50+AA50+AM50+AY50+BK50+BW50+CI50+CU50+DG50+DS50+EE50+EQ50+FC50+FO50+GA50+GM50+GY50</f>
        <v>1</v>
      </c>
      <c r="HL50" s="34">
        <f t="shared" si="345"/>
        <v>0</v>
      </c>
      <c r="HM50" s="34">
        <f t="shared" si="345"/>
        <v>3730</v>
      </c>
      <c r="HN50" s="34">
        <f t="shared" si="345"/>
        <v>326</v>
      </c>
      <c r="HO50" s="34">
        <f t="shared" ref="HO50:HO57" si="346">+G50+S50+AE50+AQ50+BC50+BO50+CA50+CM50+CY50+DK50+DW50+EI50+EU50+FG50+FS50+GE50+GQ50+HC50+I50+U50+AG50+AS50+BE50+BQ50+CC50+CO50+DA50+DM50+DY50+EK50+EW50+FI50+FU50+GG50+GS50+HE50</f>
        <v>1228</v>
      </c>
      <c r="HP50" s="94">
        <f t="shared" ref="HP50:HP56" si="347">+(HO50)/HM50</f>
        <v>0.32922252010723863</v>
      </c>
      <c r="HQ50" s="48">
        <f t="shared" ref="HQ50:HQ57" si="348">+I50+U50+AG50+AS50+BE50+BQ50+CC50+CO50+DA50+DM50+DY50+EK50+EW50+FI50+FU50+GG50+GS50+HE50</f>
        <v>59</v>
      </c>
      <c r="HR50" s="35">
        <f>+(HQ50/(HO50))</f>
        <v>4.8045602605863193E-2</v>
      </c>
      <c r="HS50" s="49">
        <v>58.6</v>
      </c>
      <c r="HT50" s="50">
        <v>1098</v>
      </c>
      <c r="HU50" s="49">
        <f t="shared" ref="HU50:HU56" si="349">+HT50/HO50*100</f>
        <v>89.413680781758956</v>
      </c>
      <c r="HV50" s="48"/>
      <c r="HW50" s="37"/>
    </row>
    <row r="51" spans="1:231" ht="18.75" x14ac:dyDescent="0.25">
      <c r="A51" s="374"/>
      <c r="B51" s="41">
        <f t="shared" ref="B51:B56" si="350">+B50+1</f>
        <v>44977</v>
      </c>
      <c r="C51" s="10">
        <v>1</v>
      </c>
      <c r="D51" s="11"/>
      <c r="E51" s="69">
        <f t="shared" ref="E51:F55" si="351">E50-C51</f>
        <v>709</v>
      </c>
      <c r="F51" s="69">
        <f t="shared" si="351"/>
        <v>63</v>
      </c>
      <c r="G51" s="11">
        <v>194</v>
      </c>
      <c r="H51" s="12">
        <f t="shared" si="310"/>
        <v>0.29619181946403383</v>
      </c>
      <c r="I51" s="11">
        <v>16</v>
      </c>
      <c r="J51" s="12">
        <f t="shared" ref="J51:J56" si="352">I51/(G51+I51)</f>
        <v>7.6190476190476197E-2</v>
      </c>
      <c r="K51" s="13"/>
      <c r="L51" s="11"/>
      <c r="M51" s="11"/>
      <c r="N51" s="14"/>
      <c r="O51" s="10"/>
      <c r="P51" s="11"/>
      <c r="Q51" s="69">
        <f t="shared" ref="Q51:R56" si="353">Q50-O51</f>
        <v>705</v>
      </c>
      <c r="R51" s="69">
        <f t="shared" si="353"/>
        <v>62</v>
      </c>
      <c r="S51" s="11">
        <v>222</v>
      </c>
      <c r="T51" s="12">
        <f t="shared" si="311"/>
        <v>0.34184397163120567</v>
      </c>
      <c r="U51" s="11">
        <v>19</v>
      </c>
      <c r="V51" s="12">
        <f t="shared" si="312"/>
        <v>7.8838174273858919E-2</v>
      </c>
      <c r="W51" s="13"/>
      <c r="X51" s="11"/>
      <c r="Y51" s="11"/>
      <c r="Z51" s="14"/>
      <c r="AA51" s="10"/>
      <c r="AB51" s="11"/>
      <c r="AC51" s="69">
        <f t="shared" ref="AC51:AD56" si="354">AC50-AA51</f>
        <v>190</v>
      </c>
      <c r="AD51" s="69">
        <f t="shared" si="354"/>
        <v>13</v>
      </c>
      <c r="AE51" s="11">
        <v>47</v>
      </c>
      <c r="AF51" s="12">
        <f t="shared" si="313"/>
        <v>0.26842105263157895</v>
      </c>
      <c r="AG51" s="11">
        <v>4</v>
      </c>
      <c r="AH51" s="12">
        <f t="shared" si="314"/>
        <v>7.8431372549019607E-2</v>
      </c>
      <c r="AI51" s="13"/>
      <c r="AJ51" s="11"/>
      <c r="AK51" s="11"/>
      <c r="AL51" s="14"/>
      <c r="AM51" s="10"/>
      <c r="AN51" s="11"/>
      <c r="AO51" s="69">
        <f t="shared" ref="AO51:AP56" si="355">AO50-AM51</f>
        <v>708</v>
      </c>
      <c r="AP51" s="69">
        <f t="shared" si="355"/>
        <v>63</v>
      </c>
      <c r="AQ51" s="11">
        <v>224</v>
      </c>
      <c r="AR51" s="12">
        <f t="shared" si="315"/>
        <v>0.346045197740113</v>
      </c>
      <c r="AS51" s="11">
        <v>21</v>
      </c>
      <c r="AT51" s="12">
        <f t="shared" si="316"/>
        <v>8.5714285714285715E-2</v>
      </c>
      <c r="AU51" s="13"/>
      <c r="AV51" s="11"/>
      <c r="AW51" s="11"/>
      <c r="AX51" s="14"/>
      <c r="AY51" s="10"/>
      <c r="AZ51" s="11"/>
      <c r="BA51" s="69">
        <f t="shared" ref="BA51:BB56" si="356">BA50-AY51</f>
        <v>709</v>
      </c>
      <c r="BB51" s="69">
        <f t="shared" si="356"/>
        <v>62</v>
      </c>
      <c r="BC51" s="11">
        <v>223</v>
      </c>
      <c r="BD51" s="12">
        <f t="shared" si="317"/>
        <v>0.34837799717912554</v>
      </c>
      <c r="BE51" s="11">
        <v>24</v>
      </c>
      <c r="BF51" s="12">
        <f t="shared" si="318"/>
        <v>9.7165991902834009E-2</v>
      </c>
      <c r="BG51" s="13"/>
      <c r="BH51" s="11"/>
      <c r="BI51" s="11"/>
      <c r="BJ51" s="14"/>
      <c r="BK51" s="10"/>
      <c r="BL51" s="11"/>
      <c r="BM51" s="69">
        <f t="shared" ref="BM51:BN56" si="357">BM50-BK51</f>
        <v>708</v>
      </c>
      <c r="BN51" s="69">
        <f t="shared" si="357"/>
        <v>63</v>
      </c>
      <c r="BO51" s="11">
        <v>222</v>
      </c>
      <c r="BP51" s="12">
        <f t="shared" si="319"/>
        <v>0.346045197740113</v>
      </c>
      <c r="BQ51" s="11">
        <v>23</v>
      </c>
      <c r="BR51" s="12">
        <f t="shared" si="320"/>
        <v>9.3877551020408165E-2</v>
      </c>
      <c r="BS51" s="13"/>
      <c r="BT51" s="11"/>
      <c r="BU51" s="11"/>
      <c r="BV51" s="14"/>
      <c r="BW51" s="10"/>
      <c r="BX51" s="11"/>
      <c r="BY51" s="69">
        <f t="shared" ref="BY51:BZ56" si="358">BY50-BW51</f>
        <v>0</v>
      </c>
      <c r="BZ51" s="69">
        <f t="shared" si="358"/>
        <v>0</v>
      </c>
      <c r="CA51" s="11"/>
      <c r="CB51" s="12" t="e">
        <f t="shared" si="321"/>
        <v>#DIV/0!</v>
      </c>
      <c r="CC51" s="11"/>
      <c r="CD51" s="12" t="e">
        <f t="shared" si="322"/>
        <v>#DIV/0!</v>
      </c>
      <c r="CE51" s="13"/>
      <c r="CF51" s="11"/>
      <c r="CG51" s="11"/>
      <c r="CH51" s="14"/>
      <c r="CI51" s="10"/>
      <c r="CJ51" s="11"/>
      <c r="CK51" s="69">
        <f t="shared" ref="CK51:CL56" si="359">CK50-CI51</f>
        <v>0</v>
      </c>
      <c r="CL51" s="69">
        <f t="shared" si="359"/>
        <v>0</v>
      </c>
      <c r="CM51" s="11"/>
      <c r="CN51" s="12" t="e">
        <f t="shared" si="323"/>
        <v>#DIV/0!</v>
      </c>
      <c r="CO51" s="11"/>
      <c r="CP51" s="12" t="e">
        <f t="shared" si="324"/>
        <v>#DIV/0!</v>
      </c>
      <c r="CQ51" s="13"/>
      <c r="CR51" s="11"/>
      <c r="CS51" s="11"/>
      <c r="CT51" s="14"/>
      <c r="CU51" s="10"/>
      <c r="CV51" s="11"/>
      <c r="CW51" s="69">
        <f t="shared" ref="CW51:CX56" si="360">CW50-CU51</f>
        <v>0</v>
      </c>
      <c r="CX51" s="69">
        <f t="shared" si="360"/>
        <v>0</v>
      </c>
      <c r="CY51" s="11"/>
      <c r="CZ51" s="12" t="e">
        <f t="shared" si="325"/>
        <v>#DIV/0!</v>
      </c>
      <c r="DA51" s="11"/>
      <c r="DB51" s="12" t="e">
        <f t="shared" si="326"/>
        <v>#DIV/0!</v>
      </c>
      <c r="DC51" s="13"/>
      <c r="DD51" s="11"/>
      <c r="DE51" s="11"/>
      <c r="DF51" s="14"/>
      <c r="DG51" s="10"/>
      <c r="DH51" s="11"/>
      <c r="DI51" s="69">
        <f t="shared" ref="DI51:DJ56" si="361">DI50-DG51</f>
        <v>0</v>
      </c>
      <c r="DJ51" s="69">
        <f t="shared" si="361"/>
        <v>0</v>
      </c>
      <c r="DK51" s="11"/>
      <c r="DL51" s="12" t="e">
        <f t="shared" si="327"/>
        <v>#DIV/0!</v>
      </c>
      <c r="DM51" s="11"/>
      <c r="DN51" s="12" t="e">
        <f t="shared" si="328"/>
        <v>#DIV/0!</v>
      </c>
      <c r="DO51" s="13"/>
      <c r="DP51" s="11"/>
      <c r="DQ51" s="11"/>
      <c r="DR51" s="14"/>
      <c r="DS51" s="10"/>
      <c r="DT51" s="11"/>
      <c r="DU51" s="69">
        <f t="shared" ref="DU51:DV56" si="362">DU50-DS51</f>
        <v>0</v>
      </c>
      <c r="DV51" s="69">
        <f t="shared" si="362"/>
        <v>0</v>
      </c>
      <c r="DW51" s="11"/>
      <c r="DX51" s="12" t="e">
        <f t="shared" si="329"/>
        <v>#DIV/0!</v>
      </c>
      <c r="DY51" s="11"/>
      <c r="DZ51" s="12" t="e">
        <f t="shared" si="330"/>
        <v>#DIV/0!</v>
      </c>
      <c r="EA51" s="13"/>
      <c r="EB51" s="11"/>
      <c r="EC51" s="11"/>
      <c r="ED51" s="14"/>
      <c r="EE51" s="10"/>
      <c r="EF51" s="11"/>
      <c r="EG51" s="69">
        <f t="shared" ref="EG51:EH56" si="363">EG50-EE51</f>
        <v>0</v>
      </c>
      <c r="EH51" s="69">
        <f t="shared" si="363"/>
        <v>0</v>
      </c>
      <c r="EI51" s="11"/>
      <c r="EJ51" s="12" t="e">
        <f t="shared" si="331"/>
        <v>#DIV/0!</v>
      </c>
      <c r="EK51" s="11"/>
      <c r="EL51" s="12" t="e">
        <f t="shared" si="332"/>
        <v>#DIV/0!</v>
      </c>
      <c r="EM51" s="13"/>
      <c r="EN51" s="11"/>
      <c r="EO51" s="11"/>
      <c r="EP51" s="14"/>
      <c r="EQ51" s="10"/>
      <c r="ER51" s="11"/>
      <c r="ES51" s="69">
        <f t="shared" ref="ES51:ET56" si="364">ES50-EQ51</f>
        <v>0</v>
      </c>
      <c r="ET51" s="69">
        <f t="shared" si="364"/>
        <v>0</v>
      </c>
      <c r="EU51" s="11"/>
      <c r="EV51" s="12" t="e">
        <f t="shared" si="333"/>
        <v>#DIV/0!</v>
      </c>
      <c r="EW51" s="11"/>
      <c r="EX51" s="12" t="e">
        <f t="shared" si="334"/>
        <v>#DIV/0!</v>
      </c>
      <c r="EY51" s="13"/>
      <c r="EZ51" s="11"/>
      <c r="FA51" s="11"/>
      <c r="FB51" s="14"/>
      <c r="FC51" s="10"/>
      <c r="FD51" s="11"/>
      <c r="FE51" s="69">
        <f t="shared" ref="FE51:FF56" si="365">FE50-FC51</f>
        <v>0</v>
      </c>
      <c r="FF51" s="69">
        <f t="shared" si="365"/>
        <v>0</v>
      </c>
      <c r="FG51" s="11"/>
      <c r="FH51" s="12" t="e">
        <f t="shared" si="335"/>
        <v>#DIV/0!</v>
      </c>
      <c r="FI51" s="11"/>
      <c r="FJ51" s="12" t="e">
        <f t="shared" si="336"/>
        <v>#DIV/0!</v>
      </c>
      <c r="FK51" s="13"/>
      <c r="FL51" s="11"/>
      <c r="FM51" s="11"/>
      <c r="FN51" s="14"/>
      <c r="FO51" s="10"/>
      <c r="FP51" s="11"/>
      <c r="FQ51" s="69">
        <f t="shared" ref="FQ51:FR56" si="366">FQ50-FO51</f>
        <v>0</v>
      </c>
      <c r="FR51" s="69">
        <f t="shared" si="366"/>
        <v>0</v>
      </c>
      <c r="FS51" s="11"/>
      <c r="FT51" s="12" t="e">
        <f t="shared" si="337"/>
        <v>#DIV/0!</v>
      </c>
      <c r="FU51" s="11"/>
      <c r="FV51" s="12" t="e">
        <f t="shared" si="338"/>
        <v>#DIV/0!</v>
      </c>
      <c r="FW51" s="13"/>
      <c r="FX51" s="11"/>
      <c r="FY51" s="11"/>
      <c r="FZ51" s="14"/>
      <c r="GA51" s="10"/>
      <c r="GB51" s="11"/>
      <c r="GC51" s="69">
        <f t="shared" ref="GC51:GD56" si="367">GC50-GA51</f>
        <v>0</v>
      </c>
      <c r="GD51" s="69">
        <f t="shared" si="367"/>
        <v>0</v>
      </c>
      <c r="GE51" s="11"/>
      <c r="GF51" s="12" t="e">
        <f t="shared" si="339"/>
        <v>#DIV/0!</v>
      </c>
      <c r="GG51" s="11"/>
      <c r="GH51" s="12" t="e">
        <f t="shared" si="340"/>
        <v>#DIV/0!</v>
      </c>
      <c r="GI51" s="13"/>
      <c r="GJ51" s="11"/>
      <c r="GK51" s="11"/>
      <c r="GL51" s="14"/>
      <c r="GM51" s="10"/>
      <c r="GN51" s="11"/>
      <c r="GO51" s="69">
        <f t="shared" ref="GO51:GP56" si="368">GO50-GM51</f>
        <v>0</v>
      </c>
      <c r="GP51" s="69">
        <f t="shared" si="368"/>
        <v>0</v>
      </c>
      <c r="GQ51" s="11"/>
      <c r="GR51" s="12" t="e">
        <f t="shared" si="341"/>
        <v>#DIV/0!</v>
      </c>
      <c r="GS51" s="11"/>
      <c r="GT51" s="12" t="e">
        <f t="shared" si="342"/>
        <v>#DIV/0!</v>
      </c>
      <c r="GU51" s="13"/>
      <c r="GV51" s="11"/>
      <c r="GW51" s="11"/>
      <c r="GX51" s="14"/>
      <c r="GY51" s="10"/>
      <c r="GZ51" s="11"/>
      <c r="HA51" s="69">
        <f t="shared" ref="HA51:HB56" si="369">HA50-GY51</f>
        <v>0</v>
      </c>
      <c r="HB51" s="69">
        <f t="shared" si="369"/>
        <v>0</v>
      </c>
      <c r="HC51" s="11"/>
      <c r="HD51" s="12" t="e">
        <f t="shared" si="343"/>
        <v>#DIV/0!</v>
      </c>
      <c r="HE51" s="11"/>
      <c r="HF51" s="12" t="e">
        <f t="shared" si="344"/>
        <v>#DIV/0!</v>
      </c>
      <c r="HG51" s="13"/>
      <c r="HH51" s="11"/>
      <c r="HI51" s="11"/>
      <c r="HJ51" s="14"/>
      <c r="HK51" s="10">
        <f t="shared" si="345"/>
        <v>1</v>
      </c>
      <c r="HL51" s="11">
        <f t="shared" si="345"/>
        <v>0</v>
      </c>
      <c r="HM51" s="11">
        <f t="shared" si="345"/>
        <v>3729</v>
      </c>
      <c r="HN51" s="11">
        <f t="shared" si="345"/>
        <v>326</v>
      </c>
      <c r="HO51" s="11">
        <f t="shared" si="346"/>
        <v>1239</v>
      </c>
      <c r="HP51" s="95">
        <f t="shared" si="347"/>
        <v>0.33226065969428803</v>
      </c>
      <c r="HQ51" s="15">
        <f t="shared" si="348"/>
        <v>107</v>
      </c>
      <c r="HR51" s="12">
        <f t="shared" ref="HR51:HR57" si="370">+(HQ51/(HO51))</f>
        <v>8.6359967715899918E-2</v>
      </c>
      <c r="HS51" s="16">
        <v>61.2</v>
      </c>
      <c r="HT51" s="17">
        <v>1057</v>
      </c>
      <c r="HU51" s="16">
        <f t="shared" si="349"/>
        <v>85.310734463276845</v>
      </c>
      <c r="HV51" s="15"/>
      <c r="HW51" s="14"/>
    </row>
    <row r="52" spans="1:231" ht="18.75" x14ac:dyDescent="0.25">
      <c r="A52" s="374"/>
      <c r="B52" s="41">
        <f t="shared" si="350"/>
        <v>44978</v>
      </c>
      <c r="C52" s="10"/>
      <c r="D52" s="11"/>
      <c r="E52" s="69">
        <f t="shared" si="351"/>
        <v>709</v>
      </c>
      <c r="F52" s="69">
        <f t="shared" si="351"/>
        <v>63</v>
      </c>
      <c r="G52" s="11">
        <v>226</v>
      </c>
      <c r="H52" s="12">
        <f t="shared" si="310"/>
        <v>0.34837799717912554</v>
      </c>
      <c r="I52" s="11">
        <v>21</v>
      </c>
      <c r="J52" s="12">
        <f t="shared" si="352"/>
        <v>8.5020242914979755E-2</v>
      </c>
      <c r="K52" s="198">
        <v>139.80000000000001</v>
      </c>
      <c r="L52" s="11"/>
      <c r="M52" s="11"/>
      <c r="N52" s="14"/>
      <c r="O52" s="10"/>
      <c r="P52" s="11"/>
      <c r="Q52" s="69">
        <f t="shared" si="353"/>
        <v>705</v>
      </c>
      <c r="R52" s="69">
        <f t="shared" si="353"/>
        <v>62</v>
      </c>
      <c r="S52" s="11">
        <v>240</v>
      </c>
      <c r="T52" s="12">
        <f t="shared" si="311"/>
        <v>0.36170212765957449</v>
      </c>
      <c r="U52" s="11">
        <v>15</v>
      </c>
      <c r="V52" s="12">
        <f t="shared" si="312"/>
        <v>5.8823529411764705E-2</v>
      </c>
      <c r="W52" s="198">
        <v>137.69999999999999</v>
      </c>
      <c r="X52" s="11"/>
      <c r="Y52" s="11"/>
      <c r="Z52" s="14"/>
      <c r="AA52" s="10">
        <v>1</v>
      </c>
      <c r="AB52" s="11"/>
      <c r="AC52" s="69">
        <f t="shared" si="354"/>
        <v>189</v>
      </c>
      <c r="AD52" s="69">
        <f t="shared" si="354"/>
        <v>13</v>
      </c>
      <c r="AE52" s="11">
        <v>47</v>
      </c>
      <c r="AF52" s="12">
        <f t="shared" si="313"/>
        <v>0.26455026455026454</v>
      </c>
      <c r="AG52" s="11">
        <v>3</v>
      </c>
      <c r="AH52" s="12">
        <f t="shared" si="314"/>
        <v>0.06</v>
      </c>
      <c r="AI52" s="13"/>
      <c r="AJ52" s="11"/>
      <c r="AK52" s="11"/>
      <c r="AL52" s="14"/>
      <c r="AM52" s="10">
        <v>2</v>
      </c>
      <c r="AN52" s="11"/>
      <c r="AO52" s="69">
        <f t="shared" si="355"/>
        <v>706</v>
      </c>
      <c r="AP52" s="69">
        <f t="shared" si="355"/>
        <v>63</v>
      </c>
      <c r="AQ52" s="11">
        <v>242</v>
      </c>
      <c r="AR52" s="12">
        <f t="shared" si="315"/>
        <v>0.37818696883852693</v>
      </c>
      <c r="AS52" s="11">
        <v>25</v>
      </c>
      <c r="AT52" s="12">
        <f t="shared" si="316"/>
        <v>9.3632958801498134E-2</v>
      </c>
      <c r="AU52" s="13"/>
      <c r="AV52" s="11"/>
      <c r="AW52" s="11"/>
      <c r="AX52" s="14"/>
      <c r="AY52" s="10"/>
      <c r="AZ52" s="11"/>
      <c r="BA52" s="69">
        <f t="shared" si="356"/>
        <v>709</v>
      </c>
      <c r="BB52" s="69">
        <f t="shared" si="356"/>
        <v>62</v>
      </c>
      <c r="BC52" s="11">
        <v>252</v>
      </c>
      <c r="BD52" s="12">
        <f t="shared" si="317"/>
        <v>0.383638928067701</v>
      </c>
      <c r="BE52" s="11">
        <v>20</v>
      </c>
      <c r="BF52" s="12">
        <f t="shared" si="318"/>
        <v>7.3529411764705885E-2</v>
      </c>
      <c r="BG52" s="13"/>
      <c r="BH52" s="11"/>
      <c r="BI52" s="11"/>
      <c r="BJ52" s="14"/>
      <c r="BK52" s="10"/>
      <c r="BL52" s="11"/>
      <c r="BM52" s="69">
        <f t="shared" si="357"/>
        <v>708</v>
      </c>
      <c r="BN52" s="69">
        <f t="shared" si="357"/>
        <v>63</v>
      </c>
      <c r="BO52" s="11">
        <v>230</v>
      </c>
      <c r="BP52" s="12">
        <f t="shared" si="319"/>
        <v>0.3559322033898305</v>
      </c>
      <c r="BQ52" s="11">
        <v>22</v>
      </c>
      <c r="BR52" s="12">
        <f t="shared" si="320"/>
        <v>8.7301587301587297E-2</v>
      </c>
      <c r="BS52" s="198">
        <v>136.19999999999999</v>
      </c>
      <c r="BT52" s="11"/>
      <c r="BU52" s="11"/>
      <c r="BV52" s="14"/>
      <c r="BW52" s="10"/>
      <c r="BX52" s="11"/>
      <c r="BY52" s="69">
        <f t="shared" si="358"/>
        <v>0</v>
      </c>
      <c r="BZ52" s="69">
        <f t="shared" si="358"/>
        <v>0</v>
      </c>
      <c r="CA52" s="11"/>
      <c r="CB52" s="12" t="e">
        <f t="shared" si="321"/>
        <v>#DIV/0!</v>
      </c>
      <c r="CC52" s="11"/>
      <c r="CD52" s="12" t="e">
        <f t="shared" si="322"/>
        <v>#DIV/0!</v>
      </c>
      <c r="CE52" s="13"/>
      <c r="CF52" s="11"/>
      <c r="CG52" s="11"/>
      <c r="CH52" s="14"/>
      <c r="CI52" s="10"/>
      <c r="CJ52" s="11"/>
      <c r="CK52" s="69">
        <f t="shared" si="359"/>
        <v>0</v>
      </c>
      <c r="CL52" s="69">
        <f t="shared" si="359"/>
        <v>0</v>
      </c>
      <c r="CM52" s="11"/>
      <c r="CN52" s="12" t="e">
        <f t="shared" si="323"/>
        <v>#DIV/0!</v>
      </c>
      <c r="CO52" s="11"/>
      <c r="CP52" s="12" t="e">
        <f t="shared" si="324"/>
        <v>#DIV/0!</v>
      </c>
      <c r="CQ52" s="13"/>
      <c r="CR52" s="11"/>
      <c r="CS52" s="11"/>
      <c r="CT52" s="14"/>
      <c r="CU52" s="10"/>
      <c r="CV52" s="11"/>
      <c r="CW52" s="69">
        <f t="shared" si="360"/>
        <v>0</v>
      </c>
      <c r="CX52" s="69">
        <f t="shared" si="360"/>
        <v>0</v>
      </c>
      <c r="CY52" s="11"/>
      <c r="CZ52" s="12" t="e">
        <f t="shared" si="325"/>
        <v>#DIV/0!</v>
      </c>
      <c r="DA52" s="11"/>
      <c r="DB52" s="12" t="e">
        <f t="shared" si="326"/>
        <v>#DIV/0!</v>
      </c>
      <c r="DC52" s="13"/>
      <c r="DD52" s="11"/>
      <c r="DE52" s="11"/>
      <c r="DF52" s="14"/>
      <c r="DG52" s="10"/>
      <c r="DH52" s="11"/>
      <c r="DI52" s="69">
        <f t="shared" si="361"/>
        <v>0</v>
      </c>
      <c r="DJ52" s="69">
        <f t="shared" si="361"/>
        <v>0</v>
      </c>
      <c r="DK52" s="11"/>
      <c r="DL52" s="12" t="e">
        <f t="shared" si="327"/>
        <v>#DIV/0!</v>
      </c>
      <c r="DM52" s="11"/>
      <c r="DN52" s="12" t="e">
        <f t="shared" si="328"/>
        <v>#DIV/0!</v>
      </c>
      <c r="DO52" s="13"/>
      <c r="DP52" s="11"/>
      <c r="DQ52" s="11"/>
      <c r="DR52" s="14"/>
      <c r="DS52" s="10"/>
      <c r="DT52" s="11"/>
      <c r="DU52" s="69">
        <f t="shared" si="362"/>
        <v>0</v>
      </c>
      <c r="DV52" s="69">
        <f t="shared" si="362"/>
        <v>0</v>
      </c>
      <c r="DW52" s="11"/>
      <c r="DX52" s="12" t="e">
        <f t="shared" si="329"/>
        <v>#DIV/0!</v>
      </c>
      <c r="DY52" s="11"/>
      <c r="DZ52" s="12" t="e">
        <f t="shared" si="330"/>
        <v>#DIV/0!</v>
      </c>
      <c r="EA52" s="13"/>
      <c r="EB52" s="11"/>
      <c r="EC52" s="11"/>
      <c r="ED52" s="14"/>
      <c r="EE52" s="10"/>
      <c r="EF52" s="11"/>
      <c r="EG52" s="69">
        <f t="shared" si="363"/>
        <v>0</v>
      </c>
      <c r="EH52" s="69">
        <f t="shared" si="363"/>
        <v>0</v>
      </c>
      <c r="EI52" s="11"/>
      <c r="EJ52" s="12" t="e">
        <f t="shared" si="331"/>
        <v>#DIV/0!</v>
      </c>
      <c r="EK52" s="11"/>
      <c r="EL52" s="12" t="e">
        <f t="shared" si="332"/>
        <v>#DIV/0!</v>
      </c>
      <c r="EM52" s="13"/>
      <c r="EN52" s="11"/>
      <c r="EO52" s="11"/>
      <c r="EP52" s="14"/>
      <c r="EQ52" s="10"/>
      <c r="ER52" s="11"/>
      <c r="ES52" s="69">
        <f t="shared" si="364"/>
        <v>0</v>
      </c>
      <c r="ET52" s="69">
        <f t="shared" si="364"/>
        <v>0</v>
      </c>
      <c r="EU52" s="11"/>
      <c r="EV52" s="12" t="e">
        <f t="shared" si="333"/>
        <v>#DIV/0!</v>
      </c>
      <c r="EW52" s="11"/>
      <c r="EX52" s="12" t="e">
        <f t="shared" si="334"/>
        <v>#DIV/0!</v>
      </c>
      <c r="EY52" s="13"/>
      <c r="EZ52" s="11"/>
      <c r="FA52" s="11"/>
      <c r="FB52" s="14"/>
      <c r="FC52" s="10"/>
      <c r="FD52" s="11"/>
      <c r="FE52" s="69">
        <f t="shared" si="365"/>
        <v>0</v>
      </c>
      <c r="FF52" s="69">
        <f t="shared" si="365"/>
        <v>0</v>
      </c>
      <c r="FG52" s="11"/>
      <c r="FH52" s="12" t="e">
        <f t="shared" si="335"/>
        <v>#DIV/0!</v>
      </c>
      <c r="FI52" s="11"/>
      <c r="FJ52" s="12" t="e">
        <f t="shared" si="336"/>
        <v>#DIV/0!</v>
      </c>
      <c r="FK52" s="13"/>
      <c r="FL52" s="11"/>
      <c r="FM52" s="11"/>
      <c r="FN52" s="14"/>
      <c r="FO52" s="10"/>
      <c r="FP52" s="11"/>
      <c r="FQ52" s="69">
        <f t="shared" si="366"/>
        <v>0</v>
      </c>
      <c r="FR52" s="69">
        <f t="shared" si="366"/>
        <v>0</v>
      </c>
      <c r="FS52" s="11"/>
      <c r="FT52" s="12" t="e">
        <f t="shared" si="337"/>
        <v>#DIV/0!</v>
      </c>
      <c r="FU52" s="11"/>
      <c r="FV52" s="12" t="e">
        <f t="shared" si="338"/>
        <v>#DIV/0!</v>
      </c>
      <c r="FW52" s="13"/>
      <c r="FX52" s="11"/>
      <c r="FY52" s="11"/>
      <c r="FZ52" s="14"/>
      <c r="GA52" s="10"/>
      <c r="GB52" s="11"/>
      <c r="GC52" s="69">
        <f t="shared" si="367"/>
        <v>0</v>
      </c>
      <c r="GD52" s="69">
        <f t="shared" si="367"/>
        <v>0</v>
      </c>
      <c r="GE52" s="11"/>
      <c r="GF52" s="12" t="e">
        <f t="shared" si="339"/>
        <v>#DIV/0!</v>
      </c>
      <c r="GG52" s="11"/>
      <c r="GH52" s="12" t="e">
        <f t="shared" si="340"/>
        <v>#DIV/0!</v>
      </c>
      <c r="GI52" s="13"/>
      <c r="GJ52" s="11"/>
      <c r="GK52" s="11"/>
      <c r="GL52" s="14"/>
      <c r="GM52" s="10"/>
      <c r="GN52" s="11"/>
      <c r="GO52" s="69">
        <f t="shared" si="368"/>
        <v>0</v>
      </c>
      <c r="GP52" s="69">
        <f t="shared" si="368"/>
        <v>0</v>
      </c>
      <c r="GQ52" s="11"/>
      <c r="GR52" s="12" t="e">
        <f t="shared" si="341"/>
        <v>#DIV/0!</v>
      </c>
      <c r="GS52" s="11"/>
      <c r="GT52" s="12" t="e">
        <f t="shared" si="342"/>
        <v>#DIV/0!</v>
      </c>
      <c r="GU52" s="13"/>
      <c r="GV52" s="11"/>
      <c r="GW52" s="11"/>
      <c r="GX52" s="14"/>
      <c r="GY52" s="10"/>
      <c r="GZ52" s="11"/>
      <c r="HA52" s="69">
        <f t="shared" si="369"/>
        <v>0</v>
      </c>
      <c r="HB52" s="69">
        <f t="shared" si="369"/>
        <v>0</v>
      </c>
      <c r="HC52" s="11"/>
      <c r="HD52" s="12" t="e">
        <f t="shared" si="343"/>
        <v>#DIV/0!</v>
      </c>
      <c r="HE52" s="11"/>
      <c r="HF52" s="12" t="e">
        <f t="shared" si="344"/>
        <v>#DIV/0!</v>
      </c>
      <c r="HG52" s="13"/>
      <c r="HH52" s="11"/>
      <c r="HI52" s="11"/>
      <c r="HJ52" s="14"/>
      <c r="HK52" s="10">
        <f t="shared" si="345"/>
        <v>3</v>
      </c>
      <c r="HL52" s="11">
        <f t="shared" si="345"/>
        <v>0</v>
      </c>
      <c r="HM52" s="11">
        <f t="shared" si="345"/>
        <v>3726</v>
      </c>
      <c r="HN52" s="11">
        <f t="shared" si="345"/>
        <v>326</v>
      </c>
      <c r="HO52" s="11">
        <f t="shared" si="346"/>
        <v>1343</v>
      </c>
      <c r="HP52" s="95">
        <f t="shared" si="347"/>
        <v>0.36044015029522275</v>
      </c>
      <c r="HQ52" s="15">
        <f t="shared" si="348"/>
        <v>106</v>
      </c>
      <c r="HR52" s="12">
        <f t="shared" si="370"/>
        <v>7.8927773641102011E-2</v>
      </c>
      <c r="HS52" s="16">
        <v>59.4</v>
      </c>
      <c r="HT52" s="17">
        <v>1139</v>
      </c>
      <c r="HU52" s="16">
        <f t="shared" si="349"/>
        <v>84.810126582278471</v>
      </c>
      <c r="HV52" s="15"/>
      <c r="HW52" s="14"/>
    </row>
    <row r="53" spans="1:231" ht="18.75" x14ac:dyDescent="0.25">
      <c r="A53" s="374"/>
      <c r="B53" s="41">
        <f t="shared" si="350"/>
        <v>44979</v>
      </c>
      <c r="C53" s="10"/>
      <c r="D53" s="11"/>
      <c r="E53" s="69">
        <f t="shared" si="351"/>
        <v>709</v>
      </c>
      <c r="F53" s="69">
        <f t="shared" si="351"/>
        <v>63</v>
      </c>
      <c r="G53" s="11">
        <v>234</v>
      </c>
      <c r="H53" s="12">
        <f t="shared" si="310"/>
        <v>0.34555712270803951</v>
      </c>
      <c r="I53" s="11">
        <v>11</v>
      </c>
      <c r="J53" s="12">
        <f t="shared" si="352"/>
        <v>4.4897959183673466E-2</v>
      </c>
      <c r="K53" s="11"/>
      <c r="L53" s="11"/>
      <c r="M53" s="18"/>
      <c r="N53" s="20"/>
      <c r="O53" s="10"/>
      <c r="P53" s="11"/>
      <c r="Q53" s="69">
        <f t="shared" si="353"/>
        <v>705</v>
      </c>
      <c r="R53" s="69">
        <f t="shared" si="353"/>
        <v>62</v>
      </c>
      <c r="S53" s="11">
        <v>274</v>
      </c>
      <c r="T53" s="12">
        <f t="shared" si="311"/>
        <v>0.40709219858156026</v>
      </c>
      <c r="U53" s="11">
        <v>13</v>
      </c>
      <c r="V53" s="12">
        <f t="shared" si="312"/>
        <v>4.5296167247386762E-2</v>
      </c>
      <c r="W53" s="199">
        <v>142.30000000000001</v>
      </c>
      <c r="X53" s="11"/>
      <c r="Y53" s="18"/>
      <c r="Z53" s="20"/>
      <c r="AA53" s="10"/>
      <c r="AB53" s="11"/>
      <c r="AC53" s="69">
        <f t="shared" si="354"/>
        <v>189</v>
      </c>
      <c r="AD53" s="69">
        <f t="shared" si="354"/>
        <v>13</v>
      </c>
      <c r="AE53" s="11">
        <v>63</v>
      </c>
      <c r="AF53" s="12">
        <f t="shared" si="313"/>
        <v>0.40211640211640209</v>
      </c>
      <c r="AG53" s="11">
        <v>13</v>
      </c>
      <c r="AH53" s="12">
        <f t="shared" si="314"/>
        <v>0.17105263157894737</v>
      </c>
      <c r="AI53" s="199">
        <v>140.4</v>
      </c>
      <c r="AJ53" s="11"/>
      <c r="AK53" s="18"/>
      <c r="AL53" s="20"/>
      <c r="AM53" s="10"/>
      <c r="AN53" s="11"/>
      <c r="AO53" s="69">
        <f t="shared" si="355"/>
        <v>706</v>
      </c>
      <c r="AP53" s="69">
        <f t="shared" si="355"/>
        <v>63</v>
      </c>
      <c r="AQ53" s="11">
        <v>266</v>
      </c>
      <c r="AR53" s="12">
        <f t="shared" si="315"/>
        <v>0.40368271954674223</v>
      </c>
      <c r="AS53" s="11">
        <v>19</v>
      </c>
      <c r="AT53" s="12">
        <f t="shared" si="316"/>
        <v>6.6666666666666666E-2</v>
      </c>
      <c r="AU53" s="199">
        <v>141.80000000000001</v>
      </c>
      <c r="AV53" s="11"/>
      <c r="AW53" s="18"/>
      <c r="AX53" s="20"/>
      <c r="AY53" s="10"/>
      <c r="AZ53" s="11"/>
      <c r="BA53" s="69">
        <f t="shared" si="356"/>
        <v>709</v>
      </c>
      <c r="BB53" s="69">
        <f t="shared" si="356"/>
        <v>62</v>
      </c>
      <c r="BC53" s="11">
        <v>274</v>
      </c>
      <c r="BD53" s="12">
        <f t="shared" si="317"/>
        <v>0.41043723554301831</v>
      </c>
      <c r="BE53" s="11">
        <v>17</v>
      </c>
      <c r="BF53" s="12">
        <f t="shared" si="318"/>
        <v>5.8419243986254296E-2</v>
      </c>
      <c r="BG53" s="199">
        <v>141.5</v>
      </c>
      <c r="BH53" s="11"/>
      <c r="BI53" s="18"/>
      <c r="BJ53" s="20"/>
      <c r="BK53" s="10"/>
      <c r="BL53" s="11"/>
      <c r="BM53" s="69">
        <f t="shared" si="357"/>
        <v>708</v>
      </c>
      <c r="BN53" s="69">
        <f t="shared" si="357"/>
        <v>63</v>
      </c>
      <c r="BO53" s="11">
        <v>252</v>
      </c>
      <c r="BP53" s="12">
        <f t="shared" si="319"/>
        <v>0.37994350282485878</v>
      </c>
      <c r="BQ53" s="11">
        <v>17</v>
      </c>
      <c r="BR53" s="12">
        <f t="shared" si="320"/>
        <v>6.3197026022304828E-2</v>
      </c>
      <c r="BS53" s="11"/>
      <c r="BT53" s="11"/>
      <c r="BU53" s="18"/>
      <c r="BV53" s="20"/>
      <c r="BW53" s="10"/>
      <c r="BX53" s="11"/>
      <c r="BY53" s="69">
        <f t="shared" si="358"/>
        <v>0</v>
      </c>
      <c r="BZ53" s="69">
        <f t="shared" si="358"/>
        <v>0</v>
      </c>
      <c r="CA53" s="11"/>
      <c r="CB53" s="12" t="e">
        <f t="shared" si="321"/>
        <v>#DIV/0!</v>
      </c>
      <c r="CC53" s="11"/>
      <c r="CD53" s="12" t="e">
        <f t="shared" si="322"/>
        <v>#DIV/0!</v>
      </c>
      <c r="CE53" s="11"/>
      <c r="CF53" s="11"/>
      <c r="CG53" s="18"/>
      <c r="CH53" s="20"/>
      <c r="CI53" s="10"/>
      <c r="CJ53" s="11"/>
      <c r="CK53" s="69">
        <f t="shared" si="359"/>
        <v>0</v>
      </c>
      <c r="CL53" s="69">
        <f t="shared" si="359"/>
        <v>0</v>
      </c>
      <c r="CM53" s="11"/>
      <c r="CN53" s="12" t="e">
        <f t="shared" si="323"/>
        <v>#DIV/0!</v>
      </c>
      <c r="CO53" s="11"/>
      <c r="CP53" s="12" t="e">
        <f t="shared" si="324"/>
        <v>#DIV/0!</v>
      </c>
      <c r="CQ53" s="11"/>
      <c r="CR53" s="11"/>
      <c r="CS53" s="18"/>
      <c r="CT53" s="20"/>
      <c r="CU53" s="10"/>
      <c r="CV53" s="11"/>
      <c r="CW53" s="69">
        <f t="shared" si="360"/>
        <v>0</v>
      </c>
      <c r="CX53" s="69">
        <f t="shared" si="360"/>
        <v>0</v>
      </c>
      <c r="CY53" s="11"/>
      <c r="CZ53" s="12" t="e">
        <f t="shared" si="325"/>
        <v>#DIV/0!</v>
      </c>
      <c r="DA53" s="11"/>
      <c r="DB53" s="12" t="e">
        <f t="shared" si="326"/>
        <v>#DIV/0!</v>
      </c>
      <c r="DC53" s="11"/>
      <c r="DD53" s="11"/>
      <c r="DE53" s="18"/>
      <c r="DF53" s="20"/>
      <c r="DG53" s="10"/>
      <c r="DH53" s="11"/>
      <c r="DI53" s="69">
        <f t="shared" si="361"/>
        <v>0</v>
      </c>
      <c r="DJ53" s="69">
        <f t="shared" si="361"/>
        <v>0</v>
      </c>
      <c r="DK53" s="11"/>
      <c r="DL53" s="12" t="e">
        <f t="shared" si="327"/>
        <v>#DIV/0!</v>
      </c>
      <c r="DM53" s="11"/>
      <c r="DN53" s="12" t="e">
        <f t="shared" si="328"/>
        <v>#DIV/0!</v>
      </c>
      <c r="DO53" s="11"/>
      <c r="DP53" s="11"/>
      <c r="DQ53" s="18"/>
      <c r="DR53" s="20"/>
      <c r="DS53" s="10"/>
      <c r="DT53" s="11"/>
      <c r="DU53" s="69">
        <f t="shared" si="362"/>
        <v>0</v>
      </c>
      <c r="DV53" s="69">
        <f t="shared" si="362"/>
        <v>0</v>
      </c>
      <c r="DW53" s="11"/>
      <c r="DX53" s="12" t="e">
        <f t="shared" si="329"/>
        <v>#DIV/0!</v>
      </c>
      <c r="DY53" s="11"/>
      <c r="DZ53" s="12" t="e">
        <f t="shared" si="330"/>
        <v>#DIV/0!</v>
      </c>
      <c r="EA53" s="11"/>
      <c r="EB53" s="11"/>
      <c r="EC53" s="18"/>
      <c r="ED53" s="20"/>
      <c r="EE53" s="10"/>
      <c r="EF53" s="11"/>
      <c r="EG53" s="69">
        <f t="shared" si="363"/>
        <v>0</v>
      </c>
      <c r="EH53" s="69">
        <f t="shared" si="363"/>
        <v>0</v>
      </c>
      <c r="EI53" s="11"/>
      <c r="EJ53" s="12" t="e">
        <f t="shared" si="331"/>
        <v>#DIV/0!</v>
      </c>
      <c r="EK53" s="11"/>
      <c r="EL53" s="12" t="e">
        <f t="shared" si="332"/>
        <v>#DIV/0!</v>
      </c>
      <c r="EM53" s="11"/>
      <c r="EN53" s="11"/>
      <c r="EO53" s="18"/>
      <c r="EP53" s="20"/>
      <c r="EQ53" s="10"/>
      <c r="ER53" s="11"/>
      <c r="ES53" s="69">
        <f t="shared" si="364"/>
        <v>0</v>
      </c>
      <c r="ET53" s="69">
        <f t="shared" si="364"/>
        <v>0</v>
      </c>
      <c r="EU53" s="11"/>
      <c r="EV53" s="12" t="e">
        <f t="shared" si="333"/>
        <v>#DIV/0!</v>
      </c>
      <c r="EW53" s="11"/>
      <c r="EX53" s="12" t="e">
        <f t="shared" si="334"/>
        <v>#DIV/0!</v>
      </c>
      <c r="EY53" s="11"/>
      <c r="EZ53" s="11"/>
      <c r="FA53" s="18"/>
      <c r="FB53" s="20"/>
      <c r="FC53" s="10"/>
      <c r="FD53" s="11"/>
      <c r="FE53" s="69">
        <f t="shared" si="365"/>
        <v>0</v>
      </c>
      <c r="FF53" s="69">
        <f t="shared" si="365"/>
        <v>0</v>
      </c>
      <c r="FG53" s="11"/>
      <c r="FH53" s="12" t="e">
        <f t="shared" si="335"/>
        <v>#DIV/0!</v>
      </c>
      <c r="FI53" s="11"/>
      <c r="FJ53" s="12" t="e">
        <f t="shared" si="336"/>
        <v>#DIV/0!</v>
      </c>
      <c r="FK53" s="11"/>
      <c r="FL53" s="11"/>
      <c r="FM53" s="18"/>
      <c r="FN53" s="20"/>
      <c r="FO53" s="10"/>
      <c r="FP53" s="11"/>
      <c r="FQ53" s="69">
        <f t="shared" si="366"/>
        <v>0</v>
      </c>
      <c r="FR53" s="69">
        <f t="shared" si="366"/>
        <v>0</v>
      </c>
      <c r="FS53" s="11"/>
      <c r="FT53" s="12" t="e">
        <f t="shared" si="337"/>
        <v>#DIV/0!</v>
      </c>
      <c r="FU53" s="11"/>
      <c r="FV53" s="12" t="e">
        <f t="shared" si="338"/>
        <v>#DIV/0!</v>
      </c>
      <c r="FW53" s="11"/>
      <c r="FX53" s="11"/>
      <c r="FY53" s="18"/>
      <c r="FZ53" s="20"/>
      <c r="GA53" s="10"/>
      <c r="GB53" s="11"/>
      <c r="GC53" s="69">
        <f t="shared" si="367"/>
        <v>0</v>
      </c>
      <c r="GD53" s="69">
        <f t="shared" si="367"/>
        <v>0</v>
      </c>
      <c r="GE53" s="11"/>
      <c r="GF53" s="12" t="e">
        <f t="shared" si="339"/>
        <v>#DIV/0!</v>
      </c>
      <c r="GG53" s="11"/>
      <c r="GH53" s="12" t="e">
        <f t="shared" si="340"/>
        <v>#DIV/0!</v>
      </c>
      <c r="GI53" s="11"/>
      <c r="GJ53" s="11"/>
      <c r="GK53" s="18"/>
      <c r="GL53" s="20"/>
      <c r="GM53" s="10"/>
      <c r="GN53" s="11"/>
      <c r="GO53" s="69">
        <f t="shared" si="368"/>
        <v>0</v>
      </c>
      <c r="GP53" s="69">
        <f t="shared" si="368"/>
        <v>0</v>
      </c>
      <c r="GQ53" s="11"/>
      <c r="GR53" s="12" t="e">
        <f t="shared" si="341"/>
        <v>#DIV/0!</v>
      </c>
      <c r="GS53" s="11"/>
      <c r="GT53" s="12" t="e">
        <f t="shared" si="342"/>
        <v>#DIV/0!</v>
      </c>
      <c r="GU53" s="11"/>
      <c r="GV53" s="11"/>
      <c r="GW53" s="18"/>
      <c r="GX53" s="20"/>
      <c r="GY53" s="10"/>
      <c r="GZ53" s="11"/>
      <c r="HA53" s="69">
        <f t="shared" si="369"/>
        <v>0</v>
      </c>
      <c r="HB53" s="69">
        <f t="shared" si="369"/>
        <v>0</v>
      </c>
      <c r="HC53" s="11"/>
      <c r="HD53" s="12" t="e">
        <f t="shared" si="343"/>
        <v>#DIV/0!</v>
      </c>
      <c r="HE53" s="11"/>
      <c r="HF53" s="12" t="e">
        <f t="shared" si="344"/>
        <v>#DIV/0!</v>
      </c>
      <c r="HG53" s="11"/>
      <c r="HH53" s="11"/>
      <c r="HI53" s="18"/>
      <c r="HJ53" s="20"/>
      <c r="HK53" s="10">
        <f t="shared" si="345"/>
        <v>0</v>
      </c>
      <c r="HL53" s="11">
        <f t="shared" si="345"/>
        <v>0</v>
      </c>
      <c r="HM53" s="11">
        <f t="shared" si="345"/>
        <v>3726</v>
      </c>
      <c r="HN53" s="11">
        <f t="shared" si="345"/>
        <v>326</v>
      </c>
      <c r="HO53" s="11">
        <f t="shared" si="346"/>
        <v>1453</v>
      </c>
      <c r="HP53" s="95">
        <f t="shared" si="347"/>
        <v>0.38996242619431026</v>
      </c>
      <c r="HQ53" s="15">
        <f t="shared" si="348"/>
        <v>90</v>
      </c>
      <c r="HR53" s="12">
        <f t="shared" si="370"/>
        <v>6.1940812112869927E-2</v>
      </c>
      <c r="HS53" s="16">
        <v>60.3</v>
      </c>
      <c r="HT53" s="17">
        <v>1295</v>
      </c>
      <c r="HU53" s="16">
        <f t="shared" si="349"/>
        <v>89.125946317962828</v>
      </c>
      <c r="HV53" s="18"/>
      <c r="HW53" s="20"/>
    </row>
    <row r="54" spans="1:231" ht="18.75" x14ac:dyDescent="0.25">
      <c r="A54" s="374"/>
      <c r="B54" s="41">
        <f>+B53+1</f>
        <v>44980</v>
      </c>
      <c r="C54" s="10">
        <v>3</v>
      </c>
      <c r="D54" s="11"/>
      <c r="E54" s="69">
        <f t="shared" si="351"/>
        <v>706</v>
      </c>
      <c r="F54" s="69">
        <f t="shared" si="351"/>
        <v>63</v>
      </c>
      <c r="G54" s="11">
        <v>239</v>
      </c>
      <c r="H54" s="12">
        <f t="shared" si="310"/>
        <v>0.37252124645892354</v>
      </c>
      <c r="I54" s="11">
        <v>24</v>
      </c>
      <c r="J54" s="12">
        <f t="shared" si="352"/>
        <v>9.125475285171103E-2</v>
      </c>
      <c r="K54" s="13"/>
      <c r="L54" s="13"/>
      <c r="M54" s="25">
        <v>3865</v>
      </c>
      <c r="N54" s="38">
        <v>4260</v>
      </c>
      <c r="O54" s="10">
        <v>1</v>
      </c>
      <c r="P54" s="11"/>
      <c r="Q54" s="69">
        <f t="shared" si="353"/>
        <v>704</v>
      </c>
      <c r="R54" s="69">
        <f t="shared" si="353"/>
        <v>62</v>
      </c>
      <c r="S54" s="11">
        <v>274</v>
      </c>
      <c r="T54" s="12">
        <f t="shared" si="311"/>
        <v>0.41477272727272729</v>
      </c>
      <c r="U54" s="11">
        <v>18</v>
      </c>
      <c r="V54" s="12">
        <f t="shared" si="312"/>
        <v>6.1643835616438353E-2</v>
      </c>
      <c r="W54" s="13"/>
      <c r="X54" s="13"/>
      <c r="Y54" s="25">
        <v>3865</v>
      </c>
      <c r="Z54" s="38">
        <v>4260</v>
      </c>
      <c r="AA54" s="10"/>
      <c r="AB54" s="11"/>
      <c r="AC54" s="69">
        <f t="shared" si="354"/>
        <v>189</v>
      </c>
      <c r="AD54" s="69">
        <f t="shared" si="354"/>
        <v>13</v>
      </c>
      <c r="AE54" s="11">
        <v>72</v>
      </c>
      <c r="AF54" s="12">
        <f t="shared" si="313"/>
        <v>0.43915343915343913</v>
      </c>
      <c r="AG54" s="11">
        <v>11</v>
      </c>
      <c r="AH54" s="12">
        <f t="shared" si="314"/>
        <v>0.13253012048192772</v>
      </c>
      <c r="AI54" s="13"/>
      <c r="AJ54" s="13"/>
      <c r="AK54" s="25">
        <v>3865</v>
      </c>
      <c r="AL54" s="38">
        <v>4260</v>
      </c>
      <c r="AM54" s="10">
        <v>1</v>
      </c>
      <c r="AN54" s="11"/>
      <c r="AO54" s="69">
        <f t="shared" si="355"/>
        <v>705</v>
      </c>
      <c r="AP54" s="69">
        <f t="shared" si="355"/>
        <v>63</v>
      </c>
      <c r="AQ54" s="11">
        <v>256</v>
      </c>
      <c r="AR54" s="12">
        <f t="shared" si="315"/>
        <v>0.39148936170212767</v>
      </c>
      <c r="AS54" s="11">
        <v>20</v>
      </c>
      <c r="AT54" s="12">
        <f t="shared" si="316"/>
        <v>7.2463768115942032E-2</v>
      </c>
      <c r="AU54" s="13"/>
      <c r="AV54" s="13"/>
      <c r="AW54" s="25">
        <v>3865</v>
      </c>
      <c r="AX54" s="38">
        <v>4260</v>
      </c>
      <c r="AY54" s="10"/>
      <c r="AZ54" s="11"/>
      <c r="BA54" s="69">
        <f t="shared" si="356"/>
        <v>709</v>
      </c>
      <c r="BB54" s="69">
        <f t="shared" si="356"/>
        <v>62</v>
      </c>
      <c r="BC54" s="11">
        <v>300</v>
      </c>
      <c r="BD54" s="12">
        <f t="shared" si="317"/>
        <v>0.45980253878702398</v>
      </c>
      <c r="BE54" s="11">
        <v>26</v>
      </c>
      <c r="BF54" s="12">
        <f t="shared" si="318"/>
        <v>7.9754601226993863E-2</v>
      </c>
      <c r="BG54" s="13"/>
      <c r="BH54" s="13"/>
      <c r="BI54" s="25">
        <v>3865</v>
      </c>
      <c r="BJ54" s="38">
        <v>4260</v>
      </c>
      <c r="BK54" s="10"/>
      <c r="BL54" s="11"/>
      <c r="BM54" s="69">
        <f t="shared" si="357"/>
        <v>708</v>
      </c>
      <c r="BN54" s="69">
        <f t="shared" si="357"/>
        <v>63</v>
      </c>
      <c r="BO54" s="11">
        <v>282</v>
      </c>
      <c r="BP54" s="12">
        <f t="shared" si="319"/>
        <v>0.42796610169491528</v>
      </c>
      <c r="BQ54" s="11">
        <v>21</v>
      </c>
      <c r="BR54" s="12">
        <f t="shared" si="320"/>
        <v>6.9306930693069313E-2</v>
      </c>
      <c r="BS54" s="13"/>
      <c r="BT54" s="13"/>
      <c r="BU54" s="25">
        <v>3865</v>
      </c>
      <c r="BV54" s="38">
        <v>4260</v>
      </c>
      <c r="BW54" s="10"/>
      <c r="BX54" s="11"/>
      <c r="BY54" s="69">
        <f t="shared" si="358"/>
        <v>0</v>
      </c>
      <c r="BZ54" s="69">
        <f t="shared" si="358"/>
        <v>0</v>
      </c>
      <c r="CA54" s="11"/>
      <c r="CB54" s="12" t="e">
        <f t="shared" si="321"/>
        <v>#DIV/0!</v>
      </c>
      <c r="CC54" s="11"/>
      <c r="CD54" s="12" t="e">
        <f t="shared" si="322"/>
        <v>#DIV/0!</v>
      </c>
      <c r="CE54" s="13"/>
      <c r="CF54" s="13"/>
      <c r="CG54" s="25"/>
      <c r="CH54" s="38"/>
      <c r="CI54" s="10"/>
      <c r="CJ54" s="11"/>
      <c r="CK54" s="69">
        <f t="shared" si="359"/>
        <v>0</v>
      </c>
      <c r="CL54" s="69">
        <f t="shared" si="359"/>
        <v>0</v>
      </c>
      <c r="CM54" s="11"/>
      <c r="CN54" s="12" t="e">
        <f t="shared" si="323"/>
        <v>#DIV/0!</v>
      </c>
      <c r="CO54" s="11"/>
      <c r="CP54" s="12" t="e">
        <f t="shared" si="324"/>
        <v>#DIV/0!</v>
      </c>
      <c r="CQ54" s="13"/>
      <c r="CR54" s="13"/>
      <c r="CS54" s="25"/>
      <c r="CT54" s="38"/>
      <c r="CU54" s="10"/>
      <c r="CV54" s="11"/>
      <c r="CW54" s="69">
        <f t="shared" si="360"/>
        <v>0</v>
      </c>
      <c r="CX54" s="69">
        <f t="shared" si="360"/>
        <v>0</v>
      </c>
      <c r="CY54" s="11"/>
      <c r="CZ54" s="12" t="e">
        <f t="shared" si="325"/>
        <v>#DIV/0!</v>
      </c>
      <c r="DA54" s="11"/>
      <c r="DB54" s="12" t="e">
        <f t="shared" si="326"/>
        <v>#DIV/0!</v>
      </c>
      <c r="DC54" s="13"/>
      <c r="DD54" s="13"/>
      <c r="DE54" s="25"/>
      <c r="DF54" s="38"/>
      <c r="DG54" s="10"/>
      <c r="DH54" s="11"/>
      <c r="DI54" s="69">
        <f t="shared" si="361"/>
        <v>0</v>
      </c>
      <c r="DJ54" s="69">
        <f t="shared" si="361"/>
        <v>0</v>
      </c>
      <c r="DK54" s="11"/>
      <c r="DL54" s="12" t="e">
        <f t="shared" si="327"/>
        <v>#DIV/0!</v>
      </c>
      <c r="DM54" s="11"/>
      <c r="DN54" s="12" t="e">
        <f t="shared" si="328"/>
        <v>#DIV/0!</v>
      </c>
      <c r="DO54" s="13"/>
      <c r="DP54" s="13"/>
      <c r="DQ54" s="25"/>
      <c r="DR54" s="38"/>
      <c r="DS54" s="10"/>
      <c r="DT54" s="11"/>
      <c r="DU54" s="69">
        <f t="shared" si="362"/>
        <v>0</v>
      </c>
      <c r="DV54" s="69">
        <f t="shared" si="362"/>
        <v>0</v>
      </c>
      <c r="DW54" s="11"/>
      <c r="DX54" s="12" t="e">
        <f t="shared" si="329"/>
        <v>#DIV/0!</v>
      </c>
      <c r="DY54" s="11"/>
      <c r="DZ54" s="12" t="e">
        <f t="shared" si="330"/>
        <v>#DIV/0!</v>
      </c>
      <c r="EA54" s="13"/>
      <c r="EB54" s="13"/>
      <c r="EC54" s="25"/>
      <c r="ED54" s="38"/>
      <c r="EE54" s="10"/>
      <c r="EF54" s="11"/>
      <c r="EG54" s="69">
        <f t="shared" si="363"/>
        <v>0</v>
      </c>
      <c r="EH54" s="69">
        <f t="shared" si="363"/>
        <v>0</v>
      </c>
      <c r="EI54" s="11"/>
      <c r="EJ54" s="12" t="e">
        <f t="shared" si="331"/>
        <v>#DIV/0!</v>
      </c>
      <c r="EK54" s="11"/>
      <c r="EL54" s="12" t="e">
        <f t="shared" si="332"/>
        <v>#DIV/0!</v>
      </c>
      <c r="EM54" s="13"/>
      <c r="EN54" s="13"/>
      <c r="EO54" s="25"/>
      <c r="EP54" s="38"/>
      <c r="EQ54" s="10"/>
      <c r="ER54" s="11"/>
      <c r="ES54" s="69">
        <f t="shared" si="364"/>
        <v>0</v>
      </c>
      <c r="ET54" s="69">
        <f t="shared" si="364"/>
        <v>0</v>
      </c>
      <c r="EU54" s="11"/>
      <c r="EV54" s="12" t="e">
        <f t="shared" si="333"/>
        <v>#DIV/0!</v>
      </c>
      <c r="EW54" s="11"/>
      <c r="EX54" s="12" t="e">
        <f t="shared" si="334"/>
        <v>#DIV/0!</v>
      </c>
      <c r="EY54" s="13"/>
      <c r="EZ54" s="13"/>
      <c r="FA54" s="25"/>
      <c r="FB54" s="38"/>
      <c r="FC54" s="10"/>
      <c r="FD54" s="11"/>
      <c r="FE54" s="69">
        <f t="shared" si="365"/>
        <v>0</v>
      </c>
      <c r="FF54" s="69">
        <f t="shared" si="365"/>
        <v>0</v>
      </c>
      <c r="FG54" s="11"/>
      <c r="FH54" s="12" t="e">
        <f t="shared" si="335"/>
        <v>#DIV/0!</v>
      </c>
      <c r="FI54" s="11"/>
      <c r="FJ54" s="12" t="e">
        <f t="shared" si="336"/>
        <v>#DIV/0!</v>
      </c>
      <c r="FK54" s="13"/>
      <c r="FL54" s="13"/>
      <c r="FM54" s="25"/>
      <c r="FN54" s="38"/>
      <c r="FO54" s="10"/>
      <c r="FP54" s="11"/>
      <c r="FQ54" s="69">
        <f t="shared" si="366"/>
        <v>0</v>
      </c>
      <c r="FR54" s="69">
        <f t="shared" si="366"/>
        <v>0</v>
      </c>
      <c r="FS54" s="11"/>
      <c r="FT54" s="12" t="e">
        <f t="shared" si="337"/>
        <v>#DIV/0!</v>
      </c>
      <c r="FU54" s="11"/>
      <c r="FV54" s="12" t="e">
        <f t="shared" si="338"/>
        <v>#DIV/0!</v>
      </c>
      <c r="FW54" s="13"/>
      <c r="FX54" s="13"/>
      <c r="FY54" s="25"/>
      <c r="FZ54" s="38"/>
      <c r="GA54" s="10"/>
      <c r="GB54" s="11"/>
      <c r="GC54" s="69">
        <f t="shared" si="367"/>
        <v>0</v>
      </c>
      <c r="GD54" s="69">
        <f t="shared" si="367"/>
        <v>0</v>
      </c>
      <c r="GE54" s="11"/>
      <c r="GF54" s="12" t="e">
        <f t="shared" si="339"/>
        <v>#DIV/0!</v>
      </c>
      <c r="GG54" s="11"/>
      <c r="GH54" s="12" t="e">
        <f t="shared" si="340"/>
        <v>#DIV/0!</v>
      </c>
      <c r="GI54" s="13"/>
      <c r="GJ54" s="13"/>
      <c r="GK54" s="25"/>
      <c r="GL54" s="38"/>
      <c r="GM54" s="10"/>
      <c r="GN54" s="11"/>
      <c r="GO54" s="69">
        <f t="shared" si="368"/>
        <v>0</v>
      </c>
      <c r="GP54" s="69">
        <f t="shared" si="368"/>
        <v>0</v>
      </c>
      <c r="GQ54" s="11"/>
      <c r="GR54" s="12" t="e">
        <f t="shared" si="341"/>
        <v>#DIV/0!</v>
      </c>
      <c r="GS54" s="11"/>
      <c r="GT54" s="12" t="e">
        <f t="shared" si="342"/>
        <v>#DIV/0!</v>
      </c>
      <c r="GU54" s="13"/>
      <c r="GV54" s="13"/>
      <c r="GW54" s="25"/>
      <c r="GX54" s="38"/>
      <c r="GY54" s="10"/>
      <c r="GZ54" s="11"/>
      <c r="HA54" s="69">
        <f t="shared" si="369"/>
        <v>0</v>
      </c>
      <c r="HB54" s="69">
        <f t="shared" si="369"/>
        <v>0</v>
      </c>
      <c r="HC54" s="11"/>
      <c r="HD54" s="12" t="e">
        <f t="shared" si="343"/>
        <v>#DIV/0!</v>
      </c>
      <c r="HE54" s="11"/>
      <c r="HF54" s="12" t="e">
        <f t="shared" si="344"/>
        <v>#DIV/0!</v>
      </c>
      <c r="HG54" s="13"/>
      <c r="HH54" s="13"/>
      <c r="HI54" s="25"/>
      <c r="HJ54" s="38"/>
      <c r="HK54" s="10">
        <f t="shared" si="345"/>
        <v>5</v>
      </c>
      <c r="HL54" s="11">
        <f t="shared" si="345"/>
        <v>0</v>
      </c>
      <c r="HM54" s="11">
        <f t="shared" si="345"/>
        <v>3721</v>
      </c>
      <c r="HN54" s="11">
        <f t="shared" si="345"/>
        <v>326</v>
      </c>
      <c r="HO54" s="11">
        <f t="shared" si="346"/>
        <v>1543</v>
      </c>
      <c r="HP54" s="95">
        <f t="shared" si="347"/>
        <v>0.41467347487234613</v>
      </c>
      <c r="HQ54" s="15">
        <f t="shared" si="348"/>
        <v>120</v>
      </c>
      <c r="HR54" s="12">
        <f t="shared" si="370"/>
        <v>7.7770576798444582E-2</v>
      </c>
      <c r="HS54" s="16">
        <v>60.6</v>
      </c>
      <c r="HT54" s="17">
        <v>1340</v>
      </c>
      <c r="HU54" s="16">
        <f t="shared" si="349"/>
        <v>86.843810758263132</v>
      </c>
      <c r="HV54" s="23">
        <v>3865</v>
      </c>
      <c r="HW54" s="22">
        <v>4260</v>
      </c>
    </row>
    <row r="55" spans="1:231" ht="18.75" x14ac:dyDescent="0.25">
      <c r="A55" s="374"/>
      <c r="B55" s="41">
        <f t="shared" si="350"/>
        <v>44981</v>
      </c>
      <c r="C55" s="10"/>
      <c r="D55" s="11"/>
      <c r="E55" s="69">
        <f t="shared" si="351"/>
        <v>706</v>
      </c>
      <c r="F55" s="69">
        <f t="shared" si="351"/>
        <v>63</v>
      </c>
      <c r="G55" s="11">
        <v>300</v>
      </c>
      <c r="H55" s="12">
        <f t="shared" si="310"/>
        <v>0.45184135977337109</v>
      </c>
      <c r="I55" s="11">
        <v>19</v>
      </c>
      <c r="J55" s="12">
        <f t="shared" si="352"/>
        <v>5.9561128526645767E-2</v>
      </c>
      <c r="K55" s="200">
        <v>143.9</v>
      </c>
      <c r="L55" s="11"/>
      <c r="M55" s="25">
        <v>4153.333333333333</v>
      </c>
      <c r="N55" s="38">
        <v>4449.29</v>
      </c>
      <c r="O55" s="10"/>
      <c r="P55" s="11"/>
      <c r="Q55" s="69">
        <f t="shared" si="353"/>
        <v>704</v>
      </c>
      <c r="R55" s="69">
        <f t="shared" si="353"/>
        <v>62</v>
      </c>
      <c r="S55" s="11">
        <v>298</v>
      </c>
      <c r="T55" s="12">
        <f t="shared" si="311"/>
        <v>0.43892045454545453</v>
      </c>
      <c r="U55" s="11">
        <v>11</v>
      </c>
      <c r="V55" s="12">
        <f t="shared" si="312"/>
        <v>3.5598705501618123E-2</v>
      </c>
      <c r="W55" s="323">
        <v>147.30000000000001</v>
      </c>
      <c r="X55" s="11"/>
      <c r="Y55" s="25">
        <v>4220.2564102564102</v>
      </c>
      <c r="Z55" s="38">
        <v>4582.1400000000003</v>
      </c>
      <c r="AA55" s="10">
        <v>1</v>
      </c>
      <c r="AB55" s="11"/>
      <c r="AC55" s="69">
        <f t="shared" si="354"/>
        <v>188</v>
      </c>
      <c r="AD55" s="69">
        <f t="shared" si="354"/>
        <v>13</v>
      </c>
      <c r="AE55" s="11">
        <v>72</v>
      </c>
      <c r="AF55" s="12">
        <f t="shared" si="313"/>
        <v>0.40425531914893614</v>
      </c>
      <c r="AG55" s="11">
        <v>4</v>
      </c>
      <c r="AH55" s="12">
        <f t="shared" si="314"/>
        <v>5.2631578947368418E-2</v>
      </c>
      <c r="AI55" s="200">
        <v>144.4</v>
      </c>
      <c r="AJ55" s="11"/>
      <c r="AK55" s="25">
        <v>4072</v>
      </c>
      <c r="AL55" s="38">
        <v>4590</v>
      </c>
      <c r="AM55" s="10"/>
      <c r="AN55" s="11"/>
      <c r="AO55" s="69">
        <f t="shared" si="355"/>
        <v>705</v>
      </c>
      <c r="AP55" s="69">
        <f t="shared" si="355"/>
        <v>63</v>
      </c>
      <c r="AQ55" s="11">
        <v>298</v>
      </c>
      <c r="AR55" s="12">
        <f t="shared" si="315"/>
        <v>0.45106382978723403</v>
      </c>
      <c r="AS55" s="11">
        <v>20</v>
      </c>
      <c r="AT55" s="12">
        <f t="shared" si="316"/>
        <v>6.2893081761006289E-2</v>
      </c>
      <c r="AU55" s="323">
        <v>147</v>
      </c>
      <c r="AV55" s="11"/>
      <c r="AW55" s="25">
        <v>4198.6111111111113</v>
      </c>
      <c r="AX55" s="38">
        <v>4691.18</v>
      </c>
      <c r="AY55" s="10"/>
      <c r="AZ55" s="11"/>
      <c r="BA55" s="69">
        <f t="shared" si="356"/>
        <v>709</v>
      </c>
      <c r="BB55" s="69">
        <f t="shared" si="356"/>
        <v>62</v>
      </c>
      <c r="BC55" s="11">
        <v>292</v>
      </c>
      <c r="BD55" s="12">
        <f t="shared" si="317"/>
        <v>0.43723554301833567</v>
      </c>
      <c r="BE55" s="11">
        <v>18</v>
      </c>
      <c r="BF55" s="12">
        <f t="shared" si="318"/>
        <v>5.8064516129032261E-2</v>
      </c>
      <c r="BG55" s="200">
        <v>146.80000000000001</v>
      </c>
      <c r="BH55" s="11"/>
      <c r="BI55" s="25">
        <v>4345.1428571428569</v>
      </c>
      <c r="BJ55" s="38">
        <v>4574.38</v>
      </c>
      <c r="BK55" s="10">
        <v>1</v>
      </c>
      <c r="BL55" s="11"/>
      <c r="BM55" s="69">
        <f t="shared" si="357"/>
        <v>707</v>
      </c>
      <c r="BN55" s="69">
        <f t="shared" si="357"/>
        <v>63</v>
      </c>
      <c r="BO55" s="11">
        <v>249</v>
      </c>
      <c r="BP55" s="12">
        <f t="shared" si="319"/>
        <v>0.36633663366336633</v>
      </c>
      <c r="BQ55" s="11">
        <v>10</v>
      </c>
      <c r="BR55" s="12">
        <f t="shared" si="320"/>
        <v>3.8610038610038609E-2</v>
      </c>
      <c r="BS55" s="200">
        <v>141.1</v>
      </c>
      <c r="BT55" s="11"/>
      <c r="BU55" s="25">
        <v>4311.0810810810808</v>
      </c>
      <c r="BV55" s="38">
        <v>4646.43</v>
      </c>
      <c r="BW55" s="10"/>
      <c r="BX55" s="11"/>
      <c r="BY55" s="69">
        <f t="shared" si="358"/>
        <v>0</v>
      </c>
      <c r="BZ55" s="69">
        <f t="shared" si="358"/>
        <v>0</v>
      </c>
      <c r="CA55" s="11"/>
      <c r="CB55" s="12" t="e">
        <f t="shared" si="321"/>
        <v>#DIV/0!</v>
      </c>
      <c r="CC55" s="11"/>
      <c r="CD55" s="12" t="e">
        <f t="shared" si="322"/>
        <v>#DIV/0!</v>
      </c>
      <c r="CE55" s="13"/>
      <c r="CF55" s="11"/>
      <c r="CG55" s="25"/>
      <c r="CH55" s="38"/>
      <c r="CI55" s="10"/>
      <c r="CJ55" s="11"/>
      <c r="CK55" s="69">
        <f t="shared" si="359"/>
        <v>0</v>
      </c>
      <c r="CL55" s="69">
        <f t="shared" si="359"/>
        <v>0</v>
      </c>
      <c r="CM55" s="11"/>
      <c r="CN55" s="12" t="e">
        <f t="shared" si="323"/>
        <v>#DIV/0!</v>
      </c>
      <c r="CO55" s="11"/>
      <c r="CP55" s="12" t="e">
        <f t="shared" si="324"/>
        <v>#DIV/0!</v>
      </c>
      <c r="CQ55" s="13"/>
      <c r="CR55" s="11"/>
      <c r="CS55" s="25"/>
      <c r="CT55" s="38"/>
      <c r="CU55" s="10"/>
      <c r="CV55" s="11"/>
      <c r="CW55" s="69">
        <f t="shared" si="360"/>
        <v>0</v>
      </c>
      <c r="CX55" s="69">
        <f t="shared" si="360"/>
        <v>0</v>
      </c>
      <c r="CY55" s="11"/>
      <c r="CZ55" s="12" t="e">
        <f t="shared" si="325"/>
        <v>#DIV/0!</v>
      </c>
      <c r="DA55" s="11"/>
      <c r="DB55" s="12" t="e">
        <f t="shared" si="326"/>
        <v>#DIV/0!</v>
      </c>
      <c r="DC55" s="13"/>
      <c r="DD55" s="11"/>
      <c r="DE55" s="25"/>
      <c r="DF55" s="38"/>
      <c r="DG55" s="10"/>
      <c r="DH55" s="11"/>
      <c r="DI55" s="69">
        <f t="shared" si="361"/>
        <v>0</v>
      </c>
      <c r="DJ55" s="69">
        <f t="shared" si="361"/>
        <v>0</v>
      </c>
      <c r="DK55" s="11"/>
      <c r="DL55" s="12" t="e">
        <f t="shared" si="327"/>
        <v>#DIV/0!</v>
      </c>
      <c r="DM55" s="11"/>
      <c r="DN55" s="12" t="e">
        <f t="shared" si="328"/>
        <v>#DIV/0!</v>
      </c>
      <c r="DO55" s="13"/>
      <c r="DP55" s="11"/>
      <c r="DQ55" s="25"/>
      <c r="DR55" s="38"/>
      <c r="DS55" s="10"/>
      <c r="DT55" s="11"/>
      <c r="DU55" s="69">
        <f t="shared" si="362"/>
        <v>0</v>
      </c>
      <c r="DV55" s="69">
        <f t="shared" si="362"/>
        <v>0</v>
      </c>
      <c r="DW55" s="11"/>
      <c r="DX55" s="12" t="e">
        <f t="shared" si="329"/>
        <v>#DIV/0!</v>
      </c>
      <c r="DY55" s="11"/>
      <c r="DZ55" s="12" t="e">
        <f t="shared" si="330"/>
        <v>#DIV/0!</v>
      </c>
      <c r="EA55" s="13"/>
      <c r="EB55" s="11"/>
      <c r="EC55" s="25"/>
      <c r="ED55" s="38"/>
      <c r="EE55" s="10"/>
      <c r="EF55" s="11"/>
      <c r="EG55" s="69">
        <f t="shared" si="363"/>
        <v>0</v>
      </c>
      <c r="EH55" s="69">
        <f t="shared" si="363"/>
        <v>0</v>
      </c>
      <c r="EI55" s="11"/>
      <c r="EJ55" s="12" t="e">
        <f t="shared" si="331"/>
        <v>#DIV/0!</v>
      </c>
      <c r="EK55" s="11"/>
      <c r="EL55" s="12" t="e">
        <f t="shared" si="332"/>
        <v>#DIV/0!</v>
      </c>
      <c r="EM55" s="13"/>
      <c r="EN55" s="11"/>
      <c r="EO55" s="25"/>
      <c r="EP55" s="38"/>
      <c r="EQ55" s="10"/>
      <c r="ER55" s="11"/>
      <c r="ES55" s="69">
        <f t="shared" si="364"/>
        <v>0</v>
      </c>
      <c r="ET55" s="69">
        <f t="shared" si="364"/>
        <v>0</v>
      </c>
      <c r="EU55" s="11"/>
      <c r="EV55" s="12" t="e">
        <f t="shared" si="333"/>
        <v>#DIV/0!</v>
      </c>
      <c r="EW55" s="11"/>
      <c r="EX55" s="12" t="e">
        <f t="shared" si="334"/>
        <v>#DIV/0!</v>
      </c>
      <c r="EY55" s="13"/>
      <c r="EZ55" s="11"/>
      <c r="FA55" s="25"/>
      <c r="FB55" s="38"/>
      <c r="FC55" s="10"/>
      <c r="FD55" s="11"/>
      <c r="FE55" s="69">
        <f t="shared" si="365"/>
        <v>0</v>
      </c>
      <c r="FF55" s="69">
        <f t="shared" si="365"/>
        <v>0</v>
      </c>
      <c r="FG55" s="11"/>
      <c r="FH55" s="12" t="e">
        <f t="shared" si="335"/>
        <v>#DIV/0!</v>
      </c>
      <c r="FI55" s="11"/>
      <c r="FJ55" s="12" t="e">
        <f t="shared" si="336"/>
        <v>#DIV/0!</v>
      </c>
      <c r="FK55" s="13"/>
      <c r="FL55" s="11"/>
      <c r="FM55" s="25"/>
      <c r="FN55" s="38"/>
      <c r="FO55" s="10"/>
      <c r="FP55" s="11"/>
      <c r="FQ55" s="69">
        <f t="shared" si="366"/>
        <v>0</v>
      </c>
      <c r="FR55" s="69">
        <f t="shared" si="366"/>
        <v>0</v>
      </c>
      <c r="FS55" s="11"/>
      <c r="FT55" s="12" t="e">
        <f t="shared" si="337"/>
        <v>#DIV/0!</v>
      </c>
      <c r="FU55" s="11"/>
      <c r="FV55" s="12" t="e">
        <f t="shared" si="338"/>
        <v>#DIV/0!</v>
      </c>
      <c r="FW55" s="13"/>
      <c r="FX55" s="11"/>
      <c r="FY55" s="25"/>
      <c r="FZ55" s="38"/>
      <c r="GA55" s="10"/>
      <c r="GB55" s="11"/>
      <c r="GC55" s="69">
        <f t="shared" si="367"/>
        <v>0</v>
      </c>
      <c r="GD55" s="69">
        <f t="shared" si="367"/>
        <v>0</v>
      </c>
      <c r="GE55" s="11"/>
      <c r="GF55" s="12" t="e">
        <f t="shared" si="339"/>
        <v>#DIV/0!</v>
      </c>
      <c r="GG55" s="11"/>
      <c r="GH55" s="12" t="e">
        <f t="shared" si="340"/>
        <v>#DIV/0!</v>
      </c>
      <c r="GI55" s="13"/>
      <c r="GJ55" s="11"/>
      <c r="GK55" s="25"/>
      <c r="GL55" s="38"/>
      <c r="GM55" s="10"/>
      <c r="GN55" s="11"/>
      <c r="GO55" s="69">
        <f t="shared" si="368"/>
        <v>0</v>
      </c>
      <c r="GP55" s="69">
        <f t="shared" si="368"/>
        <v>0</v>
      </c>
      <c r="GQ55" s="11"/>
      <c r="GR55" s="12" t="e">
        <f t="shared" si="341"/>
        <v>#DIV/0!</v>
      </c>
      <c r="GS55" s="11"/>
      <c r="GT55" s="12" t="e">
        <f t="shared" si="342"/>
        <v>#DIV/0!</v>
      </c>
      <c r="GU55" s="13"/>
      <c r="GV55" s="11"/>
      <c r="GW55" s="25"/>
      <c r="GX55" s="38"/>
      <c r="GY55" s="10"/>
      <c r="GZ55" s="11"/>
      <c r="HA55" s="69">
        <f t="shared" si="369"/>
        <v>0</v>
      </c>
      <c r="HB55" s="69">
        <f t="shared" si="369"/>
        <v>0</v>
      </c>
      <c r="HC55" s="11"/>
      <c r="HD55" s="12" t="e">
        <f t="shared" si="343"/>
        <v>#DIV/0!</v>
      </c>
      <c r="HE55" s="11"/>
      <c r="HF55" s="12" t="e">
        <f t="shared" si="344"/>
        <v>#DIV/0!</v>
      </c>
      <c r="HG55" s="13"/>
      <c r="HH55" s="11"/>
      <c r="HI55" s="25"/>
      <c r="HJ55" s="38"/>
      <c r="HK55" s="10">
        <f t="shared" si="345"/>
        <v>2</v>
      </c>
      <c r="HL55" s="11">
        <f t="shared" si="345"/>
        <v>0</v>
      </c>
      <c r="HM55" s="11">
        <f t="shared" si="345"/>
        <v>3719</v>
      </c>
      <c r="HN55" s="11">
        <f t="shared" si="345"/>
        <v>326</v>
      </c>
      <c r="HO55" s="11">
        <f t="shared" si="346"/>
        <v>1591</v>
      </c>
      <c r="HP55" s="95">
        <f t="shared" si="347"/>
        <v>0.42780317289593978</v>
      </c>
      <c r="HQ55" s="15">
        <f t="shared" si="348"/>
        <v>82</v>
      </c>
      <c r="HR55" s="12">
        <f t="shared" si="370"/>
        <v>5.1539912005028284E-2</v>
      </c>
      <c r="HS55" s="16">
        <v>60.5</v>
      </c>
      <c r="HT55" s="17">
        <v>1423</v>
      </c>
      <c r="HU55" s="16">
        <f t="shared" si="349"/>
        <v>89.440603394091767</v>
      </c>
      <c r="HV55" s="23">
        <v>4236.1139896373061</v>
      </c>
      <c r="HW55" s="22">
        <v>4592.28</v>
      </c>
    </row>
    <row r="56" spans="1:231" ht="18.75" x14ac:dyDescent="0.25">
      <c r="A56" s="374"/>
      <c r="B56" s="41">
        <f t="shared" si="350"/>
        <v>44982</v>
      </c>
      <c r="C56" s="10">
        <v>1</v>
      </c>
      <c r="D56" s="11"/>
      <c r="E56" s="69">
        <f>E55-C56</f>
        <v>705</v>
      </c>
      <c r="F56" s="69">
        <f>F55-D56</f>
        <v>63</v>
      </c>
      <c r="G56" s="11">
        <v>283</v>
      </c>
      <c r="H56" s="12">
        <f t="shared" si="310"/>
        <v>0.42127659574468085</v>
      </c>
      <c r="I56" s="11">
        <v>14</v>
      </c>
      <c r="J56" s="12">
        <f t="shared" si="352"/>
        <v>4.7138047138047139E-2</v>
      </c>
      <c r="K56" s="13"/>
      <c r="L56" s="11"/>
      <c r="M56" s="39">
        <v>91.666666666666671</v>
      </c>
      <c r="N56" s="43">
        <v>100</v>
      </c>
      <c r="O56" s="10"/>
      <c r="P56" s="11"/>
      <c r="Q56" s="69">
        <f t="shared" si="353"/>
        <v>704</v>
      </c>
      <c r="R56" s="69">
        <f t="shared" si="353"/>
        <v>62</v>
      </c>
      <c r="S56" s="11">
        <v>279</v>
      </c>
      <c r="T56" s="12">
        <f t="shared" si="311"/>
        <v>0.42045454545454547</v>
      </c>
      <c r="U56" s="11">
        <v>17</v>
      </c>
      <c r="V56" s="12">
        <f t="shared" si="312"/>
        <v>5.7432432432432436E-2</v>
      </c>
      <c r="W56" s="13"/>
      <c r="X56" s="11"/>
      <c r="Y56" s="39">
        <v>94.871794871794876</v>
      </c>
      <c r="Z56" s="43">
        <v>100</v>
      </c>
      <c r="AA56" s="10">
        <v>3</v>
      </c>
      <c r="AB56" s="11"/>
      <c r="AC56" s="69">
        <f t="shared" si="354"/>
        <v>185</v>
      </c>
      <c r="AD56" s="69">
        <f t="shared" si="354"/>
        <v>13</v>
      </c>
      <c r="AE56" s="11">
        <v>64</v>
      </c>
      <c r="AF56" s="12">
        <f t="shared" si="313"/>
        <v>0.35675675675675678</v>
      </c>
      <c r="AG56" s="11">
        <v>2</v>
      </c>
      <c r="AH56" s="12">
        <f t="shared" si="314"/>
        <v>3.0303030303030304E-2</v>
      </c>
      <c r="AI56" s="13"/>
      <c r="AJ56" s="11"/>
      <c r="AK56" s="39">
        <v>90</v>
      </c>
      <c r="AL56" s="43">
        <v>100</v>
      </c>
      <c r="AM56" s="10">
        <v>1</v>
      </c>
      <c r="AN56" s="11"/>
      <c r="AO56" s="69">
        <f t="shared" si="355"/>
        <v>704</v>
      </c>
      <c r="AP56" s="69">
        <f t="shared" si="355"/>
        <v>63</v>
      </c>
      <c r="AQ56" s="11">
        <v>301</v>
      </c>
      <c r="AR56" s="12">
        <f t="shared" si="315"/>
        <v>0.45738636363636365</v>
      </c>
      <c r="AS56" s="11">
        <v>21</v>
      </c>
      <c r="AT56" s="12">
        <f t="shared" si="316"/>
        <v>6.5217391304347824E-2</v>
      </c>
      <c r="AU56" s="13"/>
      <c r="AV56" s="11"/>
      <c r="AW56" s="39">
        <v>94.444444444444443</v>
      </c>
      <c r="AX56" s="43">
        <v>100</v>
      </c>
      <c r="AY56" s="10"/>
      <c r="AZ56" s="11"/>
      <c r="BA56" s="69">
        <f t="shared" si="356"/>
        <v>709</v>
      </c>
      <c r="BB56" s="69">
        <f t="shared" si="356"/>
        <v>62</v>
      </c>
      <c r="BC56" s="11">
        <v>312</v>
      </c>
      <c r="BD56" s="12">
        <f t="shared" si="317"/>
        <v>0.47108603667136811</v>
      </c>
      <c r="BE56" s="11">
        <v>22</v>
      </c>
      <c r="BF56" s="12">
        <f t="shared" si="318"/>
        <v>6.5868263473053898E-2</v>
      </c>
      <c r="BG56" s="13"/>
      <c r="BH56" s="11"/>
      <c r="BI56" s="39">
        <v>88.571428571428569</v>
      </c>
      <c r="BJ56" s="43">
        <v>100</v>
      </c>
      <c r="BK56" s="10">
        <v>1</v>
      </c>
      <c r="BL56" s="11"/>
      <c r="BM56" s="69">
        <f t="shared" si="357"/>
        <v>706</v>
      </c>
      <c r="BN56" s="69">
        <f t="shared" si="357"/>
        <v>63</v>
      </c>
      <c r="BO56" s="11">
        <v>278</v>
      </c>
      <c r="BP56" s="12">
        <f t="shared" si="319"/>
        <v>0.41076487252124644</v>
      </c>
      <c r="BQ56" s="11">
        <v>12</v>
      </c>
      <c r="BR56" s="12">
        <f t="shared" si="320"/>
        <v>4.1379310344827586E-2</v>
      </c>
      <c r="BS56" s="13"/>
      <c r="BT56" s="11"/>
      <c r="BU56" s="39">
        <v>86.486486486486484</v>
      </c>
      <c r="BV56" s="43">
        <v>92.86</v>
      </c>
      <c r="BW56" s="10"/>
      <c r="BX56" s="11"/>
      <c r="BY56" s="69">
        <f t="shared" si="358"/>
        <v>0</v>
      </c>
      <c r="BZ56" s="69">
        <f t="shared" si="358"/>
        <v>0</v>
      </c>
      <c r="CA56" s="11"/>
      <c r="CB56" s="12" t="e">
        <f t="shared" si="321"/>
        <v>#DIV/0!</v>
      </c>
      <c r="CC56" s="11"/>
      <c r="CD56" s="12" t="e">
        <f t="shared" si="322"/>
        <v>#DIV/0!</v>
      </c>
      <c r="CE56" s="13"/>
      <c r="CF56" s="11"/>
      <c r="CG56" s="39"/>
      <c r="CH56" s="43"/>
      <c r="CI56" s="10"/>
      <c r="CJ56" s="11"/>
      <c r="CK56" s="69">
        <f t="shared" si="359"/>
        <v>0</v>
      </c>
      <c r="CL56" s="69">
        <f t="shared" si="359"/>
        <v>0</v>
      </c>
      <c r="CM56" s="11"/>
      <c r="CN56" s="12" t="e">
        <f t="shared" si="323"/>
        <v>#DIV/0!</v>
      </c>
      <c r="CO56" s="11"/>
      <c r="CP56" s="12" t="e">
        <f t="shared" si="324"/>
        <v>#DIV/0!</v>
      </c>
      <c r="CQ56" s="13"/>
      <c r="CR56" s="11"/>
      <c r="CS56" s="39"/>
      <c r="CT56" s="43"/>
      <c r="CU56" s="10"/>
      <c r="CV56" s="11"/>
      <c r="CW56" s="69">
        <f t="shared" si="360"/>
        <v>0</v>
      </c>
      <c r="CX56" s="69">
        <f t="shared" si="360"/>
        <v>0</v>
      </c>
      <c r="CY56" s="11"/>
      <c r="CZ56" s="12" t="e">
        <f t="shared" si="325"/>
        <v>#DIV/0!</v>
      </c>
      <c r="DA56" s="11"/>
      <c r="DB56" s="12" t="e">
        <f t="shared" si="326"/>
        <v>#DIV/0!</v>
      </c>
      <c r="DC56" s="13"/>
      <c r="DD56" s="11"/>
      <c r="DE56" s="39"/>
      <c r="DF56" s="43"/>
      <c r="DG56" s="10"/>
      <c r="DH56" s="11"/>
      <c r="DI56" s="69">
        <f t="shared" si="361"/>
        <v>0</v>
      </c>
      <c r="DJ56" s="69">
        <f t="shared" si="361"/>
        <v>0</v>
      </c>
      <c r="DK56" s="11"/>
      <c r="DL56" s="12" t="e">
        <f t="shared" si="327"/>
        <v>#DIV/0!</v>
      </c>
      <c r="DM56" s="11"/>
      <c r="DN56" s="12" t="e">
        <f t="shared" si="328"/>
        <v>#DIV/0!</v>
      </c>
      <c r="DO56" s="13"/>
      <c r="DP56" s="11"/>
      <c r="DQ56" s="39"/>
      <c r="DR56" s="43"/>
      <c r="DS56" s="10"/>
      <c r="DT56" s="11"/>
      <c r="DU56" s="69">
        <f t="shared" si="362"/>
        <v>0</v>
      </c>
      <c r="DV56" s="69">
        <f t="shared" si="362"/>
        <v>0</v>
      </c>
      <c r="DW56" s="11"/>
      <c r="DX56" s="12" t="e">
        <f t="shared" si="329"/>
        <v>#DIV/0!</v>
      </c>
      <c r="DY56" s="11"/>
      <c r="DZ56" s="12" t="e">
        <f t="shared" si="330"/>
        <v>#DIV/0!</v>
      </c>
      <c r="EA56" s="13"/>
      <c r="EB56" s="11"/>
      <c r="EC56" s="39"/>
      <c r="ED56" s="43"/>
      <c r="EE56" s="10"/>
      <c r="EF56" s="11"/>
      <c r="EG56" s="69">
        <f t="shared" si="363"/>
        <v>0</v>
      </c>
      <c r="EH56" s="69">
        <f t="shared" si="363"/>
        <v>0</v>
      </c>
      <c r="EI56" s="11"/>
      <c r="EJ56" s="12" t="e">
        <f t="shared" si="331"/>
        <v>#DIV/0!</v>
      </c>
      <c r="EK56" s="11"/>
      <c r="EL56" s="12" t="e">
        <f t="shared" si="332"/>
        <v>#DIV/0!</v>
      </c>
      <c r="EM56" s="13"/>
      <c r="EN56" s="11"/>
      <c r="EO56" s="39"/>
      <c r="EP56" s="43"/>
      <c r="EQ56" s="10"/>
      <c r="ER56" s="11"/>
      <c r="ES56" s="69">
        <f t="shared" si="364"/>
        <v>0</v>
      </c>
      <c r="ET56" s="69">
        <f t="shared" si="364"/>
        <v>0</v>
      </c>
      <c r="EU56" s="11"/>
      <c r="EV56" s="12" t="e">
        <f t="shared" si="333"/>
        <v>#DIV/0!</v>
      </c>
      <c r="EW56" s="11"/>
      <c r="EX56" s="12" t="e">
        <f t="shared" si="334"/>
        <v>#DIV/0!</v>
      </c>
      <c r="EY56" s="13"/>
      <c r="EZ56" s="11"/>
      <c r="FA56" s="39"/>
      <c r="FB56" s="43"/>
      <c r="FC56" s="10"/>
      <c r="FD56" s="11"/>
      <c r="FE56" s="69">
        <f t="shared" si="365"/>
        <v>0</v>
      </c>
      <c r="FF56" s="69">
        <f t="shared" si="365"/>
        <v>0</v>
      </c>
      <c r="FG56" s="11"/>
      <c r="FH56" s="12" t="e">
        <f t="shared" si="335"/>
        <v>#DIV/0!</v>
      </c>
      <c r="FI56" s="11"/>
      <c r="FJ56" s="12" t="e">
        <f t="shared" si="336"/>
        <v>#DIV/0!</v>
      </c>
      <c r="FK56" s="13"/>
      <c r="FL56" s="11"/>
      <c r="FM56" s="39"/>
      <c r="FN56" s="43"/>
      <c r="FO56" s="10"/>
      <c r="FP56" s="11"/>
      <c r="FQ56" s="69">
        <f t="shared" si="366"/>
        <v>0</v>
      </c>
      <c r="FR56" s="69">
        <f t="shared" si="366"/>
        <v>0</v>
      </c>
      <c r="FS56" s="11"/>
      <c r="FT56" s="12" t="e">
        <f t="shared" si="337"/>
        <v>#DIV/0!</v>
      </c>
      <c r="FU56" s="11"/>
      <c r="FV56" s="12" t="e">
        <f t="shared" si="338"/>
        <v>#DIV/0!</v>
      </c>
      <c r="FW56" s="13"/>
      <c r="FX56" s="11"/>
      <c r="FY56" s="39"/>
      <c r="FZ56" s="43"/>
      <c r="GA56" s="10"/>
      <c r="GB56" s="11"/>
      <c r="GC56" s="69">
        <f t="shared" si="367"/>
        <v>0</v>
      </c>
      <c r="GD56" s="69">
        <f t="shared" si="367"/>
        <v>0</v>
      </c>
      <c r="GE56" s="11"/>
      <c r="GF56" s="12" t="e">
        <f t="shared" si="339"/>
        <v>#DIV/0!</v>
      </c>
      <c r="GG56" s="11"/>
      <c r="GH56" s="12" t="e">
        <f t="shared" si="340"/>
        <v>#DIV/0!</v>
      </c>
      <c r="GI56" s="13"/>
      <c r="GJ56" s="11"/>
      <c r="GK56" s="39"/>
      <c r="GL56" s="43"/>
      <c r="GM56" s="10"/>
      <c r="GN56" s="11"/>
      <c r="GO56" s="69">
        <f t="shared" si="368"/>
        <v>0</v>
      </c>
      <c r="GP56" s="69">
        <f t="shared" si="368"/>
        <v>0</v>
      </c>
      <c r="GQ56" s="11"/>
      <c r="GR56" s="12" t="e">
        <f t="shared" si="341"/>
        <v>#DIV/0!</v>
      </c>
      <c r="GS56" s="11"/>
      <c r="GT56" s="12" t="e">
        <f t="shared" si="342"/>
        <v>#DIV/0!</v>
      </c>
      <c r="GU56" s="13"/>
      <c r="GV56" s="11"/>
      <c r="GW56" s="39"/>
      <c r="GX56" s="43"/>
      <c r="GY56" s="10"/>
      <c r="GZ56" s="11"/>
      <c r="HA56" s="69">
        <f t="shared" si="369"/>
        <v>0</v>
      </c>
      <c r="HB56" s="69">
        <f t="shared" si="369"/>
        <v>0</v>
      </c>
      <c r="HC56" s="11"/>
      <c r="HD56" s="12" t="e">
        <f t="shared" si="343"/>
        <v>#DIV/0!</v>
      </c>
      <c r="HE56" s="11"/>
      <c r="HF56" s="12" t="e">
        <f t="shared" si="344"/>
        <v>#DIV/0!</v>
      </c>
      <c r="HG56" s="13"/>
      <c r="HH56" s="11"/>
      <c r="HI56" s="39"/>
      <c r="HJ56" s="43"/>
      <c r="HK56" s="10">
        <f t="shared" si="345"/>
        <v>6</v>
      </c>
      <c r="HL56" s="11">
        <f t="shared" si="345"/>
        <v>0</v>
      </c>
      <c r="HM56" s="11">
        <f t="shared" si="345"/>
        <v>3713</v>
      </c>
      <c r="HN56" s="11">
        <f t="shared" si="345"/>
        <v>326</v>
      </c>
      <c r="HO56" s="11">
        <f t="shared" si="346"/>
        <v>1605</v>
      </c>
      <c r="HP56" s="95">
        <f t="shared" si="347"/>
        <v>0.43226501481281981</v>
      </c>
      <c r="HQ56" s="15">
        <f t="shared" si="348"/>
        <v>88</v>
      </c>
      <c r="HR56" s="12">
        <f t="shared" si="370"/>
        <v>5.4828660436137072E-2</v>
      </c>
      <c r="HS56" s="16">
        <v>60.8</v>
      </c>
      <c r="HT56" s="17">
        <v>1426</v>
      </c>
      <c r="HU56" s="16">
        <f t="shared" si="349"/>
        <v>88.847352024922117</v>
      </c>
      <c r="HV56" s="23">
        <v>89.119170984455963</v>
      </c>
      <c r="HW56" s="22">
        <v>97.47</v>
      </c>
    </row>
    <row r="57" spans="1:231" ht="19.5" thickBot="1" x14ac:dyDescent="0.3">
      <c r="A57" s="374"/>
      <c r="B57" s="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1674</v>
      </c>
      <c r="H57" s="28">
        <f>((G57+I57)/7)/E56</f>
        <v>0.36271529888551168</v>
      </c>
      <c r="I57" s="27">
        <f>SUM(I50:I56)</f>
        <v>116</v>
      </c>
      <c r="J57" s="28">
        <f>(I57/(I57+G57))</f>
        <v>6.4804469273743018E-2</v>
      </c>
      <c r="K57" s="27"/>
      <c r="L57" s="27"/>
      <c r="M57" s="29">
        <f>M55/M54*100-100</f>
        <v>7.460112117291942</v>
      </c>
      <c r="N57" s="67">
        <f>N55/N54*100-100</f>
        <v>4.443427230046936</v>
      </c>
      <c r="O57" s="26">
        <f>SUM(O50:O56)</f>
        <v>2</v>
      </c>
      <c r="P57" s="27">
        <f>SUM(P50:P56)</f>
        <v>0</v>
      </c>
      <c r="Q57" s="27"/>
      <c r="R57" s="27"/>
      <c r="S57" s="27">
        <f>SUM(S50:S56)</f>
        <v>1798</v>
      </c>
      <c r="T57" s="28">
        <f>((S57+U57)/7)/Q56</f>
        <v>0.38616071428571425</v>
      </c>
      <c r="U57" s="27">
        <f>SUM(U50:U56)</f>
        <v>105</v>
      </c>
      <c r="V57" s="28">
        <f>(U57/(U57+S57))</f>
        <v>5.5176037834997374E-2</v>
      </c>
      <c r="W57" s="27"/>
      <c r="X57" s="27"/>
      <c r="Y57" s="29">
        <f>Y55/Y54*100-100</f>
        <v>9.1916276909808516</v>
      </c>
      <c r="Z57" s="67">
        <f>Z55/Z54*100-100</f>
        <v>7.5619718309859252</v>
      </c>
      <c r="AA57" s="26">
        <f>SUM(AA50:AA56)</f>
        <v>5</v>
      </c>
      <c r="AB57" s="27">
        <f>SUM(AB50:AB56)</f>
        <v>0</v>
      </c>
      <c r="AC57" s="27"/>
      <c r="AD57" s="27"/>
      <c r="AE57" s="27">
        <f>SUM(AE50:AE56)</f>
        <v>417</v>
      </c>
      <c r="AF57" s="28">
        <f>((AE57+AG57)/7)/AC56</f>
        <v>0.35135135135135137</v>
      </c>
      <c r="AG57" s="27">
        <f>SUM(AG50:AG56)</f>
        <v>38</v>
      </c>
      <c r="AH57" s="28">
        <f>(AG57/(AG57+AE57))</f>
        <v>8.3516483516483511E-2</v>
      </c>
      <c r="AI57" s="27"/>
      <c r="AJ57" s="27"/>
      <c r="AK57" s="29">
        <f>AK55/AK54*100-100</f>
        <v>5.3557567917205802</v>
      </c>
      <c r="AL57" s="67">
        <f>AL55/AL54*100-100</f>
        <v>7.7464788732394254</v>
      </c>
      <c r="AM57" s="26">
        <f>SUM(AM50:AM56)</f>
        <v>4</v>
      </c>
      <c r="AN57" s="27">
        <f>SUM(AN50:AN56)</f>
        <v>0</v>
      </c>
      <c r="AO57" s="27"/>
      <c r="AP57" s="27"/>
      <c r="AQ57" s="27">
        <f>SUM(AQ50:AQ56)</f>
        <v>1840</v>
      </c>
      <c r="AR57" s="28">
        <f>((AQ57+AS57)/7)/AO56</f>
        <v>0.40117694805194809</v>
      </c>
      <c r="AS57" s="27">
        <f>SUM(AS50:AS56)</f>
        <v>137</v>
      </c>
      <c r="AT57" s="28">
        <f>(AS57/(AS57+AQ57))</f>
        <v>6.9296914516944863E-2</v>
      </c>
      <c r="AU57" s="27"/>
      <c r="AV57" s="27"/>
      <c r="AW57" s="29">
        <f>AW55/AW54*100-100</f>
        <v>8.6315940779071525</v>
      </c>
      <c r="AX57" s="67">
        <f>AX55/AX54*100-100</f>
        <v>10.121596244131467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1889</v>
      </c>
      <c r="BD57" s="28">
        <f>((BC57+BE57)/7)/BA56</f>
        <v>0.40862381624017735</v>
      </c>
      <c r="BE57" s="27">
        <f>SUM(BE50:BE56)</f>
        <v>139</v>
      </c>
      <c r="BF57" s="28">
        <f>(BE57/(BE57+BC57))</f>
        <v>6.8540433925049313E-2</v>
      </c>
      <c r="BG57" s="27"/>
      <c r="BH57" s="27"/>
      <c r="BI57" s="29">
        <f>BI55/BI54*100-100</f>
        <v>12.422842358159286</v>
      </c>
      <c r="BJ57" s="67">
        <f>BJ55/BJ54*100-100</f>
        <v>7.3798122065727796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1732</v>
      </c>
      <c r="BP57" s="28">
        <f>((BO57+BQ57)/7)/BM56</f>
        <v>0.37414002428166737</v>
      </c>
      <c r="BQ57" s="27">
        <f>SUM(BQ50:BQ56)</f>
        <v>117</v>
      </c>
      <c r="BR57" s="28">
        <f>(BQ57/(BQ57+BO57))</f>
        <v>6.3277447268793946E-2</v>
      </c>
      <c r="BS57" s="27"/>
      <c r="BT57" s="27"/>
      <c r="BU57" s="29">
        <f>BU55/BU54*100-100</f>
        <v>11.541554491101707</v>
      </c>
      <c r="BV57" s="67">
        <f>BV55/BV54*100-100</f>
        <v>9.0711267605633878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7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7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7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7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7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7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7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7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7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7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7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7" t="e">
        <f>HJ55/HJ54*100-100</f>
        <v>#DIV/0!</v>
      </c>
      <c r="HK57" s="26">
        <f t="shared" si="345"/>
        <v>18</v>
      </c>
      <c r="HL57" s="27">
        <f t="shared" si="345"/>
        <v>0</v>
      </c>
      <c r="HM57" s="27">
        <f t="shared" si="345"/>
        <v>0</v>
      </c>
      <c r="HN57" s="27">
        <f t="shared" si="345"/>
        <v>0</v>
      </c>
      <c r="HO57" s="27">
        <f t="shared" si="346"/>
        <v>10002</v>
      </c>
      <c r="HP57" s="96">
        <f>+((HO57)/HM56)/7</f>
        <v>0.38482551652495095</v>
      </c>
      <c r="HQ57" s="62">
        <f t="shared" si="348"/>
        <v>652</v>
      </c>
      <c r="HR57" s="52">
        <f t="shared" si="370"/>
        <v>6.5186962607478499E-2</v>
      </c>
      <c r="HS57" s="53">
        <f>SUM(HS50:HS56)/7</f>
        <v>60.2</v>
      </c>
      <c r="HT57" s="54">
        <f>SUM(HT50:HT56)</f>
        <v>8778</v>
      </c>
      <c r="HU57" s="53">
        <f>AVERAGE(HU50:HU56)</f>
        <v>87.684607760364869</v>
      </c>
      <c r="HV57" s="63">
        <f>HV55/HV54*100-100</f>
        <v>9.6019143502537077</v>
      </c>
      <c r="HW57" s="67">
        <f>HW55/HW54*100-100</f>
        <v>7.7999999999999829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4.8244438488340927E-3</v>
      </c>
      <c r="HL58" s="66">
        <f>HL57/HN47</f>
        <v>0</v>
      </c>
      <c r="HM58" s="45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373">
        <v>31</v>
      </c>
      <c r="B59" s="68">
        <f>B56+1</f>
        <v>44983</v>
      </c>
      <c r="C59" s="33">
        <v>2</v>
      </c>
      <c r="D59" s="34"/>
      <c r="E59" s="34">
        <f>E56-C59</f>
        <v>703</v>
      </c>
      <c r="F59" s="34">
        <f>F56-D59</f>
        <v>63</v>
      </c>
      <c r="G59" s="34">
        <v>303</v>
      </c>
      <c r="H59" s="35">
        <f t="shared" ref="H59:H65" si="371">((G59+I59)/E59)</f>
        <v>0.44950213371266001</v>
      </c>
      <c r="I59" s="34">
        <v>13</v>
      </c>
      <c r="J59" s="35">
        <f>I59/(G59+I59)</f>
        <v>4.1139240506329111E-2</v>
      </c>
      <c r="K59" s="325">
        <v>148.4</v>
      </c>
      <c r="L59" s="34"/>
      <c r="M59" s="34"/>
      <c r="N59" s="37"/>
      <c r="O59" s="33">
        <v>2</v>
      </c>
      <c r="P59" s="34"/>
      <c r="Q59" s="34">
        <f>Q56-O59</f>
        <v>702</v>
      </c>
      <c r="R59" s="34">
        <f>R56-P59</f>
        <v>62</v>
      </c>
      <c r="S59" s="34">
        <v>297</v>
      </c>
      <c r="T59" s="35">
        <f t="shared" ref="T59:T65" si="372">((S59+U59)/Q59)</f>
        <v>0.44159544159544162</v>
      </c>
      <c r="U59" s="34">
        <v>13</v>
      </c>
      <c r="V59" s="35">
        <f t="shared" ref="V59:V65" si="373">U59/(S59+U59)</f>
        <v>4.1935483870967745E-2</v>
      </c>
      <c r="W59" s="36"/>
      <c r="X59" s="34"/>
      <c r="Y59" s="34"/>
      <c r="Z59" s="37"/>
      <c r="AA59" s="33"/>
      <c r="AB59" s="34"/>
      <c r="AC59" s="34">
        <f>AC56-AA59</f>
        <v>185</v>
      </c>
      <c r="AD59" s="34">
        <f>AD56-AB59</f>
        <v>13</v>
      </c>
      <c r="AE59" s="34">
        <v>78</v>
      </c>
      <c r="AF59" s="35">
        <f t="shared" ref="AF59:AF65" si="374">((AE59+AG59)/AC59)</f>
        <v>0.45405405405405408</v>
      </c>
      <c r="AG59" s="34">
        <v>6</v>
      </c>
      <c r="AH59" s="35">
        <f t="shared" ref="AH59:AH65" si="375">AG59/(AE59+AG59)</f>
        <v>7.1428571428571425E-2</v>
      </c>
      <c r="AI59" s="325">
        <v>148.80000000000001</v>
      </c>
      <c r="AJ59" s="34"/>
      <c r="AK59" s="34"/>
      <c r="AL59" s="37"/>
      <c r="AM59" s="33"/>
      <c r="AN59" s="34"/>
      <c r="AO59" s="34">
        <f>AO56-AM59</f>
        <v>704</v>
      </c>
      <c r="AP59" s="34">
        <f>AP56-AN59</f>
        <v>63</v>
      </c>
      <c r="AQ59" s="34">
        <v>313</v>
      </c>
      <c r="AR59" s="35">
        <f t="shared" ref="AR59:AR65" si="376">((AQ59+AS59)/AO59)</f>
        <v>0.46590909090909088</v>
      </c>
      <c r="AS59" s="34">
        <v>15</v>
      </c>
      <c r="AT59" s="35">
        <f t="shared" ref="AT59:AT65" si="377">AS59/(AQ59+AS59)</f>
        <v>4.573170731707317E-2</v>
      </c>
      <c r="AU59" s="36"/>
      <c r="AV59" s="34"/>
      <c r="AW59" s="34"/>
      <c r="AX59" s="37"/>
      <c r="AY59" s="33"/>
      <c r="AZ59" s="34"/>
      <c r="BA59" s="34">
        <f>BA56-AY59</f>
        <v>709</v>
      </c>
      <c r="BB59" s="34">
        <f>BB56-AZ59</f>
        <v>62</v>
      </c>
      <c r="BC59" s="34">
        <v>320</v>
      </c>
      <c r="BD59" s="35">
        <f t="shared" ref="BD59:BD65" si="378">((BC59+BE59)/BA59)</f>
        <v>0.47249647390691113</v>
      </c>
      <c r="BE59" s="34">
        <v>15</v>
      </c>
      <c r="BF59" s="35">
        <f t="shared" ref="BF59:BF65" si="379">BE59/(BC59+BE59)</f>
        <v>4.4776119402985072E-2</v>
      </c>
      <c r="BG59" s="325">
        <v>152.5</v>
      </c>
      <c r="BH59" s="34"/>
      <c r="BI59" s="34"/>
      <c r="BJ59" s="37"/>
      <c r="BK59" s="33"/>
      <c r="BL59" s="34"/>
      <c r="BM59" s="34">
        <f>BM56-BK59</f>
        <v>706</v>
      </c>
      <c r="BN59" s="34">
        <f>BN56-BL59</f>
        <v>63</v>
      </c>
      <c r="BO59" s="34">
        <v>293</v>
      </c>
      <c r="BP59" s="35">
        <f t="shared" ref="BP59:BP65" si="380">((BO59+BQ59)/BM59)</f>
        <v>0.43626062322946174</v>
      </c>
      <c r="BQ59" s="34">
        <v>15</v>
      </c>
      <c r="BR59" s="35">
        <f t="shared" ref="BR59:BR65" si="381">BQ59/(BO59+BQ59)</f>
        <v>4.8701298701298704E-2</v>
      </c>
      <c r="BS59" s="325">
        <v>146.5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382">((CA59+CC59)/BY59)</f>
        <v>#DIV/0!</v>
      </c>
      <c r="CC59" s="34"/>
      <c r="CD59" s="35" t="e">
        <f t="shared" ref="CD59:CD65" si="383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384">((CM59+CO59)/CK59)</f>
        <v>#DIV/0!</v>
      </c>
      <c r="CO59" s="34"/>
      <c r="CP59" s="35" t="e">
        <f t="shared" ref="CP59:CP65" si="385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386">((CY59+DA59)/CW59)</f>
        <v>#DIV/0!</v>
      </c>
      <c r="DA59" s="34"/>
      <c r="DB59" s="35" t="e">
        <f t="shared" ref="DB59:DB65" si="387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388">((DK59+DM59)/DI59)</f>
        <v>#DIV/0!</v>
      </c>
      <c r="DM59" s="34"/>
      <c r="DN59" s="35" t="e">
        <f t="shared" ref="DN59:DN65" si="389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390">((DW59+DY59)/DU59)</f>
        <v>#DIV/0!</v>
      </c>
      <c r="DY59" s="34"/>
      <c r="DZ59" s="35" t="e">
        <f t="shared" ref="DZ59:DZ65" si="391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392">((EI59+EK59)/EG59)</f>
        <v>#DIV/0!</v>
      </c>
      <c r="EK59" s="34"/>
      <c r="EL59" s="35" t="e">
        <f t="shared" ref="EL59:EL65" si="393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394">((EU59+EW59)/ES59)</f>
        <v>#DIV/0!</v>
      </c>
      <c r="EW59" s="34"/>
      <c r="EX59" s="35" t="e">
        <f t="shared" ref="EX59:EX65" si="395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396">((FG59+FI59)/FE59)</f>
        <v>#DIV/0!</v>
      </c>
      <c r="FI59" s="34"/>
      <c r="FJ59" s="35" t="e">
        <f t="shared" ref="FJ59:FJ65" si="397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398">((FS59+FU59)/FQ59)</f>
        <v>#DIV/0!</v>
      </c>
      <c r="FU59" s="34"/>
      <c r="FV59" s="35" t="e">
        <f t="shared" ref="FV59:FV65" si="399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00">((GE59+GG59)/GC59)</f>
        <v>#DIV/0!</v>
      </c>
      <c r="GG59" s="34"/>
      <c r="GH59" s="35" t="e">
        <f t="shared" ref="GH59:GH65" si="401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02">((GQ59+GS59)/GO59)</f>
        <v>#DIV/0!</v>
      </c>
      <c r="GS59" s="34"/>
      <c r="GT59" s="35" t="e">
        <f t="shared" ref="GT59:GT65" si="403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04">((HC59+HE59)/HA59)</f>
        <v>#DIV/0!</v>
      </c>
      <c r="HE59" s="34"/>
      <c r="HF59" s="35" t="e">
        <f t="shared" ref="HF59:HF65" si="405">HE59/(HC59+HE59)</f>
        <v>#DIV/0!</v>
      </c>
      <c r="HG59" s="36"/>
      <c r="HH59" s="34"/>
      <c r="HI59" s="34"/>
      <c r="HJ59" s="37"/>
      <c r="HK59" s="33">
        <f t="shared" ref="HK59:HN66" si="406">+C59+O59+AA59+AM59+AY59+BK59+BW59+CI59+CU59+DG59+DS59+EE59+EQ59+FC59+FO59+GA59+GM59+GY59</f>
        <v>4</v>
      </c>
      <c r="HL59" s="34">
        <f t="shared" si="406"/>
        <v>0</v>
      </c>
      <c r="HM59" s="34">
        <f t="shared" si="406"/>
        <v>3709</v>
      </c>
      <c r="HN59" s="34">
        <f t="shared" si="406"/>
        <v>326</v>
      </c>
      <c r="HO59" s="34">
        <f t="shared" ref="HO59:HO66" si="407">+G59+S59+AE59+AQ59+BC59+BO59+CA59+CM59+CY59+DK59+DW59+EI59+EU59+FG59+FS59+GE59+GQ59+HC59+I59+U59+AG59+AS59+BE59+BQ59+CC59+CO59+DA59+DM59+DY59+EK59+EW59+FI59+FU59+GG59+GS59+HE59</f>
        <v>1681</v>
      </c>
      <c r="HP59" s="94">
        <f t="shared" ref="HP59:HP65" si="408">+(HO59)/HM59</f>
        <v>0.45322189269344837</v>
      </c>
      <c r="HQ59" s="48">
        <f t="shared" ref="HQ59:HQ66" si="409">+I59+U59+AG59+AS59+BE59+BQ59+CC59+CO59+DA59+DM59+DY59+EK59+EW59+FI59+FU59+GG59+GS59+HE59</f>
        <v>77</v>
      </c>
      <c r="HR59" s="35">
        <f>+(HQ59/(HO59))</f>
        <v>4.5806067816775729E-2</v>
      </c>
      <c r="HS59" s="49">
        <v>61.5</v>
      </c>
      <c r="HT59" s="50">
        <v>1527</v>
      </c>
      <c r="HU59" s="49">
        <f t="shared" ref="HU59:HU65" si="410">+HT59/HO59*100</f>
        <v>90.838786436644853</v>
      </c>
      <c r="HV59" s="48"/>
      <c r="HW59" s="37"/>
    </row>
    <row r="60" spans="1:231" ht="18.75" x14ac:dyDescent="0.25">
      <c r="A60" s="374"/>
      <c r="B60" s="41">
        <f t="shared" ref="B60:B123" si="411">+B59+1</f>
        <v>44984</v>
      </c>
      <c r="C60" s="10">
        <v>1</v>
      </c>
      <c r="D60" s="11"/>
      <c r="E60" s="69">
        <f t="shared" ref="E60:F64" si="412">E59-C60</f>
        <v>702</v>
      </c>
      <c r="F60" s="69">
        <f t="shared" si="412"/>
        <v>63</v>
      </c>
      <c r="G60" s="11">
        <v>312</v>
      </c>
      <c r="H60" s="12">
        <f t="shared" si="371"/>
        <v>0.46723646723646722</v>
      </c>
      <c r="I60" s="11">
        <v>16</v>
      </c>
      <c r="J60" s="12">
        <f t="shared" ref="J60:J65" si="413">I60/(G60+I60)</f>
        <v>4.878048780487805E-2</v>
      </c>
      <c r="K60" s="13"/>
      <c r="L60" s="11"/>
      <c r="M60" s="11"/>
      <c r="N60" s="14"/>
      <c r="O60" s="10">
        <v>2</v>
      </c>
      <c r="P60" s="11"/>
      <c r="Q60" s="69">
        <f t="shared" ref="Q60:R65" si="414">Q59-O60</f>
        <v>700</v>
      </c>
      <c r="R60" s="69">
        <f t="shared" si="414"/>
        <v>62</v>
      </c>
      <c r="S60" s="11">
        <v>311</v>
      </c>
      <c r="T60" s="12">
        <f t="shared" si="372"/>
        <v>0.45571428571428574</v>
      </c>
      <c r="U60" s="11">
        <v>8</v>
      </c>
      <c r="V60" s="12">
        <f t="shared" si="373"/>
        <v>2.5078369905956112E-2</v>
      </c>
      <c r="W60" s="13"/>
      <c r="X60" s="11"/>
      <c r="Y60" s="11"/>
      <c r="Z60" s="14"/>
      <c r="AA60" s="10">
        <v>6</v>
      </c>
      <c r="AB60" s="11">
        <v>1</v>
      </c>
      <c r="AC60" s="69">
        <f t="shared" ref="AC60:AD65" si="415">AC59-AA60</f>
        <v>179</v>
      </c>
      <c r="AD60" s="69">
        <f t="shared" si="415"/>
        <v>12</v>
      </c>
      <c r="AE60" s="11">
        <v>84</v>
      </c>
      <c r="AF60" s="12">
        <f t="shared" si="374"/>
        <v>0.48044692737430167</v>
      </c>
      <c r="AG60" s="11">
        <v>2</v>
      </c>
      <c r="AH60" s="12">
        <f t="shared" si="375"/>
        <v>2.3255813953488372E-2</v>
      </c>
      <c r="AI60" s="13"/>
      <c r="AJ60" s="11"/>
      <c r="AK60" s="11"/>
      <c r="AL60" s="14"/>
      <c r="AM60" s="10"/>
      <c r="AN60" s="11"/>
      <c r="AO60" s="69">
        <f t="shared" ref="AO60:AP65" si="416">AO59-AM60</f>
        <v>704</v>
      </c>
      <c r="AP60" s="69">
        <f t="shared" si="416"/>
        <v>63</v>
      </c>
      <c r="AQ60" s="11">
        <v>339</v>
      </c>
      <c r="AR60" s="12">
        <f t="shared" si="376"/>
        <v>0.50142045454545459</v>
      </c>
      <c r="AS60" s="11">
        <v>14</v>
      </c>
      <c r="AT60" s="12">
        <f t="shared" si="377"/>
        <v>3.9660056657223795E-2</v>
      </c>
      <c r="AU60" s="13"/>
      <c r="AV60" s="11"/>
      <c r="AW60" s="11"/>
      <c r="AX60" s="14"/>
      <c r="AY60" s="10"/>
      <c r="AZ60" s="11"/>
      <c r="BA60" s="69">
        <f t="shared" ref="BA60:BB65" si="417">BA59-AY60</f>
        <v>709</v>
      </c>
      <c r="BB60" s="69">
        <f t="shared" si="417"/>
        <v>62</v>
      </c>
      <c r="BC60" s="11">
        <v>319</v>
      </c>
      <c r="BD60" s="12">
        <f t="shared" si="378"/>
        <v>0.46403385049365303</v>
      </c>
      <c r="BE60" s="11">
        <v>10</v>
      </c>
      <c r="BF60" s="12">
        <f t="shared" si="379"/>
        <v>3.0395136778115502E-2</v>
      </c>
      <c r="BG60" s="13"/>
      <c r="BH60" s="11"/>
      <c r="BI60" s="11"/>
      <c r="BJ60" s="14"/>
      <c r="BK60" s="10"/>
      <c r="BL60" s="11"/>
      <c r="BM60" s="69">
        <f t="shared" ref="BM60:BN65" si="418">BM59-BK60</f>
        <v>706</v>
      </c>
      <c r="BN60" s="69">
        <f t="shared" si="418"/>
        <v>63</v>
      </c>
      <c r="BO60" s="11">
        <v>303</v>
      </c>
      <c r="BP60" s="12">
        <f t="shared" si="380"/>
        <v>0.45042492917847027</v>
      </c>
      <c r="BQ60" s="11">
        <v>15</v>
      </c>
      <c r="BR60" s="12">
        <f t="shared" si="381"/>
        <v>4.716981132075472E-2</v>
      </c>
      <c r="BS60" s="13"/>
      <c r="BT60" s="11"/>
      <c r="BU60" s="11"/>
      <c r="BV60" s="14"/>
      <c r="BW60" s="10"/>
      <c r="BX60" s="11"/>
      <c r="BY60" s="69">
        <f t="shared" ref="BY60:BZ65" si="419">BY59-BW60</f>
        <v>0</v>
      </c>
      <c r="BZ60" s="69">
        <f t="shared" si="419"/>
        <v>0</v>
      </c>
      <c r="CA60" s="11"/>
      <c r="CB60" s="12" t="e">
        <f t="shared" si="382"/>
        <v>#DIV/0!</v>
      </c>
      <c r="CC60" s="11"/>
      <c r="CD60" s="12" t="e">
        <f t="shared" si="383"/>
        <v>#DIV/0!</v>
      </c>
      <c r="CE60" s="13"/>
      <c r="CF60" s="11"/>
      <c r="CG60" s="11"/>
      <c r="CH60" s="14"/>
      <c r="CI60" s="10"/>
      <c r="CJ60" s="11"/>
      <c r="CK60" s="69">
        <f t="shared" ref="CK60:CL65" si="420">CK59-CI60</f>
        <v>0</v>
      </c>
      <c r="CL60" s="69">
        <f t="shared" si="420"/>
        <v>0</v>
      </c>
      <c r="CM60" s="11"/>
      <c r="CN60" s="12" t="e">
        <f t="shared" si="384"/>
        <v>#DIV/0!</v>
      </c>
      <c r="CO60" s="11"/>
      <c r="CP60" s="12" t="e">
        <f t="shared" si="385"/>
        <v>#DIV/0!</v>
      </c>
      <c r="CQ60" s="13"/>
      <c r="CR60" s="11"/>
      <c r="CS60" s="11"/>
      <c r="CT60" s="14"/>
      <c r="CU60" s="10"/>
      <c r="CV60" s="11"/>
      <c r="CW60" s="69">
        <f t="shared" ref="CW60:CX65" si="421">CW59-CU60</f>
        <v>0</v>
      </c>
      <c r="CX60" s="69">
        <f t="shared" si="421"/>
        <v>0</v>
      </c>
      <c r="CY60" s="11"/>
      <c r="CZ60" s="12" t="e">
        <f t="shared" si="386"/>
        <v>#DIV/0!</v>
      </c>
      <c r="DA60" s="11"/>
      <c r="DB60" s="12" t="e">
        <f t="shared" si="387"/>
        <v>#DIV/0!</v>
      </c>
      <c r="DC60" s="13"/>
      <c r="DD60" s="11"/>
      <c r="DE60" s="11"/>
      <c r="DF60" s="14"/>
      <c r="DG60" s="10"/>
      <c r="DH60" s="11"/>
      <c r="DI60" s="69">
        <f t="shared" ref="DI60:DJ65" si="422">DI59-DG60</f>
        <v>0</v>
      </c>
      <c r="DJ60" s="69">
        <f t="shared" si="422"/>
        <v>0</v>
      </c>
      <c r="DK60" s="11"/>
      <c r="DL60" s="12" t="e">
        <f t="shared" si="388"/>
        <v>#DIV/0!</v>
      </c>
      <c r="DM60" s="11"/>
      <c r="DN60" s="12" t="e">
        <f t="shared" si="389"/>
        <v>#DIV/0!</v>
      </c>
      <c r="DO60" s="13"/>
      <c r="DP60" s="11"/>
      <c r="DQ60" s="11"/>
      <c r="DR60" s="14"/>
      <c r="DS60" s="10"/>
      <c r="DT60" s="11"/>
      <c r="DU60" s="69">
        <f t="shared" ref="DU60:DV65" si="423">DU59-DS60</f>
        <v>0</v>
      </c>
      <c r="DV60" s="69">
        <f t="shared" si="423"/>
        <v>0</v>
      </c>
      <c r="DW60" s="11"/>
      <c r="DX60" s="12" t="e">
        <f t="shared" si="390"/>
        <v>#DIV/0!</v>
      </c>
      <c r="DY60" s="11"/>
      <c r="DZ60" s="12" t="e">
        <f t="shared" si="391"/>
        <v>#DIV/0!</v>
      </c>
      <c r="EA60" s="13"/>
      <c r="EB60" s="11"/>
      <c r="EC60" s="11"/>
      <c r="ED60" s="14"/>
      <c r="EE60" s="10"/>
      <c r="EF60" s="11"/>
      <c r="EG60" s="69">
        <f t="shared" ref="EG60:EH65" si="424">EG59-EE60</f>
        <v>0</v>
      </c>
      <c r="EH60" s="69">
        <f t="shared" si="424"/>
        <v>0</v>
      </c>
      <c r="EI60" s="11"/>
      <c r="EJ60" s="12" t="e">
        <f t="shared" si="392"/>
        <v>#DIV/0!</v>
      </c>
      <c r="EK60" s="11"/>
      <c r="EL60" s="12" t="e">
        <f t="shared" si="393"/>
        <v>#DIV/0!</v>
      </c>
      <c r="EM60" s="13"/>
      <c r="EN60" s="11"/>
      <c r="EO60" s="11"/>
      <c r="EP60" s="14"/>
      <c r="EQ60" s="10"/>
      <c r="ER60" s="11"/>
      <c r="ES60" s="69">
        <f t="shared" ref="ES60:ET65" si="425">ES59-EQ60</f>
        <v>0</v>
      </c>
      <c r="ET60" s="69">
        <f t="shared" si="425"/>
        <v>0</v>
      </c>
      <c r="EU60" s="11"/>
      <c r="EV60" s="12" t="e">
        <f t="shared" si="394"/>
        <v>#DIV/0!</v>
      </c>
      <c r="EW60" s="11"/>
      <c r="EX60" s="12" t="e">
        <f t="shared" si="395"/>
        <v>#DIV/0!</v>
      </c>
      <c r="EY60" s="13"/>
      <c r="EZ60" s="11"/>
      <c r="FA60" s="11"/>
      <c r="FB60" s="14"/>
      <c r="FC60" s="10"/>
      <c r="FD60" s="11"/>
      <c r="FE60" s="69">
        <f t="shared" ref="FE60:FF65" si="426">FE59-FC60</f>
        <v>0</v>
      </c>
      <c r="FF60" s="69">
        <f t="shared" si="426"/>
        <v>0</v>
      </c>
      <c r="FG60" s="11"/>
      <c r="FH60" s="12" t="e">
        <f t="shared" si="396"/>
        <v>#DIV/0!</v>
      </c>
      <c r="FI60" s="11"/>
      <c r="FJ60" s="12" t="e">
        <f t="shared" si="397"/>
        <v>#DIV/0!</v>
      </c>
      <c r="FK60" s="13"/>
      <c r="FL60" s="11"/>
      <c r="FM60" s="11"/>
      <c r="FN60" s="14"/>
      <c r="FO60" s="10"/>
      <c r="FP60" s="11"/>
      <c r="FQ60" s="69">
        <f t="shared" ref="FQ60:FR65" si="427">FQ59-FO60</f>
        <v>0</v>
      </c>
      <c r="FR60" s="69">
        <f t="shared" si="427"/>
        <v>0</v>
      </c>
      <c r="FS60" s="11"/>
      <c r="FT60" s="12" t="e">
        <f t="shared" si="398"/>
        <v>#DIV/0!</v>
      </c>
      <c r="FU60" s="11"/>
      <c r="FV60" s="12" t="e">
        <f t="shared" si="399"/>
        <v>#DIV/0!</v>
      </c>
      <c r="FW60" s="13"/>
      <c r="FX60" s="11"/>
      <c r="FY60" s="11"/>
      <c r="FZ60" s="14"/>
      <c r="GA60" s="10"/>
      <c r="GB60" s="11"/>
      <c r="GC60" s="69">
        <f t="shared" ref="GC60:GD65" si="428">GC59-GA60</f>
        <v>0</v>
      </c>
      <c r="GD60" s="69">
        <f t="shared" si="428"/>
        <v>0</v>
      </c>
      <c r="GE60" s="11"/>
      <c r="GF60" s="12" t="e">
        <f t="shared" si="400"/>
        <v>#DIV/0!</v>
      </c>
      <c r="GG60" s="11"/>
      <c r="GH60" s="12" t="e">
        <f t="shared" si="401"/>
        <v>#DIV/0!</v>
      </c>
      <c r="GI60" s="13"/>
      <c r="GJ60" s="11"/>
      <c r="GK60" s="11"/>
      <c r="GL60" s="14"/>
      <c r="GM60" s="10"/>
      <c r="GN60" s="11"/>
      <c r="GO60" s="69">
        <f t="shared" ref="GO60:GP65" si="429">GO59-GM60</f>
        <v>0</v>
      </c>
      <c r="GP60" s="69">
        <f t="shared" si="429"/>
        <v>0</v>
      </c>
      <c r="GQ60" s="11"/>
      <c r="GR60" s="12" t="e">
        <f t="shared" si="402"/>
        <v>#DIV/0!</v>
      </c>
      <c r="GS60" s="11"/>
      <c r="GT60" s="12" t="e">
        <f t="shared" si="403"/>
        <v>#DIV/0!</v>
      </c>
      <c r="GU60" s="13"/>
      <c r="GV60" s="11"/>
      <c r="GW60" s="11"/>
      <c r="GX60" s="14"/>
      <c r="GY60" s="10"/>
      <c r="GZ60" s="11"/>
      <c r="HA60" s="69">
        <f t="shared" ref="HA60:HB65" si="430">HA59-GY60</f>
        <v>0</v>
      </c>
      <c r="HB60" s="69">
        <f t="shared" si="430"/>
        <v>0</v>
      </c>
      <c r="HC60" s="11"/>
      <c r="HD60" s="12" t="e">
        <f t="shared" si="404"/>
        <v>#DIV/0!</v>
      </c>
      <c r="HE60" s="11"/>
      <c r="HF60" s="12" t="e">
        <f t="shared" si="405"/>
        <v>#DIV/0!</v>
      </c>
      <c r="HG60" s="13"/>
      <c r="HH60" s="11"/>
      <c r="HI60" s="11"/>
      <c r="HJ60" s="14"/>
      <c r="HK60" s="10">
        <f t="shared" si="406"/>
        <v>9</v>
      </c>
      <c r="HL60" s="11">
        <f t="shared" si="406"/>
        <v>1</v>
      </c>
      <c r="HM60" s="11">
        <f t="shared" si="406"/>
        <v>3700</v>
      </c>
      <c r="HN60" s="11">
        <f t="shared" si="406"/>
        <v>325</v>
      </c>
      <c r="HO60" s="11">
        <f t="shared" si="407"/>
        <v>1733</v>
      </c>
      <c r="HP60" s="95">
        <f t="shared" si="408"/>
        <v>0.46837837837837837</v>
      </c>
      <c r="HQ60" s="15">
        <f t="shared" si="409"/>
        <v>65</v>
      </c>
      <c r="HR60" s="12">
        <f t="shared" ref="HR60:HR66" si="431">+(HQ60/(HO60))</f>
        <v>3.7507212925562611E-2</v>
      </c>
      <c r="HS60" s="16">
        <v>61.7</v>
      </c>
      <c r="HT60" s="17">
        <v>1567</v>
      </c>
      <c r="HU60" s="16">
        <f t="shared" si="410"/>
        <v>90.421234852856315</v>
      </c>
      <c r="HV60" s="15"/>
      <c r="HW60" s="14"/>
    </row>
    <row r="61" spans="1:231" ht="18.75" x14ac:dyDescent="0.25">
      <c r="A61" s="374"/>
      <c r="B61" s="41">
        <f t="shared" si="411"/>
        <v>44985</v>
      </c>
      <c r="C61" s="10"/>
      <c r="D61" s="11"/>
      <c r="E61" s="69">
        <f t="shared" si="412"/>
        <v>702</v>
      </c>
      <c r="F61" s="69">
        <f t="shared" si="412"/>
        <v>63</v>
      </c>
      <c r="G61" s="11">
        <v>344</v>
      </c>
      <c r="H61" s="12">
        <f t="shared" si="371"/>
        <v>0.51851851851851849</v>
      </c>
      <c r="I61" s="11">
        <v>20</v>
      </c>
      <c r="J61" s="12">
        <f t="shared" si="413"/>
        <v>5.4945054945054944E-2</v>
      </c>
      <c r="K61" s="200">
        <v>153.4</v>
      </c>
      <c r="L61" s="11"/>
      <c r="M61" s="11"/>
      <c r="N61" s="14"/>
      <c r="O61" s="10">
        <v>1</v>
      </c>
      <c r="P61" s="11"/>
      <c r="Q61" s="69">
        <f t="shared" si="414"/>
        <v>699</v>
      </c>
      <c r="R61" s="69">
        <f t="shared" si="414"/>
        <v>62</v>
      </c>
      <c r="S61" s="11">
        <v>312</v>
      </c>
      <c r="T61" s="12">
        <f t="shared" si="372"/>
        <v>0.47496423462088699</v>
      </c>
      <c r="U61" s="11">
        <v>20</v>
      </c>
      <c r="V61" s="12">
        <f t="shared" si="373"/>
        <v>6.0240963855421686E-2</v>
      </c>
      <c r="W61" s="200">
        <v>152.80000000000001</v>
      </c>
      <c r="X61" s="11"/>
      <c r="Y61" s="11"/>
      <c r="Z61" s="14"/>
      <c r="AA61" s="10"/>
      <c r="AB61" s="11"/>
      <c r="AC61" s="69">
        <f t="shared" si="415"/>
        <v>179</v>
      </c>
      <c r="AD61" s="69">
        <f t="shared" si="415"/>
        <v>12</v>
      </c>
      <c r="AE61" s="11">
        <v>92</v>
      </c>
      <c r="AF61" s="12">
        <f t="shared" si="374"/>
        <v>0.54748603351955305</v>
      </c>
      <c r="AG61" s="11">
        <v>6</v>
      </c>
      <c r="AH61" s="12">
        <f t="shared" si="375"/>
        <v>6.1224489795918366E-2</v>
      </c>
      <c r="AI61" s="200">
        <v>153.5</v>
      </c>
      <c r="AJ61" s="11"/>
      <c r="AK61" s="11"/>
      <c r="AL61" s="14"/>
      <c r="AM61" s="10"/>
      <c r="AN61" s="11"/>
      <c r="AO61" s="69">
        <f t="shared" si="416"/>
        <v>704</v>
      </c>
      <c r="AP61" s="69">
        <f t="shared" si="416"/>
        <v>63</v>
      </c>
      <c r="AQ61" s="11">
        <v>342</v>
      </c>
      <c r="AR61" s="12">
        <f t="shared" si="376"/>
        <v>0.51136363636363635</v>
      </c>
      <c r="AS61" s="11">
        <v>18</v>
      </c>
      <c r="AT61" s="12">
        <f t="shared" si="377"/>
        <v>0.05</v>
      </c>
      <c r="AU61" s="200">
        <v>152.6</v>
      </c>
      <c r="AV61" s="11"/>
      <c r="AW61" s="11"/>
      <c r="AX61" s="14"/>
      <c r="AY61" s="10"/>
      <c r="AZ61" s="11"/>
      <c r="BA61" s="69">
        <f t="shared" si="417"/>
        <v>709</v>
      </c>
      <c r="BB61" s="69">
        <f t="shared" si="417"/>
        <v>62</v>
      </c>
      <c r="BC61" s="11">
        <v>338</v>
      </c>
      <c r="BD61" s="12">
        <f t="shared" si="378"/>
        <v>0.51057827926657262</v>
      </c>
      <c r="BE61" s="11">
        <v>24</v>
      </c>
      <c r="BF61" s="12">
        <f t="shared" si="379"/>
        <v>6.6298342541436461E-2</v>
      </c>
      <c r="BG61" s="200">
        <v>158.69999999999999</v>
      </c>
      <c r="BH61" s="11"/>
      <c r="BI61" s="11"/>
      <c r="BJ61" s="14"/>
      <c r="BK61" s="10"/>
      <c r="BL61" s="11"/>
      <c r="BM61" s="69">
        <f t="shared" si="418"/>
        <v>706</v>
      </c>
      <c r="BN61" s="69">
        <f t="shared" si="418"/>
        <v>63</v>
      </c>
      <c r="BO61" s="11">
        <v>339</v>
      </c>
      <c r="BP61" s="12">
        <f t="shared" si="380"/>
        <v>0.50283286118980175</v>
      </c>
      <c r="BQ61" s="11">
        <v>16</v>
      </c>
      <c r="BR61" s="12">
        <f t="shared" si="381"/>
        <v>4.507042253521127E-2</v>
      </c>
      <c r="BS61" s="200">
        <v>152.30000000000001</v>
      </c>
      <c r="BT61" s="11"/>
      <c r="BU61" s="11"/>
      <c r="BV61" s="14"/>
      <c r="BW61" s="10"/>
      <c r="BX61" s="11"/>
      <c r="BY61" s="69">
        <f t="shared" si="419"/>
        <v>0</v>
      </c>
      <c r="BZ61" s="69">
        <f t="shared" si="419"/>
        <v>0</v>
      </c>
      <c r="CA61" s="11"/>
      <c r="CB61" s="12" t="e">
        <f t="shared" si="382"/>
        <v>#DIV/0!</v>
      </c>
      <c r="CC61" s="11"/>
      <c r="CD61" s="12" t="e">
        <f t="shared" si="383"/>
        <v>#DIV/0!</v>
      </c>
      <c r="CE61" s="13"/>
      <c r="CF61" s="11"/>
      <c r="CG61" s="11"/>
      <c r="CH61" s="14"/>
      <c r="CI61" s="10"/>
      <c r="CJ61" s="11"/>
      <c r="CK61" s="69">
        <f t="shared" si="420"/>
        <v>0</v>
      </c>
      <c r="CL61" s="69">
        <f t="shared" si="420"/>
        <v>0</v>
      </c>
      <c r="CM61" s="11"/>
      <c r="CN61" s="12" t="e">
        <f t="shared" si="384"/>
        <v>#DIV/0!</v>
      </c>
      <c r="CO61" s="11"/>
      <c r="CP61" s="12" t="e">
        <f t="shared" si="385"/>
        <v>#DIV/0!</v>
      </c>
      <c r="CQ61" s="13"/>
      <c r="CR61" s="11"/>
      <c r="CS61" s="11"/>
      <c r="CT61" s="14"/>
      <c r="CU61" s="10"/>
      <c r="CV61" s="11"/>
      <c r="CW61" s="69">
        <f t="shared" si="421"/>
        <v>0</v>
      </c>
      <c r="CX61" s="69">
        <f t="shared" si="421"/>
        <v>0</v>
      </c>
      <c r="CY61" s="11"/>
      <c r="CZ61" s="12" t="e">
        <f t="shared" si="386"/>
        <v>#DIV/0!</v>
      </c>
      <c r="DA61" s="11"/>
      <c r="DB61" s="12" t="e">
        <f t="shared" si="387"/>
        <v>#DIV/0!</v>
      </c>
      <c r="DC61" s="13"/>
      <c r="DD61" s="11"/>
      <c r="DE61" s="11"/>
      <c r="DF61" s="14"/>
      <c r="DG61" s="10"/>
      <c r="DH61" s="11"/>
      <c r="DI61" s="69">
        <f t="shared" si="422"/>
        <v>0</v>
      </c>
      <c r="DJ61" s="69">
        <f t="shared" si="422"/>
        <v>0</v>
      </c>
      <c r="DK61" s="11"/>
      <c r="DL61" s="12" t="e">
        <f t="shared" si="388"/>
        <v>#DIV/0!</v>
      </c>
      <c r="DM61" s="11"/>
      <c r="DN61" s="12" t="e">
        <f t="shared" si="389"/>
        <v>#DIV/0!</v>
      </c>
      <c r="DO61" s="13"/>
      <c r="DP61" s="11"/>
      <c r="DQ61" s="11"/>
      <c r="DR61" s="14"/>
      <c r="DS61" s="10"/>
      <c r="DT61" s="11"/>
      <c r="DU61" s="69">
        <f t="shared" si="423"/>
        <v>0</v>
      </c>
      <c r="DV61" s="69">
        <f t="shared" si="423"/>
        <v>0</v>
      </c>
      <c r="DW61" s="11"/>
      <c r="DX61" s="12" t="e">
        <f t="shared" si="390"/>
        <v>#DIV/0!</v>
      </c>
      <c r="DY61" s="11"/>
      <c r="DZ61" s="12" t="e">
        <f t="shared" si="391"/>
        <v>#DIV/0!</v>
      </c>
      <c r="EA61" s="13"/>
      <c r="EB61" s="11"/>
      <c r="EC61" s="11"/>
      <c r="ED61" s="14"/>
      <c r="EE61" s="10"/>
      <c r="EF61" s="11"/>
      <c r="EG61" s="69">
        <f t="shared" si="424"/>
        <v>0</v>
      </c>
      <c r="EH61" s="69">
        <f t="shared" si="424"/>
        <v>0</v>
      </c>
      <c r="EI61" s="11"/>
      <c r="EJ61" s="12" t="e">
        <f t="shared" si="392"/>
        <v>#DIV/0!</v>
      </c>
      <c r="EK61" s="11"/>
      <c r="EL61" s="12" t="e">
        <f t="shared" si="393"/>
        <v>#DIV/0!</v>
      </c>
      <c r="EM61" s="13"/>
      <c r="EN61" s="11"/>
      <c r="EO61" s="11"/>
      <c r="EP61" s="14"/>
      <c r="EQ61" s="10"/>
      <c r="ER61" s="11"/>
      <c r="ES61" s="69">
        <f t="shared" si="425"/>
        <v>0</v>
      </c>
      <c r="ET61" s="69">
        <f t="shared" si="425"/>
        <v>0</v>
      </c>
      <c r="EU61" s="11"/>
      <c r="EV61" s="12" t="e">
        <f t="shared" si="394"/>
        <v>#DIV/0!</v>
      </c>
      <c r="EW61" s="11"/>
      <c r="EX61" s="12" t="e">
        <f t="shared" si="395"/>
        <v>#DIV/0!</v>
      </c>
      <c r="EY61" s="13"/>
      <c r="EZ61" s="11"/>
      <c r="FA61" s="11"/>
      <c r="FB61" s="14"/>
      <c r="FC61" s="10"/>
      <c r="FD61" s="11"/>
      <c r="FE61" s="69">
        <f t="shared" si="426"/>
        <v>0</v>
      </c>
      <c r="FF61" s="69">
        <f t="shared" si="426"/>
        <v>0</v>
      </c>
      <c r="FG61" s="11"/>
      <c r="FH61" s="12" t="e">
        <f t="shared" si="396"/>
        <v>#DIV/0!</v>
      </c>
      <c r="FI61" s="11"/>
      <c r="FJ61" s="12" t="e">
        <f t="shared" si="397"/>
        <v>#DIV/0!</v>
      </c>
      <c r="FK61" s="13"/>
      <c r="FL61" s="11"/>
      <c r="FM61" s="11"/>
      <c r="FN61" s="14"/>
      <c r="FO61" s="10"/>
      <c r="FP61" s="11"/>
      <c r="FQ61" s="69">
        <f t="shared" si="427"/>
        <v>0</v>
      </c>
      <c r="FR61" s="69">
        <f t="shared" si="427"/>
        <v>0</v>
      </c>
      <c r="FS61" s="11"/>
      <c r="FT61" s="12" t="e">
        <f t="shared" si="398"/>
        <v>#DIV/0!</v>
      </c>
      <c r="FU61" s="11"/>
      <c r="FV61" s="12" t="e">
        <f t="shared" si="399"/>
        <v>#DIV/0!</v>
      </c>
      <c r="FW61" s="13"/>
      <c r="FX61" s="11"/>
      <c r="FY61" s="11"/>
      <c r="FZ61" s="14"/>
      <c r="GA61" s="10"/>
      <c r="GB61" s="11"/>
      <c r="GC61" s="69">
        <f t="shared" si="428"/>
        <v>0</v>
      </c>
      <c r="GD61" s="69">
        <f t="shared" si="428"/>
        <v>0</v>
      </c>
      <c r="GE61" s="11"/>
      <c r="GF61" s="12" t="e">
        <f t="shared" si="400"/>
        <v>#DIV/0!</v>
      </c>
      <c r="GG61" s="11"/>
      <c r="GH61" s="12" t="e">
        <f t="shared" si="401"/>
        <v>#DIV/0!</v>
      </c>
      <c r="GI61" s="13"/>
      <c r="GJ61" s="11"/>
      <c r="GK61" s="11"/>
      <c r="GL61" s="14"/>
      <c r="GM61" s="10"/>
      <c r="GN61" s="11"/>
      <c r="GO61" s="69">
        <f t="shared" si="429"/>
        <v>0</v>
      </c>
      <c r="GP61" s="69">
        <f t="shared" si="429"/>
        <v>0</v>
      </c>
      <c r="GQ61" s="11"/>
      <c r="GR61" s="12" t="e">
        <f t="shared" si="402"/>
        <v>#DIV/0!</v>
      </c>
      <c r="GS61" s="11"/>
      <c r="GT61" s="12" t="e">
        <f t="shared" si="403"/>
        <v>#DIV/0!</v>
      </c>
      <c r="GU61" s="13"/>
      <c r="GV61" s="11"/>
      <c r="GW61" s="11"/>
      <c r="GX61" s="14"/>
      <c r="GY61" s="10"/>
      <c r="GZ61" s="11"/>
      <c r="HA61" s="69">
        <f t="shared" si="430"/>
        <v>0</v>
      </c>
      <c r="HB61" s="69">
        <f t="shared" si="430"/>
        <v>0</v>
      </c>
      <c r="HC61" s="11"/>
      <c r="HD61" s="12" t="e">
        <f t="shared" si="404"/>
        <v>#DIV/0!</v>
      </c>
      <c r="HE61" s="11"/>
      <c r="HF61" s="12" t="e">
        <f t="shared" si="405"/>
        <v>#DIV/0!</v>
      </c>
      <c r="HG61" s="13"/>
      <c r="HH61" s="11"/>
      <c r="HI61" s="11"/>
      <c r="HJ61" s="14"/>
      <c r="HK61" s="10">
        <f t="shared" si="406"/>
        <v>1</v>
      </c>
      <c r="HL61" s="11">
        <f t="shared" si="406"/>
        <v>0</v>
      </c>
      <c r="HM61" s="11">
        <f t="shared" si="406"/>
        <v>3699</v>
      </c>
      <c r="HN61" s="11">
        <f t="shared" si="406"/>
        <v>325</v>
      </c>
      <c r="HO61" s="11">
        <f t="shared" si="407"/>
        <v>1871</v>
      </c>
      <c r="HP61" s="95">
        <f t="shared" si="408"/>
        <v>0.50581238172479048</v>
      </c>
      <c r="HQ61" s="15">
        <f t="shared" si="409"/>
        <v>104</v>
      </c>
      <c r="HR61" s="12">
        <f t="shared" si="431"/>
        <v>5.5585248530197758E-2</v>
      </c>
      <c r="HS61" s="16">
        <v>62</v>
      </c>
      <c r="HT61" s="17">
        <v>1654</v>
      </c>
      <c r="HU61" s="16">
        <f t="shared" si="410"/>
        <v>88.401924104756816</v>
      </c>
      <c r="HV61" s="15"/>
      <c r="HW61" s="14"/>
    </row>
    <row r="62" spans="1:231" ht="18.75" x14ac:dyDescent="0.25">
      <c r="A62" s="374"/>
      <c r="B62" s="41">
        <f t="shared" si="411"/>
        <v>44986</v>
      </c>
      <c r="C62" s="10">
        <v>1</v>
      </c>
      <c r="D62" s="11"/>
      <c r="E62" s="69">
        <f t="shared" si="412"/>
        <v>701</v>
      </c>
      <c r="F62" s="69">
        <f t="shared" si="412"/>
        <v>63</v>
      </c>
      <c r="G62" s="11">
        <v>313</v>
      </c>
      <c r="H62" s="12">
        <f t="shared" si="371"/>
        <v>0.46362339514978601</v>
      </c>
      <c r="I62" s="11">
        <v>12</v>
      </c>
      <c r="J62" s="12">
        <f t="shared" si="413"/>
        <v>3.6923076923076927E-2</v>
      </c>
      <c r="K62" s="11"/>
      <c r="L62" s="11"/>
      <c r="M62" s="18"/>
      <c r="N62" s="20"/>
      <c r="O62" s="10">
        <v>3</v>
      </c>
      <c r="P62" s="11"/>
      <c r="Q62" s="69">
        <f t="shared" si="414"/>
        <v>696</v>
      </c>
      <c r="R62" s="69">
        <f t="shared" si="414"/>
        <v>62</v>
      </c>
      <c r="S62" s="11">
        <v>293</v>
      </c>
      <c r="T62" s="12">
        <f t="shared" si="372"/>
        <v>0.44396551724137934</v>
      </c>
      <c r="U62" s="11">
        <v>16</v>
      </c>
      <c r="V62" s="12">
        <f t="shared" si="373"/>
        <v>5.1779935275080909E-2</v>
      </c>
      <c r="W62" s="11"/>
      <c r="X62" s="11"/>
      <c r="Y62" s="18"/>
      <c r="Z62" s="20"/>
      <c r="AA62" s="10">
        <v>2</v>
      </c>
      <c r="AB62" s="11"/>
      <c r="AC62" s="69">
        <f t="shared" si="415"/>
        <v>177</v>
      </c>
      <c r="AD62" s="69">
        <f t="shared" si="415"/>
        <v>12</v>
      </c>
      <c r="AE62" s="11">
        <v>66</v>
      </c>
      <c r="AF62" s="12">
        <f t="shared" si="374"/>
        <v>0.38418079096045199</v>
      </c>
      <c r="AG62" s="11">
        <v>2</v>
      </c>
      <c r="AH62" s="12">
        <f t="shared" si="375"/>
        <v>2.9411764705882353E-2</v>
      </c>
      <c r="AI62" s="11"/>
      <c r="AJ62" s="11"/>
      <c r="AK62" s="18"/>
      <c r="AL62" s="20"/>
      <c r="AM62" s="10"/>
      <c r="AN62" s="11"/>
      <c r="AO62" s="69">
        <f t="shared" si="416"/>
        <v>704</v>
      </c>
      <c r="AP62" s="69">
        <f t="shared" si="416"/>
        <v>63</v>
      </c>
      <c r="AQ62" s="11">
        <v>324</v>
      </c>
      <c r="AR62" s="12">
        <f t="shared" si="376"/>
        <v>0.48863636363636365</v>
      </c>
      <c r="AS62" s="11">
        <v>20</v>
      </c>
      <c r="AT62" s="12">
        <f t="shared" si="377"/>
        <v>5.8139534883720929E-2</v>
      </c>
      <c r="AU62" s="11"/>
      <c r="AV62" s="11"/>
      <c r="AW62" s="18"/>
      <c r="AX62" s="20"/>
      <c r="AY62" s="10"/>
      <c r="AZ62" s="11"/>
      <c r="BA62" s="69">
        <f t="shared" si="417"/>
        <v>709</v>
      </c>
      <c r="BB62" s="69">
        <f t="shared" si="417"/>
        <v>62</v>
      </c>
      <c r="BC62" s="11">
        <v>334</v>
      </c>
      <c r="BD62" s="12">
        <f t="shared" si="378"/>
        <v>0.49365303244005643</v>
      </c>
      <c r="BE62" s="11">
        <v>16</v>
      </c>
      <c r="BF62" s="12">
        <f t="shared" si="379"/>
        <v>4.5714285714285714E-2</v>
      </c>
      <c r="BG62" s="11"/>
      <c r="BH62" s="11"/>
      <c r="BI62" s="18"/>
      <c r="BJ62" s="20"/>
      <c r="BK62" s="10"/>
      <c r="BL62" s="11"/>
      <c r="BM62" s="69">
        <f t="shared" si="418"/>
        <v>706</v>
      </c>
      <c r="BN62" s="69">
        <f t="shared" si="418"/>
        <v>63</v>
      </c>
      <c r="BO62" s="11">
        <v>316</v>
      </c>
      <c r="BP62" s="12">
        <f t="shared" si="380"/>
        <v>0.47308781869688388</v>
      </c>
      <c r="BQ62" s="11">
        <v>18</v>
      </c>
      <c r="BR62" s="12">
        <f t="shared" si="381"/>
        <v>5.3892215568862277E-2</v>
      </c>
      <c r="BS62" s="11"/>
      <c r="BT62" s="11"/>
      <c r="BU62" s="18"/>
      <c r="BV62" s="20"/>
      <c r="BW62" s="10"/>
      <c r="BX62" s="11"/>
      <c r="BY62" s="69">
        <f t="shared" si="419"/>
        <v>0</v>
      </c>
      <c r="BZ62" s="69">
        <f t="shared" si="419"/>
        <v>0</v>
      </c>
      <c r="CA62" s="11"/>
      <c r="CB62" s="12" t="e">
        <f t="shared" si="382"/>
        <v>#DIV/0!</v>
      </c>
      <c r="CC62" s="11"/>
      <c r="CD62" s="12" t="e">
        <f t="shared" si="383"/>
        <v>#DIV/0!</v>
      </c>
      <c r="CE62" s="11"/>
      <c r="CF62" s="11"/>
      <c r="CG62" s="18"/>
      <c r="CH62" s="20"/>
      <c r="CI62" s="10"/>
      <c r="CJ62" s="11"/>
      <c r="CK62" s="69">
        <f t="shared" si="420"/>
        <v>0</v>
      </c>
      <c r="CL62" s="69">
        <f t="shared" si="420"/>
        <v>0</v>
      </c>
      <c r="CM62" s="11"/>
      <c r="CN62" s="12" t="e">
        <f t="shared" si="384"/>
        <v>#DIV/0!</v>
      </c>
      <c r="CO62" s="11"/>
      <c r="CP62" s="12" t="e">
        <f t="shared" si="385"/>
        <v>#DIV/0!</v>
      </c>
      <c r="CQ62" s="11"/>
      <c r="CR62" s="11"/>
      <c r="CS62" s="18"/>
      <c r="CT62" s="20"/>
      <c r="CU62" s="10"/>
      <c r="CV62" s="11"/>
      <c r="CW62" s="69">
        <f t="shared" si="421"/>
        <v>0</v>
      </c>
      <c r="CX62" s="69">
        <f t="shared" si="421"/>
        <v>0</v>
      </c>
      <c r="CY62" s="11"/>
      <c r="CZ62" s="12" t="e">
        <f t="shared" si="386"/>
        <v>#DIV/0!</v>
      </c>
      <c r="DA62" s="11"/>
      <c r="DB62" s="12" t="e">
        <f t="shared" si="387"/>
        <v>#DIV/0!</v>
      </c>
      <c r="DC62" s="11"/>
      <c r="DD62" s="11"/>
      <c r="DE62" s="18"/>
      <c r="DF62" s="20"/>
      <c r="DG62" s="10"/>
      <c r="DH62" s="11"/>
      <c r="DI62" s="69">
        <f t="shared" si="422"/>
        <v>0</v>
      </c>
      <c r="DJ62" s="69">
        <f t="shared" si="422"/>
        <v>0</v>
      </c>
      <c r="DK62" s="11"/>
      <c r="DL62" s="12" t="e">
        <f t="shared" si="388"/>
        <v>#DIV/0!</v>
      </c>
      <c r="DM62" s="11"/>
      <c r="DN62" s="12" t="e">
        <f t="shared" si="389"/>
        <v>#DIV/0!</v>
      </c>
      <c r="DO62" s="11"/>
      <c r="DP62" s="11"/>
      <c r="DQ62" s="18"/>
      <c r="DR62" s="20"/>
      <c r="DS62" s="10"/>
      <c r="DT62" s="11"/>
      <c r="DU62" s="69">
        <f t="shared" si="423"/>
        <v>0</v>
      </c>
      <c r="DV62" s="69">
        <f t="shared" si="423"/>
        <v>0</v>
      </c>
      <c r="DW62" s="11"/>
      <c r="DX62" s="12" t="e">
        <f t="shared" si="390"/>
        <v>#DIV/0!</v>
      </c>
      <c r="DY62" s="11"/>
      <c r="DZ62" s="12" t="e">
        <f t="shared" si="391"/>
        <v>#DIV/0!</v>
      </c>
      <c r="EA62" s="11"/>
      <c r="EB62" s="11"/>
      <c r="EC62" s="18"/>
      <c r="ED62" s="20"/>
      <c r="EE62" s="10"/>
      <c r="EF62" s="11"/>
      <c r="EG62" s="69">
        <f t="shared" si="424"/>
        <v>0</v>
      </c>
      <c r="EH62" s="69">
        <f t="shared" si="424"/>
        <v>0</v>
      </c>
      <c r="EI62" s="11"/>
      <c r="EJ62" s="12" t="e">
        <f t="shared" si="392"/>
        <v>#DIV/0!</v>
      </c>
      <c r="EK62" s="11"/>
      <c r="EL62" s="12" t="e">
        <f t="shared" si="393"/>
        <v>#DIV/0!</v>
      </c>
      <c r="EM62" s="11"/>
      <c r="EN62" s="11"/>
      <c r="EO62" s="18"/>
      <c r="EP62" s="20"/>
      <c r="EQ62" s="10"/>
      <c r="ER62" s="11"/>
      <c r="ES62" s="69">
        <f t="shared" si="425"/>
        <v>0</v>
      </c>
      <c r="ET62" s="69">
        <f t="shared" si="425"/>
        <v>0</v>
      </c>
      <c r="EU62" s="11"/>
      <c r="EV62" s="12" t="e">
        <f t="shared" si="394"/>
        <v>#DIV/0!</v>
      </c>
      <c r="EW62" s="11"/>
      <c r="EX62" s="12" t="e">
        <f t="shared" si="395"/>
        <v>#DIV/0!</v>
      </c>
      <c r="EY62" s="11"/>
      <c r="EZ62" s="11"/>
      <c r="FA62" s="18"/>
      <c r="FB62" s="20"/>
      <c r="FC62" s="10"/>
      <c r="FD62" s="11"/>
      <c r="FE62" s="69">
        <f t="shared" si="426"/>
        <v>0</v>
      </c>
      <c r="FF62" s="69">
        <f t="shared" si="426"/>
        <v>0</v>
      </c>
      <c r="FG62" s="11"/>
      <c r="FH62" s="12" t="e">
        <f t="shared" si="396"/>
        <v>#DIV/0!</v>
      </c>
      <c r="FI62" s="11"/>
      <c r="FJ62" s="12" t="e">
        <f t="shared" si="397"/>
        <v>#DIV/0!</v>
      </c>
      <c r="FK62" s="11"/>
      <c r="FL62" s="11"/>
      <c r="FM62" s="18"/>
      <c r="FN62" s="20"/>
      <c r="FO62" s="10"/>
      <c r="FP62" s="11"/>
      <c r="FQ62" s="69">
        <f t="shared" si="427"/>
        <v>0</v>
      </c>
      <c r="FR62" s="69">
        <f t="shared" si="427"/>
        <v>0</v>
      </c>
      <c r="FS62" s="11"/>
      <c r="FT62" s="12" t="e">
        <f t="shared" si="398"/>
        <v>#DIV/0!</v>
      </c>
      <c r="FU62" s="11"/>
      <c r="FV62" s="12" t="e">
        <f t="shared" si="399"/>
        <v>#DIV/0!</v>
      </c>
      <c r="FW62" s="11"/>
      <c r="FX62" s="11"/>
      <c r="FY62" s="18"/>
      <c r="FZ62" s="20"/>
      <c r="GA62" s="10"/>
      <c r="GB62" s="11"/>
      <c r="GC62" s="69">
        <f t="shared" si="428"/>
        <v>0</v>
      </c>
      <c r="GD62" s="69">
        <f t="shared" si="428"/>
        <v>0</v>
      </c>
      <c r="GE62" s="11"/>
      <c r="GF62" s="12" t="e">
        <f t="shared" si="400"/>
        <v>#DIV/0!</v>
      </c>
      <c r="GG62" s="11"/>
      <c r="GH62" s="12" t="e">
        <f t="shared" si="401"/>
        <v>#DIV/0!</v>
      </c>
      <c r="GI62" s="11"/>
      <c r="GJ62" s="11"/>
      <c r="GK62" s="18"/>
      <c r="GL62" s="20"/>
      <c r="GM62" s="10"/>
      <c r="GN62" s="11"/>
      <c r="GO62" s="69">
        <f t="shared" si="429"/>
        <v>0</v>
      </c>
      <c r="GP62" s="69">
        <f t="shared" si="429"/>
        <v>0</v>
      </c>
      <c r="GQ62" s="11"/>
      <c r="GR62" s="12" t="e">
        <f t="shared" si="402"/>
        <v>#DIV/0!</v>
      </c>
      <c r="GS62" s="11"/>
      <c r="GT62" s="12" t="e">
        <f t="shared" si="403"/>
        <v>#DIV/0!</v>
      </c>
      <c r="GU62" s="11"/>
      <c r="GV62" s="11"/>
      <c r="GW62" s="18"/>
      <c r="GX62" s="20"/>
      <c r="GY62" s="10"/>
      <c r="GZ62" s="11"/>
      <c r="HA62" s="69">
        <f t="shared" si="430"/>
        <v>0</v>
      </c>
      <c r="HB62" s="69">
        <f t="shared" si="430"/>
        <v>0</v>
      </c>
      <c r="HC62" s="11"/>
      <c r="HD62" s="12" t="e">
        <f t="shared" si="404"/>
        <v>#DIV/0!</v>
      </c>
      <c r="HE62" s="11"/>
      <c r="HF62" s="12" t="e">
        <f t="shared" si="405"/>
        <v>#DIV/0!</v>
      </c>
      <c r="HG62" s="11"/>
      <c r="HH62" s="11"/>
      <c r="HI62" s="18"/>
      <c r="HJ62" s="20"/>
      <c r="HK62" s="10">
        <f t="shared" si="406"/>
        <v>6</v>
      </c>
      <c r="HL62" s="11">
        <f t="shared" si="406"/>
        <v>0</v>
      </c>
      <c r="HM62" s="11">
        <f t="shared" si="406"/>
        <v>3693</v>
      </c>
      <c r="HN62" s="11">
        <f t="shared" si="406"/>
        <v>325</v>
      </c>
      <c r="HO62" s="11">
        <f t="shared" si="407"/>
        <v>1730</v>
      </c>
      <c r="HP62" s="95">
        <f t="shared" si="408"/>
        <v>0.46845383157324666</v>
      </c>
      <c r="HQ62" s="15">
        <f t="shared" si="409"/>
        <v>84</v>
      </c>
      <c r="HR62" s="12">
        <f t="shared" si="431"/>
        <v>4.8554913294797684E-2</v>
      </c>
      <c r="HS62" s="16">
        <v>62.3</v>
      </c>
      <c r="HT62" s="17">
        <v>1559</v>
      </c>
      <c r="HU62" s="16">
        <f t="shared" si="410"/>
        <v>90.115606936416185</v>
      </c>
      <c r="HV62" s="18"/>
      <c r="HW62" s="20"/>
    </row>
    <row r="63" spans="1:231" ht="18.75" x14ac:dyDescent="0.25">
      <c r="A63" s="374"/>
      <c r="B63" s="41">
        <f t="shared" si="411"/>
        <v>44987</v>
      </c>
      <c r="C63" s="10">
        <v>1</v>
      </c>
      <c r="D63" s="11"/>
      <c r="E63" s="69">
        <f t="shared" si="412"/>
        <v>700</v>
      </c>
      <c r="F63" s="69">
        <f t="shared" si="412"/>
        <v>63</v>
      </c>
      <c r="G63" s="11">
        <v>364</v>
      </c>
      <c r="H63" s="12">
        <f t="shared" si="371"/>
        <v>0.53857142857142859</v>
      </c>
      <c r="I63" s="11">
        <v>13</v>
      </c>
      <c r="J63" s="12">
        <f t="shared" si="413"/>
        <v>3.4482758620689655E-2</v>
      </c>
      <c r="K63" s="334">
        <v>158.69999999999999</v>
      </c>
      <c r="L63" s="13"/>
      <c r="M63" s="25">
        <v>3885</v>
      </c>
      <c r="N63" s="38">
        <v>4180</v>
      </c>
      <c r="O63" s="10"/>
      <c r="P63" s="11"/>
      <c r="Q63" s="69">
        <f t="shared" si="414"/>
        <v>696</v>
      </c>
      <c r="R63" s="69">
        <f t="shared" si="414"/>
        <v>62</v>
      </c>
      <c r="S63" s="11">
        <v>337</v>
      </c>
      <c r="T63" s="12">
        <f t="shared" si="372"/>
        <v>0.5114942528735632</v>
      </c>
      <c r="U63" s="11">
        <v>19</v>
      </c>
      <c r="V63" s="12">
        <f t="shared" si="373"/>
        <v>5.3370786516853931E-2</v>
      </c>
      <c r="W63" s="334">
        <v>158.69999999999999</v>
      </c>
      <c r="X63" s="13"/>
      <c r="Y63" s="25">
        <v>3885</v>
      </c>
      <c r="Z63" s="38">
        <v>4180</v>
      </c>
      <c r="AA63" s="10"/>
      <c r="AB63" s="11"/>
      <c r="AC63" s="69">
        <f t="shared" si="415"/>
        <v>177</v>
      </c>
      <c r="AD63" s="69">
        <f t="shared" si="415"/>
        <v>12</v>
      </c>
      <c r="AE63" s="11">
        <v>96</v>
      </c>
      <c r="AF63" s="12">
        <f t="shared" si="374"/>
        <v>0.55932203389830504</v>
      </c>
      <c r="AG63" s="11">
        <v>3</v>
      </c>
      <c r="AH63" s="12">
        <f t="shared" si="375"/>
        <v>3.0303030303030304E-2</v>
      </c>
      <c r="AI63" s="334">
        <v>158.69999999999999</v>
      </c>
      <c r="AJ63" s="13"/>
      <c r="AK63" s="25">
        <v>3885</v>
      </c>
      <c r="AL63" s="38">
        <v>4180</v>
      </c>
      <c r="AM63" s="10"/>
      <c r="AN63" s="11"/>
      <c r="AO63" s="69">
        <f t="shared" si="416"/>
        <v>704</v>
      </c>
      <c r="AP63" s="69">
        <f t="shared" si="416"/>
        <v>63</v>
      </c>
      <c r="AQ63" s="11">
        <v>378</v>
      </c>
      <c r="AR63" s="12">
        <f t="shared" si="376"/>
        <v>0.55965909090909094</v>
      </c>
      <c r="AS63" s="11">
        <v>16</v>
      </c>
      <c r="AT63" s="12">
        <f t="shared" si="377"/>
        <v>4.060913705583756E-2</v>
      </c>
      <c r="AU63" s="334">
        <v>158.69999999999999</v>
      </c>
      <c r="AV63" s="13"/>
      <c r="AW63" s="25">
        <v>3885</v>
      </c>
      <c r="AX63" s="38">
        <v>4180</v>
      </c>
      <c r="AY63" s="10"/>
      <c r="AZ63" s="11"/>
      <c r="BA63" s="69">
        <f t="shared" si="417"/>
        <v>709</v>
      </c>
      <c r="BB63" s="69">
        <f t="shared" si="417"/>
        <v>62</v>
      </c>
      <c r="BC63" s="11">
        <v>378</v>
      </c>
      <c r="BD63" s="12">
        <f t="shared" si="378"/>
        <v>0.55571227080394925</v>
      </c>
      <c r="BE63" s="11">
        <v>16</v>
      </c>
      <c r="BF63" s="12">
        <f t="shared" si="379"/>
        <v>4.060913705583756E-2</v>
      </c>
      <c r="BG63" s="13"/>
      <c r="BH63" s="13"/>
      <c r="BI63" s="25">
        <v>3885</v>
      </c>
      <c r="BJ63" s="38">
        <v>4180</v>
      </c>
      <c r="BK63" s="10"/>
      <c r="BL63" s="11"/>
      <c r="BM63" s="69">
        <f t="shared" si="418"/>
        <v>706</v>
      </c>
      <c r="BN63" s="69">
        <f t="shared" si="418"/>
        <v>63</v>
      </c>
      <c r="BO63" s="11">
        <v>370</v>
      </c>
      <c r="BP63" s="12">
        <f t="shared" si="380"/>
        <v>0.5439093484419264</v>
      </c>
      <c r="BQ63" s="11">
        <v>14</v>
      </c>
      <c r="BR63" s="12">
        <f t="shared" si="381"/>
        <v>3.6458333333333336E-2</v>
      </c>
      <c r="BS63" s="334">
        <v>158.69999999999999</v>
      </c>
      <c r="BT63" s="13"/>
      <c r="BU63" s="25">
        <v>3885</v>
      </c>
      <c r="BV63" s="38">
        <v>4180</v>
      </c>
      <c r="BW63" s="10"/>
      <c r="BX63" s="11"/>
      <c r="BY63" s="69">
        <f t="shared" si="419"/>
        <v>0</v>
      </c>
      <c r="BZ63" s="69">
        <f t="shared" si="419"/>
        <v>0</v>
      </c>
      <c r="CA63" s="11"/>
      <c r="CB63" s="12" t="e">
        <f t="shared" si="382"/>
        <v>#DIV/0!</v>
      </c>
      <c r="CC63" s="11"/>
      <c r="CD63" s="12" t="e">
        <f t="shared" si="383"/>
        <v>#DIV/0!</v>
      </c>
      <c r="CE63" s="13"/>
      <c r="CF63" s="13"/>
      <c r="CG63" s="25"/>
      <c r="CH63" s="38"/>
      <c r="CI63" s="10"/>
      <c r="CJ63" s="11"/>
      <c r="CK63" s="69">
        <f t="shared" si="420"/>
        <v>0</v>
      </c>
      <c r="CL63" s="69">
        <f t="shared" si="420"/>
        <v>0</v>
      </c>
      <c r="CM63" s="11"/>
      <c r="CN63" s="12" t="e">
        <f t="shared" si="384"/>
        <v>#DIV/0!</v>
      </c>
      <c r="CO63" s="11"/>
      <c r="CP63" s="12" t="e">
        <f t="shared" si="385"/>
        <v>#DIV/0!</v>
      </c>
      <c r="CQ63" s="13"/>
      <c r="CR63" s="13"/>
      <c r="CS63" s="25"/>
      <c r="CT63" s="38"/>
      <c r="CU63" s="10"/>
      <c r="CV63" s="11"/>
      <c r="CW63" s="69">
        <f t="shared" si="421"/>
        <v>0</v>
      </c>
      <c r="CX63" s="69">
        <f t="shared" si="421"/>
        <v>0</v>
      </c>
      <c r="CY63" s="11"/>
      <c r="CZ63" s="12" t="e">
        <f t="shared" si="386"/>
        <v>#DIV/0!</v>
      </c>
      <c r="DA63" s="11"/>
      <c r="DB63" s="12" t="e">
        <f t="shared" si="387"/>
        <v>#DIV/0!</v>
      </c>
      <c r="DC63" s="13"/>
      <c r="DD63" s="13"/>
      <c r="DE63" s="25"/>
      <c r="DF63" s="38"/>
      <c r="DG63" s="10"/>
      <c r="DH63" s="11"/>
      <c r="DI63" s="69">
        <f t="shared" si="422"/>
        <v>0</v>
      </c>
      <c r="DJ63" s="69">
        <f t="shared" si="422"/>
        <v>0</v>
      </c>
      <c r="DK63" s="11"/>
      <c r="DL63" s="12" t="e">
        <f t="shared" si="388"/>
        <v>#DIV/0!</v>
      </c>
      <c r="DM63" s="11"/>
      <c r="DN63" s="12" t="e">
        <f t="shared" si="389"/>
        <v>#DIV/0!</v>
      </c>
      <c r="DO63" s="13"/>
      <c r="DP63" s="13"/>
      <c r="DQ63" s="25"/>
      <c r="DR63" s="38"/>
      <c r="DS63" s="10"/>
      <c r="DT63" s="11"/>
      <c r="DU63" s="69">
        <f t="shared" si="423"/>
        <v>0</v>
      </c>
      <c r="DV63" s="69">
        <f t="shared" si="423"/>
        <v>0</v>
      </c>
      <c r="DW63" s="11"/>
      <c r="DX63" s="12" t="e">
        <f t="shared" si="390"/>
        <v>#DIV/0!</v>
      </c>
      <c r="DY63" s="11"/>
      <c r="DZ63" s="12" t="e">
        <f t="shared" si="391"/>
        <v>#DIV/0!</v>
      </c>
      <c r="EA63" s="13"/>
      <c r="EB63" s="13"/>
      <c r="EC63" s="25"/>
      <c r="ED63" s="38"/>
      <c r="EE63" s="10"/>
      <c r="EF63" s="11"/>
      <c r="EG63" s="69">
        <f t="shared" si="424"/>
        <v>0</v>
      </c>
      <c r="EH63" s="69">
        <f t="shared" si="424"/>
        <v>0</v>
      </c>
      <c r="EI63" s="11"/>
      <c r="EJ63" s="12" t="e">
        <f t="shared" si="392"/>
        <v>#DIV/0!</v>
      </c>
      <c r="EK63" s="11"/>
      <c r="EL63" s="12" t="e">
        <f t="shared" si="393"/>
        <v>#DIV/0!</v>
      </c>
      <c r="EM63" s="13"/>
      <c r="EN63" s="13"/>
      <c r="EO63" s="25"/>
      <c r="EP63" s="38"/>
      <c r="EQ63" s="10"/>
      <c r="ER63" s="11"/>
      <c r="ES63" s="69">
        <f t="shared" si="425"/>
        <v>0</v>
      </c>
      <c r="ET63" s="69">
        <f t="shared" si="425"/>
        <v>0</v>
      </c>
      <c r="EU63" s="11"/>
      <c r="EV63" s="12" t="e">
        <f t="shared" si="394"/>
        <v>#DIV/0!</v>
      </c>
      <c r="EW63" s="11"/>
      <c r="EX63" s="12" t="e">
        <f t="shared" si="395"/>
        <v>#DIV/0!</v>
      </c>
      <c r="EY63" s="13"/>
      <c r="EZ63" s="13"/>
      <c r="FA63" s="25"/>
      <c r="FB63" s="38"/>
      <c r="FC63" s="10"/>
      <c r="FD63" s="11"/>
      <c r="FE63" s="69">
        <f t="shared" si="426"/>
        <v>0</v>
      </c>
      <c r="FF63" s="69">
        <f t="shared" si="426"/>
        <v>0</v>
      </c>
      <c r="FG63" s="11"/>
      <c r="FH63" s="12" t="e">
        <f t="shared" si="396"/>
        <v>#DIV/0!</v>
      </c>
      <c r="FI63" s="11"/>
      <c r="FJ63" s="12" t="e">
        <f t="shared" si="397"/>
        <v>#DIV/0!</v>
      </c>
      <c r="FK63" s="13"/>
      <c r="FL63" s="13"/>
      <c r="FM63" s="25"/>
      <c r="FN63" s="38"/>
      <c r="FO63" s="10"/>
      <c r="FP63" s="11"/>
      <c r="FQ63" s="69">
        <f t="shared" si="427"/>
        <v>0</v>
      </c>
      <c r="FR63" s="69">
        <f t="shared" si="427"/>
        <v>0</v>
      </c>
      <c r="FS63" s="11"/>
      <c r="FT63" s="12" t="e">
        <f t="shared" si="398"/>
        <v>#DIV/0!</v>
      </c>
      <c r="FU63" s="11"/>
      <c r="FV63" s="12" t="e">
        <f t="shared" si="399"/>
        <v>#DIV/0!</v>
      </c>
      <c r="FW63" s="13"/>
      <c r="FX63" s="13"/>
      <c r="FY63" s="25"/>
      <c r="FZ63" s="38"/>
      <c r="GA63" s="10"/>
      <c r="GB63" s="11"/>
      <c r="GC63" s="69">
        <f t="shared" si="428"/>
        <v>0</v>
      </c>
      <c r="GD63" s="69">
        <f t="shared" si="428"/>
        <v>0</v>
      </c>
      <c r="GE63" s="11"/>
      <c r="GF63" s="12" t="e">
        <f t="shared" si="400"/>
        <v>#DIV/0!</v>
      </c>
      <c r="GG63" s="11"/>
      <c r="GH63" s="12" t="e">
        <f t="shared" si="401"/>
        <v>#DIV/0!</v>
      </c>
      <c r="GI63" s="13"/>
      <c r="GJ63" s="13"/>
      <c r="GK63" s="25"/>
      <c r="GL63" s="38"/>
      <c r="GM63" s="10"/>
      <c r="GN63" s="11"/>
      <c r="GO63" s="69">
        <f t="shared" si="429"/>
        <v>0</v>
      </c>
      <c r="GP63" s="69">
        <f t="shared" si="429"/>
        <v>0</v>
      </c>
      <c r="GQ63" s="11"/>
      <c r="GR63" s="12" t="e">
        <f t="shared" si="402"/>
        <v>#DIV/0!</v>
      </c>
      <c r="GS63" s="11"/>
      <c r="GT63" s="12" t="e">
        <f t="shared" si="403"/>
        <v>#DIV/0!</v>
      </c>
      <c r="GU63" s="13"/>
      <c r="GV63" s="13"/>
      <c r="GW63" s="25"/>
      <c r="GX63" s="38"/>
      <c r="GY63" s="10"/>
      <c r="GZ63" s="11"/>
      <c r="HA63" s="69">
        <f t="shared" si="430"/>
        <v>0</v>
      </c>
      <c r="HB63" s="69">
        <f t="shared" si="430"/>
        <v>0</v>
      </c>
      <c r="HC63" s="11"/>
      <c r="HD63" s="12" t="e">
        <f t="shared" si="404"/>
        <v>#DIV/0!</v>
      </c>
      <c r="HE63" s="11"/>
      <c r="HF63" s="12" t="e">
        <f t="shared" si="405"/>
        <v>#DIV/0!</v>
      </c>
      <c r="HG63" s="13"/>
      <c r="HH63" s="13"/>
      <c r="HI63" s="25"/>
      <c r="HJ63" s="38"/>
      <c r="HK63" s="10">
        <f t="shared" si="406"/>
        <v>1</v>
      </c>
      <c r="HL63" s="11">
        <f t="shared" si="406"/>
        <v>0</v>
      </c>
      <c r="HM63" s="11">
        <f t="shared" si="406"/>
        <v>3692</v>
      </c>
      <c r="HN63" s="11">
        <f t="shared" si="406"/>
        <v>325</v>
      </c>
      <c r="HO63" s="11">
        <f t="shared" si="407"/>
        <v>2004</v>
      </c>
      <c r="HP63" s="95">
        <f t="shared" si="408"/>
        <v>0.54279523293607801</v>
      </c>
      <c r="HQ63" s="15">
        <f t="shared" si="409"/>
        <v>81</v>
      </c>
      <c r="HR63" s="12">
        <f t="shared" si="431"/>
        <v>4.0419161676646706E-2</v>
      </c>
      <c r="HS63" s="16">
        <v>62.5</v>
      </c>
      <c r="HT63" s="17">
        <v>1808</v>
      </c>
      <c r="HU63" s="16">
        <f t="shared" si="410"/>
        <v>90.219560878243513</v>
      </c>
      <c r="HV63" s="23">
        <v>3885</v>
      </c>
      <c r="HW63" s="22">
        <v>4180</v>
      </c>
    </row>
    <row r="64" spans="1:231" ht="18.75" x14ac:dyDescent="0.25">
      <c r="A64" s="374"/>
      <c r="B64" s="41">
        <f t="shared" si="411"/>
        <v>44988</v>
      </c>
      <c r="C64" s="10">
        <v>2</v>
      </c>
      <c r="D64" s="11"/>
      <c r="E64" s="69">
        <f t="shared" si="412"/>
        <v>698</v>
      </c>
      <c r="F64" s="69">
        <f t="shared" si="412"/>
        <v>63</v>
      </c>
      <c r="G64" s="11">
        <v>369</v>
      </c>
      <c r="H64" s="12">
        <f t="shared" si="371"/>
        <v>0.54154727793696278</v>
      </c>
      <c r="I64" s="11">
        <v>9</v>
      </c>
      <c r="J64" s="12">
        <f t="shared" si="413"/>
        <v>2.3809523809523808E-2</v>
      </c>
      <c r="K64" s="13"/>
      <c r="L64" s="11"/>
      <c r="M64" s="25">
        <v>4260</v>
      </c>
      <c r="N64" s="38">
        <v>4556.1499999999996</v>
      </c>
      <c r="O64" s="10">
        <v>2</v>
      </c>
      <c r="P64" s="11"/>
      <c r="Q64" s="69">
        <f t="shared" si="414"/>
        <v>694</v>
      </c>
      <c r="R64" s="69">
        <f t="shared" si="414"/>
        <v>62</v>
      </c>
      <c r="S64" s="11">
        <v>327</v>
      </c>
      <c r="T64" s="12">
        <f t="shared" si="372"/>
        <v>0.49279538904899134</v>
      </c>
      <c r="U64" s="11">
        <v>15</v>
      </c>
      <c r="V64" s="12">
        <f t="shared" si="373"/>
        <v>4.3859649122807015E-2</v>
      </c>
      <c r="W64" s="13"/>
      <c r="X64" s="11"/>
      <c r="Y64" s="25">
        <v>4366.1099999999997</v>
      </c>
      <c r="Z64" s="38">
        <v>4448.46</v>
      </c>
      <c r="AA64" s="10"/>
      <c r="AB64" s="11"/>
      <c r="AC64" s="69">
        <f t="shared" si="415"/>
        <v>177</v>
      </c>
      <c r="AD64" s="69">
        <f t="shared" si="415"/>
        <v>12</v>
      </c>
      <c r="AE64" s="11">
        <v>73</v>
      </c>
      <c r="AF64" s="12">
        <f t="shared" si="374"/>
        <v>0.43502824858757061</v>
      </c>
      <c r="AG64" s="11">
        <v>4</v>
      </c>
      <c r="AH64" s="12">
        <f t="shared" si="375"/>
        <v>5.1948051948051951E-2</v>
      </c>
      <c r="AI64" s="13"/>
      <c r="AJ64" s="11"/>
      <c r="AK64" s="25">
        <v>4163.08</v>
      </c>
      <c r="AL64" s="38">
        <v>4746.67</v>
      </c>
      <c r="AM64" s="10"/>
      <c r="AN64" s="11"/>
      <c r="AO64" s="69">
        <f t="shared" si="416"/>
        <v>704</v>
      </c>
      <c r="AP64" s="69">
        <f t="shared" si="416"/>
        <v>63</v>
      </c>
      <c r="AQ64" s="11">
        <v>327</v>
      </c>
      <c r="AR64" s="12">
        <f t="shared" si="376"/>
        <v>0.484375</v>
      </c>
      <c r="AS64" s="11">
        <v>14</v>
      </c>
      <c r="AT64" s="12">
        <f t="shared" si="377"/>
        <v>4.1055718475073312E-2</v>
      </c>
      <c r="AU64" s="13"/>
      <c r="AV64" s="11"/>
      <c r="AW64" s="25">
        <v>4335.28</v>
      </c>
      <c r="AX64" s="38">
        <v>4567.5</v>
      </c>
      <c r="AY64" s="10"/>
      <c r="AZ64" s="11"/>
      <c r="BA64" s="69">
        <f t="shared" si="417"/>
        <v>709</v>
      </c>
      <c r="BB64" s="69">
        <f t="shared" si="417"/>
        <v>62</v>
      </c>
      <c r="BC64" s="11">
        <v>332</v>
      </c>
      <c r="BD64" s="12">
        <f t="shared" si="378"/>
        <v>0.48942172073342738</v>
      </c>
      <c r="BE64" s="11">
        <v>15</v>
      </c>
      <c r="BF64" s="12">
        <f t="shared" si="379"/>
        <v>4.3227665706051875E-2</v>
      </c>
      <c r="BG64" s="13"/>
      <c r="BH64" s="11"/>
      <c r="BI64" s="25">
        <v>4281.43</v>
      </c>
      <c r="BJ64" s="38">
        <v>4498.18</v>
      </c>
      <c r="BK64" s="10"/>
      <c r="BL64" s="11"/>
      <c r="BM64" s="69">
        <f t="shared" si="418"/>
        <v>706</v>
      </c>
      <c r="BN64" s="69">
        <f t="shared" si="418"/>
        <v>63</v>
      </c>
      <c r="BO64" s="11">
        <v>347</v>
      </c>
      <c r="BP64" s="12">
        <f t="shared" si="380"/>
        <v>0.5184135977337111</v>
      </c>
      <c r="BQ64" s="11">
        <v>19</v>
      </c>
      <c r="BR64" s="12">
        <f t="shared" si="381"/>
        <v>5.1912568306010931E-2</v>
      </c>
      <c r="BS64" s="13"/>
      <c r="BT64" s="11"/>
      <c r="BU64" s="25">
        <v>4290.83</v>
      </c>
      <c r="BV64" s="38">
        <v>4769.29</v>
      </c>
      <c r="BW64" s="10"/>
      <c r="BX64" s="11"/>
      <c r="BY64" s="69">
        <f t="shared" si="419"/>
        <v>0</v>
      </c>
      <c r="BZ64" s="69">
        <f t="shared" si="419"/>
        <v>0</v>
      </c>
      <c r="CA64" s="11"/>
      <c r="CB64" s="12" t="e">
        <f t="shared" si="382"/>
        <v>#DIV/0!</v>
      </c>
      <c r="CC64" s="11"/>
      <c r="CD64" s="12" t="e">
        <f t="shared" si="383"/>
        <v>#DIV/0!</v>
      </c>
      <c r="CE64" s="13"/>
      <c r="CF64" s="11"/>
      <c r="CG64" s="25"/>
      <c r="CH64" s="38"/>
      <c r="CI64" s="10"/>
      <c r="CJ64" s="11"/>
      <c r="CK64" s="69">
        <f t="shared" si="420"/>
        <v>0</v>
      </c>
      <c r="CL64" s="69">
        <f t="shared" si="420"/>
        <v>0</v>
      </c>
      <c r="CM64" s="11"/>
      <c r="CN64" s="12" t="e">
        <f t="shared" si="384"/>
        <v>#DIV/0!</v>
      </c>
      <c r="CO64" s="11"/>
      <c r="CP64" s="12" t="e">
        <f t="shared" si="385"/>
        <v>#DIV/0!</v>
      </c>
      <c r="CQ64" s="13"/>
      <c r="CR64" s="11"/>
      <c r="CS64" s="25"/>
      <c r="CT64" s="38"/>
      <c r="CU64" s="10"/>
      <c r="CV64" s="11"/>
      <c r="CW64" s="69">
        <f t="shared" si="421"/>
        <v>0</v>
      </c>
      <c r="CX64" s="69">
        <f t="shared" si="421"/>
        <v>0</v>
      </c>
      <c r="CY64" s="11"/>
      <c r="CZ64" s="12" t="e">
        <f t="shared" si="386"/>
        <v>#DIV/0!</v>
      </c>
      <c r="DA64" s="11"/>
      <c r="DB64" s="12" t="e">
        <f t="shared" si="387"/>
        <v>#DIV/0!</v>
      </c>
      <c r="DC64" s="13"/>
      <c r="DD64" s="11"/>
      <c r="DE64" s="25"/>
      <c r="DF64" s="38"/>
      <c r="DG64" s="10"/>
      <c r="DH64" s="11"/>
      <c r="DI64" s="69">
        <f t="shared" si="422"/>
        <v>0</v>
      </c>
      <c r="DJ64" s="69">
        <f t="shared" si="422"/>
        <v>0</v>
      </c>
      <c r="DK64" s="11"/>
      <c r="DL64" s="12" t="e">
        <f t="shared" si="388"/>
        <v>#DIV/0!</v>
      </c>
      <c r="DM64" s="11"/>
      <c r="DN64" s="12" t="e">
        <f t="shared" si="389"/>
        <v>#DIV/0!</v>
      </c>
      <c r="DO64" s="13"/>
      <c r="DP64" s="11"/>
      <c r="DQ64" s="25"/>
      <c r="DR64" s="38"/>
      <c r="DS64" s="10"/>
      <c r="DT64" s="11"/>
      <c r="DU64" s="69">
        <f t="shared" si="423"/>
        <v>0</v>
      </c>
      <c r="DV64" s="69">
        <f t="shared" si="423"/>
        <v>0</v>
      </c>
      <c r="DW64" s="11"/>
      <c r="DX64" s="12" t="e">
        <f t="shared" si="390"/>
        <v>#DIV/0!</v>
      </c>
      <c r="DY64" s="11"/>
      <c r="DZ64" s="12" t="e">
        <f t="shared" si="391"/>
        <v>#DIV/0!</v>
      </c>
      <c r="EA64" s="13"/>
      <c r="EB64" s="11"/>
      <c r="EC64" s="25"/>
      <c r="ED64" s="38"/>
      <c r="EE64" s="10"/>
      <c r="EF64" s="11"/>
      <c r="EG64" s="69">
        <f t="shared" si="424"/>
        <v>0</v>
      </c>
      <c r="EH64" s="69">
        <f t="shared" si="424"/>
        <v>0</v>
      </c>
      <c r="EI64" s="11"/>
      <c r="EJ64" s="12" t="e">
        <f t="shared" si="392"/>
        <v>#DIV/0!</v>
      </c>
      <c r="EK64" s="11"/>
      <c r="EL64" s="12" t="e">
        <f t="shared" si="393"/>
        <v>#DIV/0!</v>
      </c>
      <c r="EM64" s="13"/>
      <c r="EN64" s="11"/>
      <c r="EO64" s="25"/>
      <c r="EP64" s="38"/>
      <c r="EQ64" s="10"/>
      <c r="ER64" s="11"/>
      <c r="ES64" s="69">
        <f t="shared" si="425"/>
        <v>0</v>
      </c>
      <c r="ET64" s="69">
        <f t="shared" si="425"/>
        <v>0</v>
      </c>
      <c r="EU64" s="11"/>
      <c r="EV64" s="12" t="e">
        <f t="shared" si="394"/>
        <v>#DIV/0!</v>
      </c>
      <c r="EW64" s="11"/>
      <c r="EX64" s="12" t="e">
        <f t="shared" si="395"/>
        <v>#DIV/0!</v>
      </c>
      <c r="EY64" s="13"/>
      <c r="EZ64" s="11"/>
      <c r="FA64" s="25"/>
      <c r="FB64" s="38"/>
      <c r="FC64" s="10"/>
      <c r="FD64" s="11"/>
      <c r="FE64" s="69">
        <f t="shared" si="426"/>
        <v>0</v>
      </c>
      <c r="FF64" s="69">
        <f t="shared" si="426"/>
        <v>0</v>
      </c>
      <c r="FG64" s="11"/>
      <c r="FH64" s="12" t="e">
        <f t="shared" si="396"/>
        <v>#DIV/0!</v>
      </c>
      <c r="FI64" s="11"/>
      <c r="FJ64" s="12" t="e">
        <f t="shared" si="397"/>
        <v>#DIV/0!</v>
      </c>
      <c r="FK64" s="13"/>
      <c r="FL64" s="11"/>
      <c r="FM64" s="25"/>
      <c r="FN64" s="38"/>
      <c r="FO64" s="10"/>
      <c r="FP64" s="11"/>
      <c r="FQ64" s="69">
        <f t="shared" si="427"/>
        <v>0</v>
      </c>
      <c r="FR64" s="69">
        <f t="shared" si="427"/>
        <v>0</v>
      </c>
      <c r="FS64" s="11"/>
      <c r="FT64" s="12" t="e">
        <f t="shared" si="398"/>
        <v>#DIV/0!</v>
      </c>
      <c r="FU64" s="11"/>
      <c r="FV64" s="12" t="e">
        <f t="shared" si="399"/>
        <v>#DIV/0!</v>
      </c>
      <c r="FW64" s="13"/>
      <c r="FX64" s="11"/>
      <c r="FY64" s="25"/>
      <c r="FZ64" s="38"/>
      <c r="GA64" s="10"/>
      <c r="GB64" s="11"/>
      <c r="GC64" s="69">
        <f t="shared" si="428"/>
        <v>0</v>
      </c>
      <c r="GD64" s="69">
        <f t="shared" si="428"/>
        <v>0</v>
      </c>
      <c r="GE64" s="11"/>
      <c r="GF64" s="12" t="e">
        <f t="shared" si="400"/>
        <v>#DIV/0!</v>
      </c>
      <c r="GG64" s="11"/>
      <c r="GH64" s="12" t="e">
        <f t="shared" si="401"/>
        <v>#DIV/0!</v>
      </c>
      <c r="GI64" s="13"/>
      <c r="GJ64" s="11"/>
      <c r="GK64" s="25"/>
      <c r="GL64" s="38"/>
      <c r="GM64" s="10"/>
      <c r="GN64" s="11"/>
      <c r="GO64" s="69">
        <f t="shared" si="429"/>
        <v>0</v>
      </c>
      <c r="GP64" s="69">
        <f t="shared" si="429"/>
        <v>0</v>
      </c>
      <c r="GQ64" s="11"/>
      <c r="GR64" s="12" t="e">
        <f t="shared" si="402"/>
        <v>#DIV/0!</v>
      </c>
      <c r="GS64" s="11"/>
      <c r="GT64" s="12" t="e">
        <f t="shared" si="403"/>
        <v>#DIV/0!</v>
      </c>
      <c r="GU64" s="13"/>
      <c r="GV64" s="11"/>
      <c r="GW64" s="25"/>
      <c r="GX64" s="38"/>
      <c r="GY64" s="10"/>
      <c r="GZ64" s="11"/>
      <c r="HA64" s="69">
        <f t="shared" si="430"/>
        <v>0</v>
      </c>
      <c r="HB64" s="69">
        <f t="shared" si="430"/>
        <v>0</v>
      </c>
      <c r="HC64" s="11"/>
      <c r="HD64" s="12" t="e">
        <f t="shared" si="404"/>
        <v>#DIV/0!</v>
      </c>
      <c r="HE64" s="11"/>
      <c r="HF64" s="12" t="e">
        <f t="shared" si="405"/>
        <v>#DIV/0!</v>
      </c>
      <c r="HG64" s="13"/>
      <c r="HH64" s="11"/>
      <c r="HI64" s="25"/>
      <c r="HJ64" s="38"/>
      <c r="HK64" s="10">
        <f t="shared" si="406"/>
        <v>4</v>
      </c>
      <c r="HL64" s="11">
        <f t="shared" si="406"/>
        <v>0</v>
      </c>
      <c r="HM64" s="11">
        <f t="shared" si="406"/>
        <v>3688</v>
      </c>
      <c r="HN64" s="11">
        <f t="shared" si="406"/>
        <v>325</v>
      </c>
      <c r="HO64" s="11">
        <f t="shared" si="407"/>
        <v>1851</v>
      </c>
      <c r="HP64" s="95">
        <f t="shared" si="408"/>
        <v>0.5018980477223427</v>
      </c>
      <c r="HQ64" s="15">
        <f t="shared" si="409"/>
        <v>76</v>
      </c>
      <c r="HR64" s="12">
        <f t="shared" si="431"/>
        <v>4.1058887088060506E-2</v>
      </c>
      <c r="HS64" s="16">
        <v>63.6</v>
      </c>
      <c r="HT64" s="17">
        <v>1673</v>
      </c>
      <c r="HU64" s="16">
        <f t="shared" si="410"/>
        <v>90.383576445164778</v>
      </c>
      <c r="HV64" s="23">
        <v>4297.1400000000003</v>
      </c>
      <c r="HW64" s="22">
        <v>4581.21</v>
      </c>
    </row>
    <row r="65" spans="1:231" ht="18.75" x14ac:dyDescent="0.25">
      <c r="A65" s="374"/>
      <c r="B65" s="41">
        <f t="shared" si="411"/>
        <v>44989</v>
      </c>
      <c r="C65" s="10">
        <v>2</v>
      </c>
      <c r="D65" s="11"/>
      <c r="E65" s="69">
        <f>E64-C65</f>
        <v>696</v>
      </c>
      <c r="F65" s="69">
        <f>F64-D65</f>
        <v>63</v>
      </c>
      <c r="G65" s="11">
        <v>344</v>
      </c>
      <c r="H65" s="12">
        <f t="shared" si="371"/>
        <v>0.51580459770114939</v>
      </c>
      <c r="I65" s="11">
        <v>15</v>
      </c>
      <c r="J65" s="12">
        <f t="shared" si="413"/>
        <v>4.1782729805013928E-2</v>
      </c>
      <c r="K65" s="13"/>
      <c r="L65" s="11"/>
      <c r="M65" s="39">
        <v>91.7</v>
      </c>
      <c r="N65" s="43">
        <v>100</v>
      </c>
      <c r="O65" s="10">
        <v>6</v>
      </c>
      <c r="P65" s="11"/>
      <c r="Q65" s="69">
        <f t="shared" si="414"/>
        <v>688</v>
      </c>
      <c r="R65" s="69">
        <f t="shared" si="414"/>
        <v>62</v>
      </c>
      <c r="S65" s="11">
        <v>331</v>
      </c>
      <c r="T65" s="12">
        <f t="shared" si="372"/>
        <v>0.5058139534883721</v>
      </c>
      <c r="U65" s="11">
        <v>17</v>
      </c>
      <c r="V65" s="12">
        <f t="shared" si="373"/>
        <v>4.8850574712643681E-2</v>
      </c>
      <c r="W65" s="13"/>
      <c r="X65" s="11"/>
      <c r="Y65" s="39">
        <v>86.11</v>
      </c>
      <c r="Z65" s="43">
        <v>100</v>
      </c>
      <c r="AA65" s="10">
        <v>2</v>
      </c>
      <c r="AB65" s="11">
        <v>1</v>
      </c>
      <c r="AC65" s="69">
        <f t="shared" si="415"/>
        <v>175</v>
      </c>
      <c r="AD65" s="69">
        <f t="shared" si="415"/>
        <v>11</v>
      </c>
      <c r="AE65" s="11">
        <v>86</v>
      </c>
      <c r="AF65" s="12">
        <f t="shared" si="374"/>
        <v>0.50285714285714289</v>
      </c>
      <c r="AG65" s="11">
        <v>2</v>
      </c>
      <c r="AH65" s="12">
        <f t="shared" si="375"/>
        <v>2.2727272727272728E-2</v>
      </c>
      <c r="AI65" s="13"/>
      <c r="AJ65" s="11"/>
      <c r="AK65" s="39">
        <v>84.6</v>
      </c>
      <c r="AL65" s="43">
        <v>100</v>
      </c>
      <c r="AM65" s="10"/>
      <c r="AN65" s="11"/>
      <c r="AO65" s="69">
        <f t="shared" si="416"/>
        <v>704</v>
      </c>
      <c r="AP65" s="69">
        <f t="shared" si="416"/>
        <v>63</v>
      </c>
      <c r="AQ65" s="11">
        <v>367</v>
      </c>
      <c r="AR65" s="12">
        <f t="shared" si="376"/>
        <v>0.54971590909090906</v>
      </c>
      <c r="AS65" s="11">
        <v>20</v>
      </c>
      <c r="AT65" s="12">
        <f t="shared" si="377"/>
        <v>5.1679586563307491E-2</v>
      </c>
      <c r="AU65" s="13"/>
      <c r="AV65" s="11"/>
      <c r="AW65" s="39">
        <v>77.8</v>
      </c>
      <c r="AX65" s="43">
        <v>91.7</v>
      </c>
      <c r="AY65" s="10"/>
      <c r="AZ65" s="11"/>
      <c r="BA65" s="69">
        <f t="shared" si="417"/>
        <v>709</v>
      </c>
      <c r="BB65" s="69">
        <f t="shared" si="417"/>
        <v>62</v>
      </c>
      <c r="BC65" s="11">
        <v>332</v>
      </c>
      <c r="BD65" s="12">
        <f t="shared" si="378"/>
        <v>0.49788434414668548</v>
      </c>
      <c r="BE65" s="11">
        <v>21</v>
      </c>
      <c r="BF65" s="12">
        <f t="shared" si="379"/>
        <v>5.9490084985835696E-2</v>
      </c>
      <c r="BG65" s="13"/>
      <c r="BH65" s="11"/>
      <c r="BI65" s="39">
        <v>94.29</v>
      </c>
      <c r="BJ65" s="43">
        <v>100</v>
      </c>
      <c r="BK65" s="10">
        <v>1</v>
      </c>
      <c r="BL65" s="11"/>
      <c r="BM65" s="69">
        <f t="shared" si="418"/>
        <v>705</v>
      </c>
      <c r="BN65" s="69">
        <f t="shared" si="418"/>
        <v>63</v>
      </c>
      <c r="BO65" s="11">
        <v>368</v>
      </c>
      <c r="BP65" s="12">
        <f t="shared" si="380"/>
        <v>0.53900709219858156</v>
      </c>
      <c r="BQ65" s="11">
        <v>12</v>
      </c>
      <c r="BR65" s="12">
        <f t="shared" si="381"/>
        <v>3.1578947368421054E-2</v>
      </c>
      <c r="BS65" s="13"/>
      <c r="BT65" s="11"/>
      <c r="BU65" s="39">
        <v>94.44</v>
      </c>
      <c r="BV65" s="43">
        <v>92.86</v>
      </c>
      <c r="BW65" s="10"/>
      <c r="BX65" s="11"/>
      <c r="BY65" s="69">
        <f t="shared" si="419"/>
        <v>0</v>
      </c>
      <c r="BZ65" s="69">
        <f t="shared" si="419"/>
        <v>0</v>
      </c>
      <c r="CA65" s="11"/>
      <c r="CB65" s="12" t="e">
        <f t="shared" si="382"/>
        <v>#DIV/0!</v>
      </c>
      <c r="CC65" s="11"/>
      <c r="CD65" s="12" t="e">
        <f t="shared" si="383"/>
        <v>#DIV/0!</v>
      </c>
      <c r="CE65" s="13"/>
      <c r="CF65" s="11"/>
      <c r="CG65" s="39"/>
      <c r="CH65" s="43"/>
      <c r="CI65" s="10"/>
      <c r="CJ65" s="11"/>
      <c r="CK65" s="69">
        <f t="shared" si="420"/>
        <v>0</v>
      </c>
      <c r="CL65" s="69">
        <f t="shared" si="420"/>
        <v>0</v>
      </c>
      <c r="CM65" s="11"/>
      <c r="CN65" s="12" t="e">
        <f t="shared" si="384"/>
        <v>#DIV/0!</v>
      </c>
      <c r="CO65" s="11"/>
      <c r="CP65" s="12" t="e">
        <f t="shared" si="385"/>
        <v>#DIV/0!</v>
      </c>
      <c r="CQ65" s="13"/>
      <c r="CR65" s="11"/>
      <c r="CS65" s="39"/>
      <c r="CT65" s="43"/>
      <c r="CU65" s="10"/>
      <c r="CV65" s="11"/>
      <c r="CW65" s="69">
        <f t="shared" si="421"/>
        <v>0</v>
      </c>
      <c r="CX65" s="69">
        <f t="shared" si="421"/>
        <v>0</v>
      </c>
      <c r="CY65" s="11"/>
      <c r="CZ65" s="12" t="e">
        <f t="shared" si="386"/>
        <v>#DIV/0!</v>
      </c>
      <c r="DA65" s="11"/>
      <c r="DB65" s="12" t="e">
        <f t="shared" si="387"/>
        <v>#DIV/0!</v>
      </c>
      <c r="DC65" s="13"/>
      <c r="DD65" s="11"/>
      <c r="DE65" s="39"/>
      <c r="DF65" s="43"/>
      <c r="DG65" s="10"/>
      <c r="DH65" s="11"/>
      <c r="DI65" s="69">
        <f t="shared" si="422"/>
        <v>0</v>
      </c>
      <c r="DJ65" s="69">
        <f t="shared" si="422"/>
        <v>0</v>
      </c>
      <c r="DK65" s="11"/>
      <c r="DL65" s="12" t="e">
        <f t="shared" si="388"/>
        <v>#DIV/0!</v>
      </c>
      <c r="DM65" s="11"/>
      <c r="DN65" s="12" t="e">
        <f t="shared" si="389"/>
        <v>#DIV/0!</v>
      </c>
      <c r="DO65" s="13"/>
      <c r="DP65" s="11"/>
      <c r="DQ65" s="39"/>
      <c r="DR65" s="43"/>
      <c r="DS65" s="10"/>
      <c r="DT65" s="11"/>
      <c r="DU65" s="69">
        <f t="shared" si="423"/>
        <v>0</v>
      </c>
      <c r="DV65" s="69">
        <f t="shared" si="423"/>
        <v>0</v>
      </c>
      <c r="DW65" s="11"/>
      <c r="DX65" s="12" t="e">
        <f t="shared" si="390"/>
        <v>#DIV/0!</v>
      </c>
      <c r="DY65" s="11"/>
      <c r="DZ65" s="12" t="e">
        <f t="shared" si="391"/>
        <v>#DIV/0!</v>
      </c>
      <c r="EA65" s="13"/>
      <c r="EB65" s="11"/>
      <c r="EC65" s="39"/>
      <c r="ED65" s="43"/>
      <c r="EE65" s="10"/>
      <c r="EF65" s="11"/>
      <c r="EG65" s="69">
        <f t="shared" si="424"/>
        <v>0</v>
      </c>
      <c r="EH65" s="69">
        <f t="shared" si="424"/>
        <v>0</v>
      </c>
      <c r="EI65" s="11"/>
      <c r="EJ65" s="12" t="e">
        <f t="shared" si="392"/>
        <v>#DIV/0!</v>
      </c>
      <c r="EK65" s="11"/>
      <c r="EL65" s="12" t="e">
        <f t="shared" si="393"/>
        <v>#DIV/0!</v>
      </c>
      <c r="EM65" s="13"/>
      <c r="EN65" s="11"/>
      <c r="EO65" s="39"/>
      <c r="EP65" s="43"/>
      <c r="EQ65" s="10"/>
      <c r="ER65" s="11"/>
      <c r="ES65" s="69">
        <f t="shared" si="425"/>
        <v>0</v>
      </c>
      <c r="ET65" s="69">
        <f t="shared" si="425"/>
        <v>0</v>
      </c>
      <c r="EU65" s="11"/>
      <c r="EV65" s="12" t="e">
        <f t="shared" si="394"/>
        <v>#DIV/0!</v>
      </c>
      <c r="EW65" s="11"/>
      <c r="EX65" s="12" t="e">
        <f t="shared" si="395"/>
        <v>#DIV/0!</v>
      </c>
      <c r="EY65" s="13"/>
      <c r="EZ65" s="11"/>
      <c r="FA65" s="39"/>
      <c r="FB65" s="43"/>
      <c r="FC65" s="10"/>
      <c r="FD65" s="11"/>
      <c r="FE65" s="69">
        <f t="shared" si="426"/>
        <v>0</v>
      </c>
      <c r="FF65" s="69">
        <f t="shared" si="426"/>
        <v>0</v>
      </c>
      <c r="FG65" s="11"/>
      <c r="FH65" s="12" t="e">
        <f t="shared" si="396"/>
        <v>#DIV/0!</v>
      </c>
      <c r="FI65" s="11"/>
      <c r="FJ65" s="12" t="e">
        <f t="shared" si="397"/>
        <v>#DIV/0!</v>
      </c>
      <c r="FK65" s="13"/>
      <c r="FL65" s="11"/>
      <c r="FM65" s="39"/>
      <c r="FN65" s="43"/>
      <c r="FO65" s="10"/>
      <c r="FP65" s="11"/>
      <c r="FQ65" s="69">
        <f t="shared" si="427"/>
        <v>0</v>
      </c>
      <c r="FR65" s="69">
        <f t="shared" si="427"/>
        <v>0</v>
      </c>
      <c r="FS65" s="11"/>
      <c r="FT65" s="12" t="e">
        <f t="shared" si="398"/>
        <v>#DIV/0!</v>
      </c>
      <c r="FU65" s="11"/>
      <c r="FV65" s="12" t="e">
        <f t="shared" si="399"/>
        <v>#DIV/0!</v>
      </c>
      <c r="FW65" s="13"/>
      <c r="FX65" s="11"/>
      <c r="FY65" s="39"/>
      <c r="FZ65" s="43"/>
      <c r="GA65" s="10"/>
      <c r="GB65" s="11"/>
      <c r="GC65" s="69">
        <f t="shared" si="428"/>
        <v>0</v>
      </c>
      <c r="GD65" s="69">
        <f t="shared" si="428"/>
        <v>0</v>
      </c>
      <c r="GE65" s="11"/>
      <c r="GF65" s="12" t="e">
        <f t="shared" si="400"/>
        <v>#DIV/0!</v>
      </c>
      <c r="GG65" s="11"/>
      <c r="GH65" s="12" t="e">
        <f t="shared" si="401"/>
        <v>#DIV/0!</v>
      </c>
      <c r="GI65" s="13"/>
      <c r="GJ65" s="11"/>
      <c r="GK65" s="39"/>
      <c r="GL65" s="43"/>
      <c r="GM65" s="10"/>
      <c r="GN65" s="11"/>
      <c r="GO65" s="69">
        <f t="shared" si="429"/>
        <v>0</v>
      </c>
      <c r="GP65" s="69">
        <f t="shared" si="429"/>
        <v>0</v>
      </c>
      <c r="GQ65" s="11"/>
      <c r="GR65" s="12" t="e">
        <f t="shared" si="402"/>
        <v>#DIV/0!</v>
      </c>
      <c r="GS65" s="11"/>
      <c r="GT65" s="12" t="e">
        <f t="shared" si="403"/>
        <v>#DIV/0!</v>
      </c>
      <c r="GU65" s="13"/>
      <c r="GV65" s="11"/>
      <c r="GW65" s="39"/>
      <c r="GX65" s="43"/>
      <c r="GY65" s="10"/>
      <c r="GZ65" s="11"/>
      <c r="HA65" s="69">
        <f t="shared" si="430"/>
        <v>0</v>
      </c>
      <c r="HB65" s="69">
        <f t="shared" si="430"/>
        <v>0</v>
      </c>
      <c r="HC65" s="11"/>
      <c r="HD65" s="12" t="e">
        <f t="shared" si="404"/>
        <v>#DIV/0!</v>
      </c>
      <c r="HE65" s="11"/>
      <c r="HF65" s="12" t="e">
        <f t="shared" si="405"/>
        <v>#DIV/0!</v>
      </c>
      <c r="HG65" s="13"/>
      <c r="HH65" s="11"/>
      <c r="HI65" s="39"/>
      <c r="HJ65" s="43"/>
      <c r="HK65" s="10">
        <f t="shared" si="406"/>
        <v>11</v>
      </c>
      <c r="HL65" s="11">
        <f t="shared" si="406"/>
        <v>1</v>
      </c>
      <c r="HM65" s="11">
        <f t="shared" si="406"/>
        <v>3677</v>
      </c>
      <c r="HN65" s="11">
        <f t="shared" si="406"/>
        <v>324</v>
      </c>
      <c r="HO65" s="11">
        <f t="shared" si="407"/>
        <v>1915</v>
      </c>
      <c r="HP65" s="95">
        <f t="shared" si="408"/>
        <v>0.52080500407941255</v>
      </c>
      <c r="HQ65" s="15">
        <f t="shared" si="409"/>
        <v>87</v>
      </c>
      <c r="HR65" s="12">
        <f t="shared" si="431"/>
        <v>4.5430809399477808E-2</v>
      </c>
      <c r="HS65" s="16">
        <v>63.3</v>
      </c>
      <c r="HT65" s="17">
        <v>1720</v>
      </c>
      <c r="HU65" s="16">
        <f t="shared" si="410"/>
        <v>89.817232375979117</v>
      </c>
      <c r="HV65" s="23">
        <v>88.54</v>
      </c>
      <c r="HW65" s="22">
        <v>92.42</v>
      </c>
    </row>
    <row r="66" spans="1:231" ht="19.5" thickBot="1" x14ac:dyDescent="0.3">
      <c r="A66" s="374"/>
      <c r="B66" s="42"/>
      <c r="C66" s="26">
        <f>SUM(C59:C65)</f>
        <v>9</v>
      </c>
      <c r="D66" s="27">
        <f>SUM(D59:D65)</f>
        <v>0</v>
      </c>
      <c r="E66" s="27"/>
      <c r="F66" s="27"/>
      <c r="G66" s="27">
        <f>SUM(G59:G65)</f>
        <v>2349</v>
      </c>
      <c r="H66" s="28">
        <f>((G66+I66)/7)/E65</f>
        <v>0.50225779967159279</v>
      </c>
      <c r="I66" s="27">
        <f>SUM(I59:I65)</f>
        <v>98</v>
      </c>
      <c r="J66" s="28">
        <f>(I66/(I66+G66))</f>
        <v>4.0049039640375969E-2</v>
      </c>
      <c r="K66" s="27"/>
      <c r="L66" s="27"/>
      <c r="M66" s="29">
        <f>M64/M63*100-100</f>
        <v>9.6525096525096501</v>
      </c>
      <c r="N66" s="67">
        <f>N64/N63*100-100</f>
        <v>8.9988038277511748</v>
      </c>
      <c r="O66" s="26">
        <f>SUM(O59:O65)</f>
        <v>16</v>
      </c>
      <c r="P66" s="27">
        <f>SUM(P59:P65)</f>
        <v>0</v>
      </c>
      <c r="Q66" s="27"/>
      <c r="R66" s="27"/>
      <c r="S66" s="27">
        <f>SUM(S59:S65)</f>
        <v>2208</v>
      </c>
      <c r="T66" s="28">
        <f>((S66+U66)/7)/Q65</f>
        <v>0.48089700996677737</v>
      </c>
      <c r="U66" s="27">
        <f>SUM(U59:U65)</f>
        <v>108</v>
      </c>
      <c r="V66" s="28">
        <f>(U66/(U66+S66))</f>
        <v>4.6632124352331605E-2</v>
      </c>
      <c r="W66" s="27"/>
      <c r="X66" s="27"/>
      <c r="Y66" s="29">
        <f>Y64/Y63*100-100</f>
        <v>12.38378378378377</v>
      </c>
      <c r="Z66" s="67">
        <f>Z64/Z63*100-100</f>
        <v>6.4224880382775211</v>
      </c>
      <c r="AA66" s="26">
        <f>SUM(AA59:AA65)</f>
        <v>10</v>
      </c>
      <c r="AB66" s="27">
        <f>SUM(AB59:AB65)</f>
        <v>2</v>
      </c>
      <c r="AC66" s="27"/>
      <c r="AD66" s="27"/>
      <c r="AE66" s="27">
        <f>SUM(AE59:AE65)</f>
        <v>575</v>
      </c>
      <c r="AF66" s="28">
        <f>((AE66+AG66)/7)/AC65</f>
        <v>0.48979591836734693</v>
      </c>
      <c r="AG66" s="27">
        <f>SUM(AG59:AG65)</f>
        <v>25</v>
      </c>
      <c r="AH66" s="28">
        <f>(AG66/(AG66+AE66))</f>
        <v>4.1666666666666664E-2</v>
      </c>
      <c r="AI66" s="27"/>
      <c r="AJ66" s="27"/>
      <c r="AK66" s="29">
        <f>AK64/AK63*100-100</f>
        <v>7.1577863577863639</v>
      </c>
      <c r="AL66" s="67">
        <f>AL64/AL63*100-100</f>
        <v>13.55669856459329</v>
      </c>
      <c r="AM66" s="26">
        <f>SUM(AM59:AM65)</f>
        <v>0</v>
      </c>
      <c r="AN66" s="27">
        <f>SUM(AN59:AN65)</f>
        <v>0</v>
      </c>
      <c r="AO66" s="27"/>
      <c r="AP66" s="27"/>
      <c r="AQ66" s="27">
        <f>SUM(AQ59:AQ65)</f>
        <v>2390</v>
      </c>
      <c r="AR66" s="28">
        <f>((AQ66+AS66)/7)/AO65</f>
        <v>0.50872564935064934</v>
      </c>
      <c r="AS66" s="27">
        <f>SUM(AS59:AS65)</f>
        <v>117</v>
      </c>
      <c r="AT66" s="28">
        <f>(AS66/(AS66+AQ66))</f>
        <v>4.6669325887514955E-2</v>
      </c>
      <c r="AU66" s="27"/>
      <c r="AV66" s="27"/>
      <c r="AW66" s="29">
        <f>AW64/AW63*100-100</f>
        <v>11.590218790218771</v>
      </c>
      <c r="AX66" s="67">
        <f>AX64/AX63*100-100</f>
        <v>9.2703349282296585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2353</v>
      </c>
      <c r="BD66" s="28">
        <f>((BC66+BE66)/7)/BA65</f>
        <v>0.49768285311303645</v>
      </c>
      <c r="BE66" s="27">
        <f>SUM(BE59:BE65)</f>
        <v>117</v>
      </c>
      <c r="BF66" s="28">
        <f>(BE66/(BE66+BC66))</f>
        <v>4.736842105263158E-2</v>
      </c>
      <c r="BG66" s="27"/>
      <c r="BH66" s="27"/>
      <c r="BI66" s="29">
        <f>BI64/BI63*100-100</f>
        <v>10.204118404118418</v>
      </c>
      <c r="BJ66" s="67">
        <f>BJ64/BJ63*100-100</f>
        <v>7.6119617224880329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2336</v>
      </c>
      <c r="BP66" s="28">
        <f>((BO66+BQ66)/7)/BM65</f>
        <v>0.49544072948328266</v>
      </c>
      <c r="BQ66" s="27">
        <f>SUM(BQ59:BQ65)</f>
        <v>109</v>
      </c>
      <c r="BR66" s="28">
        <f>(BQ66/(BQ66+BO66))</f>
        <v>4.4580777096114521E-2</v>
      </c>
      <c r="BS66" s="27"/>
      <c r="BT66" s="27"/>
      <c r="BU66" s="29">
        <f>BU64/BU63*100-100</f>
        <v>10.446074646074649</v>
      </c>
      <c r="BV66" s="67">
        <f>BV64/BV63*100-100</f>
        <v>14.097846889952152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7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7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7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7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7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7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7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7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7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7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7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7" t="e">
        <f>HJ64/HJ63*100-100</f>
        <v>#DIV/0!</v>
      </c>
      <c r="HK66" s="26">
        <f t="shared" si="406"/>
        <v>36</v>
      </c>
      <c r="HL66" s="27">
        <f t="shared" si="406"/>
        <v>2</v>
      </c>
      <c r="HM66" s="27">
        <f t="shared" si="406"/>
        <v>0</v>
      </c>
      <c r="HN66" s="27">
        <f t="shared" si="406"/>
        <v>0</v>
      </c>
      <c r="HO66" s="27">
        <f t="shared" si="407"/>
        <v>12785</v>
      </c>
      <c r="HP66" s="96">
        <f>+((HO66)/HM65)/7</f>
        <v>0.49671704417421036</v>
      </c>
      <c r="HQ66" s="62">
        <f t="shared" si="409"/>
        <v>574</v>
      </c>
      <c r="HR66" s="52">
        <f t="shared" si="431"/>
        <v>4.4896362925303086E-2</v>
      </c>
      <c r="HS66" s="53">
        <f>SUM(HS59:HS65)/7</f>
        <v>62.414285714285718</v>
      </c>
      <c r="HT66" s="54">
        <f>SUM(HT59:HT65)</f>
        <v>11508</v>
      </c>
      <c r="HU66" s="53">
        <f>AVERAGE(HU59:HU65)</f>
        <v>90.028274575723088</v>
      </c>
      <c r="HV66" s="63">
        <f>HV64/HV63*100-100</f>
        <v>10.608494208494207</v>
      </c>
      <c r="HW66" s="67">
        <f>HW64/HW63*100-100</f>
        <v>9.5983253588516817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9.6956638836520337E-3</v>
      </c>
      <c r="HL67" s="66">
        <f>HL66/HN56</f>
        <v>6.1349693251533744E-3</v>
      </c>
      <c r="HM67" s="45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373">
        <v>32</v>
      </c>
      <c r="B68" s="68">
        <f>B65+1</f>
        <v>44990</v>
      </c>
      <c r="C68" s="33"/>
      <c r="D68" s="34"/>
      <c r="E68" s="34">
        <f>E65-C68</f>
        <v>696</v>
      </c>
      <c r="F68" s="34">
        <f>F65-D68</f>
        <v>63</v>
      </c>
      <c r="G68" s="34">
        <v>386</v>
      </c>
      <c r="H68" s="35">
        <f t="shared" ref="H68:H74" si="432">((G68+I68)/E68)</f>
        <v>0.57327586206896552</v>
      </c>
      <c r="I68" s="34">
        <v>13</v>
      </c>
      <c r="J68" s="35">
        <f>I68/(G68+I68)</f>
        <v>3.2581453634085211E-2</v>
      </c>
      <c r="K68" s="36"/>
      <c r="L68" s="34"/>
      <c r="M68" s="34"/>
      <c r="N68" s="37"/>
      <c r="O68" s="33"/>
      <c r="P68" s="34"/>
      <c r="Q68" s="34">
        <f>Q65-O68</f>
        <v>688</v>
      </c>
      <c r="R68" s="34">
        <f>R65-P68</f>
        <v>62</v>
      </c>
      <c r="S68" s="34">
        <v>344</v>
      </c>
      <c r="T68" s="35">
        <f t="shared" ref="T68:T74" si="433">((S68+U68)/Q68)</f>
        <v>0.53197674418604646</v>
      </c>
      <c r="U68" s="34">
        <v>22</v>
      </c>
      <c r="V68" s="35">
        <f t="shared" ref="V68:V74" si="434">U68/(S68+U68)</f>
        <v>6.0109289617486336E-2</v>
      </c>
      <c r="W68" s="36"/>
      <c r="X68" s="34"/>
      <c r="Y68" s="34"/>
      <c r="Z68" s="37"/>
      <c r="AA68" s="33"/>
      <c r="AB68" s="34"/>
      <c r="AC68" s="34">
        <f>AC65-AA68</f>
        <v>175</v>
      </c>
      <c r="AD68" s="34">
        <f>AD65-AB68</f>
        <v>11</v>
      </c>
      <c r="AE68" s="34">
        <v>86</v>
      </c>
      <c r="AF68" s="35">
        <f t="shared" ref="AF68:AF74" si="435">((AE68+AG68)/AC68)</f>
        <v>0.51428571428571423</v>
      </c>
      <c r="AG68" s="34">
        <v>4</v>
      </c>
      <c r="AH68" s="35">
        <f t="shared" ref="AH68:AH74" si="436">AG68/(AE68+AG68)</f>
        <v>4.4444444444444446E-2</v>
      </c>
      <c r="AI68" s="36"/>
      <c r="AJ68" s="34"/>
      <c r="AK68" s="34"/>
      <c r="AL68" s="37"/>
      <c r="AM68" s="33"/>
      <c r="AN68" s="34"/>
      <c r="AO68" s="34">
        <f>AO65-AM68</f>
        <v>704</v>
      </c>
      <c r="AP68" s="34">
        <f>AP65-AN68</f>
        <v>63</v>
      </c>
      <c r="AQ68" s="34">
        <v>386</v>
      </c>
      <c r="AR68" s="35">
        <f t="shared" ref="AR68:AR74" si="437">((AQ68+AS68)/AO68)</f>
        <v>0.57102272727272729</v>
      </c>
      <c r="AS68" s="34">
        <v>16</v>
      </c>
      <c r="AT68" s="35">
        <f t="shared" ref="AT68:AT74" si="438">AS68/(AQ68+AS68)</f>
        <v>3.9800995024875621E-2</v>
      </c>
      <c r="AU68" s="36"/>
      <c r="AV68" s="34"/>
      <c r="AW68" s="34"/>
      <c r="AX68" s="37"/>
      <c r="AY68" s="33"/>
      <c r="AZ68" s="34"/>
      <c r="BA68" s="34">
        <f>BA65-AY68</f>
        <v>709</v>
      </c>
      <c r="BB68" s="34">
        <f>BB65-AZ68</f>
        <v>62</v>
      </c>
      <c r="BC68" s="34">
        <v>362</v>
      </c>
      <c r="BD68" s="35">
        <f t="shared" ref="BD68:BD74" si="439">((BC68+BE68)/BA68)</f>
        <v>0.53596614950634702</v>
      </c>
      <c r="BE68" s="34">
        <v>18</v>
      </c>
      <c r="BF68" s="35">
        <f t="shared" ref="BF68:BF74" si="440">BE68/(BC68+BE68)</f>
        <v>4.736842105263158E-2</v>
      </c>
      <c r="BG68" s="36"/>
      <c r="BH68" s="34"/>
      <c r="BI68" s="34"/>
      <c r="BJ68" s="37"/>
      <c r="BK68" s="33"/>
      <c r="BL68" s="34"/>
      <c r="BM68" s="34">
        <f>BM65-BK68</f>
        <v>705</v>
      </c>
      <c r="BN68" s="34">
        <f>BN65-BL68</f>
        <v>63</v>
      </c>
      <c r="BO68" s="34">
        <v>382</v>
      </c>
      <c r="BP68" s="35">
        <f t="shared" ref="BP68:BP74" si="441">((BO68+BQ68)/BM68)</f>
        <v>0.56453900709219862</v>
      </c>
      <c r="BQ68" s="34">
        <v>16</v>
      </c>
      <c r="BR68" s="35">
        <f t="shared" ref="BR68:BR74" si="442">BQ68/(BO68+BQ68)</f>
        <v>4.0201005025125629E-2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43">((CA68+CC68)/BY68)</f>
        <v>#DIV/0!</v>
      </c>
      <c r="CC68" s="34"/>
      <c r="CD68" s="35" t="e">
        <f t="shared" ref="CD68:CD74" si="444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45">((CM68+CO68)/CK68)</f>
        <v>#DIV/0!</v>
      </c>
      <c r="CO68" s="34"/>
      <c r="CP68" s="35" t="e">
        <f t="shared" ref="CP68:CP74" si="446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47">((CY68+DA68)/CW68)</f>
        <v>#DIV/0!</v>
      </c>
      <c r="DA68" s="34"/>
      <c r="DB68" s="35" t="e">
        <f t="shared" ref="DB68:DB74" si="448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49">((DK68+DM68)/DI68)</f>
        <v>#DIV/0!</v>
      </c>
      <c r="DM68" s="34"/>
      <c r="DN68" s="35" t="e">
        <f t="shared" ref="DN68:DN74" si="450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51">((DW68+DY68)/DU68)</f>
        <v>#DIV/0!</v>
      </c>
      <c r="DY68" s="34"/>
      <c r="DZ68" s="35" t="e">
        <f t="shared" ref="DZ68:DZ74" si="452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53">((EI68+EK68)/EG68)</f>
        <v>#DIV/0!</v>
      </c>
      <c r="EK68" s="34"/>
      <c r="EL68" s="35" t="e">
        <f t="shared" ref="EL68:EL74" si="454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55">((EU68+EW68)/ES68)</f>
        <v>#DIV/0!</v>
      </c>
      <c r="EW68" s="34"/>
      <c r="EX68" s="35" t="e">
        <f t="shared" ref="EX68:EX74" si="456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57">((FG68+FI68)/FE68)</f>
        <v>#DIV/0!</v>
      </c>
      <c r="FI68" s="34"/>
      <c r="FJ68" s="35" t="e">
        <f t="shared" ref="FJ68:FJ74" si="458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59">((FS68+FU68)/FQ68)</f>
        <v>#DIV/0!</v>
      </c>
      <c r="FU68" s="34"/>
      <c r="FV68" s="35" t="e">
        <f t="shared" ref="FV68:FV74" si="460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61">((GE68+GG68)/GC68)</f>
        <v>#DIV/0!</v>
      </c>
      <c r="GG68" s="34"/>
      <c r="GH68" s="35" t="e">
        <f t="shared" ref="GH68:GH74" si="462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63">((GQ68+GS68)/GO68)</f>
        <v>#DIV/0!</v>
      </c>
      <c r="GS68" s="34"/>
      <c r="GT68" s="35" t="e">
        <f t="shared" ref="GT68:GT74" si="464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65">((HC68+HE68)/HA68)</f>
        <v>#DIV/0!</v>
      </c>
      <c r="HE68" s="34"/>
      <c r="HF68" s="35" t="e">
        <f t="shared" ref="HF68:HF74" si="466">HE68/(HC68+HE68)</f>
        <v>#DIV/0!</v>
      </c>
      <c r="HG68" s="36"/>
      <c r="HH68" s="34"/>
      <c r="HI68" s="34"/>
      <c r="HJ68" s="37"/>
      <c r="HK68" s="33">
        <f t="shared" ref="HK68:HN75" si="467">+C68+O68+AA68+AM68+AY68+BK68+BW68+CI68+CU68+DG68+DS68+EE68+EQ68+FC68+FO68+GA68+GM68+GY68</f>
        <v>0</v>
      </c>
      <c r="HL68" s="34">
        <f t="shared" si="467"/>
        <v>0</v>
      </c>
      <c r="HM68" s="34">
        <f t="shared" si="467"/>
        <v>3677</v>
      </c>
      <c r="HN68" s="34">
        <f t="shared" si="467"/>
        <v>324</v>
      </c>
      <c r="HO68" s="34">
        <f t="shared" ref="HO68:HO75" si="468">+G68+S68+AE68+AQ68+BC68+BO68+CA68+CM68+CY68+DK68+DW68+EI68+EU68+FG68+FS68+GE68+GQ68+HC68+I68+U68+AG68+AS68+BE68+BQ68+CC68+CO68+DA68+DM68+DY68+EK68+EW68+FI68+FU68+GG68+GS68+HE68</f>
        <v>2035</v>
      </c>
      <c r="HP68" s="94">
        <f t="shared" ref="HP68:HP74" si="469">+(HO68)/HM68</f>
        <v>0.55344030459613813</v>
      </c>
      <c r="HQ68" s="48">
        <f t="shared" ref="HQ68:HQ75" si="470">+I68+U68+AG68+AS68+BE68+BQ68+CC68+CO68+DA68+DM68+DY68+EK68+EW68+FI68+FU68+GG68+GS68+HE68</f>
        <v>89</v>
      </c>
      <c r="HR68" s="35">
        <f>+(HQ68/(HO68))</f>
        <v>4.3734643734643731E-2</v>
      </c>
      <c r="HS68" s="49">
        <v>63.4</v>
      </c>
      <c r="HT68" s="50">
        <v>1852</v>
      </c>
      <c r="HU68" s="49">
        <f t="shared" ref="HU68:HU74" si="471">+HT68/HO68*100</f>
        <v>91.007371007371006</v>
      </c>
      <c r="HV68" s="48"/>
      <c r="HW68" s="37"/>
    </row>
    <row r="69" spans="1:231" ht="18.75" x14ac:dyDescent="0.25">
      <c r="A69" s="374"/>
      <c r="B69" s="41">
        <f t="shared" si="411"/>
        <v>44991</v>
      </c>
      <c r="C69" s="10"/>
      <c r="D69" s="11"/>
      <c r="E69" s="69">
        <f t="shared" ref="E69:F73" si="472">E68-C69</f>
        <v>696</v>
      </c>
      <c r="F69" s="69">
        <f t="shared" si="472"/>
        <v>63</v>
      </c>
      <c r="G69" s="11">
        <v>345</v>
      </c>
      <c r="H69" s="12">
        <f t="shared" si="432"/>
        <v>0.51293103448275867</v>
      </c>
      <c r="I69" s="11">
        <v>12</v>
      </c>
      <c r="J69" s="12">
        <f t="shared" ref="J69:J74" si="473">I69/(G69+I69)</f>
        <v>3.3613445378151259E-2</v>
      </c>
      <c r="K69" s="13"/>
      <c r="L69" s="11"/>
      <c r="M69" s="11"/>
      <c r="N69" s="14"/>
      <c r="O69" s="10"/>
      <c r="P69" s="11"/>
      <c r="Q69" s="69">
        <f t="shared" ref="Q69:R74" si="474">Q68-O69</f>
        <v>688</v>
      </c>
      <c r="R69" s="69">
        <f t="shared" si="474"/>
        <v>62</v>
      </c>
      <c r="S69" s="11">
        <v>323</v>
      </c>
      <c r="T69" s="12">
        <f t="shared" si="433"/>
        <v>0.48546511627906974</v>
      </c>
      <c r="U69" s="11">
        <v>11</v>
      </c>
      <c r="V69" s="12">
        <f t="shared" si="434"/>
        <v>3.2934131736526949E-2</v>
      </c>
      <c r="W69" s="13"/>
      <c r="X69" s="11"/>
      <c r="Y69" s="11"/>
      <c r="Z69" s="14"/>
      <c r="AA69" s="10"/>
      <c r="AB69" s="11"/>
      <c r="AC69" s="69">
        <f t="shared" ref="AC69:AD74" si="475">AC68-AA69</f>
        <v>175</v>
      </c>
      <c r="AD69" s="69">
        <f t="shared" si="475"/>
        <v>11</v>
      </c>
      <c r="AE69" s="11">
        <v>72</v>
      </c>
      <c r="AF69" s="12">
        <f t="shared" si="435"/>
        <v>0.42285714285714288</v>
      </c>
      <c r="AG69" s="11">
        <v>2</v>
      </c>
      <c r="AH69" s="12">
        <f t="shared" si="436"/>
        <v>2.7027027027027029E-2</v>
      </c>
      <c r="AI69" s="13"/>
      <c r="AJ69" s="11"/>
      <c r="AK69" s="11"/>
      <c r="AL69" s="14"/>
      <c r="AM69" s="10"/>
      <c r="AN69" s="11"/>
      <c r="AO69" s="69">
        <f t="shared" ref="AO69:AP74" si="476">AO68-AM69</f>
        <v>704</v>
      </c>
      <c r="AP69" s="69">
        <f t="shared" si="476"/>
        <v>63</v>
      </c>
      <c r="AQ69" s="11">
        <v>318</v>
      </c>
      <c r="AR69" s="12">
        <f t="shared" si="437"/>
        <v>0.47301136363636365</v>
      </c>
      <c r="AS69" s="11">
        <v>15</v>
      </c>
      <c r="AT69" s="12">
        <f t="shared" si="438"/>
        <v>4.5045045045045043E-2</v>
      </c>
      <c r="AU69" s="13"/>
      <c r="AV69" s="11"/>
      <c r="AW69" s="11"/>
      <c r="AX69" s="14"/>
      <c r="AY69" s="10"/>
      <c r="AZ69" s="11"/>
      <c r="BA69" s="69">
        <f t="shared" ref="BA69:BB74" si="477">BA68-AY69</f>
        <v>709</v>
      </c>
      <c r="BB69" s="69">
        <f t="shared" si="477"/>
        <v>62</v>
      </c>
      <c r="BC69" s="11">
        <v>359</v>
      </c>
      <c r="BD69" s="12">
        <f t="shared" si="439"/>
        <v>0.52750352609308881</v>
      </c>
      <c r="BE69" s="11">
        <v>15</v>
      </c>
      <c r="BF69" s="12">
        <f t="shared" si="440"/>
        <v>4.0106951871657755E-2</v>
      </c>
      <c r="BG69" s="13"/>
      <c r="BH69" s="11"/>
      <c r="BI69" s="11"/>
      <c r="BJ69" s="14"/>
      <c r="BK69" s="10"/>
      <c r="BL69" s="11"/>
      <c r="BM69" s="69">
        <f t="shared" ref="BM69:BN74" si="478">BM68-BK69</f>
        <v>705</v>
      </c>
      <c r="BN69" s="69">
        <f t="shared" si="478"/>
        <v>63</v>
      </c>
      <c r="BO69" s="11">
        <v>359</v>
      </c>
      <c r="BP69" s="12">
        <f t="shared" si="441"/>
        <v>0.5205673758865248</v>
      </c>
      <c r="BQ69" s="11">
        <v>8</v>
      </c>
      <c r="BR69" s="12">
        <f t="shared" si="442"/>
        <v>2.1798365122615803E-2</v>
      </c>
      <c r="BS69" s="13"/>
      <c r="BT69" s="11"/>
      <c r="BU69" s="11"/>
      <c r="BV69" s="14"/>
      <c r="BW69" s="10"/>
      <c r="BX69" s="11"/>
      <c r="BY69" s="69">
        <f t="shared" ref="BY69:BZ74" si="479">BY68-BW69</f>
        <v>0</v>
      </c>
      <c r="BZ69" s="69">
        <f t="shared" si="479"/>
        <v>0</v>
      </c>
      <c r="CA69" s="11"/>
      <c r="CB69" s="12" t="e">
        <f t="shared" si="443"/>
        <v>#DIV/0!</v>
      </c>
      <c r="CC69" s="11"/>
      <c r="CD69" s="12" t="e">
        <f t="shared" si="444"/>
        <v>#DIV/0!</v>
      </c>
      <c r="CE69" s="13"/>
      <c r="CF69" s="11"/>
      <c r="CG69" s="11"/>
      <c r="CH69" s="14"/>
      <c r="CI69" s="10"/>
      <c r="CJ69" s="11"/>
      <c r="CK69" s="69">
        <f t="shared" ref="CK69:CL74" si="480">CK68-CI69</f>
        <v>0</v>
      </c>
      <c r="CL69" s="69">
        <f t="shared" si="480"/>
        <v>0</v>
      </c>
      <c r="CM69" s="11"/>
      <c r="CN69" s="12" t="e">
        <f t="shared" si="445"/>
        <v>#DIV/0!</v>
      </c>
      <c r="CO69" s="11"/>
      <c r="CP69" s="12" t="e">
        <f t="shared" si="446"/>
        <v>#DIV/0!</v>
      </c>
      <c r="CQ69" s="13"/>
      <c r="CR69" s="11"/>
      <c r="CS69" s="11"/>
      <c r="CT69" s="14"/>
      <c r="CU69" s="10"/>
      <c r="CV69" s="11"/>
      <c r="CW69" s="69">
        <f t="shared" ref="CW69:CX74" si="481">CW68-CU69</f>
        <v>0</v>
      </c>
      <c r="CX69" s="69">
        <f t="shared" si="481"/>
        <v>0</v>
      </c>
      <c r="CY69" s="11"/>
      <c r="CZ69" s="12" t="e">
        <f t="shared" si="447"/>
        <v>#DIV/0!</v>
      </c>
      <c r="DA69" s="11"/>
      <c r="DB69" s="12" t="e">
        <f t="shared" si="448"/>
        <v>#DIV/0!</v>
      </c>
      <c r="DC69" s="13"/>
      <c r="DD69" s="11"/>
      <c r="DE69" s="11"/>
      <c r="DF69" s="14"/>
      <c r="DG69" s="10"/>
      <c r="DH69" s="11"/>
      <c r="DI69" s="69">
        <f t="shared" ref="DI69:DJ74" si="482">DI68-DG69</f>
        <v>0</v>
      </c>
      <c r="DJ69" s="69">
        <f t="shared" si="482"/>
        <v>0</v>
      </c>
      <c r="DK69" s="11"/>
      <c r="DL69" s="12" t="e">
        <f t="shared" si="449"/>
        <v>#DIV/0!</v>
      </c>
      <c r="DM69" s="11"/>
      <c r="DN69" s="12" t="e">
        <f t="shared" si="450"/>
        <v>#DIV/0!</v>
      </c>
      <c r="DO69" s="13"/>
      <c r="DP69" s="11"/>
      <c r="DQ69" s="11"/>
      <c r="DR69" s="14"/>
      <c r="DS69" s="10"/>
      <c r="DT69" s="11"/>
      <c r="DU69" s="69">
        <f t="shared" ref="DU69:DV74" si="483">DU68-DS69</f>
        <v>0</v>
      </c>
      <c r="DV69" s="69">
        <f t="shared" si="483"/>
        <v>0</v>
      </c>
      <c r="DW69" s="11"/>
      <c r="DX69" s="12" t="e">
        <f t="shared" si="451"/>
        <v>#DIV/0!</v>
      </c>
      <c r="DY69" s="11"/>
      <c r="DZ69" s="12" t="e">
        <f t="shared" si="452"/>
        <v>#DIV/0!</v>
      </c>
      <c r="EA69" s="13"/>
      <c r="EB69" s="11"/>
      <c r="EC69" s="11"/>
      <c r="ED69" s="14"/>
      <c r="EE69" s="10"/>
      <c r="EF69" s="11"/>
      <c r="EG69" s="69">
        <f t="shared" ref="EG69:EH74" si="484">EG68-EE69</f>
        <v>0</v>
      </c>
      <c r="EH69" s="69">
        <f t="shared" si="484"/>
        <v>0</v>
      </c>
      <c r="EI69" s="11"/>
      <c r="EJ69" s="12" t="e">
        <f t="shared" si="453"/>
        <v>#DIV/0!</v>
      </c>
      <c r="EK69" s="11"/>
      <c r="EL69" s="12" t="e">
        <f t="shared" si="454"/>
        <v>#DIV/0!</v>
      </c>
      <c r="EM69" s="13"/>
      <c r="EN69" s="11"/>
      <c r="EO69" s="11"/>
      <c r="EP69" s="14"/>
      <c r="EQ69" s="10"/>
      <c r="ER69" s="11"/>
      <c r="ES69" s="69">
        <f t="shared" ref="ES69:ET74" si="485">ES68-EQ69</f>
        <v>0</v>
      </c>
      <c r="ET69" s="69">
        <f t="shared" si="485"/>
        <v>0</v>
      </c>
      <c r="EU69" s="11"/>
      <c r="EV69" s="12" t="e">
        <f t="shared" si="455"/>
        <v>#DIV/0!</v>
      </c>
      <c r="EW69" s="11"/>
      <c r="EX69" s="12" t="e">
        <f t="shared" si="456"/>
        <v>#DIV/0!</v>
      </c>
      <c r="EY69" s="13"/>
      <c r="EZ69" s="11"/>
      <c r="FA69" s="11"/>
      <c r="FB69" s="14"/>
      <c r="FC69" s="10"/>
      <c r="FD69" s="11"/>
      <c r="FE69" s="69">
        <f t="shared" ref="FE69:FF74" si="486">FE68-FC69</f>
        <v>0</v>
      </c>
      <c r="FF69" s="69">
        <f t="shared" si="486"/>
        <v>0</v>
      </c>
      <c r="FG69" s="11"/>
      <c r="FH69" s="12" t="e">
        <f t="shared" si="457"/>
        <v>#DIV/0!</v>
      </c>
      <c r="FI69" s="11"/>
      <c r="FJ69" s="12" t="e">
        <f t="shared" si="458"/>
        <v>#DIV/0!</v>
      </c>
      <c r="FK69" s="13"/>
      <c r="FL69" s="11"/>
      <c r="FM69" s="11"/>
      <c r="FN69" s="14"/>
      <c r="FO69" s="10"/>
      <c r="FP69" s="11"/>
      <c r="FQ69" s="69">
        <f t="shared" ref="FQ69:FR74" si="487">FQ68-FO69</f>
        <v>0</v>
      </c>
      <c r="FR69" s="69">
        <f t="shared" si="487"/>
        <v>0</v>
      </c>
      <c r="FS69" s="11"/>
      <c r="FT69" s="12" t="e">
        <f t="shared" si="459"/>
        <v>#DIV/0!</v>
      </c>
      <c r="FU69" s="11"/>
      <c r="FV69" s="12" t="e">
        <f t="shared" si="460"/>
        <v>#DIV/0!</v>
      </c>
      <c r="FW69" s="13"/>
      <c r="FX69" s="11"/>
      <c r="FY69" s="11"/>
      <c r="FZ69" s="14"/>
      <c r="GA69" s="10"/>
      <c r="GB69" s="11"/>
      <c r="GC69" s="69">
        <f t="shared" ref="GC69:GD74" si="488">GC68-GA69</f>
        <v>0</v>
      </c>
      <c r="GD69" s="69">
        <f t="shared" si="488"/>
        <v>0</v>
      </c>
      <c r="GE69" s="11"/>
      <c r="GF69" s="12" t="e">
        <f t="shared" si="461"/>
        <v>#DIV/0!</v>
      </c>
      <c r="GG69" s="11"/>
      <c r="GH69" s="12" t="e">
        <f t="shared" si="462"/>
        <v>#DIV/0!</v>
      </c>
      <c r="GI69" s="13"/>
      <c r="GJ69" s="11"/>
      <c r="GK69" s="11"/>
      <c r="GL69" s="14"/>
      <c r="GM69" s="10"/>
      <c r="GN69" s="11"/>
      <c r="GO69" s="69">
        <f t="shared" ref="GO69:GP74" si="489">GO68-GM69</f>
        <v>0</v>
      </c>
      <c r="GP69" s="69">
        <f t="shared" si="489"/>
        <v>0</v>
      </c>
      <c r="GQ69" s="11"/>
      <c r="GR69" s="12" t="e">
        <f t="shared" si="463"/>
        <v>#DIV/0!</v>
      </c>
      <c r="GS69" s="11"/>
      <c r="GT69" s="12" t="e">
        <f t="shared" si="464"/>
        <v>#DIV/0!</v>
      </c>
      <c r="GU69" s="13"/>
      <c r="GV69" s="11"/>
      <c r="GW69" s="11"/>
      <c r="GX69" s="14"/>
      <c r="GY69" s="10"/>
      <c r="GZ69" s="11"/>
      <c r="HA69" s="69">
        <f t="shared" ref="HA69:HB74" si="490">HA68-GY69</f>
        <v>0</v>
      </c>
      <c r="HB69" s="69">
        <f t="shared" si="490"/>
        <v>0</v>
      </c>
      <c r="HC69" s="11"/>
      <c r="HD69" s="12" t="e">
        <f t="shared" si="465"/>
        <v>#DIV/0!</v>
      </c>
      <c r="HE69" s="11"/>
      <c r="HF69" s="12" t="e">
        <f t="shared" si="466"/>
        <v>#DIV/0!</v>
      </c>
      <c r="HG69" s="13"/>
      <c r="HH69" s="11"/>
      <c r="HI69" s="11"/>
      <c r="HJ69" s="14"/>
      <c r="HK69" s="10">
        <f t="shared" si="467"/>
        <v>0</v>
      </c>
      <c r="HL69" s="11">
        <f t="shared" si="467"/>
        <v>0</v>
      </c>
      <c r="HM69" s="11">
        <f t="shared" si="467"/>
        <v>3677</v>
      </c>
      <c r="HN69" s="11">
        <f t="shared" si="467"/>
        <v>324</v>
      </c>
      <c r="HO69" s="11">
        <f t="shared" si="468"/>
        <v>1839</v>
      </c>
      <c r="HP69" s="95">
        <f t="shared" si="469"/>
        <v>0.50013598041881968</v>
      </c>
      <c r="HQ69" s="15">
        <f t="shared" si="470"/>
        <v>63</v>
      </c>
      <c r="HR69" s="12">
        <f t="shared" ref="HR69:HR75" si="491">+(HQ69/(HO69))</f>
        <v>3.4257748776508973E-2</v>
      </c>
      <c r="HS69" s="16">
        <v>63.5</v>
      </c>
      <c r="HT69" s="17">
        <v>1662</v>
      </c>
      <c r="HU69" s="16">
        <f t="shared" si="471"/>
        <v>90.375203915171284</v>
      </c>
      <c r="HV69" s="15"/>
      <c r="HW69" s="14"/>
    </row>
    <row r="70" spans="1:231" ht="18.75" x14ac:dyDescent="0.25">
      <c r="A70" s="374"/>
      <c r="B70" s="41">
        <f t="shared" si="411"/>
        <v>44992</v>
      </c>
      <c r="C70" s="10"/>
      <c r="D70" s="11"/>
      <c r="E70" s="69">
        <f t="shared" si="472"/>
        <v>696</v>
      </c>
      <c r="F70" s="69">
        <f t="shared" si="472"/>
        <v>63</v>
      </c>
      <c r="G70" s="11">
        <v>393</v>
      </c>
      <c r="H70" s="12">
        <f t="shared" si="432"/>
        <v>0.58620689655172409</v>
      </c>
      <c r="I70" s="11">
        <v>15</v>
      </c>
      <c r="J70" s="12">
        <f t="shared" si="473"/>
        <v>3.6764705882352942E-2</v>
      </c>
      <c r="K70" s="13"/>
      <c r="L70" s="11"/>
      <c r="M70" s="11"/>
      <c r="N70" s="14"/>
      <c r="O70" s="10"/>
      <c r="P70" s="11"/>
      <c r="Q70" s="69">
        <f t="shared" si="474"/>
        <v>688</v>
      </c>
      <c r="R70" s="69">
        <f t="shared" si="474"/>
        <v>62</v>
      </c>
      <c r="S70" s="11">
        <v>313</v>
      </c>
      <c r="T70" s="12">
        <f t="shared" si="433"/>
        <v>0.47093023255813954</v>
      </c>
      <c r="U70" s="11">
        <v>11</v>
      </c>
      <c r="V70" s="12">
        <f t="shared" si="434"/>
        <v>3.3950617283950615E-2</v>
      </c>
      <c r="W70" s="13"/>
      <c r="X70" s="11"/>
      <c r="Y70" s="11"/>
      <c r="Z70" s="14"/>
      <c r="AA70" s="10"/>
      <c r="AB70" s="11"/>
      <c r="AC70" s="69">
        <f t="shared" si="475"/>
        <v>175</v>
      </c>
      <c r="AD70" s="69">
        <f t="shared" si="475"/>
        <v>11</v>
      </c>
      <c r="AE70" s="11">
        <v>99</v>
      </c>
      <c r="AF70" s="12">
        <f t="shared" si="435"/>
        <v>0.57714285714285718</v>
      </c>
      <c r="AG70" s="11">
        <v>2</v>
      </c>
      <c r="AH70" s="12">
        <f t="shared" si="436"/>
        <v>1.9801980198019802E-2</v>
      </c>
      <c r="AI70" s="13"/>
      <c r="AJ70" s="11"/>
      <c r="AK70" s="11"/>
      <c r="AL70" s="14"/>
      <c r="AM70" s="10"/>
      <c r="AN70" s="11"/>
      <c r="AO70" s="69">
        <f t="shared" si="476"/>
        <v>704</v>
      </c>
      <c r="AP70" s="69">
        <f t="shared" si="476"/>
        <v>63</v>
      </c>
      <c r="AQ70" s="11">
        <v>384</v>
      </c>
      <c r="AR70" s="12">
        <f t="shared" si="437"/>
        <v>0.56534090909090906</v>
      </c>
      <c r="AS70" s="11">
        <v>14</v>
      </c>
      <c r="AT70" s="12">
        <f t="shared" si="438"/>
        <v>3.5175879396984924E-2</v>
      </c>
      <c r="AU70" s="13"/>
      <c r="AV70" s="11"/>
      <c r="AW70" s="11"/>
      <c r="AX70" s="14"/>
      <c r="AY70" s="10"/>
      <c r="AZ70" s="11"/>
      <c r="BA70" s="69">
        <f t="shared" si="477"/>
        <v>709</v>
      </c>
      <c r="BB70" s="69">
        <f t="shared" si="477"/>
        <v>62</v>
      </c>
      <c r="BC70" s="11">
        <v>382</v>
      </c>
      <c r="BD70" s="12">
        <f t="shared" si="439"/>
        <v>0.57263751763046544</v>
      </c>
      <c r="BE70" s="11">
        <v>24</v>
      </c>
      <c r="BF70" s="12">
        <f t="shared" si="440"/>
        <v>5.9113300492610835E-2</v>
      </c>
      <c r="BG70" s="13"/>
      <c r="BH70" s="11"/>
      <c r="BI70" s="11"/>
      <c r="BJ70" s="14"/>
      <c r="BK70" s="10"/>
      <c r="BL70" s="11"/>
      <c r="BM70" s="69">
        <f t="shared" si="478"/>
        <v>705</v>
      </c>
      <c r="BN70" s="69">
        <f t="shared" si="478"/>
        <v>63</v>
      </c>
      <c r="BO70" s="11">
        <v>411</v>
      </c>
      <c r="BP70" s="12">
        <f t="shared" si="441"/>
        <v>0.61276595744680851</v>
      </c>
      <c r="BQ70" s="11">
        <v>21</v>
      </c>
      <c r="BR70" s="12">
        <f t="shared" si="442"/>
        <v>4.8611111111111112E-2</v>
      </c>
      <c r="BS70" s="13"/>
      <c r="BT70" s="11"/>
      <c r="BU70" s="11"/>
      <c r="BV70" s="14"/>
      <c r="BW70" s="10"/>
      <c r="BX70" s="11"/>
      <c r="BY70" s="69">
        <f t="shared" si="479"/>
        <v>0</v>
      </c>
      <c r="BZ70" s="69">
        <f t="shared" si="479"/>
        <v>0</v>
      </c>
      <c r="CA70" s="11"/>
      <c r="CB70" s="12" t="e">
        <f t="shared" si="443"/>
        <v>#DIV/0!</v>
      </c>
      <c r="CC70" s="11"/>
      <c r="CD70" s="12" t="e">
        <f t="shared" si="444"/>
        <v>#DIV/0!</v>
      </c>
      <c r="CE70" s="13"/>
      <c r="CF70" s="11"/>
      <c r="CG70" s="11"/>
      <c r="CH70" s="14"/>
      <c r="CI70" s="10"/>
      <c r="CJ70" s="11"/>
      <c r="CK70" s="69">
        <f t="shared" si="480"/>
        <v>0</v>
      </c>
      <c r="CL70" s="69">
        <f t="shared" si="480"/>
        <v>0</v>
      </c>
      <c r="CM70" s="11"/>
      <c r="CN70" s="12" t="e">
        <f t="shared" si="445"/>
        <v>#DIV/0!</v>
      </c>
      <c r="CO70" s="11"/>
      <c r="CP70" s="12" t="e">
        <f t="shared" si="446"/>
        <v>#DIV/0!</v>
      </c>
      <c r="CQ70" s="13"/>
      <c r="CR70" s="11"/>
      <c r="CS70" s="11"/>
      <c r="CT70" s="14"/>
      <c r="CU70" s="10"/>
      <c r="CV70" s="11"/>
      <c r="CW70" s="69">
        <f t="shared" si="481"/>
        <v>0</v>
      </c>
      <c r="CX70" s="69">
        <f t="shared" si="481"/>
        <v>0</v>
      </c>
      <c r="CY70" s="11"/>
      <c r="CZ70" s="12" t="e">
        <f t="shared" si="447"/>
        <v>#DIV/0!</v>
      </c>
      <c r="DA70" s="11"/>
      <c r="DB70" s="12" t="e">
        <f t="shared" si="448"/>
        <v>#DIV/0!</v>
      </c>
      <c r="DC70" s="13"/>
      <c r="DD70" s="11"/>
      <c r="DE70" s="11"/>
      <c r="DF70" s="14"/>
      <c r="DG70" s="10"/>
      <c r="DH70" s="11"/>
      <c r="DI70" s="69">
        <f t="shared" si="482"/>
        <v>0</v>
      </c>
      <c r="DJ70" s="69">
        <f t="shared" si="482"/>
        <v>0</v>
      </c>
      <c r="DK70" s="11"/>
      <c r="DL70" s="12" t="e">
        <f t="shared" si="449"/>
        <v>#DIV/0!</v>
      </c>
      <c r="DM70" s="11"/>
      <c r="DN70" s="12" t="e">
        <f t="shared" si="450"/>
        <v>#DIV/0!</v>
      </c>
      <c r="DO70" s="13"/>
      <c r="DP70" s="11"/>
      <c r="DQ70" s="11"/>
      <c r="DR70" s="14"/>
      <c r="DS70" s="10"/>
      <c r="DT70" s="11"/>
      <c r="DU70" s="69">
        <f t="shared" si="483"/>
        <v>0</v>
      </c>
      <c r="DV70" s="69">
        <f t="shared" si="483"/>
        <v>0</v>
      </c>
      <c r="DW70" s="11"/>
      <c r="DX70" s="12" t="e">
        <f t="shared" si="451"/>
        <v>#DIV/0!</v>
      </c>
      <c r="DY70" s="11"/>
      <c r="DZ70" s="12" t="e">
        <f t="shared" si="452"/>
        <v>#DIV/0!</v>
      </c>
      <c r="EA70" s="13"/>
      <c r="EB70" s="11"/>
      <c r="EC70" s="11"/>
      <c r="ED70" s="14"/>
      <c r="EE70" s="10"/>
      <c r="EF70" s="11"/>
      <c r="EG70" s="69">
        <f t="shared" si="484"/>
        <v>0</v>
      </c>
      <c r="EH70" s="69">
        <f t="shared" si="484"/>
        <v>0</v>
      </c>
      <c r="EI70" s="11"/>
      <c r="EJ70" s="12" t="e">
        <f t="shared" si="453"/>
        <v>#DIV/0!</v>
      </c>
      <c r="EK70" s="11"/>
      <c r="EL70" s="12" t="e">
        <f t="shared" si="454"/>
        <v>#DIV/0!</v>
      </c>
      <c r="EM70" s="13"/>
      <c r="EN70" s="11"/>
      <c r="EO70" s="11"/>
      <c r="EP70" s="14"/>
      <c r="EQ70" s="10"/>
      <c r="ER70" s="11"/>
      <c r="ES70" s="69">
        <f t="shared" si="485"/>
        <v>0</v>
      </c>
      <c r="ET70" s="69">
        <f t="shared" si="485"/>
        <v>0</v>
      </c>
      <c r="EU70" s="11"/>
      <c r="EV70" s="12" t="e">
        <f t="shared" si="455"/>
        <v>#DIV/0!</v>
      </c>
      <c r="EW70" s="11"/>
      <c r="EX70" s="12" t="e">
        <f t="shared" si="456"/>
        <v>#DIV/0!</v>
      </c>
      <c r="EY70" s="13"/>
      <c r="EZ70" s="11"/>
      <c r="FA70" s="11"/>
      <c r="FB70" s="14"/>
      <c r="FC70" s="10"/>
      <c r="FD70" s="11"/>
      <c r="FE70" s="69">
        <f t="shared" si="486"/>
        <v>0</v>
      </c>
      <c r="FF70" s="69">
        <f t="shared" si="486"/>
        <v>0</v>
      </c>
      <c r="FG70" s="11"/>
      <c r="FH70" s="12" t="e">
        <f t="shared" si="457"/>
        <v>#DIV/0!</v>
      </c>
      <c r="FI70" s="11"/>
      <c r="FJ70" s="12" t="e">
        <f t="shared" si="458"/>
        <v>#DIV/0!</v>
      </c>
      <c r="FK70" s="13"/>
      <c r="FL70" s="11"/>
      <c r="FM70" s="11"/>
      <c r="FN70" s="14"/>
      <c r="FO70" s="10"/>
      <c r="FP70" s="11"/>
      <c r="FQ70" s="69">
        <f t="shared" si="487"/>
        <v>0</v>
      </c>
      <c r="FR70" s="69">
        <f t="shared" si="487"/>
        <v>0</v>
      </c>
      <c r="FS70" s="11"/>
      <c r="FT70" s="12" t="e">
        <f t="shared" si="459"/>
        <v>#DIV/0!</v>
      </c>
      <c r="FU70" s="11"/>
      <c r="FV70" s="12" t="e">
        <f t="shared" si="460"/>
        <v>#DIV/0!</v>
      </c>
      <c r="FW70" s="13"/>
      <c r="FX70" s="11"/>
      <c r="FY70" s="11"/>
      <c r="FZ70" s="14"/>
      <c r="GA70" s="10"/>
      <c r="GB70" s="11"/>
      <c r="GC70" s="69">
        <f t="shared" si="488"/>
        <v>0</v>
      </c>
      <c r="GD70" s="69">
        <f t="shared" si="488"/>
        <v>0</v>
      </c>
      <c r="GE70" s="11"/>
      <c r="GF70" s="12" t="e">
        <f t="shared" si="461"/>
        <v>#DIV/0!</v>
      </c>
      <c r="GG70" s="11"/>
      <c r="GH70" s="12" t="e">
        <f t="shared" si="462"/>
        <v>#DIV/0!</v>
      </c>
      <c r="GI70" s="13"/>
      <c r="GJ70" s="11"/>
      <c r="GK70" s="11"/>
      <c r="GL70" s="14"/>
      <c r="GM70" s="10"/>
      <c r="GN70" s="11"/>
      <c r="GO70" s="69">
        <f t="shared" si="489"/>
        <v>0</v>
      </c>
      <c r="GP70" s="69">
        <f t="shared" si="489"/>
        <v>0</v>
      </c>
      <c r="GQ70" s="11"/>
      <c r="GR70" s="12" t="e">
        <f t="shared" si="463"/>
        <v>#DIV/0!</v>
      </c>
      <c r="GS70" s="11"/>
      <c r="GT70" s="12" t="e">
        <f t="shared" si="464"/>
        <v>#DIV/0!</v>
      </c>
      <c r="GU70" s="13"/>
      <c r="GV70" s="11"/>
      <c r="GW70" s="11"/>
      <c r="GX70" s="14"/>
      <c r="GY70" s="10"/>
      <c r="GZ70" s="11"/>
      <c r="HA70" s="69">
        <f t="shared" si="490"/>
        <v>0</v>
      </c>
      <c r="HB70" s="69">
        <f t="shared" si="490"/>
        <v>0</v>
      </c>
      <c r="HC70" s="11"/>
      <c r="HD70" s="12" t="e">
        <f t="shared" si="465"/>
        <v>#DIV/0!</v>
      </c>
      <c r="HE70" s="11"/>
      <c r="HF70" s="12" t="e">
        <f t="shared" si="466"/>
        <v>#DIV/0!</v>
      </c>
      <c r="HG70" s="13"/>
      <c r="HH70" s="11"/>
      <c r="HI70" s="11"/>
      <c r="HJ70" s="14"/>
      <c r="HK70" s="10">
        <f t="shared" si="467"/>
        <v>0</v>
      </c>
      <c r="HL70" s="11">
        <f t="shared" si="467"/>
        <v>0</v>
      </c>
      <c r="HM70" s="11">
        <f t="shared" si="467"/>
        <v>3677</v>
      </c>
      <c r="HN70" s="11">
        <f t="shared" si="467"/>
        <v>324</v>
      </c>
      <c r="HO70" s="11">
        <f t="shared" si="468"/>
        <v>2069</v>
      </c>
      <c r="HP70" s="95">
        <f t="shared" si="469"/>
        <v>0.56268697307587712</v>
      </c>
      <c r="HQ70" s="15">
        <f t="shared" si="470"/>
        <v>87</v>
      </c>
      <c r="HR70" s="12">
        <f t="shared" si="491"/>
        <v>4.204929917834703E-2</v>
      </c>
      <c r="HS70" s="16">
        <v>64.5</v>
      </c>
      <c r="HT70" s="17">
        <v>1875</v>
      </c>
      <c r="HU70" s="16">
        <f t="shared" si="471"/>
        <v>90.623489608506532</v>
      </c>
      <c r="HV70" s="15"/>
      <c r="HW70" s="14"/>
    </row>
    <row r="71" spans="1:231" ht="18.75" x14ac:dyDescent="0.25">
      <c r="A71" s="374"/>
      <c r="B71" s="41">
        <f t="shared" si="411"/>
        <v>44993</v>
      </c>
      <c r="C71" s="10"/>
      <c r="D71" s="11"/>
      <c r="E71" s="69">
        <f t="shared" si="472"/>
        <v>696</v>
      </c>
      <c r="F71" s="69">
        <f t="shared" si="472"/>
        <v>63</v>
      </c>
      <c r="G71" s="11">
        <v>378</v>
      </c>
      <c r="H71" s="12">
        <f t="shared" si="432"/>
        <v>0.56321839080459768</v>
      </c>
      <c r="I71" s="11">
        <v>14</v>
      </c>
      <c r="J71" s="12">
        <f t="shared" si="473"/>
        <v>3.5714285714285712E-2</v>
      </c>
      <c r="K71" s="11"/>
      <c r="L71" s="11"/>
      <c r="M71" s="18"/>
      <c r="N71" s="20"/>
      <c r="O71" s="10">
        <v>1</v>
      </c>
      <c r="P71" s="11"/>
      <c r="Q71" s="69">
        <f t="shared" si="474"/>
        <v>687</v>
      </c>
      <c r="R71" s="69">
        <f t="shared" si="474"/>
        <v>62</v>
      </c>
      <c r="S71" s="11">
        <v>337</v>
      </c>
      <c r="T71" s="12">
        <f t="shared" si="433"/>
        <v>0.52692867540029109</v>
      </c>
      <c r="U71" s="11">
        <v>25</v>
      </c>
      <c r="V71" s="12">
        <f t="shared" si="434"/>
        <v>6.9060773480662987E-2</v>
      </c>
      <c r="W71" s="11"/>
      <c r="X71" s="11"/>
      <c r="Y71" s="18"/>
      <c r="Z71" s="20"/>
      <c r="AA71" s="10">
        <v>6</v>
      </c>
      <c r="AB71" s="11"/>
      <c r="AC71" s="69">
        <f t="shared" si="475"/>
        <v>169</v>
      </c>
      <c r="AD71" s="69">
        <f t="shared" si="475"/>
        <v>11</v>
      </c>
      <c r="AE71" s="11">
        <v>72</v>
      </c>
      <c r="AF71" s="12">
        <f t="shared" si="435"/>
        <v>0.44970414201183434</v>
      </c>
      <c r="AG71" s="11">
        <v>4</v>
      </c>
      <c r="AH71" s="12">
        <f t="shared" si="436"/>
        <v>5.2631578947368418E-2</v>
      </c>
      <c r="AI71" s="11"/>
      <c r="AJ71" s="11"/>
      <c r="AK71" s="18"/>
      <c r="AL71" s="20"/>
      <c r="AM71" s="10">
        <v>1</v>
      </c>
      <c r="AN71" s="11"/>
      <c r="AO71" s="69">
        <f t="shared" si="476"/>
        <v>703</v>
      </c>
      <c r="AP71" s="69">
        <f t="shared" si="476"/>
        <v>63</v>
      </c>
      <c r="AQ71" s="11">
        <v>368</v>
      </c>
      <c r="AR71" s="12">
        <f t="shared" si="437"/>
        <v>0.54338549075391185</v>
      </c>
      <c r="AS71" s="11">
        <v>14</v>
      </c>
      <c r="AT71" s="12">
        <f t="shared" si="438"/>
        <v>3.6649214659685861E-2</v>
      </c>
      <c r="AU71" s="11"/>
      <c r="AV71" s="11"/>
      <c r="AW71" s="18"/>
      <c r="AX71" s="20"/>
      <c r="AY71" s="10"/>
      <c r="AZ71" s="11"/>
      <c r="BA71" s="69">
        <f t="shared" si="477"/>
        <v>709</v>
      </c>
      <c r="BB71" s="69">
        <f t="shared" si="477"/>
        <v>62</v>
      </c>
      <c r="BC71" s="11">
        <v>346</v>
      </c>
      <c r="BD71" s="12">
        <f t="shared" si="439"/>
        <v>0.51622002820874469</v>
      </c>
      <c r="BE71" s="11">
        <v>20</v>
      </c>
      <c r="BF71" s="12">
        <f t="shared" si="440"/>
        <v>5.4644808743169397E-2</v>
      </c>
      <c r="BG71" s="11"/>
      <c r="BH71" s="11"/>
      <c r="BI71" s="18"/>
      <c r="BJ71" s="20"/>
      <c r="BK71" s="10"/>
      <c r="BL71" s="11"/>
      <c r="BM71" s="69">
        <f t="shared" si="478"/>
        <v>705</v>
      </c>
      <c r="BN71" s="69">
        <f t="shared" si="478"/>
        <v>63</v>
      </c>
      <c r="BO71" s="11">
        <v>356</v>
      </c>
      <c r="BP71" s="12">
        <f t="shared" si="441"/>
        <v>0.53191489361702127</v>
      </c>
      <c r="BQ71" s="11">
        <v>19</v>
      </c>
      <c r="BR71" s="12">
        <f t="shared" si="442"/>
        <v>5.0666666666666665E-2</v>
      </c>
      <c r="BS71" s="11"/>
      <c r="BT71" s="11"/>
      <c r="BU71" s="18"/>
      <c r="BV71" s="20"/>
      <c r="BW71" s="10"/>
      <c r="BX71" s="11"/>
      <c r="BY71" s="69">
        <f t="shared" si="479"/>
        <v>0</v>
      </c>
      <c r="BZ71" s="69">
        <f t="shared" si="479"/>
        <v>0</v>
      </c>
      <c r="CA71" s="11"/>
      <c r="CB71" s="12" t="e">
        <f t="shared" si="443"/>
        <v>#DIV/0!</v>
      </c>
      <c r="CC71" s="11"/>
      <c r="CD71" s="12" t="e">
        <f t="shared" si="444"/>
        <v>#DIV/0!</v>
      </c>
      <c r="CE71" s="11"/>
      <c r="CF71" s="11"/>
      <c r="CG71" s="18"/>
      <c r="CH71" s="20"/>
      <c r="CI71" s="10"/>
      <c r="CJ71" s="11"/>
      <c r="CK71" s="69">
        <f t="shared" si="480"/>
        <v>0</v>
      </c>
      <c r="CL71" s="69">
        <f t="shared" si="480"/>
        <v>0</v>
      </c>
      <c r="CM71" s="11"/>
      <c r="CN71" s="12" t="e">
        <f t="shared" si="445"/>
        <v>#DIV/0!</v>
      </c>
      <c r="CO71" s="11"/>
      <c r="CP71" s="12" t="e">
        <f t="shared" si="446"/>
        <v>#DIV/0!</v>
      </c>
      <c r="CQ71" s="11"/>
      <c r="CR71" s="11"/>
      <c r="CS71" s="18"/>
      <c r="CT71" s="20"/>
      <c r="CU71" s="10"/>
      <c r="CV71" s="11"/>
      <c r="CW71" s="69">
        <f t="shared" si="481"/>
        <v>0</v>
      </c>
      <c r="CX71" s="69">
        <f t="shared" si="481"/>
        <v>0</v>
      </c>
      <c r="CY71" s="11"/>
      <c r="CZ71" s="12" t="e">
        <f t="shared" si="447"/>
        <v>#DIV/0!</v>
      </c>
      <c r="DA71" s="11"/>
      <c r="DB71" s="12" t="e">
        <f t="shared" si="448"/>
        <v>#DIV/0!</v>
      </c>
      <c r="DC71" s="11"/>
      <c r="DD71" s="11"/>
      <c r="DE71" s="18"/>
      <c r="DF71" s="20"/>
      <c r="DG71" s="10"/>
      <c r="DH71" s="11"/>
      <c r="DI71" s="69">
        <f t="shared" si="482"/>
        <v>0</v>
      </c>
      <c r="DJ71" s="69">
        <f t="shared" si="482"/>
        <v>0</v>
      </c>
      <c r="DK71" s="11"/>
      <c r="DL71" s="12" t="e">
        <f t="shared" si="449"/>
        <v>#DIV/0!</v>
      </c>
      <c r="DM71" s="11"/>
      <c r="DN71" s="12" t="e">
        <f t="shared" si="450"/>
        <v>#DIV/0!</v>
      </c>
      <c r="DO71" s="11"/>
      <c r="DP71" s="11"/>
      <c r="DQ71" s="18"/>
      <c r="DR71" s="20"/>
      <c r="DS71" s="10"/>
      <c r="DT71" s="11"/>
      <c r="DU71" s="69">
        <f t="shared" si="483"/>
        <v>0</v>
      </c>
      <c r="DV71" s="69">
        <f t="shared" si="483"/>
        <v>0</v>
      </c>
      <c r="DW71" s="11"/>
      <c r="DX71" s="12" t="e">
        <f t="shared" si="451"/>
        <v>#DIV/0!</v>
      </c>
      <c r="DY71" s="11"/>
      <c r="DZ71" s="12" t="e">
        <f t="shared" si="452"/>
        <v>#DIV/0!</v>
      </c>
      <c r="EA71" s="11"/>
      <c r="EB71" s="11"/>
      <c r="EC71" s="18"/>
      <c r="ED71" s="20"/>
      <c r="EE71" s="10"/>
      <c r="EF71" s="11"/>
      <c r="EG71" s="69">
        <f t="shared" si="484"/>
        <v>0</v>
      </c>
      <c r="EH71" s="69">
        <f t="shared" si="484"/>
        <v>0</v>
      </c>
      <c r="EI71" s="11"/>
      <c r="EJ71" s="12" t="e">
        <f t="shared" si="453"/>
        <v>#DIV/0!</v>
      </c>
      <c r="EK71" s="11"/>
      <c r="EL71" s="12" t="e">
        <f t="shared" si="454"/>
        <v>#DIV/0!</v>
      </c>
      <c r="EM71" s="11"/>
      <c r="EN71" s="11"/>
      <c r="EO71" s="18"/>
      <c r="EP71" s="20"/>
      <c r="EQ71" s="10"/>
      <c r="ER71" s="11"/>
      <c r="ES71" s="69">
        <f t="shared" si="485"/>
        <v>0</v>
      </c>
      <c r="ET71" s="69">
        <f t="shared" si="485"/>
        <v>0</v>
      </c>
      <c r="EU71" s="11"/>
      <c r="EV71" s="12" t="e">
        <f t="shared" si="455"/>
        <v>#DIV/0!</v>
      </c>
      <c r="EW71" s="11"/>
      <c r="EX71" s="12" t="e">
        <f t="shared" si="456"/>
        <v>#DIV/0!</v>
      </c>
      <c r="EY71" s="11"/>
      <c r="EZ71" s="11"/>
      <c r="FA71" s="18"/>
      <c r="FB71" s="20"/>
      <c r="FC71" s="10"/>
      <c r="FD71" s="11"/>
      <c r="FE71" s="69">
        <f t="shared" si="486"/>
        <v>0</v>
      </c>
      <c r="FF71" s="69">
        <f t="shared" si="486"/>
        <v>0</v>
      </c>
      <c r="FG71" s="11"/>
      <c r="FH71" s="12" t="e">
        <f t="shared" si="457"/>
        <v>#DIV/0!</v>
      </c>
      <c r="FI71" s="11"/>
      <c r="FJ71" s="12" t="e">
        <f t="shared" si="458"/>
        <v>#DIV/0!</v>
      </c>
      <c r="FK71" s="11"/>
      <c r="FL71" s="11"/>
      <c r="FM71" s="18"/>
      <c r="FN71" s="20"/>
      <c r="FO71" s="10"/>
      <c r="FP71" s="11"/>
      <c r="FQ71" s="69">
        <f t="shared" si="487"/>
        <v>0</v>
      </c>
      <c r="FR71" s="69">
        <f t="shared" si="487"/>
        <v>0</v>
      </c>
      <c r="FS71" s="11"/>
      <c r="FT71" s="12" t="e">
        <f t="shared" si="459"/>
        <v>#DIV/0!</v>
      </c>
      <c r="FU71" s="11"/>
      <c r="FV71" s="12" t="e">
        <f t="shared" si="460"/>
        <v>#DIV/0!</v>
      </c>
      <c r="FW71" s="11"/>
      <c r="FX71" s="11"/>
      <c r="FY71" s="18"/>
      <c r="FZ71" s="20"/>
      <c r="GA71" s="10"/>
      <c r="GB71" s="11"/>
      <c r="GC71" s="69">
        <f t="shared" si="488"/>
        <v>0</v>
      </c>
      <c r="GD71" s="69">
        <f t="shared" si="488"/>
        <v>0</v>
      </c>
      <c r="GE71" s="11"/>
      <c r="GF71" s="12" t="e">
        <f t="shared" si="461"/>
        <v>#DIV/0!</v>
      </c>
      <c r="GG71" s="11"/>
      <c r="GH71" s="12" t="e">
        <f t="shared" si="462"/>
        <v>#DIV/0!</v>
      </c>
      <c r="GI71" s="11"/>
      <c r="GJ71" s="11"/>
      <c r="GK71" s="18"/>
      <c r="GL71" s="20"/>
      <c r="GM71" s="10"/>
      <c r="GN71" s="11"/>
      <c r="GO71" s="69">
        <f t="shared" si="489"/>
        <v>0</v>
      </c>
      <c r="GP71" s="69">
        <f t="shared" si="489"/>
        <v>0</v>
      </c>
      <c r="GQ71" s="11"/>
      <c r="GR71" s="12" t="e">
        <f t="shared" si="463"/>
        <v>#DIV/0!</v>
      </c>
      <c r="GS71" s="11"/>
      <c r="GT71" s="12" t="e">
        <f t="shared" si="464"/>
        <v>#DIV/0!</v>
      </c>
      <c r="GU71" s="11"/>
      <c r="GV71" s="11"/>
      <c r="GW71" s="18"/>
      <c r="GX71" s="20"/>
      <c r="GY71" s="10"/>
      <c r="GZ71" s="11"/>
      <c r="HA71" s="69">
        <f t="shared" si="490"/>
        <v>0</v>
      </c>
      <c r="HB71" s="69">
        <f t="shared" si="490"/>
        <v>0</v>
      </c>
      <c r="HC71" s="11"/>
      <c r="HD71" s="12" t="e">
        <f t="shared" si="465"/>
        <v>#DIV/0!</v>
      </c>
      <c r="HE71" s="11"/>
      <c r="HF71" s="12" t="e">
        <f t="shared" si="466"/>
        <v>#DIV/0!</v>
      </c>
      <c r="HG71" s="11"/>
      <c r="HH71" s="11"/>
      <c r="HI71" s="18"/>
      <c r="HJ71" s="20"/>
      <c r="HK71" s="10">
        <f t="shared" si="467"/>
        <v>8</v>
      </c>
      <c r="HL71" s="11">
        <f t="shared" si="467"/>
        <v>0</v>
      </c>
      <c r="HM71" s="11">
        <f t="shared" si="467"/>
        <v>3669</v>
      </c>
      <c r="HN71" s="11">
        <f t="shared" si="467"/>
        <v>324</v>
      </c>
      <c r="HO71" s="11">
        <f t="shared" si="468"/>
        <v>1953</v>
      </c>
      <c r="HP71" s="95">
        <f t="shared" si="469"/>
        <v>0.53229762878168441</v>
      </c>
      <c r="HQ71" s="15">
        <f t="shared" si="470"/>
        <v>96</v>
      </c>
      <c r="HR71" s="12">
        <f t="shared" si="491"/>
        <v>4.9155145929339478E-2</v>
      </c>
      <c r="HS71" s="16">
        <v>64</v>
      </c>
      <c r="HT71" s="17">
        <v>1766</v>
      </c>
      <c r="HU71" s="16">
        <f t="shared" si="471"/>
        <v>90.424987199180748</v>
      </c>
      <c r="HV71" s="18"/>
      <c r="HW71" s="20"/>
    </row>
    <row r="72" spans="1:231" ht="18.75" x14ac:dyDescent="0.25">
      <c r="A72" s="374"/>
      <c r="B72" s="41">
        <f t="shared" si="411"/>
        <v>44994</v>
      </c>
      <c r="C72" s="10"/>
      <c r="D72" s="11"/>
      <c r="E72" s="69">
        <f t="shared" si="472"/>
        <v>696</v>
      </c>
      <c r="F72" s="69">
        <f t="shared" si="472"/>
        <v>63</v>
      </c>
      <c r="G72" s="11">
        <v>370</v>
      </c>
      <c r="H72" s="12">
        <f t="shared" si="432"/>
        <v>0.54022988505747127</v>
      </c>
      <c r="I72" s="11">
        <v>6</v>
      </c>
      <c r="J72" s="12">
        <f t="shared" si="473"/>
        <v>1.5957446808510637E-2</v>
      </c>
      <c r="K72" s="13"/>
      <c r="L72" s="13"/>
      <c r="M72" s="25">
        <v>3905</v>
      </c>
      <c r="N72" s="38">
        <v>4300</v>
      </c>
      <c r="O72" s="10"/>
      <c r="P72" s="11"/>
      <c r="Q72" s="69">
        <f t="shared" si="474"/>
        <v>687</v>
      </c>
      <c r="R72" s="69">
        <f t="shared" si="474"/>
        <v>62</v>
      </c>
      <c r="S72" s="11">
        <v>343</v>
      </c>
      <c r="T72" s="12">
        <f t="shared" si="433"/>
        <v>0.5211062590975255</v>
      </c>
      <c r="U72" s="11">
        <v>15</v>
      </c>
      <c r="V72" s="12">
        <f t="shared" si="434"/>
        <v>4.189944134078212E-2</v>
      </c>
      <c r="W72" s="13"/>
      <c r="X72" s="13"/>
      <c r="Y72" s="25">
        <v>3905</v>
      </c>
      <c r="Z72" s="38">
        <v>4300</v>
      </c>
      <c r="AA72" s="10"/>
      <c r="AB72" s="11"/>
      <c r="AC72" s="69">
        <f t="shared" si="475"/>
        <v>169</v>
      </c>
      <c r="AD72" s="69">
        <f t="shared" si="475"/>
        <v>11</v>
      </c>
      <c r="AE72" s="11">
        <v>85</v>
      </c>
      <c r="AF72" s="12">
        <f t="shared" si="435"/>
        <v>0.53846153846153844</v>
      </c>
      <c r="AG72" s="11">
        <v>6</v>
      </c>
      <c r="AH72" s="12">
        <f t="shared" si="436"/>
        <v>6.5934065934065936E-2</v>
      </c>
      <c r="AI72" s="13"/>
      <c r="AJ72" s="13"/>
      <c r="AK72" s="25">
        <v>3905</v>
      </c>
      <c r="AL72" s="38">
        <v>4300</v>
      </c>
      <c r="AM72" s="10"/>
      <c r="AN72" s="11"/>
      <c r="AO72" s="69">
        <f t="shared" si="476"/>
        <v>703</v>
      </c>
      <c r="AP72" s="69">
        <f t="shared" si="476"/>
        <v>63</v>
      </c>
      <c r="AQ72" s="11">
        <v>376</v>
      </c>
      <c r="AR72" s="12">
        <f t="shared" si="437"/>
        <v>0.5604551920341394</v>
      </c>
      <c r="AS72" s="11">
        <v>18</v>
      </c>
      <c r="AT72" s="12">
        <f t="shared" si="438"/>
        <v>4.5685279187817257E-2</v>
      </c>
      <c r="AU72" s="13"/>
      <c r="AV72" s="13"/>
      <c r="AW72" s="25">
        <v>3905</v>
      </c>
      <c r="AX72" s="38">
        <v>4300</v>
      </c>
      <c r="AY72" s="10"/>
      <c r="AZ72" s="11"/>
      <c r="BA72" s="69">
        <f t="shared" si="477"/>
        <v>709</v>
      </c>
      <c r="BB72" s="69">
        <f t="shared" si="477"/>
        <v>62</v>
      </c>
      <c r="BC72" s="11">
        <v>369</v>
      </c>
      <c r="BD72" s="12">
        <f t="shared" si="439"/>
        <v>0.54583921015514814</v>
      </c>
      <c r="BE72" s="11">
        <v>18</v>
      </c>
      <c r="BF72" s="12">
        <f t="shared" si="440"/>
        <v>4.6511627906976744E-2</v>
      </c>
      <c r="BG72" s="13"/>
      <c r="BH72" s="13"/>
      <c r="BI72" s="25">
        <v>3905</v>
      </c>
      <c r="BJ72" s="38">
        <v>4300</v>
      </c>
      <c r="BK72" s="10"/>
      <c r="BL72" s="11"/>
      <c r="BM72" s="69">
        <f t="shared" si="478"/>
        <v>705</v>
      </c>
      <c r="BN72" s="69">
        <f t="shared" si="478"/>
        <v>63</v>
      </c>
      <c r="BO72" s="11">
        <v>385</v>
      </c>
      <c r="BP72" s="12">
        <f t="shared" si="441"/>
        <v>0.5687943262411348</v>
      </c>
      <c r="BQ72" s="11">
        <v>16</v>
      </c>
      <c r="BR72" s="12">
        <f t="shared" si="442"/>
        <v>3.9900249376558602E-2</v>
      </c>
      <c r="BS72" s="13"/>
      <c r="BT72" s="13"/>
      <c r="BU72" s="25">
        <v>3905</v>
      </c>
      <c r="BV72" s="38">
        <v>4300</v>
      </c>
      <c r="BW72" s="10"/>
      <c r="BX72" s="11"/>
      <c r="BY72" s="69">
        <f t="shared" si="479"/>
        <v>0</v>
      </c>
      <c r="BZ72" s="69">
        <f t="shared" si="479"/>
        <v>0</v>
      </c>
      <c r="CA72" s="11"/>
      <c r="CB72" s="12" t="e">
        <f t="shared" si="443"/>
        <v>#DIV/0!</v>
      </c>
      <c r="CC72" s="11"/>
      <c r="CD72" s="12" t="e">
        <f t="shared" si="444"/>
        <v>#DIV/0!</v>
      </c>
      <c r="CE72" s="13"/>
      <c r="CF72" s="13"/>
      <c r="CG72" s="25"/>
      <c r="CH72" s="38"/>
      <c r="CI72" s="10"/>
      <c r="CJ72" s="11"/>
      <c r="CK72" s="69">
        <f t="shared" si="480"/>
        <v>0</v>
      </c>
      <c r="CL72" s="69">
        <f t="shared" si="480"/>
        <v>0</v>
      </c>
      <c r="CM72" s="11"/>
      <c r="CN72" s="12" t="e">
        <f t="shared" si="445"/>
        <v>#DIV/0!</v>
      </c>
      <c r="CO72" s="11"/>
      <c r="CP72" s="12" t="e">
        <f t="shared" si="446"/>
        <v>#DIV/0!</v>
      </c>
      <c r="CQ72" s="13"/>
      <c r="CR72" s="13"/>
      <c r="CS72" s="25"/>
      <c r="CT72" s="38"/>
      <c r="CU72" s="10"/>
      <c r="CV72" s="11"/>
      <c r="CW72" s="69">
        <f t="shared" si="481"/>
        <v>0</v>
      </c>
      <c r="CX72" s="69">
        <f t="shared" si="481"/>
        <v>0</v>
      </c>
      <c r="CY72" s="11"/>
      <c r="CZ72" s="12" t="e">
        <f t="shared" si="447"/>
        <v>#DIV/0!</v>
      </c>
      <c r="DA72" s="11"/>
      <c r="DB72" s="12" t="e">
        <f t="shared" si="448"/>
        <v>#DIV/0!</v>
      </c>
      <c r="DC72" s="13"/>
      <c r="DD72" s="13"/>
      <c r="DE72" s="25"/>
      <c r="DF72" s="38"/>
      <c r="DG72" s="10"/>
      <c r="DH72" s="11"/>
      <c r="DI72" s="69">
        <f t="shared" si="482"/>
        <v>0</v>
      </c>
      <c r="DJ72" s="69">
        <f t="shared" si="482"/>
        <v>0</v>
      </c>
      <c r="DK72" s="11"/>
      <c r="DL72" s="12" t="e">
        <f t="shared" si="449"/>
        <v>#DIV/0!</v>
      </c>
      <c r="DM72" s="11"/>
      <c r="DN72" s="12" t="e">
        <f t="shared" si="450"/>
        <v>#DIV/0!</v>
      </c>
      <c r="DO72" s="13"/>
      <c r="DP72" s="13"/>
      <c r="DQ72" s="25"/>
      <c r="DR72" s="38"/>
      <c r="DS72" s="10"/>
      <c r="DT72" s="11"/>
      <c r="DU72" s="69">
        <f t="shared" si="483"/>
        <v>0</v>
      </c>
      <c r="DV72" s="69">
        <f t="shared" si="483"/>
        <v>0</v>
      </c>
      <c r="DW72" s="11"/>
      <c r="DX72" s="12" t="e">
        <f t="shared" si="451"/>
        <v>#DIV/0!</v>
      </c>
      <c r="DY72" s="11"/>
      <c r="DZ72" s="12" t="e">
        <f t="shared" si="452"/>
        <v>#DIV/0!</v>
      </c>
      <c r="EA72" s="13"/>
      <c r="EB72" s="13"/>
      <c r="EC72" s="25"/>
      <c r="ED72" s="38"/>
      <c r="EE72" s="10"/>
      <c r="EF72" s="11"/>
      <c r="EG72" s="69">
        <f t="shared" si="484"/>
        <v>0</v>
      </c>
      <c r="EH72" s="69">
        <f t="shared" si="484"/>
        <v>0</v>
      </c>
      <c r="EI72" s="11"/>
      <c r="EJ72" s="12" t="e">
        <f t="shared" si="453"/>
        <v>#DIV/0!</v>
      </c>
      <c r="EK72" s="11"/>
      <c r="EL72" s="12" t="e">
        <f t="shared" si="454"/>
        <v>#DIV/0!</v>
      </c>
      <c r="EM72" s="13"/>
      <c r="EN72" s="13"/>
      <c r="EO72" s="25"/>
      <c r="EP72" s="38"/>
      <c r="EQ72" s="10"/>
      <c r="ER72" s="11"/>
      <c r="ES72" s="69">
        <f t="shared" si="485"/>
        <v>0</v>
      </c>
      <c r="ET72" s="69">
        <f t="shared" si="485"/>
        <v>0</v>
      </c>
      <c r="EU72" s="11"/>
      <c r="EV72" s="12" t="e">
        <f t="shared" si="455"/>
        <v>#DIV/0!</v>
      </c>
      <c r="EW72" s="11"/>
      <c r="EX72" s="12" t="e">
        <f t="shared" si="456"/>
        <v>#DIV/0!</v>
      </c>
      <c r="EY72" s="13"/>
      <c r="EZ72" s="13"/>
      <c r="FA72" s="25"/>
      <c r="FB72" s="38"/>
      <c r="FC72" s="10"/>
      <c r="FD72" s="11"/>
      <c r="FE72" s="69">
        <f t="shared" si="486"/>
        <v>0</v>
      </c>
      <c r="FF72" s="69">
        <f t="shared" si="486"/>
        <v>0</v>
      </c>
      <c r="FG72" s="11"/>
      <c r="FH72" s="12" t="e">
        <f t="shared" si="457"/>
        <v>#DIV/0!</v>
      </c>
      <c r="FI72" s="11"/>
      <c r="FJ72" s="12" t="e">
        <f t="shared" si="458"/>
        <v>#DIV/0!</v>
      </c>
      <c r="FK72" s="13"/>
      <c r="FL72" s="13"/>
      <c r="FM72" s="25"/>
      <c r="FN72" s="38"/>
      <c r="FO72" s="10"/>
      <c r="FP72" s="11"/>
      <c r="FQ72" s="69">
        <f t="shared" si="487"/>
        <v>0</v>
      </c>
      <c r="FR72" s="69">
        <f t="shared" si="487"/>
        <v>0</v>
      </c>
      <c r="FS72" s="11"/>
      <c r="FT72" s="12" t="e">
        <f t="shared" si="459"/>
        <v>#DIV/0!</v>
      </c>
      <c r="FU72" s="11"/>
      <c r="FV72" s="12" t="e">
        <f t="shared" si="460"/>
        <v>#DIV/0!</v>
      </c>
      <c r="FW72" s="13"/>
      <c r="FX72" s="13"/>
      <c r="FY72" s="25"/>
      <c r="FZ72" s="38"/>
      <c r="GA72" s="10"/>
      <c r="GB72" s="11"/>
      <c r="GC72" s="69">
        <f t="shared" si="488"/>
        <v>0</v>
      </c>
      <c r="GD72" s="69">
        <f t="shared" si="488"/>
        <v>0</v>
      </c>
      <c r="GE72" s="11"/>
      <c r="GF72" s="12" t="e">
        <f t="shared" si="461"/>
        <v>#DIV/0!</v>
      </c>
      <c r="GG72" s="11"/>
      <c r="GH72" s="12" t="e">
        <f t="shared" si="462"/>
        <v>#DIV/0!</v>
      </c>
      <c r="GI72" s="13"/>
      <c r="GJ72" s="13"/>
      <c r="GK72" s="25"/>
      <c r="GL72" s="38"/>
      <c r="GM72" s="10"/>
      <c r="GN72" s="11"/>
      <c r="GO72" s="69">
        <f t="shared" si="489"/>
        <v>0</v>
      </c>
      <c r="GP72" s="69">
        <f t="shared" si="489"/>
        <v>0</v>
      </c>
      <c r="GQ72" s="11"/>
      <c r="GR72" s="12" t="e">
        <f t="shared" si="463"/>
        <v>#DIV/0!</v>
      </c>
      <c r="GS72" s="11"/>
      <c r="GT72" s="12" t="e">
        <f t="shared" si="464"/>
        <v>#DIV/0!</v>
      </c>
      <c r="GU72" s="13"/>
      <c r="GV72" s="13"/>
      <c r="GW72" s="25"/>
      <c r="GX72" s="38"/>
      <c r="GY72" s="10"/>
      <c r="GZ72" s="11"/>
      <c r="HA72" s="69">
        <f t="shared" si="490"/>
        <v>0</v>
      </c>
      <c r="HB72" s="69">
        <f t="shared" si="490"/>
        <v>0</v>
      </c>
      <c r="HC72" s="11"/>
      <c r="HD72" s="12" t="e">
        <f t="shared" si="465"/>
        <v>#DIV/0!</v>
      </c>
      <c r="HE72" s="11"/>
      <c r="HF72" s="12" t="e">
        <f t="shared" si="466"/>
        <v>#DIV/0!</v>
      </c>
      <c r="HG72" s="13"/>
      <c r="HH72" s="13"/>
      <c r="HI72" s="25"/>
      <c r="HJ72" s="38"/>
      <c r="HK72" s="10">
        <f t="shared" si="467"/>
        <v>0</v>
      </c>
      <c r="HL72" s="11">
        <f t="shared" si="467"/>
        <v>0</v>
      </c>
      <c r="HM72" s="11">
        <f t="shared" si="467"/>
        <v>3669</v>
      </c>
      <c r="HN72" s="11">
        <f t="shared" si="467"/>
        <v>324</v>
      </c>
      <c r="HO72" s="11">
        <f t="shared" si="468"/>
        <v>2007</v>
      </c>
      <c r="HP72" s="95">
        <f t="shared" si="469"/>
        <v>0.54701553556827476</v>
      </c>
      <c r="HQ72" s="15">
        <f t="shared" si="470"/>
        <v>79</v>
      </c>
      <c r="HR72" s="12">
        <f t="shared" si="491"/>
        <v>3.9362232187344297E-2</v>
      </c>
      <c r="HS72" s="16">
        <v>63.6</v>
      </c>
      <c r="HT72" s="17">
        <v>1824</v>
      </c>
      <c r="HU72" s="16">
        <f t="shared" si="471"/>
        <v>90.881913303437969</v>
      </c>
      <c r="HV72" s="23">
        <v>3905</v>
      </c>
      <c r="HW72" s="22">
        <v>4300</v>
      </c>
    </row>
    <row r="73" spans="1:231" ht="18.75" x14ac:dyDescent="0.25">
      <c r="A73" s="374"/>
      <c r="B73" s="41">
        <f t="shared" si="411"/>
        <v>44995</v>
      </c>
      <c r="C73" s="10"/>
      <c r="D73" s="11"/>
      <c r="E73" s="69">
        <f t="shared" si="472"/>
        <v>696</v>
      </c>
      <c r="F73" s="69">
        <f t="shared" si="472"/>
        <v>63</v>
      </c>
      <c r="G73" s="11">
        <v>419</v>
      </c>
      <c r="H73" s="12">
        <f t="shared" si="432"/>
        <v>0.625</v>
      </c>
      <c r="I73" s="11">
        <v>16</v>
      </c>
      <c r="J73" s="12">
        <f t="shared" si="473"/>
        <v>3.6781609195402298E-2</v>
      </c>
      <c r="K73" s="13"/>
      <c r="L73" s="11"/>
      <c r="M73" s="25">
        <v>4302.5</v>
      </c>
      <c r="N73" s="38">
        <v>4557.1400000000003</v>
      </c>
      <c r="O73" s="10"/>
      <c r="P73" s="11"/>
      <c r="Q73" s="69">
        <f t="shared" si="474"/>
        <v>687</v>
      </c>
      <c r="R73" s="69">
        <f t="shared" si="474"/>
        <v>62</v>
      </c>
      <c r="S73" s="11">
        <v>369</v>
      </c>
      <c r="T73" s="12">
        <f t="shared" si="433"/>
        <v>0.55895196506550215</v>
      </c>
      <c r="U73" s="11">
        <v>15</v>
      </c>
      <c r="V73" s="12">
        <f t="shared" si="434"/>
        <v>3.90625E-2</v>
      </c>
      <c r="W73" s="13"/>
      <c r="X73" s="11"/>
      <c r="Y73" s="25">
        <v>4286.18</v>
      </c>
      <c r="Z73" s="38">
        <v>4579.29</v>
      </c>
      <c r="AA73" s="10"/>
      <c r="AB73" s="11"/>
      <c r="AC73" s="69">
        <f t="shared" si="475"/>
        <v>169</v>
      </c>
      <c r="AD73" s="69">
        <f t="shared" si="475"/>
        <v>11</v>
      </c>
      <c r="AE73" s="11">
        <v>117</v>
      </c>
      <c r="AF73" s="12">
        <f t="shared" si="435"/>
        <v>0.7100591715976331</v>
      </c>
      <c r="AG73" s="11">
        <v>3</v>
      </c>
      <c r="AH73" s="12">
        <f t="shared" si="436"/>
        <v>2.5000000000000001E-2</v>
      </c>
      <c r="AI73" s="13"/>
      <c r="AJ73" s="11"/>
      <c r="AK73" s="25">
        <v>4433</v>
      </c>
      <c r="AL73" s="38">
        <v>4797.5</v>
      </c>
      <c r="AM73" s="10"/>
      <c r="AN73" s="11"/>
      <c r="AO73" s="69">
        <f t="shared" si="476"/>
        <v>703</v>
      </c>
      <c r="AP73" s="69">
        <f t="shared" si="476"/>
        <v>63</v>
      </c>
      <c r="AQ73" s="11">
        <v>395</v>
      </c>
      <c r="AR73" s="12">
        <f t="shared" si="437"/>
        <v>0.5732574679943101</v>
      </c>
      <c r="AS73" s="11">
        <v>8</v>
      </c>
      <c r="AT73" s="12">
        <f t="shared" si="438"/>
        <v>1.9851116625310174E-2</v>
      </c>
      <c r="AU73" s="13"/>
      <c r="AV73" s="11"/>
      <c r="AW73" s="25">
        <v>4248</v>
      </c>
      <c r="AX73" s="38">
        <v>4930</v>
      </c>
      <c r="AY73" s="10"/>
      <c r="AZ73" s="11"/>
      <c r="BA73" s="69">
        <f t="shared" si="477"/>
        <v>709</v>
      </c>
      <c r="BB73" s="69">
        <f t="shared" si="477"/>
        <v>62</v>
      </c>
      <c r="BC73" s="11">
        <v>379</v>
      </c>
      <c r="BD73" s="12">
        <f t="shared" si="439"/>
        <v>0.56276445698166433</v>
      </c>
      <c r="BE73" s="11">
        <v>20</v>
      </c>
      <c r="BF73" s="12">
        <f t="shared" si="440"/>
        <v>5.0125313283208017E-2</v>
      </c>
      <c r="BG73" s="13"/>
      <c r="BH73" s="11"/>
      <c r="BI73" s="25">
        <v>4331.67</v>
      </c>
      <c r="BJ73" s="38">
        <v>4738.13</v>
      </c>
      <c r="BK73" s="10"/>
      <c r="BL73" s="11"/>
      <c r="BM73" s="69">
        <f t="shared" si="478"/>
        <v>705</v>
      </c>
      <c r="BN73" s="69">
        <f t="shared" si="478"/>
        <v>63</v>
      </c>
      <c r="BO73" s="11">
        <v>368</v>
      </c>
      <c r="BP73" s="12">
        <f t="shared" si="441"/>
        <v>0.53617021276595744</v>
      </c>
      <c r="BQ73" s="11">
        <v>10</v>
      </c>
      <c r="BR73" s="12">
        <f t="shared" si="442"/>
        <v>2.6455026455026454E-2</v>
      </c>
      <c r="BS73" s="13"/>
      <c r="BT73" s="11"/>
      <c r="BU73" s="25">
        <v>4382.9399999999996</v>
      </c>
      <c r="BV73" s="38">
        <v>4685.71</v>
      </c>
      <c r="BW73" s="10"/>
      <c r="BX73" s="11"/>
      <c r="BY73" s="69">
        <f t="shared" si="479"/>
        <v>0</v>
      </c>
      <c r="BZ73" s="69">
        <f t="shared" si="479"/>
        <v>0</v>
      </c>
      <c r="CA73" s="11"/>
      <c r="CB73" s="12" t="e">
        <f t="shared" si="443"/>
        <v>#DIV/0!</v>
      </c>
      <c r="CC73" s="11"/>
      <c r="CD73" s="12" t="e">
        <f t="shared" si="444"/>
        <v>#DIV/0!</v>
      </c>
      <c r="CE73" s="13"/>
      <c r="CF73" s="11"/>
      <c r="CG73" s="25"/>
      <c r="CH73" s="38"/>
      <c r="CI73" s="10"/>
      <c r="CJ73" s="11"/>
      <c r="CK73" s="69">
        <f t="shared" si="480"/>
        <v>0</v>
      </c>
      <c r="CL73" s="69">
        <f t="shared" si="480"/>
        <v>0</v>
      </c>
      <c r="CM73" s="11"/>
      <c r="CN73" s="12" t="e">
        <f t="shared" si="445"/>
        <v>#DIV/0!</v>
      </c>
      <c r="CO73" s="11"/>
      <c r="CP73" s="12" t="e">
        <f t="shared" si="446"/>
        <v>#DIV/0!</v>
      </c>
      <c r="CQ73" s="13"/>
      <c r="CR73" s="11"/>
      <c r="CS73" s="25"/>
      <c r="CT73" s="38"/>
      <c r="CU73" s="10"/>
      <c r="CV73" s="11"/>
      <c r="CW73" s="69">
        <f t="shared" si="481"/>
        <v>0</v>
      </c>
      <c r="CX73" s="69">
        <f t="shared" si="481"/>
        <v>0</v>
      </c>
      <c r="CY73" s="11"/>
      <c r="CZ73" s="12" t="e">
        <f t="shared" si="447"/>
        <v>#DIV/0!</v>
      </c>
      <c r="DA73" s="11"/>
      <c r="DB73" s="12" t="e">
        <f t="shared" si="448"/>
        <v>#DIV/0!</v>
      </c>
      <c r="DC73" s="13"/>
      <c r="DD73" s="11"/>
      <c r="DE73" s="25"/>
      <c r="DF73" s="38"/>
      <c r="DG73" s="10"/>
      <c r="DH73" s="11"/>
      <c r="DI73" s="69">
        <f t="shared" si="482"/>
        <v>0</v>
      </c>
      <c r="DJ73" s="69">
        <f t="shared" si="482"/>
        <v>0</v>
      </c>
      <c r="DK73" s="11"/>
      <c r="DL73" s="12" t="e">
        <f t="shared" si="449"/>
        <v>#DIV/0!</v>
      </c>
      <c r="DM73" s="11"/>
      <c r="DN73" s="12" t="e">
        <f t="shared" si="450"/>
        <v>#DIV/0!</v>
      </c>
      <c r="DO73" s="13"/>
      <c r="DP73" s="11"/>
      <c r="DQ73" s="25"/>
      <c r="DR73" s="38"/>
      <c r="DS73" s="10"/>
      <c r="DT73" s="11"/>
      <c r="DU73" s="69">
        <f t="shared" si="483"/>
        <v>0</v>
      </c>
      <c r="DV73" s="69">
        <f t="shared" si="483"/>
        <v>0</v>
      </c>
      <c r="DW73" s="11"/>
      <c r="DX73" s="12" t="e">
        <f t="shared" si="451"/>
        <v>#DIV/0!</v>
      </c>
      <c r="DY73" s="11"/>
      <c r="DZ73" s="12" t="e">
        <f t="shared" si="452"/>
        <v>#DIV/0!</v>
      </c>
      <c r="EA73" s="13"/>
      <c r="EB73" s="11"/>
      <c r="EC73" s="25"/>
      <c r="ED73" s="38"/>
      <c r="EE73" s="10"/>
      <c r="EF73" s="11"/>
      <c r="EG73" s="69">
        <f t="shared" si="484"/>
        <v>0</v>
      </c>
      <c r="EH73" s="69">
        <f t="shared" si="484"/>
        <v>0</v>
      </c>
      <c r="EI73" s="11"/>
      <c r="EJ73" s="12" t="e">
        <f t="shared" si="453"/>
        <v>#DIV/0!</v>
      </c>
      <c r="EK73" s="11"/>
      <c r="EL73" s="12" t="e">
        <f t="shared" si="454"/>
        <v>#DIV/0!</v>
      </c>
      <c r="EM73" s="13"/>
      <c r="EN73" s="11"/>
      <c r="EO73" s="25"/>
      <c r="EP73" s="38"/>
      <c r="EQ73" s="10"/>
      <c r="ER73" s="11"/>
      <c r="ES73" s="69">
        <f t="shared" si="485"/>
        <v>0</v>
      </c>
      <c r="ET73" s="69">
        <f t="shared" si="485"/>
        <v>0</v>
      </c>
      <c r="EU73" s="11"/>
      <c r="EV73" s="12" t="e">
        <f t="shared" si="455"/>
        <v>#DIV/0!</v>
      </c>
      <c r="EW73" s="11"/>
      <c r="EX73" s="12" t="e">
        <f t="shared" si="456"/>
        <v>#DIV/0!</v>
      </c>
      <c r="EY73" s="13"/>
      <c r="EZ73" s="11"/>
      <c r="FA73" s="25"/>
      <c r="FB73" s="38"/>
      <c r="FC73" s="10"/>
      <c r="FD73" s="11"/>
      <c r="FE73" s="69">
        <f t="shared" si="486"/>
        <v>0</v>
      </c>
      <c r="FF73" s="69">
        <f t="shared" si="486"/>
        <v>0</v>
      </c>
      <c r="FG73" s="11"/>
      <c r="FH73" s="12" t="e">
        <f t="shared" si="457"/>
        <v>#DIV/0!</v>
      </c>
      <c r="FI73" s="11"/>
      <c r="FJ73" s="12" t="e">
        <f t="shared" si="458"/>
        <v>#DIV/0!</v>
      </c>
      <c r="FK73" s="13"/>
      <c r="FL73" s="11"/>
      <c r="FM73" s="25"/>
      <c r="FN73" s="38"/>
      <c r="FO73" s="10"/>
      <c r="FP73" s="11"/>
      <c r="FQ73" s="69">
        <f t="shared" si="487"/>
        <v>0</v>
      </c>
      <c r="FR73" s="69">
        <f t="shared" si="487"/>
        <v>0</v>
      </c>
      <c r="FS73" s="11"/>
      <c r="FT73" s="12" t="e">
        <f t="shared" si="459"/>
        <v>#DIV/0!</v>
      </c>
      <c r="FU73" s="11"/>
      <c r="FV73" s="12" t="e">
        <f t="shared" si="460"/>
        <v>#DIV/0!</v>
      </c>
      <c r="FW73" s="13"/>
      <c r="FX73" s="11"/>
      <c r="FY73" s="25"/>
      <c r="FZ73" s="38"/>
      <c r="GA73" s="10"/>
      <c r="GB73" s="11"/>
      <c r="GC73" s="69">
        <f t="shared" si="488"/>
        <v>0</v>
      </c>
      <c r="GD73" s="69">
        <f t="shared" si="488"/>
        <v>0</v>
      </c>
      <c r="GE73" s="11"/>
      <c r="GF73" s="12" t="e">
        <f t="shared" si="461"/>
        <v>#DIV/0!</v>
      </c>
      <c r="GG73" s="11"/>
      <c r="GH73" s="12" t="e">
        <f t="shared" si="462"/>
        <v>#DIV/0!</v>
      </c>
      <c r="GI73" s="13"/>
      <c r="GJ73" s="11"/>
      <c r="GK73" s="25"/>
      <c r="GL73" s="38"/>
      <c r="GM73" s="10"/>
      <c r="GN73" s="11"/>
      <c r="GO73" s="69">
        <f t="shared" si="489"/>
        <v>0</v>
      </c>
      <c r="GP73" s="69">
        <f t="shared" si="489"/>
        <v>0</v>
      </c>
      <c r="GQ73" s="11"/>
      <c r="GR73" s="12" t="e">
        <f t="shared" si="463"/>
        <v>#DIV/0!</v>
      </c>
      <c r="GS73" s="11"/>
      <c r="GT73" s="12" t="e">
        <f t="shared" si="464"/>
        <v>#DIV/0!</v>
      </c>
      <c r="GU73" s="13"/>
      <c r="GV73" s="11"/>
      <c r="GW73" s="25"/>
      <c r="GX73" s="38"/>
      <c r="GY73" s="10"/>
      <c r="GZ73" s="11"/>
      <c r="HA73" s="69">
        <f t="shared" si="490"/>
        <v>0</v>
      </c>
      <c r="HB73" s="69">
        <f t="shared" si="490"/>
        <v>0</v>
      </c>
      <c r="HC73" s="11"/>
      <c r="HD73" s="12" t="e">
        <f t="shared" si="465"/>
        <v>#DIV/0!</v>
      </c>
      <c r="HE73" s="11"/>
      <c r="HF73" s="12" t="e">
        <f t="shared" si="466"/>
        <v>#DIV/0!</v>
      </c>
      <c r="HG73" s="13"/>
      <c r="HH73" s="11"/>
      <c r="HI73" s="25"/>
      <c r="HJ73" s="38"/>
      <c r="HK73" s="10">
        <f t="shared" si="467"/>
        <v>0</v>
      </c>
      <c r="HL73" s="11">
        <f t="shared" si="467"/>
        <v>0</v>
      </c>
      <c r="HM73" s="11">
        <f t="shared" si="467"/>
        <v>3669</v>
      </c>
      <c r="HN73" s="11">
        <f t="shared" si="467"/>
        <v>324</v>
      </c>
      <c r="HO73" s="11">
        <f t="shared" si="468"/>
        <v>2119</v>
      </c>
      <c r="HP73" s="95">
        <f t="shared" si="469"/>
        <v>0.57754156445898064</v>
      </c>
      <c r="HQ73" s="15">
        <f t="shared" si="470"/>
        <v>72</v>
      </c>
      <c r="HR73" s="12">
        <f t="shared" si="491"/>
        <v>3.3978291647003306E-2</v>
      </c>
      <c r="HS73" s="16">
        <v>63.2</v>
      </c>
      <c r="HT73" s="17">
        <v>1944</v>
      </c>
      <c r="HU73" s="16">
        <f t="shared" si="471"/>
        <v>91.741387446908917</v>
      </c>
      <c r="HV73" s="23">
        <v>4316.7</v>
      </c>
      <c r="HW73" s="22">
        <v>4695.07</v>
      </c>
    </row>
    <row r="74" spans="1:231" ht="18.75" x14ac:dyDescent="0.25">
      <c r="A74" s="374"/>
      <c r="B74" s="41">
        <f t="shared" si="411"/>
        <v>44996</v>
      </c>
      <c r="C74" s="10">
        <v>2</v>
      </c>
      <c r="D74" s="11"/>
      <c r="E74" s="69">
        <f>E73-C74</f>
        <v>694</v>
      </c>
      <c r="F74" s="69">
        <f>F73-D74</f>
        <v>63</v>
      </c>
      <c r="G74" s="11">
        <v>390</v>
      </c>
      <c r="H74" s="12">
        <f t="shared" si="432"/>
        <v>0.5806916426512968</v>
      </c>
      <c r="I74" s="11">
        <v>13</v>
      </c>
      <c r="J74" s="12">
        <f t="shared" si="473"/>
        <v>3.2258064516129031E-2</v>
      </c>
      <c r="K74" s="13"/>
      <c r="L74" s="11"/>
      <c r="M74" s="39">
        <v>77.8</v>
      </c>
      <c r="N74" s="43">
        <v>92.9</v>
      </c>
      <c r="O74" s="10"/>
      <c r="P74" s="11"/>
      <c r="Q74" s="69">
        <f t="shared" si="474"/>
        <v>687</v>
      </c>
      <c r="R74" s="69">
        <f t="shared" si="474"/>
        <v>62</v>
      </c>
      <c r="S74" s="11">
        <v>314</v>
      </c>
      <c r="T74" s="12">
        <f t="shared" si="433"/>
        <v>0.4774381368267831</v>
      </c>
      <c r="U74" s="11">
        <v>14</v>
      </c>
      <c r="V74" s="12">
        <f t="shared" si="434"/>
        <v>4.2682926829268296E-2</v>
      </c>
      <c r="W74" s="13"/>
      <c r="X74" s="11"/>
      <c r="Y74" s="39">
        <v>94.12</v>
      </c>
      <c r="Z74" s="43">
        <v>92.86</v>
      </c>
      <c r="AA74" s="10">
        <v>1</v>
      </c>
      <c r="AB74" s="11"/>
      <c r="AC74" s="69">
        <f t="shared" si="475"/>
        <v>168</v>
      </c>
      <c r="AD74" s="69">
        <f t="shared" si="475"/>
        <v>11</v>
      </c>
      <c r="AE74" s="11">
        <v>84</v>
      </c>
      <c r="AF74" s="12">
        <f t="shared" si="435"/>
        <v>0.51190476190476186</v>
      </c>
      <c r="AG74" s="11">
        <v>2</v>
      </c>
      <c r="AH74" s="12">
        <f t="shared" si="436"/>
        <v>2.3255813953488372E-2</v>
      </c>
      <c r="AI74" s="13"/>
      <c r="AJ74" s="11"/>
      <c r="AK74" s="39">
        <v>80</v>
      </c>
      <c r="AL74" s="43">
        <v>100</v>
      </c>
      <c r="AM74" s="10"/>
      <c r="AN74" s="11"/>
      <c r="AO74" s="69">
        <f t="shared" si="476"/>
        <v>703</v>
      </c>
      <c r="AP74" s="69">
        <f t="shared" si="476"/>
        <v>63</v>
      </c>
      <c r="AQ74" s="11">
        <v>394</v>
      </c>
      <c r="AR74" s="12">
        <f t="shared" si="437"/>
        <v>0.58463726884779521</v>
      </c>
      <c r="AS74" s="11">
        <v>17</v>
      </c>
      <c r="AT74" s="12">
        <f t="shared" si="438"/>
        <v>4.1362530413625302E-2</v>
      </c>
      <c r="AU74" s="13"/>
      <c r="AV74" s="11"/>
      <c r="AW74" s="39">
        <v>100</v>
      </c>
      <c r="AX74" s="43">
        <v>100</v>
      </c>
      <c r="AY74" s="10"/>
      <c r="AZ74" s="11"/>
      <c r="BA74" s="69">
        <f t="shared" si="477"/>
        <v>709</v>
      </c>
      <c r="BB74" s="69">
        <f t="shared" si="477"/>
        <v>62</v>
      </c>
      <c r="BC74" s="11">
        <v>395</v>
      </c>
      <c r="BD74" s="12">
        <f t="shared" si="439"/>
        <v>0.57263751763046544</v>
      </c>
      <c r="BE74" s="11">
        <v>11</v>
      </c>
      <c r="BF74" s="12">
        <f t="shared" si="440"/>
        <v>2.7093596059113302E-2</v>
      </c>
      <c r="BG74" s="13"/>
      <c r="BH74" s="11"/>
      <c r="BI74" s="39">
        <v>91.67</v>
      </c>
      <c r="BJ74" s="43">
        <v>93.75</v>
      </c>
      <c r="BK74" s="10"/>
      <c r="BL74" s="11"/>
      <c r="BM74" s="69">
        <f t="shared" si="478"/>
        <v>705</v>
      </c>
      <c r="BN74" s="69">
        <f t="shared" si="478"/>
        <v>63</v>
      </c>
      <c r="BO74" s="11">
        <v>377</v>
      </c>
      <c r="BP74" s="12">
        <f t="shared" si="441"/>
        <v>0.55177304964539009</v>
      </c>
      <c r="BQ74" s="11">
        <v>12</v>
      </c>
      <c r="BR74" s="12">
        <f t="shared" si="442"/>
        <v>3.0848329048843187E-2</v>
      </c>
      <c r="BS74" s="13"/>
      <c r="BT74" s="11"/>
      <c r="BU74" s="39">
        <v>88.24</v>
      </c>
      <c r="BV74" s="43">
        <v>78.569999999999993</v>
      </c>
      <c r="BW74" s="10"/>
      <c r="BX74" s="11"/>
      <c r="BY74" s="69">
        <f t="shared" si="479"/>
        <v>0</v>
      </c>
      <c r="BZ74" s="69">
        <f t="shared" si="479"/>
        <v>0</v>
      </c>
      <c r="CA74" s="11"/>
      <c r="CB74" s="12" t="e">
        <f t="shared" si="443"/>
        <v>#DIV/0!</v>
      </c>
      <c r="CC74" s="11"/>
      <c r="CD74" s="12" t="e">
        <f t="shared" si="444"/>
        <v>#DIV/0!</v>
      </c>
      <c r="CE74" s="13"/>
      <c r="CF74" s="11"/>
      <c r="CG74" s="39"/>
      <c r="CH74" s="43"/>
      <c r="CI74" s="10"/>
      <c r="CJ74" s="11"/>
      <c r="CK74" s="69">
        <f t="shared" si="480"/>
        <v>0</v>
      </c>
      <c r="CL74" s="69">
        <f t="shared" si="480"/>
        <v>0</v>
      </c>
      <c r="CM74" s="11"/>
      <c r="CN74" s="12" t="e">
        <f t="shared" si="445"/>
        <v>#DIV/0!</v>
      </c>
      <c r="CO74" s="11"/>
      <c r="CP74" s="12" t="e">
        <f t="shared" si="446"/>
        <v>#DIV/0!</v>
      </c>
      <c r="CQ74" s="13"/>
      <c r="CR74" s="11"/>
      <c r="CS74" s="39"/>
      <c r="CT74" s="43"/>
      <c r="CU74" s="10"/>
      <c r="CV74" s="11"/>
      <c r="CW74" s="69">
        <f t="shared" si="481"/>
        <v>0</v>
      </c>
      <c r="CX74" s="69">
        <f t="shared" si="481"/>
        <v>0</v>
      </c>
      <c r="CY74" s="11"/>
      <c r="CZ74" s="12" t="e">
        <f t="shared" si="447"/>
        <v>#DIV/0!</v>
      </c>
      <c r="DA74" s="11"/>
      <c r="DB74" s="12" t="e">
        <f t="shared" si="448"/>
        <v>#DIV/0!</v>
      </c>
      <c r="DC74" s="13"/>
      <c r="DD74" s="11"/>
      <c r="DE74" s="39"/>
      <c r="DF74" s="43"/>
      <c r="DG74" s="10"/>
      <c r="DH74" s="11"/>
      <c r="DI74" s="69">
        <f t="shared" si="482"/>
        <v>0</v>
      </c>
      <c r="DJ74" s="69">
        <f t="shared" si="482"/>
        <v>0</v>
      </c>
      <c r="DK74" s="11"/>
      <c r="DL74" s="12" t="e">
        <f t="shared" si="449"/>
        <v>#DIV/0!</v>
      </c>
      <c r="DM74" s="11"/>
      <c r="DN74" s="12" t="e">
        <f t="shared" si="450"/>
        <v>#DIV/0!</v>
      </c>
      <c r="DO74" s="13"/>
      <c r="DP74" s="11"/>
      <c r="DQ74" s="39"/>
      <c r="DR74" s="43"/>
      <c r="DS74" s="10"/>
      <c r="DT74" s="11"/>
      <c r="DU74" s="69">
        <f t="shared" si="483"/>
        <v>0</v>
      </c>
      <c r="DV74" s="69">
        <f t="shared" si="483"/>
        <v>0</v>
      </c>
      <c r="DW74" s="11"/>
      <c r="DX74" s="12" t="e">
        <f t="shared" si="451"/>
        <v>#DIV/0!</v>
      </c>
      <c r="DY74" s="11"/>
      <c r="DZ74" s="12" t="e">
        <f t="shared" si="452"/>
        <v>#DIV/0!</v>
      </c>
      <c r="EA74" s="13"/>
      <c r="EB74" s="11"/>
      <c r="EC74" s="39"/>
      <c r="ED74" s="43"/>
      <c r="EE74" s="10"/>
      <c r="EF74" s="11"/>
      <c r="EG74" s="69">
        <f t="shared" si="484"/>
        <v>0</v>
      </c>
      <c r="EH74" s="69">
        <f t="shared" si="484"/>
        <v>0</v>
      </c>
      <c r="EI74" s="11"/>
      <c r="EJ74" s="12" t="e">
        <f t="shared" si="453"/>
        <v>#DIV/0!</v>
      </c>
      <c r="EK74" s="11"/>
      <c r="EL74" s="12" t="e">
        <f t="shared" si="454"/>
        <v>#DIV/0!</v>
      </c>
      <c r="EM74" s="13"/>
      <c r="EN74" s="11"/>
      <c r="EO74" s="39"/>
      <c r="EP74" s="43"/>
      <c r="EQ74" s="10"/>
      <c r="ER74" s="11"/>
      <c r="ES74" s="69">
        <f t="shared" si="485"/>
        <v>0</v>
      </c>
      <c r="ET74" s="69">
        <f t="shared" si="485"/>
        <v>0</v>
      </c>
      <c r="EU74" s="11"/>
      <c r="EV74" s="12" t="e">
        <f t="shared" si="455"/>
        <v>#DIV/0!</v>
      </c>
      <c r="EW74" s="11"/>
      <c r="EX74" s="12" t="e">
        <f t="shared" si="456"/>
        <v>#DIV/0!</v>
      </c>
      <c r="EY74" s="13"/>
      <c r="EZ74" s="11"/>
      <c r="FA74" s="39"/>
      <c r="FB74" s="43"/>
      <c r="FC74" s="10"/>
      <c r="FD74" s="11"/>
      <c r="FE74" s="69">
        <f t="shared" si="486"/>
        <v>0</v>
      </c>
      <c r="FF74" s="69">
        <f t="shared" si="486"/>
        <v>0</v>
      </c>
      <c r="FG74" s="11"/>
      <c r="FH74" s="12" t="e">
        <f t="shared" si="457"/>
        <v>#DIV/0!</v>
      </c>
      <c r="FI74" s="11"/>
      <c r="FJ74" s="12" t="e">
        <f t="shared" si="458"/>
        <v>#DIV/0!</v>
      </c>
      <c r="FK74" s="13"/>
      <c r="FL74" s="11"/>
      <c r="FM74" s="39"/>
      <c r="FN74" s="43"/>
      <c r="FO74" s="10"/>
      <c r="FP74" s="11"/>
      <c r="FQ74" s="69">
        <f t="shared" si="487"/>
        <v>0</v>
      </c>
      <c r="FR74" s="69">
        <f t="shared" si="487"/>
        <v>0</v>
      </c>
      <c r="FS74" s="11"/>
      <c r="FT74" s="12" t="e">
        <f t="shared" si="459"/>
        <v>#DIV/0!</v>
      </c>
      <c r="FU74" s="11"/>
      <c r="FV74" s="12" t="e">
        <f t="shared" si="460"/>
        <v>#DIV/0!</v>
      </c>
      <c r="FW74" s="13"/>
      <c r="FX74" s="11"/>
      <c r="FY74" s="39"/>
      <c r="FZ74" s="43"/>
      <c r="GA74" s="10"/>
      <c r="GB74" s="11"/>
      <c r="GC74" s="69">
        <f t="shared" si="488"/>
        <v>0</v>
      </c>
      <c r="GD74" s="69">
        <f t="shared" si="488"/>
        <v>0</v>
      </c>
      <c r="GE74" s="11"/>
      <c r="GF74" s="12" t="e">
        <f t="shared" si="461"/>
        <v>#DIV/0!</v>
      </c>
      <c r="GG74" s="11"/>
      <c r="GH74" s="12" t="e">
        <f t="shared" si="462"/>
        <v>#DIV/0!</v>
      </c>
      <c r="GI74" s="13"/>
      <c r="GJ74" s="11"/>
      <c r="GK74" s="39"/>
      <c r="GL74" s="43"/>
      <c r="GM74" s="10"/>
      <c r="GN74" s="11"/>
      <c r="GO74" s="69">
        <f t="shared" si="489"/>
        <v>0</v>
      </c>
      <c r="GP74" s="69">
        <f t="shared" si="489"/>
        <v>0</v>
      </c>
      <c r="GQ74" s="11"/>
      <c r="GR74" s="12" t="e">
        <f t="shared" si="463"/>
        <v>#DIV/0!</v>
      </c>
      <c r="GS74" s="11"/>
      <c r="GT74" s="12" t="e">
        <f t="shared" si="464"/>
        <v>#DIV/0!</v>
      </c>
      <c r="GU74" s="13"/>
      <c r="GV74" s="11"/>
      <c r="GW74" s="39"/>
      <c r="GX74" s="43"/>
      <c r="GY74" s="10"/>
      <c r="GZ74" s="11"/>
      <c r="HA74" s="69">
        <f t="shared" si="490"/>
        <v>0</v>
      </c>
      <c r="HB74" s="69">
        <f t="shared" si="490"/>
        <v>0</v>
      </c>
      <c r="HC74" s="11"/>
      <c r="HD74" s="12" t="e">
        <f t="shared" si="465"/>
        <v>#DIV/0!</v>
      </c>
      <c r="HE74" s="11"/>
      <c r="HF74" s="12" t="e">
        <f t="shared" si="466"/>
        <v>#DIV/0!</v>
      </c>
      <c r="HG74" s="13"/>
      <c r="HH74" s="11"/>
      <c r="HI74" s="39"/>
      <c r="HJ74" s="43"/>
      <c r="HK74" s="10">
        <f t="shared" si="467"/>
        <v>3</v>
      </c>
      <c r="HL74" s="11">
        <f t="shared" si="467"/>
        <v>0</v>
      </c>
      <c r="HM74" s="11">
        <f t="shared" si="467"/>
        <v>3666</v>
      </c>
      <c r="HN74" s="11">
        <f t="shared" si="467"/>
        <v>324</v>
      </c>
      <c r="HO74" s="11">
        <f t="shared" si="468"/>
        <v>2023</v>
      </c>
      <c r="HP74" s="95">
        <f t="shared" si="469"/>
        <v>0.55182760501909434</v>
      </c>
      <c r="HQ74" s="15">
        <f t="shared" si="470"/>
        <v>69</v>
      </c>
      <c r="HR74" s="12">
        <f t="shared" si="491"/>
        <v>3.4107760751359364E-2</v>
      </c>
      <c r="HS74" s="16">
        <v>63.4</v>
      </c>
      <c r="HT74" s="17">
        <v>1877</v>
      </c>
      <c r="HU74" s="16">
        <f t="shared" si="471"/>
        <v>92.782995551161633</v>
      </c>
      <c r="HV74" s="23">
        <v>87.57</v>
      </c>
      <c r="HW74" s="22">
        <v>89.04</v>
      </c>
    </row>
    <row r="75" spans="1:231" ht="19.5" thickBot="1" x14ac:dyDescent="0.3">
      <c r="A75" s="374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2681</v>
      </c>
      <c r="H75" s="28">
        <f>((G75+I75)/7)/E74</f>
        <v>0.57019349526554142</v>
      </c>
      <c r="I75" s="27">
        <f>SUM(I68:I74)</f>
        <v>89</v>
      </c>
      <c r="J75" s="28">
        <f>(I75/(I75+G75))</f>
        <v>3.2129963898916966E-2</v>
      </c>
      <c r="K75" s="27"/>
      <c r="L75" s="27"/>
      <c r="M75" s="29">
        <f>M73/M72*100-100</f>
        <v>10.179257362355969</v>
      </c>
      <c r="N75" s="67">
        <f>N73/N72*100-100</f>
        <v>5.980000000000004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2343</v>
      </c>
      <c r="T75" s="28">
        <f>((S75+U75)/7)/Q74</f>
        <v>0.5107090871283011</v>
      </c>
      <c r="U75" s="27">
        <f>SUM(U68:U74)</f>
        <v>113</v>
      </c>
      <c r="V75" s="28">
        <f>(U75/(U75+S75))</f>
        <v>4.6009771986970684E-2</v>
      </c>
      <c r="W75" s="27"/>
      <c r="X75" s="27"/>
      <c r="Y75" s="29">
        <f>Y73/Y72*100-100</f>
        <v>9.7613316261203664</v>
      </c>
      <c r="Z75" s="67">
        <f>Z73/Z72*100-100</f>
        <v>6.4951162790697623</v>
      </c>
      <c r="AA75" s="26">
        <f>SUM(AA68:AA74)</f>
        <v>7</v>
      </c>
      <c r="AB75" s="27">
        <f>SUM(AB68:AB74)</f>
        <v>0</v>
      </c>
      <c r="AC75" s="27"/>
      <c r="AD75" s="27"/>
      <c r="AE75" s="27">
        <f>SUM(AE68:AE74)</f>
        <v>615</v>
      </c>
      <c r="AF75" s="28">
        <f>((AE75+AG75)/7)/AC74</f>
        <v>0.54251700680272108</v>
      </c>
      <c r="AG75" s="27">
        <f>SUM(AG68:AG74)</f>
        <v>23</v>
      </c>
      <c r="AH75" s="28">
        <f>(AG75/(AG75+AE75))</f>
        <v>3.6050156739811913E-2</v>
      </c>
      <c r="AI75" s="27"/>
      <c r="AJ75" s="27"/>
      <c r="AK75" s="29">
        <f>AK73/AK72*100-100</f>
        <v>13.521126760563391</v>
      </c>
      <c r="AL75" s="67">
        <f>AL73/AL72*100-100</f>
        <v>11.569767441860463</v>
      </c>
      <c r="AM75" s="26">
        <f>SUM(AM68:AM74)</f>
        <v>1</v>
      </c>
      <c r="AN75" s="27">
        <f>SUM(AN68:AN74)</f>
        <v>0</v>
      </c>
      <c r="AO75" s="27"/>
      <c r="AP75" s="27"/>
      <c r="AQ75" s="27">
        <f>SUM(AQ68:AQ74)</f>
        <v>2621</v>
      </c>
      <c r="AR75" s="28">
        <f>((AQ75+AS75)/7)/AO74</f>
        <v>0.55334281650071127</v>
      </c>
      <c r="AS75" s="27">
        <f>SUM(AS68:AS74)</f>
        <v>102</v>
      </c>
      <c r="AT75" s="28">
        <f>(AS75/(AS75+AQ75))</f>
        <v>3.7458685273595298E-2</v>
      </c>
      <c r="AU75" s="27"/>
      <c r="AV75" s="27"/>
      <c r="AW75" s="29">
        <f>AW73/AW72*100-100</f>
        <v>8.7836107554417424</v>
      </c>
      <c r="AX75" s="67">
        <f>AX73/AX72*100-100</f>
        <v>14.651162790697668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2592</v>
      </c>
      <c r="BD75" s="28">
        <f>((BC75+BE75)/7)/BA74</f>
        <v>0.54765262945798909</v>
      </c>
      <c r="BE75" s="27">
        <f>SUM(BE68:BE74)</f>
        <v>126</v>
      </c>
      <c r="BF75" s="28">
        <f>(BE75/(BE75+BC75))</f>
        <v>4.6357615894039736E-2</v>
      </c>
      <c r="BG75" s="27"/>
      <c r="BH75" s="27"/>
      <c r="BI75" s="29">
        <f>BI73/BI72*100-100</f>
        <v>10.926248399487832</v>
      </c>
      <c r="BJ75" s="67">
        <f>BJ73/BJ72*100-100</f>
        <v>10.189069767441879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2638</v>
      </c>
      <c r="BP75" s="28">
        <f>((BO75+BQ75)/7)/BM74</f>
        <v>0.55521783181357653</v>
      </c>
      <c r="BQ75" s="27">
        <f>SUM(BQ68:BQ74)</f>
        <v>102</v>
      </c>
      <c r="BR75" s="28">
        <f>(BQ75/(BQ75+BO75))</f>
        <v>3.7226277372262771E-2</v>
      </c>
      <c r="BS75" s="27"/>
      <c r="BT75" s="27"/>
      <c r="BU75" s="29">
        <f>BU73/BU72*100-100</f>
        <v>12.239180537772086</v>
      </c>
      <c r="BV75" s="67">
        <f>BV73/BV72*100-100</f>
        <v>8.9700000000000131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7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7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7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7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7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7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7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7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7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7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7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7" t="e">
        <f>HJ73/HJ72*100-100</f>
        <v>#DIV/0!</v>
      </c>
      <c r="HK75" s="26">
        <f t="shared" si="467"/>
        <v>11</v>
      </c>
      <c r="HL75" s="27">
        <f t="shared" si="467"/>
        <v>0</v>
      </c>
      <c r="HM75" s="27">
        <f t="shared" si="467"/>
        <v>0</v>
      </c>
      <c r="HN75" s="27">
        <f t="shared" si="467"/>
        <v>0</v>
      </c>
      <c r="HO75" s="27">
        <f t="shared" si="468"/>
        <v>14045</v>
      </c>
      <c r="HP75" s="96">
        <f>+((HO75)/HM74)/7</f>
        <v>0.54730730262645155</v>
      </c>
      <c r="HQ75" s="62">
        <f t="shared" si="470"/>
        <v>555</v>
      </c>
      <c r="HR75" s="52">
        <f t="shared" si="491"/>
        <v>3.9515841936632254E-2</v>
      </c>
      <c r="HS75" s="53">
        <f>SUM(HS68:HS74)/7</f>
        <v>63.657142857142851</v>
      </c>
      <c r="HT75" s="54">
        <f>SUM(HT68:HT74)</f>
        <v>12800</v>
      </c>
      <c r="HU75" s="53">
        <f>AVERAGE(HU68:HU74)</f>
        <v>91.119621147391157</v>
      </c>
      <c r="HV75" s="63">
        <f>HV73/HV72*100-100</f>
        <v>10.542893725992315</v>
      </c>
      <c r="HW75" s="67">
        <f>HW73/HW72*100-100</f>
        <v>9.1876744186046437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2.9915692140331791E-3</v>
      </c>
      <c r="HL76" s="66">
        <f>HL75/HN65</f>
        <v>0</v>
      </c>
      <c r="HM76" s="45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373">
        <v>33</v>
      </c>
      <c r="B77" s="68">
        <f>B74+1</f>
        <v>44997</v>
      </c>
      <c r="C77" s="33"/>
      <c r="D77" s="34"/>
      <c r="E77" s="34">
        <f>E74-C77</f>
        <v>694</v>
      </c>
      <c r="F77" s="34">
        <f>F74-D77</f>
        <v>63</v>
      </c>
      <c r="G77" s="34">
        <v>426</v>
      </c>
      <c r="H77" s="35">
        <f t="shared" ref="H77:H83" si="492">((G77+I77)/E77)</f>
        <v>0.63256484149855907</v>
      </c>
      <c r="I77" s="34">
        <v>13</v>
      </c>
      <c r="J77" s="35">
        <f>I77/(G77+I77)</f>
        <v>2.9612756264236904E-2</v>
      </c>
      <c r="K77" s="36"/>
      <c r="L77" s="34"/>
      <c r="M77" s="34"/>
      <c r="N77" s="37"/>
      <c r="O77" s="33"/>
      <c r="P77" s="34"/>
      <c r="Q77" s="34">
        <f>Q74-O77</f>
        <v>687</v>
      </c>
      <c r="R77" s="34">
        <f>R74-P77</f>
        <v>62</v>
      </c>
      <c r="S77" s="34">
        <v>371</v>
      </c>
      <c r="T77" s="35">
        <f t="shared" ref="T77:T83" si="493">((S77+U77)/Q77)</f>
        <v>0.55312954876273657</v>
      </c>
      <c r="U77" s="34">
        <v>9</v>
      </c>
      <c r="V77" s="35">
        <f t="shared" ref="V77:V83" si="494">U77/(S77+U77)</f>
        <v>2.368421052631579E-2</v>
      </c>
      <c r="W77" s="36"/>
      <c r="X77" s="34"/>
      <c r="Y77" s="34"/>
      <c r="Z77" s="37"/>
      <c r="AA77" s="33">
        <v>1</v>
      </c>
      <c r="AB77" s="34"/>
      <c r="AC77" s="34">
        <f>AC74-AA77</f>
        <v>167</v>
      </c>
      <c r="AD77" s="34">
        <f>AD74-AB77</f>
        <v>11</v>
      </c>
      <c r="AE77" s="34">
        <v>83</v>
      </c>
      <c r="AF77" s="35">
        <f t="shared" ref="AF77:AF83" si="495">((AE77+AG77)/AC77)</f>
        <v>0.51497005988023947</v>
      </c>
      <c r="AG77" s="34">
        <v>3</v>
      </c>
      <c r="AH77" s="35">
        <f t="shared" ref="AH77:AH83" si="496">AG77/(AE77+AG77)</f>
        <v>3.4883720930232558E-2</v>
      </c>
      <c r="AI77" s="36"/>
      <c r="AJ77" s="34"/>
      <c r="AK77" s="34"/>
      <c r="AL77" s="37"/>
      <c r="AM77" s="33"/>
      <c r="AN77" s="34"/>
      <c r="AO77" s="34">
        <f>AO74-AM77</f>
        <v>703</v>
      </c>
      <c r="AP77" s="34">
        <f>AP74-AN77</f>
        <v>63</v>
      </c>
      <c r="AQ77" s="34">
        <v>381</v>
      </c>
      <c r="AR77" s="35">
        <f t="shared" ref="AR77:AR83" si="497">((AQ77+AS77)/AO77)</f>
        <v>0.5604551920341394</v>
      </c>
      <c r="AS77" s="34">
        <v>13</v>
      </c>
      <c r="AT77" s="35">
        <f t="shared" ref="AT77:AT83" si="498">AS77/(AQ77+AS77)</f>
        <v>3.2994923857868022E-2</v>
      </c>
      <c r="AU77" s="36"/>
      <c r="AV77" s="34"/>
      <c r="AW77" s="34"/>
      <c r="AX77" s="37"/>
      <c r="AY77" s="33"/>
      <c r="AZ77" s="34">
        <v>1</v>
      </c>
      <c r="BA77" s="34">
        <f>BA74-AY77</f>
        <v>709</v>
      </c>
      <c r="BB77" s="34">
        <f>BB74-AZ77</f>
        <v>61</v>
      </c>
      <c r="BC77" s="34">
        <v>385</v>
      </c>
      <c r="BD77" s="35">
        <f t="shared" ref="BD77:BD83" si="499">((BC77+BE77)/BA77)</f>
        <v>0.56558533145275036</v>
      </c>
      <c r="BE77" s="34">
        <v>16</v>
      </c>
      <c r="BF77" s="35">
        <f t="shared" ref="BF77:BF83" si="500">BE77/(BC77+BE77)</f>
        <v>3.9900249376558602E-2</v>
      </c>
      <c r="BG77" s="36"/>
      <c r="BH77" s="34"/>
      <c r="BI77" s="34"/>
      <c r="BJ77" s="37"/>
      <c r="BK77" s="33"/>
      <c r="BL77" s="34"/>
      <c r="BM77" s="34">
        <f>BM74-BK77</f>
        <v>705</v>
      </c>
      <c r="BN77" s="34">
        <f>BN74-BL77</f>
        <v>63</v>
      </c>
      <c r="BO77" s="34">
        <v>387</v>
      </c>
      <c r="BP77" s="35">
        <f t="shared" ref="BP77:BP83" si="501">((BO77+BQ77)/BM77)</f>
        <v>0.56595744680851068</v>
      </c>
      <c r="BQ77" s="34">
        <v>12</v>
      </c>
      <c r="BR77" s="35">
        <f t="shared" ref="BR77:BR83" si="502">BQ77/(BO77+BQ77)</f>
        <v>3.007518796992481E-2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03">((CA77+CC77)/BY77)</f>
        <v>#DIV/0!</v>
      </c>
      <c r="CC77" s="34"/>
      <c r="CD77" s="35" t="e">
        <f t="shared" ref="CD77:CD83" si="504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05">((CM77+CO77)/CK77)</f>
        <v>#DIV/0!</v>
      </c>
      <c r="CO77" s="34"/>
      <c r="CP77" s="35" t="e">
        <f t="shared" ref="CP77:CP83" si="506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07">((CY77+DA77)/CW77)</f>
        <v>#DIV/0!</v>
      </c>
      <c r="DA77" s="34"/>
      <c r="DB77" s="35" t="e">
        <f t="shared" ref="DB77:DB83" si="508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09">((DK77+DM77)/DI77)</f>
        <v>#DIV/0!</v>
      </c>
      <c r="DM77" s="34"/>
      <c r="DN77" s="35" t="e">
        <f t="shared" ref="DN77:DN83" si="510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11">((DW77+DY77)/DU77)</f>
        <v>#DIV/0!</v>
      </c>
      <c r="DY77" s="34"/>
      <c r="DZ77" s="35" t="e">
        <f t="shared" ref="DZ77:DZ83" si="512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13">((EI77+EK77)/EG77)</f>
        <v>#DIV/0!</v>
      </c>
      <c r="EK77" s="34"/>
      <c r="EL77" s="35" t="e">
        <f t="shared" ref="EL77:EL83" si="514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15">((EU77+EW77)/ES77)</f>
        <v>#DIV/0!</v>
      </c>
      <c r="EW77" s="34"/>
      <c r="EX77" s="35" t="e">
        <f t="shared" ref="EX77:EX83" si="516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17">((FG77+FI77)/FE77)</f>
        <v>#DIV/0!</v>
      </c>
      <c r="FI77" s="34"/>
      <c r="FJ77" s="35" t="e">
        <f t="shared" ref="FJ77:FJ83" si="518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19">((FS77+FU77)/FQ77)</f>
        <v>#DIV/0!</v>
      </c>
      <c r="FU77" s="34"/>
      <c r="FV77" s="35" t="e">
        <f t="shared" ref="FV77:FV83" si="520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21">((GE77+GG77)/GC77)</f>
        <v>#DIV/0!</v>
      </c>
      <c r="GG77" s="34"/>
      <c r="GH77" s="35" t="e">
        <f t="shared" ref="GH77:GH83" si="522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23">((GQ77+GS77)/GO77)</f>
        <v>#DIV/0!</v>
      </c>
      <c r="GS77" s="34"/>
      <c r="GT77" s="35" t="e">
        <f t="shared" ref="GT77:GT83" si="524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25">((HC77+HE77)/HA77)</f>
        <v>#DIV/0!</v>
      </c>
      <c r="HE77" s="34"/>
      <c r="HF77" s="35" t="e">
        <f t="shared" ref="HF77:HF83" si="526">HE77/(HC77+HE77)</f>
        <v>#DIV/0!</v>
      </c>
      <c r="HG77" s="36"/>
      <c r="HH77" s="34"/>
      <c r="HI77" s="34"/>
      <c r="HJ77" s="37"/>
      <c r="HK77" s="33">
        <f t="shared" ref="HK77:HN84" si="527">+C77+O77+AA77+AM77+AY77+BK77+BW77+CI77+CU77+DG77+DS77+EE77+EQ77+FC77+FO77+GA77+GM77+GY77</f>
        <v>1</v>
      </c>
      <c r="HL77" s="34">
        <f t="shared" si="527"/>
        <v>1</v>
      </c>
      <c r="HM77" s="34">
        <f t="shared" si="527"/>
        <v>3665</v>
      </c>
      <c r="HN77" s="34">
        <f t="shared" si="527"/>
        <v>323</v>
      </c>
      <c r="HO77" s="34">
        <f t="shared" ref="HO77:HO84" si="528">+G77+S77+AE77+AQ77+BC77+BO77+CA77+CM77+CY77+DK77+DW77+EI77+EU77+FG77+FS77+GE77+GQ77+HC77+I77+U77+AG77+AS77+BE77+BQ77+CC77+CO77+DA77+DM77+DY77+EK77+EW77+FI77+FU77+GG77+GS77+HE77</f>
        <v>2099</v>
      </c>
      <c r="HP77" s="94">
        <f t="shared" ref="HP77:HP83" si="529">+(HO77)/HM77</f>
        <v>0.5727148703956344</v>
      </c>
      <c r="HQ77" s="48">
        <f t="shared" ref="HQ77:HQ84" si="530">+I77+U77+AG77+AS77+BE77+BQ77+CC77+CO77+DA77+DM77+DY77+EK77+EW77+FI77+FU77+GG77+GS77+HE77</f>
        <v>66</v>
      </c>
      <c r="HR77" s="35">
        <f>+(HQ77/(HO77))</f>
        <v>3.1443544545021442E-2</v>
      </c>
      <c r="HS77" s="49">
        <v>64</v>
      </c>
      <c r="HT77" s="50">
        <v>1936</v>
      </c>
      <c r="HU77" s="49">
        <f t="shared" ref="HU77:HU83" si="531">+HT77/HO77*100</f>
        <v>92.234397332062883</v>
      </c>
      <c r="HV77" s="48"/>
      <c r="HW77" s="37"/>
    </row>
    <row r="78" spans="1:231" ht="18.75" x14ac:dyDescent="0.25">
      <c r="A78" s="374"/>
      <c r="B78" s="41">
        <f t="shared" ref="B78:B92" si="532">+B77+1</f>
        <v>44998</v>
      </c>
      <c r="C78" s="10">
        <v>1</v>
      </c>
      <c r="D78" s="11"/>
      <c r="E78" s="69">
        <f t="shared" ref="E78:F82" si="533">E77-C78</f>
        <v>693</v>
      </c>
      <c r="F78" s="69">
        <f t="shared" si="533"/>
        <v>63</v>
      </c>
      <c r="G78" s="11">
        <v>360</v>
      </c>
      <c r="H78" s="12">
        <f t="shared" si="492"/>
        <v>0.53391053391053389</v>
      </c>
      <c r="I78" s="11">
        <v>10</v>
      </c>
      <c r="J78" s="12">
        <f t="shared" ref="J78:J83" si="534">I78/(G78+I78)</f>
        <v>2.7027027027027029E-2</v>
      </c>
      <c r="K78" s="13"/>
      <c r="L78" s="11"/>
      <c r="M78" s="11"/>
      <c r="N78" s="14"/>
      <c r="O78" s="10"/>
      <c r="P78" s="11"/>
      <c r="Q78" s="69">
        <f t="shared" ref="Q78:R83" si="535">Q77-O78</f>
        <v>687</v>
      </c>
      <c r="R78" s="69">
        <f t="shared" si="535"/>
        <v>62</v>
      </c>
      <c r="S78" s="11">
        <v>391</v>
      </c>
      <c r="T78" s="12">
        <f t="shared" si="493"/>
        <v>0.58369723435225618</v>
      </c>
      <c r="U78" s="11">
        <v>10</v>
      </c>
      <c r="V78" s="12">
        <f t="shared" si="494"/>
        <v>2.4937655860349128E-2</v>
      </c>
      <c r="W78" s="13"/>
      <c r="X78" s="11"/>
      <c r="Y78" s="11"/>
      <c r="Z78" s="14"/>
      <c r="AA78" s="10"/>
      <c r="AB78" s="11">
        <v>1</v>
      </c>
      <c r="AC78" s="69">
        <f t="shared" ref="AC78:AD83" si="536">AC77-AA78</f>
        <v>167</v>
      </c>
      <c r="AD78" s="69">
        <f t="shared" si="536"/>
        <v>10</v>
      </c>
      <c r="AE78" s="11">
        <v>90</v>
      </c>
      <c r="AF78" s="12">
        <f t="shared" si="495"/>
        <v>0.53892215568862278</v>
      </c>
      <c r="AG78" s="11">
        <v>0</v>
      </c>
      <c r="AH78" s="12">
        <f t="shared" si="496"/>
        <v>0</v>
      </c>
      <c r="AI78" s="13"/>
      <c r="AJ78" s="11"/>
      <c r="AK78" s="11"/>
      <c r="AL78" s="14"/>
      <c r="AM78" s="10">
        <v>1</v>
      </c>
      <c r="AN78" s="11"/>
      <c r="AO78" s="69">
        <f t="shared" ref="AO78:AP83" si="537">AO77-AM78</f>
        <v>702</v>
      </c>
      <c r="AP78" s="69">
        <f t="shared" si="537"/>
        <v>63</v>
      </c>
      <c r="AQ78" s="11">
        <v>382</v>
      </c>
      <c r="AR78" s="12">
        <f t="shared" si="497"/>
        <v>0.56125356125356129</v>
      </c>
      <c r="AS78" s="11">
        <v>12</v>
      </c>
      <c r="AT78" s="12">
        <f t="shared" si="498"/>
        <v>3.0456852791878174E-2</v>
      </c>
      <c r="AU78" s="13"/>
      <c r="AV78" s="11"/>
      <c r="AW78" s="11"/>
      <c r="AX78" s="14"/>
      <c r="AY78" s="10">
        <v>1</v>
      </c>
      <c r="AZ78" s="11"/>
      <c r="BA78" s="69">
        <f t="shared" ref="BA78:BB83" si="538">BA77-AY78</f>
        <v>708</v>
      </c>
      <c r="BB78" s="69">
        <f t="shared" si="538"/>
        <v>61</v>
      </c>
      <c r="BC78" s="11">
        <v>378</v>
      </c>
      <c r="BD78" s="12">
        <f t="shared" si="499"/>
        <v>0.5536723163841808</v>
      </c>
      <c r="BE78" s="11">
        <v>14</v>
      </c>
      <c r="BF78" s="12">
        <f t="shared" si="500"/>
        <v>3.5714285714285712E-2</v>
      </c>
      <c r="BG78" s="13"/>
      <c r="BH78" s="11"/>
      <c r="BI78" s="11"/>
      <c r="BJ78" s="14"/>
      <c r="BK78" s="10"/>
      <c r="BL78" s="11"/>
      <c r="BM78" s="69">
        <f t="shared" ref="BM78:BN83" si="539">BM77-BK78</f>
        <v>705</v>
      </c>
      <c r="BN78" s="69">
        <f t="shared" si="539"/>
        <v>63</v>
      </c>
      <c r="BO78" s="11">
        <v>360</v>
      </c>
      <c r="BP78" s="12">
        <f t="shared" si="501"/>
        <v>0.5205673758865248</v>
      </c>
      <c r="BQ78" s="11">
        <v>7</v>
      </c>
      <c r="BR78" s="12">
        <f t="shared" si="502"/>
        <v>1.9073569482288829E-2</v>
      </c>
      <c r="BS78" s="13"/>
      <c r="BT78" s="11"/>
      <c r="BU78" s="11"/>
      <c r="BV78" s="14"/>
      <c r="BW78" s="10"/>
      <c r="BX78" s="11"/>
      <c r="BY78" s="69">
        <f t="shared" ref="BY78:BZ83" si="540">BY77-BW78</f>
        <v>0</v>
      </c>
      <c r="BZ78" s="69">
        <f t="shared" si="540"/>
        <v>0</v>
      </c>
      <c r="CA78" s="11"/>
      <c r="CB78" s="12" t="e">
        <f t="shared" si="503"/>
        <v>#DIV/0!</v>
      </c>
      <c r="CC78" s="11"/>
      <c r="CD78" s="12" t="e">
        <f t="shared" si="504"/>
        <v>#DIV/0!</v>
      </c>
      <c r="CE78" s="13"/>
      <c r="CF78" s="11"/>
      <c r="CG78" s="11"/>
      <c r="CH78" s="14"/>
      <c r="CI78" s="10"/>
      <c r="CJ78" s="11"/>
      <c r="CK78" s="69">
        <f t="shared" ref="CK78:CL83" si="541">CK77-CI78</f>
        <v>0</v>
      </c>
      <c r="CL78" s="69">
        <f t="shared" si="541"/>
        <v>0</v>
      </c>
      <c r="CM78" s="11"/>
      <c r="CN78" s="12" t="e">
        <f t="shared" si="505"/>
        <v>#DIV/0!</v>
      </c>
      <c r="CO78" s="11"/>
      <c r="CP78" s="12" t="e">
        <f t="shared" si="506"/>
        <v>#DIV/0!</v>
      </c>
      <c r="CQ78" s="13"/>
      <c r="CR78" s="11"/>
      <c r="CS78" s="11"/>
      <c r="CT78" s="14"/>
      <c r="CU78" s="10"/>
      <c r="CV78" s="11"/>
      <c r="CW78" s="69">
        <f t="shared" ref="CW78:CX83" si="542">CW77-CU78</f>
        <v>0</v>
      </c>
      <c r="CX78" s="69">
        <f t="shared" si="542"/>
        <v>0</v>
      </c>
      <c r="CY78" s="11"/>
      <c r="CZ78" s="12" t="e">
        <f t="shared" si="507"/>
        <v>#DIV/0!</v>
      </c>
      <c r="DA78" s="11"/>
      <c r="DB78" s="12" t="e">
        <f t="shared" si="508"/>
        <v>#DIV/0!</v>
      </c>
      <c r="DC78" s="13"/>
      <c r="DD78" s="11"/>
      <c r="DE78" s="11"/>
      <c r="DF78" s="14"/>
      <c r="DG78" s="10"/>
      <c r="DH78" s="11"/>
      <c r="DI78" s="69">
        <f t="shared" ref="DI78:DJ83" si="543">DI77-DG78</f>
        <v>0</v>
      </c>
      <c r="DJ78" s="69">
        <f t="shared" si="543"/>
        <v>0</v>
      </c>
      <c r="DK78" s="11"/>
      <c r="DL78" s="12" t="e">
        <f t="shared" si="509"/>
        <v>#DIV/0!</v>
      </c>
      <c r="DM78" s="11"/>
      <c r="DN78" s="12" t="e">
        <f t="shared" si="510"/>
        <v>#DIV/0!</v>
      </c>
      <c r="DO78" s="13"/>
      <c r="DP78" s="11"/>
      <c r="DQ78" s="11"/>
      <c r="DR78" s="14"/>
      <c r="DS78" s="10"/>
      <c r="DT78" s="11"/>
      <c r="DU78" s="69">
        <f t="shared" ref="DU78:DV83" si="544">DU77-DS78</f>
        <v>0</v>
      </c>
      <c r="DV78" s="69">
        <f t="shared" si="544"/>
        <v>0</v>
      </c>
      <c r="DW78" s="11"/>
      <c r="DX78" s="12" t="e">
        <f t="shared" si="511"/>
        <v>#DIV/0!</v>
      </c>
      <c r="DY78" s="11"/>
      <c r="DZ78" s="12" t="e">
        <f t="shared" si="512"/>
        <v>#DIV/0!</v>
      </c>
      <c r="EA78" s="13"/>
      <c r="EB78" s="11"/>
      <c r="EC78" s="11"/>
      <c r="ED78" s="14"/>
      <c r="EE78" s="10"/>
      <c r="EF78" s="11"/>
      <c r="EG78" s="69">
        <f t="shared" ref="EG78:EH83" si="545">EG77-EE78</f>
        <v>0</v>
      </c>
      <c r="EH78" s="69">
        <f t="shared" si="545"/>
        <v>0</v>
      </c>
      <c r="EI78" s="11"/>
      <c r="EJ78" s="12" t="e">
        <f t="shared" si="513"/>
        <v>#DIV/0!</v>
      </c>
      <c r="EK78" s="11"/>
      <c r="EL78" s="12" t="e">
        <f t="shared" si="514"/>
        <v>#DIV/0!</v>
      </c>
      <c r="EM78" s="13"/>
      <c r="EN78" s="11"/>
      <c r="EO78" s="11"/>
      <c r="EP78" s="14"/>
      <c r="EQ78" s="10"/>
      <c r="ER78" s="11"/>
      <c r="ES78" s="69">
        <f t="shared" ref="ES78:ET83" si="546">ES77-EQ78</f>
        <v>0</v>
      </c>
      <c r="ET78" s="69">
        <f t="shared" si="546"/>
        <v>0</v>
      </c>
      <c r="EU78" s="11"/>
      <c r="EV78" s="12" t="e">
        <f t="shared" si="515"/>
        <v>#DIV/0!</v>
      </c>
      <c r="EW78" s="11"/>
      <c r="EX78" s="12" t="e">
        <f t="shared" si="516"/>
        <v>#DIV/0!</v>
      </c>
      <c r="EY78" s="13"/>
      <c r="EZ78" s="11"/>
      <c r="FA78" s="11"/>
      <c r="FB78" s="14"/>
      <c r="FC78" s="10"/>
      <c r="FD78" s="11"/>
      <c r="FE78" s="69">
        <f t="shared" ref="FE78:FF83" si="547">FE77-FC78</f>
        <v>0</v>
      </c>
      <c r="FF78" s="69">
        <f t="shared" si="547"/>
        <v>0</v>
      </c>
      <c r="FG78" s="11"/>
      <c r="FH78" s="12" t="e">
        <f t="shared" si="517"/>
        <v>#DIV/0!</v>
      </c>
      <c r="FI78" s="11"/>
      <c r="FJ78" s="12" t="e">
        <f t="shared" si="518"/>
        <v>#DIV/0!</v>
      </c>
      <c r="FK78" s="13"/>
      <c r="FL78" s="11"/>
      <c r="FM78" s="11"/>
      <c r="FN78" s="14"/>
      <c r="FO78" s="10"/>
      <c r="FP78" s="11"/>
      <c r="FQ78" s="69">
        <f t="shared" ref="FQ78:FR83" si="548">FQ77-FO78</f>
        <v>0</v>
      </c>
      <c r="FR78" s="69">
        <f t="shared" si="548"/>
        <v>0</v>
      </c>
      <c r="FS78" s="11"/>
      <c r="FT78" s="12" t="e">
        <f t="shared" si="519"/>
        <v>#DIV/0!</v>
      </c>
      <c r="FU78" s="11"/>
      <c r="FV78" s="12" t="e">
        <f t="shared" si="520"/>
        <v>#DIV/0!</v>
      </c>
      <c r="FW78" s="13"/>
      <c r="FX78" s="11"/>
      <c r="FY78" s="11"/>
      <c r="FZ78" s="14"/>
      <c r="GA78" s="10"/>
      <c r="GB78" s="11"/>
      <c r="GC78" s="69">
        <f t="shared" ref="GC78:GD83" si="549">GC77-GA78</f>
        <v>0</v>
      </c>
      <c r="GD78" s="69">
        <f t="shared" si="549"/>
        <v>0</v>
      </c>
      <c r="GE78" s="11"/>
      <c r="GF78" s="12" t="e">
        <f t="shared" si="521"/>
        <v>#DIV/0!</v>
      </c>
      <c r="GG78" s="11"/>
      <c r="GH78" s="12" t="e">
        <f t="shared" si="522"/>
        <v>#DIV/0!</v>
      </c>
      <c r="GI78" s="13"/>
      <c r="GJ78" s="11"/>
      <c r="GK78" s="11"/>
      <c r="GL78" s="14"/>
      <c r="GM78" s="10"/>
      <c r="GN78" s="11"/>
      <c r="GO78" s="69">
        <f t="shared" ref="GO78:GP83" si="550">GO77-GM78</f>
        <v>0</v>
      </c>
      <c r="GP78" s="69">
        <f t="shared" si="550"/>
        <v>0</v>
      </c>
      <c r="GQ78" s="11"/>
      <c r="GR78" s="12" t="e">
        <f t="shared" si="523"/>
        <v>#DIV/0!</v>
      </c>
      <c r="GS78" s="11"/>
      <c r="GT78" s="12" t="e">
        <f t="shared" si="524"/>
        <v>#DIV/0!</v>
      </c>
      <c r="GU78" s="13"/>
      <c r="GV78" s="11"/>
      <c r="GW78" s="11"/>
      <c r="GX78" s="14"/>
      <c r="GY78" s="10"/>
      <c r="GZ78" s="11"/>
      <c r="HA78" s="69">
        <f t="shared" ref="HA78:HB83" si="551">HA77-GY78</f>
        <v>0</v>
      </c>
      <c r="HB78" s="69">
        <f t="shared" si="551"/>
        <v>0</v>
      </c>
      <c r="HC78" s="11"/>
      <c r="HD78" s="12" t="e">
        <f t="shared" si="525"/>
        <v>#DIV/0!</v>
      </c>
      <c r="HE78" s="11"/>
      <c r="HF78" s="12" t="e">
        <f t="shared" si="526"/>
        <v>#DIV/0!</v>
      </c>
      <c r="HG78" s="13"/>
      <c r="HH78" s="11"/>
      <c r="HI78" s="11"/>
      <c r="HJ78" s="14"/>
      <c r="HK78" s="10">
        <f t="shared" si="527"/>
        <v>3</v>
      </c>
      <c r="HL78" s="11">
        <f t="shared" si="527"/>
        <v>1</v>
      </c>
      <c r="HM78" s="11">
        <f t="shared" si="527"/>
        <v>3662</v>
      </c>
      <c r="HN78" s="11">
        <f t="shared" si="527"/>
        <v>322</v>
      </c>
      <c r="HO78" s="11">
        <f t="shared" si="528"/>
        <v>2014</v>
      </c>
      <c r="HP78" s="95">
        <f t="shared" si="529"/>
        <v>0.54997269251774983</v>
      </c>
      <c r="HQ78" s="15">
        <f t="shared" si="530"/>
        <v>53</v>
      </c>
      <c r="HR78" s="12">
        <f t="shared" ref="HR78:HR84" si="552">+(HQ78/(HO78))</f>
        <v>2.6315789473684209E-2</v>
      </c>
      <c r="HS78" s="16">
        <v>64.2</v>
      </c>
      <c r="HT78" s="17">
        <v>1865</v>
      </c>
      <c r="HU78" s="16">
        <f t="shared" si="531"/>
        <v>92.60178748758689</v>
      </c>
      <c r="HV78" s="15"/>
      <c r="HW78" s="14"/>
    </row>
    <row r="79" spans="1:231" ht="18.75" x14ac:dyDescent="0.25">
      <c r="A79" s="374"/>
      <c r="B79" s="41">
        <f t="shared" si="532"/>
        <v>44999</v>
      </c>
      <c r="C79" s="10"/>
      <c r="D79" s="11"/>
      <c r="E79" s="69">
        <f t="shared" si="533"/>
        <v>693</v>
      </c>
      <c r="F79" s="69">
        <f t="shared" si="533"/>
        <v>63</v>
      </c>
      <c r="G79" s="11">
        <v>406</v>
      </c>
      <c r="H79" s="12">
        <f t="shared" si="492"/>
        <v>0.59451659451659455</v>
      </c>
      <c r="I79" s="11">
        <v>6</v>
      </c>
      <c r="J79" s="12">
        <f t="shared" si="534"/>
        <v>1.4563106796116505E-2</v>
      </c>
      <c r="K79" s="13"/>
      <c r="L79" s="11"/>
      <c r="M79" s="11"/>
      <c r="N79" s="14"/>
      <c r="O79" s="10"/>
      <c r="P79" s="11"/>
      <c r="Q79" s="69">
        <f t="shared" si="535"/>
        <v>687</v>
      </c>
      <c r="R79" s="69">
        <f t="shared" si="535"/>
        <v>62</v>
      </c>
      <c r="S79" s="11">
        <v>408</v>
      </c>
      <c r="T79" s="12">
        <f t="shared" si="493"/>
        <v>0.6084425036390102</v>
      </c>
      <c r="U79" s="11">
        <v>10</v>
      </c>
      <c r="V79" s="12">
        <f t="shared" si="494"/>
        <v>2.3923444976076555E-2</v>
      </c>
      <c r="W79" s="13"/>
      <c r="X79" s="11"/>
      <c r="Y79" s="11"/>
      <c r="Z79" s="14"/>
      <c r="AA79" s="10">
        <v>2</v>
      </c>
      <c r="AB79" s="11"/>
      <c r="AC79" s="69">
        <f t="shared" si="536"/>
        <v>165</v>
      </c>
      <c r="AD79" s="69">
        <f t="shared" si="536"/>
        <v>10</v>
      </c>
      <c r="AE79" s="11">
        <v>83</v>
      </c>
      <c r="AF79" s="12">
        <f t="shared" si="495"/>
        <v>0.52727272727272723</v>
      </c>
      <c r="AG79" s="11">
        <v>4</v>
      </c>
      <c r="AH79" s="12">
        <f t="shared" si="496"/>
        <v>4.5977011494252873E-2</v>
      </c>
      <c r="AI79" s="13"/>
      <c r="AJ79" s="11"/>
      <c r="AK79" s="11"/>
      <c r="AL79" s="14"/>
      <c r="AM79" s="10"/>
      <c r="AN79" s="11"/>
      <c r="AO79" s="69">
        <f t="shared" si="537"/>
        <v>702</v>
      </c>
      <c r="AP79" s="69">
        <f t="shared" si="537"/>
        <v>63</v>
      </c>
      <c r="AQ79" s="11">
        <v>431</v>
      </c>
      <c r="AR79" s="12">
        <f t="shared" si="497"/>
        <v>0.62393162393162394</v>
      </c>
      <c r="AS79" s="11">
        <v>7</v>
      </c>
      <c r="AT79" s="12">
        <f t="shared" si="498"/>
        <v>1.5981735159817351E-2</v>
      </c>
      <c r="AU79" s="13"/>
      <c r="AV79" s="11"/>
      <c r="AW79" s="11"/>
      <c r="AX79" s="14"/>
      <c r="AY79" s="10">
        <v>1</v>
      </c>
      <c r="AZ79" s="11"/>
      <c r="BA79" s="69">
        <f t="shared" si="538"/>
        <v>707</v>
      </c>
      <c r="BB79" s="69">
        <f t="shared" si="538"/>
        <v>61</v>
      </c>
      <c r="BC79" s="11">
        <v>418</v>
      </c>
      <c r="BD79" s="12">
        <f t="shared" si="499"/>
        <v>0.60820367751060822</v>
      </c>
      <c r="BE79" s="11">
        <v>12</v>
      </c>
      <c r="BF79" s="12">
        <f t="shared" si="500"/>
        <v>2.7906976744186046E-2</v>
      </c>
      <c r="BG79" s="13"/>
      <c r="BH79" s="11"/>
      <c r="BI79" s="11"/>
      <c r="BJ79" s="14"/>
      <c r="BK79" s="10">
        <v>1</v>
      </c>
      <c r="BL79" s="11"/>
      <c r="BM79" s="69">
        <f t="shared" si="539"/>
        <v>704</v>
      </c>
      <c r="BN79" s="69">
        <f t="shared" si="539"/>
        <v>63</v>
      </c>
      <c r="BO79" s="11">
        <v>422</v>
      </c>
      <c r="BP79" s="12">
        <f t="shared" si="501"/>
        <v>0.61789772727272729</v>
      </c>
      <c r="BQ79" s="11">
        <v>13</v>
      </c>
      <c r="BR79" s="12">
        <f t="shared" si="502"/>
        <v>2.9885057471264367E-2</v>
      </c>
      <c r="BS79" s="13"/>
      <c r="BT79" s="11"/>
      <c r="BU79" s="11"/>
      <c r="BV79" s="14"/>
      <c r="BW79" s="10"/>
      <c r="BX79" s="11"/>
      <c r="BY79" s="69">
        <f t="shared" si="540"/>
        <v>0</v>
      </c>
      <c r="BZ79" s="69">
        <f t="shared" si="540"/>
        <v>0</v>
      </c>
      <c r="CA79" s="11"/>
      <c r="CB79" s="12" t="e">
        <f t="shared" si="503"/>
        <v>#DIV/0!</v>
      </c>
      <c r="CC79" s="11"/>
      <c r="CD79" s="12" t="e">
        <f t="shared" si="504"/>
        <v>#DIV/0!</v>
      </c>
      <c r="CE79" s="13"/>
      <c r="CF79" s="11"/>
      <c r="CG79" s="11"/>
      <c r="CH79" s="14"/>
      <c r="CI79" s="10"/>
      <c r="CJ79" s="11"/>
      <c r="CK79" s="69">
        <f t="shared" si="541"/>
        <v>0</v>
      </c>
      <c r="CL79" s="69">
        <f t="shared" si="541"/>
        <v>0</v>
      </c>
      <c r="CM79" s="11"/>
      <c r="CN79" s="12" t="e">
        <f t="shared" si="505"/>
        <v>#DIV/0!</v>
      </c>
      <c r="CO79" s="11"/>
      <c r="CP79" s="12" t="e">
        <f t="shared" si="506"/>
        <v>#DIV/0!</v>
      </c>
      <c r="CQ79" s="13"/>
      <c r="CR79" s="11"/>
      <c r="CS79" s="11"/>
      <c r="CT79" s="14"/>
      <c r="CU79" s="10"/>
      <c r="CV79" s="11"/>
      <c r="CW79" s="69">
        <f t="shared" si="542"/>
        <v>0</v>
      </c>
      <c r="CX79" s="69">
        <f t="shared" si="542"/>
        <v>0</v>
      </c>
      <c r="CY79" s="11"/>
      <c r="CZ79" s="12" t="e">
        <f t="shared" si="507"/>
        <v>#DIV/0!</v>
      </c>
      <c r="DA79" s="11"/>
      <c r="DB79" s="12" t="e">
        <f t="shared" si="508"/>
        <v>#DIV/0!</v>
      </c>
      <c r="DC79" s="13"/>
      <c r="DD79" s="11"/>
      <c r="DE79" s="11"/>
      <c r="DF79" s="14"/>
      <c r="DG79" s="10"/>
      <c r="DH79" s="11"/>
      <c r="DI79" s="69">
        <f t="shared" si="543"/>
        <v>0</v>
      </c>
      <c r="DJ79" s="69">
        <f t="shared" si="543"/>
        <v>0</v>
      </c>
      <c r="DK79" s="11"/>
      <c r="DL79" s="12" t="e">
        <f t="shared" si="509"/>
        <v>#DIV/0!</v>
      </c>
      <c r="DM79" s="11"/>
      <c r="DN79" s="12" t="e">
        <f t="shared" si="510"/>
        <v>#DIV/0!</v>
      </c>
      <c r="DO79" s="13"/>
      <c r="DP79" s="11"/>
      <c r="DQ79" s="11"/>
      <c r="DR79" s="14"/>
      <c r="DS79" s="10"/>
      <c r="DT79" s="11"/>
      <c r="DU79" s="69">
        <f t="shared" si="544"/>
        <v>0</v>
      </c>
      <c r="DV79" s="69">
        <f t="shared" si="544"/>
        <v>0</v>
      </c>
      <c r="DW79" s="11"/>
      <c r="DX79" s="12" t="e">
        <f t="shared" si="511"/>
        <v>#DIV/0!</v>
      </c>
      <c r="DY79" s="11"/>
      <c r="DZ79" s="12" t="e">
        <f t="shared" si="512"/>
        <v>#DIV/0!</v>
      </c>
      <c r="EA79" s="13"/>
      <c r="EB79" s="11"/>
      <c r="EC79" s="11"/>
      <c r="ED79" s="14"/>
      <c r="EE79" s="10"/>
      <c r="EF79" s="11"/>
      <c r="EG79" s="69">
        <f t="shared" si="545"/>
        <v>0</v>
      </c>
      <c r="EH79" s="69">
        <f t="shared" si="545"/>
        <v>0</v>
      </c>
      <c r="EI79" s="11"/>
      <c r="EJ79" s="12" t="e">
        <f t="shared" si="513"/>
        <v>#DIV/0!</v>
      </c>
      <c r="EK79" s="11"/>
      <c r="EL79" s="12" t="e">
        <f t="shared" si="514"/>
        <v>#DIV/0!</v>
      </c>
      <c r="EM79" s="13"/>
      <c r="EN79" s="11"/>
      <c r="EO79" s="11"/>
      <c r="EP79" s="14"/>
      <c r="EQ79" s="10"/>
      <c r="ER79" s="11"/>
      <c r="ES79" s="69">
        <f t="shared" si="546"/>
        <v>0</v>
      </c>
      <c r="ET79" s="69">
        <f t="shared" si="546"/>
        <v>0</v>
      </c>
      <c r="EU79" s="11"/>
      <c r="EV79" s="12" t="e">
        <f t="shared" si="515"/>
        <v>#DIV/0!</v>
      </c>
      <c r="EW79" s="11"/>
      <c r="EX79" s="12" t="e">
        <f t="shared" si="516"/>
        <v>#DIV/0!</v>
      </c>
      <c r="EY79" s="13"/>
      <c r="EZ79" s="11"/>
      <c r="FA79" s="11"/>
      <c r="FB79" s="14"/>
      <c r="FC79" s="10"/>
      <c r="FD79" s="11"/>
      <c r="FE79" s="69">
        <f t="shared" si="547"/>
        <v>0</v>
      </c>
      <c r="FF79" s="69">
        <f t="shared" si="547"/>
        <v>0</v>
      </c>
      <c r="FG79" s="11"/>
      <c r="FH79" s="12" t="e">
        <f t="shared" si="517"/>
        <v>#DIV/0!</v>
      </c>
      <c r="FI79" s="11"/>
      <c r="FJ79" s="12" t="e">
        <f t="shared" si="518"/>
        <v>#DIV/0!</v>
      </c>
      <c r="FK79" s="13"/>
      <c r="FL79" s="11"/>
      <c r="FM79" s="11"/>
      <c r="FN79" s="14"/>
      <c r="FO79" s="10"/>
      <c r="FP79" s="11"/>
      <c r="FQ79" s="69">
        <f t="shared" si="548"/>
        <v>0</v>
      </c>
      <c r="FR79" s="69">
        <f t="shared" si="548"/>
        <v>0</v>
      </c>
      <c r="FS79" s="11"/>
      <c r="FT79" s="12" t="e">
        <f t="shared" si="519"/>
        <v>#DIV/0!</v>
      </c>
      <c r="FU79" s="11"/>
      <c r="FV79" s="12" t="e">
        <f t="shared" si="520"/>
        <v>#DIV/0!</v>
      </c>
      <c r="FW79" s="13"/>
      <c r="FX79" s="11"/>
      <c r="FY79" s="11"/>
      <c r="FZ79" s="14"/>
      <c r="GA79" s="10"/>
      <c r="GB79" s="11"/>
      <c r="GC79" s="69">
        <f t="shared" si="549"/>
        <v>0</v>
      </c>
      <c r="GD79" s="69">
        <f t="shared" si="549"/>
        <v>0</v>
      </c>
      <c r="GE79" s="11"/>
      <c r="GF79" s="12" t="e">
        <f t="shared" si="521"/>
        <v>#DIV/0!</v>
      </c>
      <c r="GG79" s="11"/>
      <c r="GH79" s="12" t="e">
        <f t="shared" si="522"/>
        <v>#DIV/0!</v>
      </c>
      <c r="GI79" s="13"/>
      <c r="GJ79" s="11"/>
      <c r="GK79" s="11"/>
      <c r="GL79" s="14"/>
      <c r="GM79" s="10"/>
      <c r="GN79" s="11"/>
      <c r="GO79" s="69">
        <f t="shared" si="550"/>
        <v>0</v>
      </c>
      <c r="GP79" s="69">
        <f t="shared" si="550"/>
        <v>0</v>
      </c>
      <c r="GQ79" s="11"/>
      <c r="GR79" s="12" t="e">
        <f t="shared" si="523"/>
        <v>#DIV/0!</v>
      </c>
      <c r="GS79" s="11"/>
      <c r="GT79" s="12" t="e">
        <f t="shared" si="524"/>
        <v>#DIV/0!</v>
      </c>
      <c r="GU79" s="13"/>
      <c r="GV79" s="11"/>
      <c r="GW79" s="11"/>
      <c r="GX79" s="14"/>
      <c r="GY79" s="10"/>
      <c r="GZ79" s="11"/>
      <c r="HA79" s="69">
        <f t="shared" si="551"/>
        <v>0</v>
      </c>
      <c r="HB79" s="69">
        <f t="shared" si="551"/>
        <v>0</v>
      </c>
      <c r="HC79" s="11"/>
      <c r="HD79" s="12" t="e">
        <f t="shared" si="525"/>
        <v>#DIV/0!</v>
      </c>
      <c r="HE79" s="11"/>
      <c r="HF79" s="12" t="e">
        <f t="shared" si="526"/>
        <v>#DIV/0!</v>
      </c>
      <c r="HG79" s="13"/>
      <c r="HH79" s="11"/>
      <c r="HI79" s="11"/>
      <c r="HJ79" s="14"/>
      <c r="HK79" s="10">
        <f t="shared" si="527"/>
        <v>4</v>
      </c>
      <c r="HL79" s="11">
        <f t="shared" si="527"/>
        <v>0</v>
      </c>
      <c r="HM79" s="11">
        <f t="shared" si="527"/>
        <v>3658</v>
      </c>
      <c r="HN79" s="11">
        <f t="shared" si="527"/>
        <v>322</v>
      </c>
      <c r="HO79" s="11">
        <f t="shared" si="528"/>
        <v>2220</v>
      </c>
      <c r="HP79" s="95">
        <f t="shared" si="529"/>
        <v>0.60688901038819032</v>
      </c>
      <c r="HQ79" s="15">
        <f t="shared" si="530"/>
        <v>52</v>
      </c>
      <c r="HR79" s="12">
        <f t="shared" si="552"/>
        <v>2.3423423423423424E-2</v>
      </c>
      <c r="HS79" s="16">
        <v>64.3</v>
      </c>
      <c r="HT79" s="17">
        <v>2041</v>
      </c>
      <c r="HU79" s="16">
        <f t="shared" si="531"/>
        <v>91.936936936936945</v>
      </c>
      <c r="HV79" s="15"/>
      <c r="HW79" s="14"/>
    </row>
    <row r="80" spans="1:231" ht="18.75" x14ac:dyDescent="0.25">
      <c r="A80" s="374"/>
      <c r="B80" s="41">
        <f t="shared" si="532"/>
        <v>45000</v>
      </c>
      <c r="C80" s="10"/>
      <c r="D80" s="11"/>
      <c r="E80" s="69">
        <f t="shared" si="533"/>
        <v>693</v>
      </c>
      <c r="F80" s="69">
        <f t="shared" si="533"/>
        <v>63</v>
      </c>
      <c r="G80" s="11">
        <v>383</v>
      </c>
      <c r="H80" s="12">
        <f t="shared" si="492"/>
        <v>0.56565656565656564</v>
      </c>
      <c r="I80" s="11">
        <v>9</v>
      </c>
      <c r="J80" s="12">
        <f t="shared" si="534"/>
        <v>2.2959183673469389E-2</v>
      </c>
      <c r="K80" s="11"/>
      <c r="L80" s="11"/>
      <c r="M80" s="18"/>
      <c r="N80" s="20"/>
      <c r="O80" s="10"/>
      <c r="P80" s="11"/>
      <c r="Q80" s="69">
        <f t="shared" si="535"/>
        <v>687</v>
      </c>
      <c r="R80" s="69">
        <f t="shared" si="535"/>
        <v>62</v>
      </c>
      <c r="S80" s="11">
        <v>377</v>
      </c>
      <c r="T80" s="12">
        <f t="shared" si="493"/>
        <v>0.56622998544395919</v>
      </c>
      <c r="U80" s="11">
        <v>12</v>
      </c>
      <c r="V80" s="12">
        <f t="shared" si="494"/>
        <v>3.0848329048843187E-2</v>
      </c>
      <c r="W80" s="11"/>
      <c r="X80" s="11"/>
      <c r="Y80" s="18"/>
      <c r="Z80" s="20"/>
      <c r="AA80" s="10"/>
      <c r="AB80" s="11"/>
      <c r="AC80" s="69">
        <f t="shared" si="536"/>
        <v>165</v>
      </c>
      <c r="AD80" s="69">
        <f t="shared" si="536"/>
        <v>10</v>
      </c>
      <c r="AE80" s="11">
        <v>92</v>
      </c>
      <c r="AF80" s="12">
        <f t="shared" si="495"/>
        <v>0.5696969696969697</v>
      </c>
      <c r="AG80" s="11">
        <v>2</v>
      </c>
      <c r="AH80" s="12">
        <f t="shared" si="496"/>
        <v>2.1276595744680851E-2</v>
      </c>
      <c r="AI80" s="11"/>
      <c r="AJ80" s="11"/>
      <c r="AK80" s="18"/>
      <c r="AL80" s="20"/>
      <c r="AM80" s="10"/>
      <c r="AN80" s="11"/>
      <c r="AO80" s="69">
        <f t="shared" si="537"/>
        <v>702</v>
      </c>
      <c r="AP80" s="69">
        <f t="shared" si="537"/>
        <v>63</v>
      </c>
      <c r="AQ80" s="11">
        <v>371</v>
      </c>
      <c r="AR80" s="12">
        <f t="shared" si="497"/>
        <v>0.54131054131054135</v>
      </c>
      <c r="AS80" s="11">
        <v>9</v>
      </c>
      <c r="AT80" s="12">
        <f t="shared" si="498"/>
        <v>2.368421052631579E-2</v>
      </c>
      <c r="AU80" s="11"/>
      <c r="AV80" s="11"/>
      <c r="AW80" s="18"/>
      <c r="AX80" s="20"/>
      <c r="AY80" s="10">
        <v>1</v>
      </c>
      <c r="AZ80" s="11"/>
      <c r="BA80" s="69">
        <f t="shared" si="538"/>
        <v>706</v>
      </c>
      <c r="BB80" s="69">
        <f t="shared" si="538"/>
        <v>61</v>
      </c>
      <c r="BC80" s="11">
        <v>370</v>
      </c>
      <c r="BD80" s="12">
        <f t="shared" si="499"/>
        <v>0.53966005665722383</v>
      </c>
      <c r="BE80" s="11">
        <v>11</v>
      </c>
      <c r="BF80" s="12">
        <f t="shared" si="500"/>
        <v>2.8871391076115485E-2</v>
      </c>
      <c r="BG80" s="11"/>
      <c r="BH80" s="11"/>
      <c r="BI80" s="18"/>
      <c r="BJ80" s="20"/>
      <c r="BK80" s="10">
        <v>1</v>
      </c>
      <c r="BL80" s="11"/>
      <c r="BM80" s="69">
        <f t="shared" si="539"/>
        <v>703</v>
      </c>
      <c r="BN80" s="69">
        <f t="shared" si="539"/>
        <v>63</v>
      </c>
      <c r="BO80" s="11">
        <v>395</v>
      </c>
      <c r="BP80" s="12">
        <f t="shared" si="501"/>
        <v>0.58179231863442393</v>
      </c>
      <c r="BQ80" s="11">
        <v>14</v>
      </c>
      <c r="BR80" s="12">
        <f t="shared" si="502"/>
        <v>3.4229828850855744E-2</v>
      </c>
      <c r="BS80" s="11"/>
      <c r="BT80" s="11"/>
      <c r="BU80" s="18"/>
      <c r="BV80" s="20"/>
      <c r="BW80" s="10"/>
      <c r="BX80" s="11"/>
      <c r="BY80" s="69">
        <f t="shared" si="540"/>
        <v>0</v>
      </c>
      <c r="BZ80" s="69">
        <f t="shared" si="540"/>
        <v>0</v>
      </c>
      <c r="CA80" s="11"/>
      <c r="CB80" s="12" t="e">
        <f t="shared" si="503"/>
        <v>#DIV/0!</v>
      </c>
      <c r="CC80" s="11"/>
      <c r="CD80" s="12" t="e">
        <f t="shared" si="504"/>
        <v>#DIV/0!</v>
      </c>
      <c r="CE80" s="11"/>
      <c r="CF80" s="11"/>
      <c r="CG80" s="18"/>
      <c r="CH80" s="20"/>
      <c r="CI80" s="10"/>
      <c r="CJ80" s="11"/>
      <c r="CK80" s="69">
        <f t="shared" si="541"/>
        <v>0</v>
      </c>
      <c r="CL80" s="69">
        <f t="shared" si="541"/>
        <v>0</v>
      </c>
      <c r="CM80" s="11"/>
      <c r="CN80" s="12" t="e">
        <f t="shared" si="505"/>
        <v>#DIV/0!</v>
      </c>
      <c r="CO80" s="11"/>
      <c r="CP80" s="12" t="e">
        <f t="shared" si="506"/>
        <v>#DIV/0!</v>
      </c>
      <c r="CQ80" s="11"/>
      <c r="CR80" s="11"/>
      <c r="CS80" s="18"/>
      <c r="CT80" s="20"/>
      <c r="CU80" s="10"/>
      <c r="CV80" s="11"/>
      <c r="CW80" s="69">
        <f t="shared" si="542"/>
        <v>0</v>
      </c>
      <c r="CX80" s="69">
        <f t="shared" si="542"/>
        <v>0</v>
      </c>
      <c r="CY80" s="11"/>
      <c r="CZ80" s="12" t="e">
        <f t="shared" si="507"/>
        <v>#DIV/0!</v>
      </c>
      <c r="DA80" s="11"/>
      <c r="DB80" s="12" t="e">
        <f t="shared" si="508"/>
        <v>#DIV/0!</v>
      </c>
      <c r="DC80" s="11"/>
      <c r="DD80" s="11"/>
      <c r="DE80" s="18"/>
      <c r="DF80" s="20"/>
      <c r="DG80" s="10"/>
      <c r="DH80" s="11"/>
      <c r="DI80" s="69">
        <f t="shared" si="543"/>
        <v>0</v>
      </c>
      <c r="DJ80" s="69">
        <f t="shared" si="543"/>
        <v>0</v>
      </c>
      <c r="DK80" s="11"/>
      <c r="DL80" s="12" t="e">
        <f t="shared" si="509"/>
        <v>#DIV/0!</v>
      </c>
      <c r="DM80" s="11"/>
      <c r="DN80" s="12" t="e">
        <f t="shared" si="510"/>
        <v>#DIV/0!</v>
      </c>
      <c r="DO80" s="11"/>
      <c r="DP80" s="11"/>
      <c r="DQ80" s="18"/>
      <c r="DR80" s="20"/>
      <c r="DS80" s="10"/>
      <c r="DT80" s="11"/>
      <c r="DU80" s="69">
        <f t="shared" si="544"/>
        <v>0</v>
      </c>
      <c r="DV80" s="69">
        <f t="shared" si="544"/>
        <v>0</v>
      </c>
      <c r="DW80" s="11"/>
      <c r="DX80" s="12" t="e">
        <f t="shared" si="511"/>
        <v>#DIV/0!</v>
      </c>
      <c r="DY80" s="11"/>
      <c r="DZ80" s="12" t="e">
        <f t="shared" si="512"/>
        <v>#DIV/0!</v>
      </c>
      <c r="EA80" s="11"/>
      <c r="EB80" s="11"/>
      <c r="EC80" s="18"/>
      <c r="ED80" s="20"/>
      <c r="EE80" s="10"/>
      <c r="EF80" s="11"/>
      <c r="EG80" s="69">
        <f t="shared" si="545"/>
        <v>0</v>
      </c>
      <c r="EH80" s="69">
        <f t="shared" si="545"/>
        <v>0</v>
      </c>
      <c r="EI80" s="11"/>
      <c r="EJ80" s="12" t="e">
        <f t="shared" si="513"/>
        <v>#DIV/0!</v>
      </c>
      <c r="EK80" s="11"/>
      <c r="EL80" s="12" t="e">
        <f t="shared" si="514"/>
        <v>#DIV/0!</v>
      </c>
      <c r="EM80" s="11"/>
      <c r="EN80" s="11"/>
      <c r="EO80" s="18"/>
      <c r="EP80" s="20"/>
      <c r="EQ80" s="10"/>
      <c r="ER80" s="11"/>
      <c r="ES80" s="69">
        <f t="shared" si="546"/>
        <v>0</v>
      </c>
      <c r="ET80" s="69">
        <f t="shared" si="546"/>
        <v>0</v>
      </c>
      <c r="EU80" s="11"/>
      <c r="EV80" s="12" t="e">
        <f t="shared" si="515"/>
        <v>#DIV/0!</v>
      </c>
      <c r="EW80" s="11"/>
      <c r="EX80" s="12" t="e">
        <f t="shared" si="516"/>
        <v>#DIV/0!</v>
      </c>
      <c r="EY80" s="11"/>
      <c r="EZ80" s="11"/>
      <c r="FA80" s="18"/>
      <c r="FB80" s="20"/>
      <c r="FC80" s="10"/>
      <c r="FD80" s="11"/>
      <c r="FE80" s="69">
        <f t="shared" si="547"/>
        <v>0</v>
      </c>
      <c r="FF80" s="69">
        <f t="shared" si="547"/>
        <v>0</v>
      </c>
      <c r="FG80" s="11"/>
      <c r="FH80" s="12" t="e">
        <f t="shared" si="517"/>
        <v>#DIV/0!</v>
      </c>
      <c r="FI80" s="11"/>
      <c r="FJ80" s="12" t="e">
        <f t="shared" si="518"/>
        <v>#DIV/0!</v>
      </c>
      <c r="FK80" s="11"/>
      <c r="FL80" s="11"/>
      <c r="FM80" s="18"/>
      <c r="FN80" s="20"/>
      <c r="FO80" s="10"/>
      <c r="FP80" s="11"/>
      <c r="FQ80" s="69">
        <f t="shared" si="548"/>
        <v>0</v>
      </c>
      <c r="FR80" s="69">
        <f t="shared" si="548"/>
        <v>0</v>
      </c>
      <c r="FS80" s="11"/>
      <c r="FT80" s="12" t="e">
        <f t="shared" si="519"/>
        <v>#DIV/0!</v>
      </c>
      <c r="FU80" s="11"/>
      <c r="FV80" s="12" t="e">
        <f t="shared" si="520"/>
        <v>#DIV/0!</v>
      </c>
      <c r="FW80" s="11"/>
      <c r="FX80" s="11"/>
      <c r="FY80" s="18"/>
      <c r="FZ80" s="20"/>
      <c r="GA80" s="10"/>
      <c r="GB80" s="11"/>
      <c r="GC80" s="69">
        <f t="shared" si="549"/>
        <v>0</v>
      </c>
      <c r="GD80" s="69">
        <f t="shared" si="549"/>
        <v>0</v>
      </c>
      <c r="GE80" s="11"/>
      <c r="GF80" s="12" t="e">
        <f t="shared" si="521"/>
        <v>#DIV/0!</v>
      </c>
      <c r="GG80" s="11"/>
      <c r="GH80" s="12" t="e">
        <f t="shared" si="522"/>
        <v>#DIV/0!</v>
      </c>
      <c r="GI80" s="11"/>
      <c r="GJ80" s="11"/>
      <c r="GK80" s="18"/>
      <c r="GL80" s="20"/>
      <c r="GM80" s="10"/>
      <c r="GN80" s="11"/>
      <c r="GO80" s="69">
        <f t="shared" si="550"/>
        <v>0</v>
      </c>
      <c r="GP80" s="69">
        <f t="shared" si="550"/>
        <v>0</v>
      </c>
      <c r="GQ80" s="11"/>
      <c r="GR80" s="12" t="e">
        <f t="shared" si="523"/>
        <v>#DIV/0!</v>
      </c>
      <c r="GS80" s="11"/>
      <c r="GT80" s="12" t="e">
        <f t="shared" si="524"/>
        <v>#DIV/0!</v>
      </c>
      <c r="GU80" s="11"/>
      <c r="GV80" s="11"/>
      <c r="GW80" s="18"/>
      <c r="GX80" s="20"/>
      <c r="GY80" s="10"/>
      <c r="GZ80" s="11"/>
      <c r="HA80" s="69">
        <f t="shared" si="551"/>
        <v>0</v>
      </c>
      <c r="HB80" s="69">
        <f t="shared" si="551"/>
        <v>0</v>
      </c>
      <c r="HC80" s="11"/>
      <c r="HD80" s="12" t="e">
        <f t="shared" si="525"/>
        <v>#DIV/0!</v>
      </c>
      <c r="HE80" s="11"/>
      <c r="HF80" s="12" t="e">
        <f t="shared" si="526"/>
        <v>#DIV/0!</v>
      </c>
      <c r="HG80" s="11"/>
      <c r="HH80" s="11"/>
      <c r="HI80" s="18"/>
      <c r="HJ80" s="20"/>
      <c r="HK80" s="10">
        <f t="shared" si="527"/>
        <v>2</v>
      </c>
      <c r="HL80" s="11">
        <f t="shared" si="527"/>
        <v>0</v>
      </c>
      <c r="HM80" s="11">
        <f t="shared" si="527"/>
        <v>3656</v>
      </c>
      <c r="HN80" s="11">
        <f t="shared" si="527"/>
        <v>322</v>
      </c>
      <c r="HO80" s="11">
        <f t="shared" si="528"/>
        <v>2045</v>
      </c>
      <c r="HP80" s="95">
        <f t="shared" si="529"/>
        <v>0.55935448577680524</v>
      </c>
      <c r="HQ80" s="15">
        <f t="shared" si="530"/>
        <v>57</v>
      </c>
      <c r="HR80" s="12">
        <f t="shared" si="552"/>
        <v>2.7872860635696821E-2</v>
      </c>
      <c r="HS80" s="16">
        <v>64.599999999999994</v>
      </c>
      <c r="HT80" s="17">
        <v>1893</v>
      </c>
      <c r="HU80" s="16">
        <f t="shared" si="531"/>
        <v>92.56723716381417</v>
      </c>
      <c r="HV80" s="18"/>
      <c r="HW80" s="20"/>
    </row>
    <row r="81" spans="1:231" ht="18.75" x14ac:dyDescent="0.25">
      <c r="A81" s="374"/>
      <c r="B81" s="41">
        <f t="shared" si="532"/>
        <v>45001</v>
      </c>
      <c r="C81" s="10"/>
      <c r="D81" s="11"/>
      <c r="E81" s="69">
        <f t="shared" si="533"/>
        <v>693</v>
      </c>
      <c r="F81" s="69">
        <f t="shared" si="533"/>
        <v>63</v>
      </c>
      <c r="G81" s="11">
        <v>395</v>
      </c>
      <c r="H81" s="12">
        <f t="shared" si="492"/>
        <v>0.58730158730158732</v>
      </c>
      <c r="I81" s="11">
        <v>12</v>
      </c>
      <c r="J81" s="12">
        <f t="shared" si="534"/>
        <v>2.9484029484029485E-2</v>
      </c>
      <c r="K81" s="13"/>
      <c r="L81" s="13"/>
      <c r="M81" s="25">
        <v>3925</v>
      </c>
      <c r="N81" s="38">
        <v>4320</v>
      </c>
      <c r="O81" s="10"/>
      <c r="P81" s="11"/>
      <c r="Q81" s="69">
        <f t="shared" si="535"/>
        <v>687</v>
      </c>
      <c r="R81" s="69">
        <f t="shared" si="535"/>
        <v>62</v>
      </c>
      <c r="S81" s="11">
        <v>403</v>
      </c>
      <c r="T81" s="12">
        <f t="shared" si="493"/>
        <v>0.6026200873362445</v>
      </c>
      <c r="U81" s="11">
        <v>11</v>
      </c>
      <c r="V81" s="12">
        <f t="shared" si="494"/>
        <v>2.6570048309178744E-2</v>
      </c>
      <c r="W81" s="13"/>
      <c r="X81" s="13"/>
      <c r="Y81" s="25">
        <v>3925</v>
      </c>
      <c r="Z81" s="38">
        <v>4320</v>
      </c>
      <c r="AA81" s="10">
        <v>1</v>
      </c>
      <c r="AB81" s="11"/>
      <c r="AC81" s="69">
        <f t="shared" si="536"/>
        <v>164</v>
      </c>
      <c r="AD81" s="69">
        <f t="shared" si="536"/>
        <v>10</v>
      </c>
      <c r="AE81" s="11">
        <v>92</v>
      </c>
      <c r="AF81" s="12">
        <f t="shared" si="495"/>
        <v>0.56097560975609762</v>
      </c>
      <c r="AG81" s="11">
        <v>0</v>
      </c>
      <c r="AH81" s="12">
        <f t="shared" si="496"/>
        <v>0</v>
      </c>
      <c r="AI81" s="13"/>
      <c r="AJ81" s="13"/>
      <c r="AK81" s="25">
        <v>3925</v>
      </c>
      <c r="AL81" s="38">
        <v>4320</v>
      </c>
      <c r="AM81" s="10"/>
      <c r="AN81" s="11"/>
      <c r="AO81" s="69">
        <f t="shared" si="537"/>
        <v>702</v>
      </c>
      <c r="AP81" s="69">
        <f t="shared" si="537"/>
        <v>63</v>
      </c>
      <c r="AQ81" s="11">
        <v>379</v>
      </c>
      <c r="AR81" s="12">
        <f t="shared" si="497"/>
        <v>0.56552706552706555</v>
      </c>
      <c r="AS81" s="11">
        <v>18</v>
      </c>
      <c r="AT81" s="12">
        <f t="shared" si="498"/>
        <v>4.534005037783375E-2</v>
      </c>
      <c r="AU81" s="13"/>
      <c r="AV81" s="13"/>
      <c r="AW81" s="25">
        <v>3925</v>
      </c>
      <c r="AX81" s="38">
        <v>4320</v>
      </c>
      <c r="AY81" s="10"/>
      <c r="AZ81" s="11"/>
      <c r="BA81" s="69">
        <f t="shared" si="538"/>
        <v>706</v>
      </c>
      <c r="BB81" s="69">
        <f t="shared" si="538"/>
        <v>61</v>
      </c>
      <c r="BC81" s="11">
        <v>384</v>
      </c>
      <c r="BD81" s="12">
        <f t="shared" si="499"/>
        <v>0.56232294617563738</v>
      </c>
      <c r="BE81" s="11">
        <v>13</v>
      </c>
      <c r="BF81" s="12">
        <f t="shared" si="500"/>
        <v>3.2745591939546598E-2</v>
      </c>
      <c r="BG81" s="13"/>
      <c r="BH81" s="13"/>
      <c r="BI81" s="25">
        <v>3925</v>
      </c>
      <c r="BJ81" s="38">
        <v>4320</v>
      </c>
      <c r="BK81" s="10">
        <v>1</v>
      </c>
      <c r="BL81" s="11"/>
      <c r="BM81" s="69">
        <f t="shared" si="539"/>
        <v>702</v>
      </c>
      <c r="BN81" s="69">
        <f t="shared" si="539"/>
        <v>63</v>
      </c>
      <c r="BO81" s="11">
        <v>404</v>
      </c>
      <c r="BP81" s="12">
        <f t="shared" si="501"/>
        <v>0.59116809116809121</v>
      </c>
      <c r="BQ81" s="11">
        <v>11</v>
      </c>
      <c r="BR81" s="12">
        <f t="shared" si="502"/>
        <v>2.6506024096385541E-2</v>
      </c>
      <c r="BS81" s="13"/>
      <c r="BT81" s="13"/>
      <c r="BU81" s="25">
        <v>3925</v>
      </c>
      <c r="BV81" s="38">
        <v>4320</v>
      </c>
      <c r="BW81" s="10"/>
      <c r="BX81" s="11"/>
      <c r="BY81" s="69">
        <f t="shared" si="540"/>
        <v>0</v>
      </c>
      <c r="BZ81" s="69">
        <f t="shared" si="540"/>
        <v>0</v>
      </c>
      <c r="CA81" s="11"/>
      <c r="CB81" s="12" t="e">
        <f t="shared" si="503"/>
        <v>#DIV/0!</v>
      </c>
      <c r="CC81" s="11"/>
      <c r="CD81" s="12" t="e">
        <f t="shared" si="504"/>
        <v>#DIV/0!</v>
      </c>
      <c r="CE81" s="13"/>
      <c r="CF81" s="13"/>
      <c r="CG81" s="25"/>
      <c r="CH81" s="38"/>
      <c r="CI81" s="10"/>
      <c r="CJ81" s="11"/>
      <c r="CK81" s="69">
        <f t="shared" si="541"/>
        <v>0</v>
      </c>
      <c r="CL81" s="69">
        <f t="shared" si="541"/>
        <v>0</v>
      </c>
      <c r="CM81" s="11"/>
      <c r="CN81" s="12" t="e">
        <f t="shared" si="505"/>
        <v>#DIV/0!</v>
      </c>
      <c r="CO81" s="11"/>
      <c r="CP81" s="12" t="e">
        <f t="shared" si="506"/>
        <v>#DIV/0!</v>
      </c>
      <c r="CQ81" s="13"/>
      <c r="CR81" s="13"/>
      <c r="CS81" s="25"/>
      <c r="CT81" s="38"/>
      <c r="CU81" s="10"/>
      <c r="CV81" s="11"/>
      <c r="CW81" s="69">
        <f t="shared" si="542"/>
        <v>0</v>
      </c>
      <c r="CX81" s="69">
        <f t="shared" si="542"/>
        <v>0</v>
      </c>
      <c r="CY81" s="11"/>
      <c r="CZ81" s="12" t="e">
        <f t="shared" si="507"/>
        <v>#DIV/0!</v>
      </c>
      <c r="DA81" s="11"/>
      <c r="DB81" s="12" t="e">
        <f t="shared" si="508"/>
        <v>#DIV/0!</v>
      </c>
      <c r="DC81" s="13"/>
      <c r="DD81" s="13"/>
      <c r="DE81" s="25"/>
      <c r="DF81" s="38"/>
      <c r="DG81" s="10"/>
      <c r="DH81" s="11"/>
      <c r="DI81" s="69">
        <f t="shared" si="543"/>
        <v>0</v>
      </c>
      <c r="DJ81" s="69">
        <f t="shared" si="543"/>
        <v>0</v>
      </c>
      <c r="DK81" s="11"/>
      <c r="DL81" s="12" t="e">
        <f t="shared" si="509"/>
        <v>#DIV/0!</v>
      </c>
      <c r="DM81" s="11"/>
      <c r="DN81" s="12" t="e">
        <f t="shared" si="510"/>
        <v>#DIV/0!</v>
      </c>
      <c r="DO81" s="13"/>
      <c r="DP81" s="13"/>
      <c r="DQ81" s="25"/>
      <c r="DR81" s="38"/>
      <c r="DS81" s="10"/>
      <c r="DT81" s="11"/>
      <c r="DU81" s="69">
        <f t="shared" si="544"/>
        <v>0</v>
      </c>
      <c r="DV81" s="69">
        <f t="shared" si="544"/>
        <v>0</v>
      </c>
      <c r="DW81" s="11"/>
      <c r="DX81" s="12" t="e">
        <f t="shared" si="511"/>
        <v>#DIV/0!</v>
      </c>
      <c r="DY81" s="11"/>
      <c r="DZ81" s="12" t="e">
        <f t="shared" si="512"/>
        <v>#DIV/0!</v>
      </c>
      <c r="EA81" s="13"/>
      <c r="EB81" s="13"/>
      <c r="EC81" s="25"/>
      <c r="ED81" s="38"/>
      <c r="EE81" s="10"/>
      <c r="EF81" s="11"/>
      <c r="EG81" s="69">
        <f t="shared" si="545"/>
        <v>0</v>
      </c>
      <c r="EH81" s="69">
        <f t="shared" si="545"/>
        <v>0</v>
      </c>
      <c r="EI81" s="11"/>
      <c r="EJ81" s="12" t="e">
        <f t="shared" si="513"/>
        <v>#DIV/0!</v>
      </c>
      <c r="EK81" s="11"/>
      <c r="EL81" s="12" t="e">
        <f t="shared" si="514"/>
        <v>#DIV/0!</v>
      </c>
      <c r="EM81" s="13"/>
      <c r="EN81" s="13"/>
      <c r="EO81" s="25"/>
      <c r="EP81" s="38"/>
      <c r="EQ81" s="10"/>
      <c r="ER81" s="11"/>
      <c r="ES81" s="69">
        <f t="shared" si="546"/>
        <v>0</v>
      </c>
      <c r="ET81" s="69">
        <f t="shared" si="546"/>
        <v>0</v>
      </c>
      <c r="EU81" s="11"/>
      <c r="EV81" s="12" t="e">
        <f t="shared" si="515"/>
        <v>#DIV/0!</v>
      </c>
      <c r="EW81" s="11"/>
      <c r="EX81" s="12" t="e">
        <f t="shared" si="516"/>
        <v>#DIV/0!</v>
      </c>
      <c r="EY81" s="13"/>
      <c r="EZ81" s="13"/>
      <c r="FA81" s="25"/>
      <c r="FB81" s="38"/>
      <c r="FC81" s="10"/>
      <c r="FD81" s="11"/>
      <c r="FE81" s="69">
        <f t="shared" si="547"/>
        <v>0</v>
      </c>
      <c r="FF81" s="69">
        <f t="shared" si="547"/>
        <v>0</v>
      </c>
      <c r="FG81" s="11"/>
      <c r="FH81" s="12" t="e">
        <f t="shared" si="517"/>
        <v>#DIV/0!</v>
      </c>
      <c r="FI81" s="11"/>
      <c r="FJ81" s="12" t="e">
        <f t="shared" si="518"/>
        <v>#DIV/0!</v>
      </c>
      <c r="FK81" s="13"/>
      <c r="FL81" s="13"/>
      <c r="FM81" s="25"/>
      <c r="FN81" s="38"/>
      <c r="FO81" s="10"/>
      <c r="FP81" s="11"/>
      <c r="FQ81" s="69">
        <f t="shared" si="548"/>
        <v>0</v>
      </c>
      <c r="FR81" s="69">
        <f t="shared" si="548"/>
        <v>0</v>
      </c>
      <c r="FS81" s="11"/>
      <c r="FT81" s="12" t="e">
        <f t="shared" si="519"/>
        <v>#DIV/0!</v>
      </c>
      <c r="FU81" s="11"/>
      <c r="FV81" s="12" t="e">
        <f t="shared" si="520"/>
        <v>#DIV/0!</v>
      </c>
      <c r="FW81" s="13"/>
      <c r="FX81" s="13"/>
      <c r="FY81" s="25"/>
      <c r="FZ81" s="38"/>
      <c r="GA81" s="10"/>
      <c r="GB81" s="11"/>
      <c r="GC81" s="69">
        <f t="shared" si="549"/>
        <v>0</v>
      </c>
      <c r="GD81" s="69">
        <f t="shared" si="549"/>
        <v>0</v>
      </c>
      <c r="GE81" s="11"/>
      <c r="GF81" s="12" t="e">
        <f t="shared" si="521"/>
        <v>#DIV/0!</v>
      </c>
      <c r="GG81" s="11"/>
      <c r="GH81" s="12" t="e">
        <f t="shared" si="522"/>
        <v>#DIV/0!</v>
      </c>
      <c r="GI81" s="13"/>
      <c r="GJ81" s="13"/>
      <c r="GK81" s="25"/>
      <c r="GL81" s="38"/>
      <c r="GM81" s="10"/>
      <c r="GN81" s="11"/>
      <c r="GO81" s="69">
        <f t="shared" si="550"/>
        <v>0</v>
      </c>
      <c r="GP81" s="69">
        <f t="shared" si="550"/>
        <v>0</v>
      </c>
      <c r="GQ81" s="11"/>
      <c r="GR81" s="12" t="e">
        <f t="shared" si="523"/>
        <v>#DIV/0!</v>
      </c>
      <c r="GS81" s="11"/>
      <c r="GT81" s="12" t="e">
        <f t="shared" si="524"/>
        <v>#DIV/0!</v>
      </c>
      <c r="GU81" s="13"/>
      <c r="GV81" s="13"/>
      <c r="GW81" s="25"/>
      <c r="GX81" s="38"/>
      <c r="GY81" s="10"/>
      <c r="GZ81" s="11"/>
      <c r="HA81" s="69">
        <f t="shared" si="551"/>
        <v>0</v>
      </c>
      <c r="HB81" s="69">
        <f t="shared" si="551"/>
        <v>0</v>
      </c>
      <c r="HC81" s="11"/>
      <c r="HD81" s="12" t="e">
        <f t="shared" si="525"/>
        <v>#DIV/0!</v>
      </c>
      <c r="HE81" s="11"/>
      <c r="HF81" s="12" t="e">
        <f t="shared" si="526"/>
        <v>#DIV/0!</v>
      </c>
      <c r="HG81" s="13"/>
      <c r="HH81" s="13"/>
      <c r="HI81" s="25"/>
      <c r="HJ81" s="38"/>
      <c r="HK81" s="10">
        <f t="shared" si="527"/>
        <v>2</v>
      </c>
      <c r="HL81" s="11">
        <f t="shared" si="527"/>
        <v>0</v>
      </c>
      <c r="HM81" s="11">
        <f t="shared" si="527"/>
        <v>3654</v>
      </c>
      <c r="HN81" s="11">
        <f t="shared" si="527"/>
        <v>322</v>
      </c>
      <c r="HO81" s="11">
        <f t="shared" si="528"/>
        <v>2122</v>
      </c>
      <c r="HP81" s="95">
        <f t="shared" si="529"/>
        <v>0.58073344280240835</v>
      </c>
      <c r="HQ81" s="15">
        <f t="shared" si="530"/>
        <v>65</v>
      </c>
      <c r="HR81" s="12">
        <f t="shared" si="552"/>
        <v>3.0631479736098022E-2</v>
      </c>
      <c r="HS81" s="16">
        <v>64.5</v>
      </c>
      <c r="HT81" s="17">
        <v>1976</v>
      </c>
      <c r="HU81" s="16">
        <f t="shared" si="531"/>
        <v>93.119698397737977</v>
      </c>
      <c r="HV81" s="23">
        <v>3925</v>
      </c>
      <c r="HW81" s="22">
        <v>4320</v>
      </c>
    </row>
    <row r="82" spans="1:231" ht="18.75" x14ac:dyDescent="0.25">
      <c r="A82" s="374"/>
      <c r="B82" s="41">
        <f t="shared" si="532"/>
        <v>45002</v>
      </c>
      <c r="C82" s="10"/>
      <c r="D82" s="11"/>
      <c r="E82" s="69">
        <f t="shared" si="533"/>
        <v>693</v>
      </c>
      <c r="F82" s="69">
        <f t="shared" si="533"/>
        <v>63</v>
      </c>
      <c r="G82" s="11">
        <v>354</v>
      </c>
      <c r="H82" s="12">
        <f t="shared" si="492"/>
        <v>0.52669552669552666</v>
      </c>
      <c r="I82" s="11">
        <v>11</v>
      </c>
      <c r="J82" s="12">
        <f t="shared" si="534"/>
        <v>3.0136986301369864E-2</v>
      </c>
      <c r="K82" s="13"/>
      <c r="L82" s="11"/>
      <c r="M82" s="25">
        <v>4352.1875</v>
      </c>
      <c r="N82" s="38">
        <v>4516.666666666667</v>
      </c>
      <c r="O82" s="10"/>
      <c r="P82" s="11"/>
      <c r="Q82" s="69">
        <f t="shared" si="535"/>
        <v>687</v>
      </c>
      <c r="R82" s="69">
        <f t="shared" si="535"/>
        <v>62</v>
      </c>
      <c r="S82" s="11">
        <v>375</v>
      </c>
      <c r="T82" s="12">
        <f t="shared" si="493"/>
        <v>0.5691411935953421</v>
      </c>
      <c r="U82" s="11">
        <v>16</v>
      </c>
      <c r="V82" s="12">
        <f t="shared" si="494"/>
        <v>4.0920716112531973E-2</v>
      </c>
      <c r="W82" s="13"/>
      <c r="X82" s="11"/>
      <c r="Y82" s="25">
        <v>4301.6129032258068</v>
      </c>
      <c r="Z82" s="38">
        <v>4600.909090909091</v>
      </c>
      <c r="AA82" s="10">
        <v>1</v>
      </c>
      <c r="AB82" s="11"/>
      <c r="AC82" s="69">
        <f t="shared" si="536"/>
        <v>163</v>
      </c>
      <c r="AD82" s="69">
        <f t="shared" si="536"/>
        <v>10</v>
      </c>
      <c r="AE82" s="11">
        <v>80</v>
      </c>
      <c r="AF82" s="12">
        <f t="shared" si="495"/>
        <v>0.5214723926380368</v>
      </c>
      <c r="AG82" s="11">
        <v>5</v>
      </c>
      <c r="AH82" s="12">
        <f t="shared" si="496"/>
        <v>5.8823529411764705E-2</v>
      </c>
      <c r="AI82" s="13"/>
      <c r="AJ82" s="11"/>
      <c r="AK82" s="25">
        <v>4256.25</v>
      </c>
      <c r="AL82" s="38">
        <v>4417.5</v>
      </c>
      <c r="AM82" s="10"/>
      <c r="AN82" s="11"/>
      <c r="AO82" s="69">
        <f t="shared" si="537"/>
        <v>702</v>
      </c>
      <c r="AP82" s="69">
        <f t="shared" si="537"/>
        <v>63</v>
      </c>
      <c r="AQ82" s="11">
        <v>346</v>
      </c>
      <c r="AR82" s="12">
        <f t="shared" si="497"/>
        <v>0.50997150997150997</v>
      </c>
      <c r="AS82" s="11">
        <v>12</v>
      </c>
      <c r="AT82" s="12">
        <f t="shared" si="498"/>
        <v>3.3519553072625698E-2</v>
      </c>
      <c r="AU82" s="13"/>
      <c r="AV82" s="11"/>
      <c r="AW82" s="25">
        <v>4373.5294117647063</v>
      </c>
      <c r="AX82" s="38">
        <v>4441.666666666667</v>
      </c>
      <c r="AY82" s="10"/>
      <c r="AZ82" s="11"/>
      <c r="BA82" s="69">
        <f t="shared" si="538"/>
        <v>706</v>
      </c>
      <c r="BB82" s="69">
        <f t="shared" si="538"/>
        <v>61</v>
      </c>
      <c r="BC82" s="11">
        <v>350</v>
      </c>
      <c r="BD82" s="12">
        <f t="shared" si="499"/>
        <v>0.52407932011331448</v>
      </c>
      <c r="BE82" s="11">
        <v>20</v>
      </c>
      <c r="BF82" s="12">
        <f t="shared" si="500"/>
        <v>5.4054054054054057E-2</v>
      </c>
      <c r="BG82" s="13"/>
      <c r="BH82" s="11"/>
      <c r="BI82" s="25">
        <v>4319.7058823529414</v>
      </c>
      <c r="BJ82" s="38">
        <v>4422</v>
      </c>
      <c r="BK82" s="10">
        <v>1</v>
      </c>
      <c r="BL82" s="11"/>
      <c r="BM82" s="69">
        <f t="shared" si="539"/>
        <v>701</v>
      </c>
      <c r="BN82" s="69">
        <f t="shared" si="539"/>
        <v>63</v>
      </c>
      <c r="BO82" s="11">
        <v>390</v>
      </c>
      <c r="BP82" s="12">
        <f t="shared" si="501"/>
        <v>0.57917261055634806</v>
      </c>
      <c r="BQ82" s="11">
        <v>16</v>
      </c>
      <c r="BR82" s="12">
        <f t="shared" si="502"/>
        <v>3.9408866995073892E-2</v>
      </c>
      <c r="BS82" s="13"/>
      <c r="BT82" s="11"/>
      <c r="BU82" s="25">
        <v>4392.1621621621625</v>
      </c>
      <c r="BV82" s="38">
        <v>4680</v>
      </c>
      <c r="BW82" s="10"/>
      <c r="BX82" s="11"/>
      <c r="BY82" s="69">
        <f t="shared" si="540"/>
        <v>0</v>
      </c>
      <c r="BZ82" s="69">
        <f t="shared" si="540"/>
        <v>0</v>
      </c>
      <c r="CA82" s="11"/>
      <c r="CB82" s="12" t="e">
        <f t="shared" si="503"/>
        <v>#DIV/0!</v>
      </c>
      <c r="CC82" s="11"/>
      <c r="CD82" s="12" t="e">
        <f t="shared" si="504"/>
        <v>#DIV/0!</v>
      </c>
      <c r="CE82" s="13"/>
      <c r="CF82" s="11"/>
      <c r="CG82" s="25"/>
      <c r="CH82" s="38"/>
      <c r="CI82" s="10"/>
      <c r="CJ82" s="11"/>
      <c r="CK82" s="69">
        <f t="shared" si="541"/>
        <v>0</v>
      </c>
      <c r="CL82" s="69">
        <f t="shared" si="541"/>
        <v>0</v>
      </c>
      <c r="CM82" s="11"/>
      <c r="CN82" s="12" t="e">
        <f t="shared" si="505"/>
        <v>#DIV/0!</v>
      </c>
      <c r="CO82" s="11"/>
      <c r="CP82" s="12" t="e">
        <f t="shared" si="506"/>
        <v>#DIV/0!</v>
      </c>
      <c r="CQ82" s="13"/>
      <c r="CR82" s="11"/>
      <c r="CS82" s="25"/>
      <c r="CT82" s="38"/>
      <c r="CU82" s="10"/>
      <c r="CV82" s="11"/>
      <c r="CW82" s="69">
        <f t="shared" si="542"/>
        <v>0</v>
      </c>
      <c r="CX82" s="69">
        <f t="shared" si="542"/>
        <v>0</v>
      </c>
      <c r="CY82" s="11"/>
      <c r="CZ82" s="12" t="e">
        <f t="shared" si="507"/>
        <v>#DIV/0!</v>
      </c>
      <c r="DA82" s="11"/>
      <c r="DB82" s="12" t="e">
        <f t="shared" si="508"/>
        <v>#DIV/0!</v>
      </c>
      <c r="DC82" s="13"/>
      <c r="DD82" s="11"/>
      <c r="DE82" s="25"/>
      <c r="DF82" s="38"/>
      <c r="DG82" s="10"/>
      <c r="DH82" s="11"/>
      <c r="DI82" s="69">
        <f t="shared" si="543"/>
        <v>0</v>
      </c>
      <c r="DJ82" s="69">
        <f t="shared" si="543"/>
        <v>0</v>
      </c>
      <c r="DK82" s="11"/>
      <c r="DL82" s="12" t="e">
        <f t="shared" si="509"/>
        <v>#DIV/0!</v>
      </c>
      <c r="DM82" s="11"/>
      <c r="DN82" s="12" t="e">
        <f t="shared" si="510"/>
        <v>#DIV/0!</v>
      </c>
      <c r="DO82" s="13"/>
      <c r="DP82" s="11"/>
      <c r="DQ82" s="25"/>
      <c r="DR82" s="38"/>
      <c r="DS82" s="10"/>
      <c r="DT82" s="11"/>
      <c r="DU82" s="69">
        <f t="shared" si="544"/>
        <v>0</v>
      </c>
      <c r="DV82" s="69">
        <f t="shared" si="544"/>
        <v>0</v>
      </c>
      <c r="DW82" s="11"/>
      <c r="DX82" s="12" t="e">
        <f t="shared" si="511"/>
        <v>#DIV/0!</v>
      </c>
      <c r="DY82" s="11"/>
      <c r="DZ82" s="12" t="e">
        <f t="shared" si="512"/>
        <v>#DIV/0!</v>
      </c>
      <c r="EA82" s="13"/>
      <c r="EB82" s="11"/>
      <c r="EC82" s="25"/>
      <c r="ED82" s="38"/>
      <c r="EE82" s="10"/>
      <c r="EF82" s="11"/>
      <c r="EG82" s="69">
        <f t="shared" si="545"/>
        <v>0</v>
      </c>
      <c r="EH82" s="69">
        <f t="shared" si="545"/>
        <v>0</v>
      </c>
      <c r="EI82" s="11"/>
      <c r="EJ82" s="12" t="e">
        <f t="shared" si="513"/>
        <v>#DIV/0!</v>
      </c>
      <c r="EK82" s="11"/>
      <c r="EL82" s="12" t="e">
        <f t="shared" si="514"/>
        <v>#DIV/0!</v>
      </c>
      <c r="EM82" s="13"/>
      <c r="EN82" s="11"/>
      <c r="EO82" s="25"/>
      <c r="EP82" s="38"/>
      <c r="EQ82" s="10"/>
      <c r="ER82" s="11"/>
      <c r="ES82" s="69">
        <f t="shared" si="546"/>
        <v>0</v>
      </c>
      <c r="ET82" s="69">
        <f t="shared" si="546"/>
        <v>0</v>
      </c>
      <c r="EU82" s="11"/>
      <c r="EV82" s="12" t="e">
        <f t="shared" si="515"/>
        <v>#DIV/0!</v>
      </c>
      <c r="EW82" s="11"/>
      <c r="EX82" s="12" t="e">
        <f t="shared" si="516"/>
        <v>#DIV/0!</v>
      </c>
      <c r="EY82" s="13"/>
      <c r="EZ82" s="11"/>
      <c r="FA82" s="25"/>
      <c r="FB82" s="38"/>
      <c r="FC82" s="10"/>
      <c r="FD82" s="11"/>
      <c r="FE82" s="69">
        <f t="shared" si="547"/>
        <v>0</v>
      </c>
      <c r="FF82" s="69">
        <f t="shared" si="547"/>
        <v>0</v>
      </c>
      <c r="FG82" s="11"/>
      <c r="FH82" s="12" t="e">
        <f t="shared" si="517"/>
        <v>#DIV/0!</v>
      </c>
      <c r="FI82" s="11"/>
      <c r="FJ82" s="12" t="e">
        <f t="shared" si="518"/>
        <v>#DIV/0!</v>
      </c>
      <c r="FK82" s="13"/>
      <c r="FL82" s="11"/>
      <c r="FM82" s="25"/>
      <c r="FN82" s="38"/>
      <c r="FO82" s="10"/>
      <c r="FP82" s="11"/>
      <c r="FQ82" s="69">
        <f t="shared" si="548"/>
        <v>0</v>
      </c>
      <c r="FR82" s="69">
        <f t="shared" si="548"/>
        <v>0</v>
      </c>
      <c r="FS82" s="11"/>
      <c r="FT82" s="12" t="e">
        <f t="shared" si="519"/>
        <v>#DIV/0!</v>
      </c>
      <c r="FU82" s="11"/>
      <c r="FV82" s="12" t="e">
        <f t="shared" si="520"/>
        <v>#DIV/0!</v>
      </c>
      <c r="FW82" s="13"/>
      <c r="FX82" s="11"/>
      <c r="FY82" s="25"/>
      <c r="FZ82" s="38"/>
      <c r="GA82" s="10"/>
      <c r="GB82" s="11"/>
      <c r="GC82" s="69">
        <f t="shared" si="549"/>
        <v>0</v>
      </c>
      <c r="GD82" s="69">
        <f t="shared" si="549"/>
        <v>0</v>
      </c>
      <c r="GE82" s="11"/>
      <c r="GF82" s="12" t="e">
        <f t="shared" si="521"/>
        <v>#DIV/0!</v>
      </c>
      <c r="GG82" s="11"/>
      <c r="GH82" s="12" t="e">
        <f t="shared" si="522"/>
        <v>#DIV/0!</v>
      </c>
      <c r="GI82" s="13"/>
      <c r="GJ82" s="11"/>
      <c r="GK82" s="25"/>
      <c r="GL82" s="38"/>
      <c r="GM82" s="10"/>
      <c r="GN82" s="11"/>
      <c r="GO82" s="69">
        <f t="shared" si="550"/>
        <v>0</v>
      </c>
      <c r="GP82" s="69">
        <f t="shared" si="550"/>
        <v>0</v>
      </c>
      <c r="GQ82" s="11"/>
      <c r="GR82" s="12" t="e">
        <f t="shared" si="523"/>
        <v>#DIV/0!</v>
      </c>
      <c r="GS82" s="11"/>
      <c r="GT82" s="12" t="e">
        <f t="shared" si="524"/>
        <v>#DIV/0!</v>
      </c>
      <c r="GU82" s="13"/>
      <c r="GV82" s="11"/>
      <c r="GW82" s="25"/>
      <c r="GX82" s="38"/>
      <c r="GY82" s="10"/>
      <c r="GZ82" s="11"/>
      <c r="HA82" s="69">
        <f t="shared" si="551"/>
        <v>0</v>
      </c>
      <c r="HB82" s="69">
        <f t="shared" si="551"/>
        <v>0</v>
      </c>
      <c r="HC82" s="11"/>
      <c r="HD82" s="12" t="e">
        <f t="shared" si="525"/>
        <v>#DIV/0!</v>
      </c>
      <c r="HE82" s="11"/>
      <c r="HF82" s="12" t="e">
        <f t="shared" si="526"/>
        <v>#DIV/0!</v>
      </c>
      <c r="HG82" s="13"/>
      <c r="HH82" s="11"/>
      <c r="HI82" s="25"/>
      <c r="HJ82" s="38"/>
      <c r="HK82" s="10">
        <f t="shared" si="527"/>
        <v>2</v>
      </c>
      <c r="HL82" s="11">
        <f t="shared" si="527"/>
        <v>0</v>
      </c>
      <c r="HM82" s="11">
        <f t="shared" si="527"/>
        <v>3652</v>
      </c>
      <c r="HN82" s="11">
        <f t="shared" si="527"/>
        <v>322</v>
      </c>
      <c r="HO82" s="11">
        <f t="shared" si="528"/>
        <v>1975</v>
      </c>
      <c r="HP82" s="95">
        <f t="shared" si="529"/>
        <v>0.54079956188389922</v>
      </c>
      <c r="HQ82" s="15">
        <f t="shared" si="530"/>
        <v>80</v>
      </c>
      <c r="HR82" s="12">
        <f t="shared" si="552"/>
        <v>4.0506329113924051E-2</v>
      </c>
      <c r="HS82" s="16">
        <v>64.7</v>
      </c>
      <c r="HT82" s="17">
        <v>1800</v>
      </c>
      <c r="HU82" s="16">
        <f t="shared" si="531"/>
        <v>91.139240506329116</v>
      </c>
      <c r="HV82" s="23">
        <v>4345.170454545455</v>
      </c>
      <c r="HW82" s="22">
        <v>4532.063492063492</v>
      </c>
    </row>
    <row r="83" spans="1:231" ht="18.75" x14ac:dyDescent="0.25">
      <c r="A83" s="374"/>
      <c r="B83" s="41">
        <f t="shared" si="532"/>
        <v>45003</v>
      </c>
      <c r="C83" s="10"/>
      <c r="D83" s="11"/>
      <c r="E83" s="69">
        <f>E82-C83</f>
        <v>693</v>
      </c>
      <c r="F83" s="69">
        <f>F82-D83</f>
        <v>63</v>
      </c>
      <c r="G83" s="11">
        <v>399</v>
      </c>
      <c r="H83" s="12">
        <f t="shared" si="492"/>
        <v>0.59018759018759015</v>
      </c>
      <c r="I83" s="11">
        <v>10</v>
      </c>
      <c r="J83" s="12">
        <f t="shared" si="534"/>
        <v>2.4449877750611249E-2</v>
      </c>
      <c r="K83" s="13"/>
      <c r="L83" s="11"/>
      <c r="M83" s="39">
        <v>87.5</v>
      </c>
      <c r="N83" s="43">
        <v>100</v>
      </c>
      <c r="O83" s="10"/>
      <c r="P83" s="11"/>
      <c r="Q83" s="69">
        <f t="shared" si="535"/>
        <v>687</v>
      </c>
      <c r="R83" s="69">
        <f t="shared" si="535"/>
        <v>62</v>
      </c>
      <c r="S83" s="11">
        <v>394</v>
      </c>
      <c r="T83" s="12">
        <f t="shared" si="493"/>
        <v>0.58951965065502188</v>
      </c>
      <c r="U83" s="11">
        <v>11</v>
      </c>
      <c r="V83" s="12">
        <f t="shared" si="494"/>
        <v>2.7160493827160494E-2</v>
      </c>
      <c r="W83" s="13"/>
      <c r="X83" s="11"/>
      <c r="Y83" s="39">
        <v>87.096774193548384</v>
      </c>
      <c r="Z83" s="43">
        <v>90.909090909090907</v>
      </c>
      <c r="AA83" s="10">
        <v>4</v>
      </c>
      <c r="AB83" s="11"/>
      <c r="AC83" s="69">
        <f t="shared" si="536"/>
        <v>159</v>
      </c>
      <c r="AD83" s="69">
        <f t="shared" si="536"/>
        <v>10</v>
      </c>
      <c r="AE83" s="11">
        <v>106</v>
      </c>
      <c r="AF83" s="12">
        <f t="shared" si="495"/>
        <v>0.67924528301886788</v>
      </c>
      <c r="AG83" s="11">
        <v>2</v>
      </c>
      <c r="AH83" s="12">
        <f t="shared" si="496"/>
        <v>1.8518518518518517E-2</v>
      </c>
      <c r="AI83" s="13"/>
      <c r="AJ83" s="11"/>
      <c r="AK83" s="39">
        <v>87.5</v>
      </c>
      <c r="AL83" s="43">
        <v>100</v>
      </c>
      <c r="AM83" s="10">
        <v>1</v>
      </c>
      <c r="AN83" s="11"/>
      <c r="AO83" s="69">
        <f t="shared" si="537"/>
        <v>701</v>
      </c>
      <c r="AP83" s="69">
        <f t="shared" si="537"/>
        <v>63</v>
      </c>
      <c r="AQ83" s="11">
        <v>399</v>
      </c>
      <c r="AR83" s="12">
        <f t="shared" si="497"/>
        <v>0.59343794579172615</v>
      </c>
      <c r="AS83" s="11">
        <v>17</v>
      </c>
      <c r="AT83" s="12">
        <f t="shared" si="498"/>
        <v>4.0865384615384616E-2</v>
      </c>
      <c r="AU83" s="13"/>
      <c r="AV83" s="11"/>
      <c r="AW83" s="39">
        <v>82.352941176470594</v>
      </c>
      <c r="AX83" s="43">
        <v>91.666666666666671</v>
      </c>
      <c r="AY83" s="10"/>
      <c r="AZ83" s="11"/>
      <c r="BA83" s="69">
        <f t="shared" si="538"/>
        <v>706</v>
      </c>
      <c r="BB83" s="69">
        <f t="shared" si="538"/>
        <v>61</v>
      </c>
      <c r="BC83" s="11">
        <v>394</v>
      </c>
      <c r="BD83" s="12">
        <f t="shared" si="499"/>
        <v>0.57648725212464591</v>
      </c>
      <c r="BE83" s="11">
        <v>13</v>
      </c>
      <c r="BF83" s="12">
        <f t="shared" si="500"/>
        <v>3.1941031941031942E-2</v>
      </c>
      <c r="BG83" s="13"/>
      <c r="BH83" s="11"/>
      <c r="BI83" s="39">
        <v>91.17647058823529</v>
      </c>
      <c r="BJ83" s="43">
        <v>100</v>
      </c>
      <c r="BK83" s="10"/>
      <c r="BL83" s="11"/>
      <c r="BM83" s="69">
        <f t="shared" si="539"/>
        <v>701</v>
      </c>
      <c r="BN83" s="69">
        <f t="shared" si="539"/>
        <v>63</v>
      </c>
      <c r="BO83" s="11">
        <v>414</v>
      </c>
      <c r="BP83" s="12">
        <f t="shared" si="501"/>
        <v>0.60770328102710414</v>
      </c>
      <c r="BQ83" s="11">
        <v>12</v>
      </c>
      <c r="BR83" s="12">
        <f t="shared" si="502"/>
        <v>2.8169014084507043E-2</v>
      </c>
      <c r="BS83" s="13"/>
      <c r="BT83" s="11"/>
      <c r="BU83" s="39">
        <v>86.486486486486484</v>
      </c>
      <c r="BV83" s="43">
        <v>78.571428571428569</v>
      </c>
      <c r="BW83" s="10"/>
      <c r="BX83" s="11"/>
      <c r="BY83" s="69">
        <f t="shared" si="540"/>
        <v>0</v>
      </c>
      <c r="BZ83" s="69">
        <f t="shared" si="540"/>
        <v>0</v>
      </c>
      <c r="CA83" s="11"/>
      <c r="CB83" s="12" t="e">
        <f t="shared" si="503"/>
        <v>#DIV/0!</v>
      </c>
      <c r="CC83" s="11"/>
      <c r="CD83" s="12" t="e">
        <f t="shared" si="504"/>
        <v>#DIV/0!</v>
      </c>
      <c r="CE83" s="13"/>
      <c r="CF83" s="11"/>
      <c r="CG83" s="39"/>
      <c r="CH83" s="43"/>
      <c r="CI83" s="10"/>
      <c r="CJ83" s="11"/>
      <c r="CK83" s="69">
        <f t="shared" si="541"/>
        <v>0</v>
      </c>
      <c r="CL83" s="69">
        <f t="shared" si="541"/>
        <v>0</v>
      </c>
      <c r="CM83" s="11"/>
      <c r="CN83" s="12" t="e">
        <f t="shared" si="505"/>
        <v>#DIV/0!</v>
      </c>
      <c r="CO83" s="11"/>
      <c r="CP83" s="12" t="e">
        <f t="shared" si="506"/>
        <v>#DIV/0!</v>
      </c>
      <c r="CQ83" s="13"/>
      <c r="CR83" s="11"/>
      <c r="CS83" s="39"/>
      <c r="CT83" s="43"/>
      <c r="CU83" s="10"/>
      <c r="CV83" s="11"/>
      <c r="CW83" s="69">
        <f t="shared" si="542"/>
        <v>0</v>
      </c>
      <c r="CX83" s="69">
        <f t="shared" si="542"/>
        <v>0</v>
      </c>
      <c r="CY83" s="11"/>
      <c r="CZ83" s="12" t="e">
        <f t="shared" si="507"/>
        <v>#DIV/0!</v>
      </c>
      <c r="DA83" s="11"/>
      <c r="DB83" s="12" t="e">
        <f t="shared" si="508"/>
        <v>#DIV/0!</v>
      </c>
      <c r="DC83" s="13"/>
      <c r="DD83" s="11"/>
      <c r="DE83" s="39"/>
      <c r="DF83" s="43"/>
      <c r="DG83" s="10"/>
      <c r="DH83" s="11"/>
      <c r="DI83" s="69">
        <f t="shared" si="543"/>
        <v>0</v>
      </c>
      <c r="DJ83" s="69">
        <f t="shared" si="543"/>
        <v>0</v>
      </c>
      <c r="DK83" s="11"/>
      <c r="DL83" s="12" t="e">
        <f t="shared" si="509"/>
        <v>#DIV/0!</v>
      </c>
      <c r="DM83" s="11"/>
      <c r="DN83" s="12" t="e">
        <f t="shared" si="510"/>
        <v>#DIV/0!</v>
      </c>
      <c r="DO83" s="13"/>
      <c r="DP83" s="11"/>
      <c r="DQ83" s="39"/>
      <c r="DR83" s="43"/>
      <c r="DS83" s="10"/>
      <c r="DT83" s="11"/>
      <c r="DU83" s="69">
        <f t="shared" si="544"/>
        <v>0</v>
      </c>
      <c r="DV83" s="69">
        <f t="shared" si="544"/>
        <v>0</v>
      </c>
      <c r="DW83" s="11"/>
      <c r="DX83" s="12" t="e">
        <f t="shared" si="511"/>
        <v>#DIV/0!</v>
      </c>
      <c r="DY83" s="11"/>
      <c r="DZ83" s="12" t="e">
        <f t="shared" si="512"/>
        <v>#DIV/0!</v>
      </c>
      <c r="EA83" s="13"/>
      <c r="EB83" s="11"/>
      <c r="EC83" s="39"/>
      <c r="ED83" s="43"/>
      <c r="EE83" s="10"/>
      <c r="EF83" s="11"/>
      <c r="EG83" s="69">
        <f t="shared" si="545"/>
        <v>0</v>
      </c>
      <c r="EH83" s="69">
        <f t="shared" si="545"/>
        <v>0</v>
      </c>
      <c r="EI83" s="11"/>
      <c r="EJ83" s="12" t="e">
        <f t="shared" si="513"/>
        <v>#DIV/0!</v>
      </c>
      <c r="EK83" s="11"/>
      <c r="EL83" s="12" t="e">
        <f t="shared" si="514"/>
        <v>#DIV/0!</v>
      </c>
      <c r="EM83" s="13"/>
      <c r="EN83" s="11"/>
      <c r="EO83" s="39"/>
      <c r="EP83" s="43"/>
      <c r="EQ83" s="10"/>
      <c r="ER83" s="11"/>
      <c r="ES83" s="69">
        <f t="shared" si="546"/>
        <v>0</v>
      </c>
      <c r="ET83" s="69">
        <f t="shared" si="546"/>
        <v>0</v>
      </c>
      <c r="EU83" s="11"/>
      <c r="EV83" s="12" t="e">
        <f t="shared" si="515"/>
        <v>#DIV/0!</v>
      </c>
      <c r="EW83" s="11"/>
      <c r="EX83" s="12" t="e">
        <f t="shared" si="516"/>
        <v>#DIV/0!</v>
      </c>
      <c r="EY83" s="13"/>
      <c r="EZ83" s="11"/>
      <c r="FA83" s="39"/>
      <c r="FB83" s="43"/>
      <c r="FC83" s="10"/>
      <c r="FD83" s="11"/>
      <c r="FE83" s="69">
        <f t="shared" si="547"/>
        <v>0</v>
      </c>
      <c r="FF83" s="69">
        <f t="shared" si="547"/>
        <v>0</v>
      </c>
      <c r="FG83" s="11"/>
      <c r="FH83" s="12" t="e">
        <f t="shared" si="517"/>
        <v>#DIV/0!</v>
      </c>
      <c r="FI83" s="11"/>
      <c r="FJ83" s="12" t="e">
        <f t="shared" si="518"/>
        <v>#DIV/0!</v>
      </c>
      <c r="FK83" s="13"/>
      <c r="FL83" s="11"/>
      <c r="FM83" s="39"/>
      <c r="FN83" s="43"/>
      <c r="FO83" s="10"/>
      <c r="FP83" s="11"/>
      <c r="FQ83" s="69">
        <f t="shared" si="548"/>
        <v>0</v>
      </c>
      <c r="FR83" s="69">
        <f t="shared" si="548"/>
        <v>0</v>
      </c>
      <c r="FS83" s="11"/>
      <c r="FT83" s="12" t="e">
        <f t="shared" si="519"/>
        <v>#DIV/0!</v>
      </c>
      <c r="FU83" s="11"/>
      <c r="FV83" s="12" t="e">
        <f t="shared" si="520"/>
        <v>#DIV/0!</v>
      </c>
      <c r="FW83" s="13"/>
      <c r="FX83" s="11"/>
      <c r="FY83" s="39"/>
      <c r="FZ83" s="43"/>
      <c r="GA83" s="10"/>
      <c r="GB83" s="11"/>
      <c r="GC83" s="69">
        <f t="shared" si="549"/>
        <v>0</v>
      </c>
      <c r="GD83" s="69">
        <f t="shared" si="549"/>
        <v>0</v>
      </c>
      <c r="GE83" s="11"/>
      <c r="GF83" s="12" t="e">
        <f t="shared" si="521"/>
        <v>#DIV/0!</v>
      </c>
      <c r="GG83" s="11"/>
      <c r="GH83" s="12" t="e">
        <f t="shared" si="522"/>
        <v>#DIV/0!</v>
      </c>
      <c r="GI83" s="13"/>
      <c r="GJ83" s="11"/>
      <c r="GK83" s="39"/>
      <c r="GL83" s="43"/>
      <c r="GM83" s="10"/>
      <c r="GN83" s="11"/>
      <c r="GO83" s="69">
        <f t="shared" si="550"/>
        <v>0</v>
      </c>
      <c r="GP83" s="69">
        <f t="shared" si="550"/>
        <v>0</v>
      </c>
      <c r="GQ83" s="11"/>
      <c r="GR83" s="12" t="e">
        <f t="shared" si="523"/>
        <v>#DIV/0!</v>
      </c>
      <c r="GS83" s="11"/>
      <c r="GT83" s="12" t="e">
        <f t="shared" si="524"/>
        <v>#DIV/0!</v>
      </c>
      <c r="GU83" s="13"/>
      <c r="GV83" s="11"/>
      <c r="GW83" s="39"/>
      <c r="GX83" s="43"/>
      <c r="GY83" s="10"/>
      <c r="GZ83" s="11"/>
      <c r="HA83" s="69">
        <f t="shared" si="551"/>
        <v>0</v>
      </c>
      <c r="HB83" s="69">
        <f t="shared" si="551"/>
        <v>0</v>
      </c>
      <c r="HC83" s="11"/>
      <c r="HD83" s="12" t="e">
        <f t="shared" si="525"/>
        <v>#DIV/0!</v>
      </c>
      <c r="HE83" s="11"/>
      <c r="HF83" s="12" t="e">
        <f t="shared" si="526"/>
        <v>#DIV/0!</v>
      </c>
      <c r="HG83" s="13"/>
      <c r="HH83" s="11"/>
      <c r="HI83" s="39"/>
      <c r="HJ83" s="43"/>
      <c r="HK83" s="10">
        <f t="shared" si="527"/>
        <v>5</v>
      </c>
      <c r="HL83" s="11">
        <f t="shared" si="527"/>
        <v>0</v>
      </c>
      <c r="HM83" s="11">
        <f t="shared" si="527"/>
        <v>3647</v>
      </c>
      <c r="HN83" s="11">
        <f t="shared" si="527"/>
        <v>322</v>
      </c>
      <c r="HO83" s="11">
        <f t="shared" si="528"/>
        <v>2171</v>
      </c>
      <c r="HP83" s="95">
        <f t="shared" si="529"/>
        <v>0.59528379489991778</v>
      </c>
      <c r="HQ83" s="15">
        <f t="shared" si="530"/>
        <v>65</v>
      </c>
      <c r="HR83" s="12">
        <f t="shared" si="552"/>
        <v>2.9940119760479042E-2</v>
      </c>
      <c r="HS83" s="16">
        <v>64.900000000000006</v>
      </c>
      <c r="HT83" s="17">
        <v>1992</v>
      </c>
      <c r="HU83" s="16">
        <f t="shared" si="531"/>
        <v>91.754951635191148</v>
      </c>
      <c r="HV83" s="23">
        <v>86.36363636363636</v>
      </c>
      <c r="HW83" s="22">
        <v>92.063492063492063</v>
      </c>
    </row>
    <row r="84" spans="1:231" ht="19.5" thickBot="1" x14ac:dyDescent="0.3">
      <c r="A84" s="374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2723</v>
      </c>
      <c r="H84" s="28">
        <f>((G84+I84)/7)/E83</f>
        <v>0.57596371882086173</v>
      </c>
      <c r="I84" s="27">
        <f>SUM(I77:I83)</f>
        <v>71</v>
      </c>
      <c r="J84" s="28">
        <f>(I84/(I84+G84))</f>
        <v>2.5411596277738011E-2</v>
      </c>
      <c r="K84" s="27"/>
      <c r="L84" s="27"/>
      <c r="M84" s="29">
        <f>M82/M81*100-100</f>
        <v>10.883757961783445</v>
      </c>
      <c r="N84" s="67">
        <f>N82/N81*100-100</f>
        <v>4.5524691358024683</v>
      </c>
      <c r="O84" s="26">
        <f>SUM(O77:O83)</f>
        <v>0</v>
      </c>
      <c r="P84" s="27">
        <f>SUM(P77:P83)</f>
        <v>0</v>
      </c>
      <c r="Q84" s="27"/>
      <c r="R84" s="27"/>
      <c r="S84" s="27">
        <f>SUM(S77:S83)</f>
        <v>2719</v>
      </c>
      <c r="T84" s="28">
        <f>((S84+U84)/7)/Q83</f>
        <v>0.5818257433977958</v>
      </c>
      <c r="U84" s="27">
        <f>SUM(U77:U83)</f>
        <v>79</v>
      </c>
      <c r="V84" s="28">
        <f>(U84/(U84+S84))</f>
        <v>2.8234453180843458E-2</v>
      </c>
      <c r="W84" s="27"/>
      <c r="X84" s="27"/>
      <c r="Y84" s="29">
        <f>Y82/Y81*100-100</f>
        <v>9.5952332032052823</v>
      </c>
      <c r="Z84" s="67">
        <f>Z82/Z81*100-100</f>
        <v>6.5025252525252597</v>
      </c>
      <c r="AA84" s="26">
        <f>SUM(AA77:AA83)</f>
        <v>9</v>
      </c>
      <c r="AB84" s="27">
        <f>SUM(AB77:AB83)</f>
        <v>1</v>
      </c>
      <c r="AC84" s="27"/>
      <c r="AD84" s="27"/>
      <c r="AE84" s="27">
        <f>SUM(AE77:AE83)</f>
        <v>626</v>
      </c>
      <c r="AF84" s="28">
        <f>((AE84+AG84)/7)/AC83</f>
        <v>0.5768194070080862</v>
      </c>
      <c r="AG84" s="27">
        <f>SUM(AG77:AG83)</f>
        <v>16</v>
      </c>
      <c r="AH84" s="28">
        <f>(AG84/(AG84+AE84))</f>
        <v>2.4922118380062305E-2</v>
      </c>
      <c r="AI84" s="27"/>
      <c r="AJ84" s="27"/>
      <c r="AK84" s="29">
        <f>AK82/AK81*100-100</f>
        <v>8.4394904458598745</v>
      </c>
      <c r="AL84" s="67">
        <f>AL82/AL81*100-100</f>
        <v>2.2569444444444429</v>
      </c>
      <c r="AM84" s="26">
        <f>SUM(AM77:AM83)</f>
        <v>2</v>
      </c>
      <c r="AN84" s="27">
        <f>SUM(AN77:AN83)</f>
        <v>0</v>
      </c>
      <c r="AO84" s="27"/>
      <c r="AP84" s="27"/>
      <c r="AQ84" s="27">
        <f>SUM(AQ77:AQ83)</f>
        <v>2689</v>
      </c>
      <c r="AR84" s="28">
        <f>((AQ84+AS84)/7)/AO83</f>
        <v>0.56592622783778279</v>
      </c>
      <c r="AS84" s="27">
        <f>SUM(AS77:AS83)</f>
        <v>88</v>
      </c>
      <c r="AT84" s="28">
        <f>(AS84/(AS84+AQ84))</f>
        <v>3.1688872884407637E-2</v>
      </c>
      <c r="AU84" s="27"/>
      <c r="AV84" s="27"/>
      <c r="AW84" s="29">
        <f>AW82/AW81*100-100</f>
        <v>11.427500936680417</v>
      </c>
      <c r="AX84" s="67">
        <f>AX82/AX81*100-100</f>
        <v>2.816358024691354</v>
      </c>
      <c r="AY84" s="26">
        <f>SUM(AY77:AY83)</f>
        <v>3</v>
      </c>
      <c r="AZ84" s="27">
        <f>SUM(AZ77:AZ83)</f>
        <v>1</v>
      </c>
      <c r="BA84" s="27"/>
      <c r="BB84" s="27"/>
      <c r="BC84" s="27">
        <f>SUM(BC77:BC83)</f>
        <v>2679</v>
      </c>
      <c r="BD84" s="28">
        <f>((BC84+BE84)/7)/BA83</f>
        <v>0.56212059894779443</v>
      </c>
      <c r="BE84" s="27">
        <f>SUM(BE77:BE83)</f>
        <v>99</v>
      </c>
      <c r="BF84" s="28">
        <f>(BE84/(BE84+BC84))</f>
        <v>3.5637149028077755E-2</v>
      </c>
      <c r="BG84" s="27"/>
      <c r="BH84" s="27"/>
      <c r="BI84" s="29">
        <f>BI82/BI81*100-100</f>
        <v>10.056200824278761</v>
      </c>
      <c r="BJ84" s="67">
        <f>BJ82/BJ81*100-100</f>
        <v>2.3611111111111001</v>
      </c>
      <c r="BK84" s="26">
        <f>SUM(BK77:BK83)</f>
        <v>4</v>
      </c>
      <c r="BL84" s="27">
        <f>SUM(BL77:BL83)</f>
        <v>0</v>
      </c>
      <c r="BM84" s="27"/>
      <c r="BN84" s="27"/>
      <c r="BO84" s="27">
        <f>SUM(BO77:BO83)</f>
        <v>2772</v>
      </c>
      <c r="BP84" s="28">
        <f>((BO84+BQ84)/7)/BM83</f>
        <v>0.58222946810678622</v>
      </c>
      <c r="BQ84" s="27">
        <f>SUM(BQ77:BQ83)</f>
        <v>85</v>
      </c>
      <c r="BR84" s="28">
        <f>(BQ84/(BQ84+BO84))</f>
        <v>2.9751487574378718E-2</v>
      </c>
      <c r="BS84" s="27"/>
      <c r="BT84" s="27"/>
      <c r="BU84" s="29">
        <f>BU82/BU81*100-100</f>
        <v>11.902220692029616</v>
      </c>
      <c r="BV84" s="67">
        <f>BV82/BV81*100-100</f>
        <v>8.3333333333333286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7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7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7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7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7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7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7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7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7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7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7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7" t="e">
        <f>HJ82/HJ81*100-100</f>
        <v>#DIV/0!</v>
      </c>
      <c r="HK84" s="26">
        <f t="shared" si="527"/>
        <v>19</v>
      </c>
      <c r="HL84" s="27">
        <f t="shared" si="527"/>
        <v>2</v>
      </c>
      <c r="HM84" s="27">
        <f t="shared" si="527"/>
        <v>0</v>
      </c>
      <c r="HN84" s="27">
        <f t="shared" si="527"/>
        <v>0</v>
      </c>
      <c r="HO84" s="27">
        <f t="shared" si="528"/>
        <v>14646</v>
      </c>
      <c r="HP84" s="96">
        <f>+((HO84)/HM83)/7</f>
        <v>0.57370049747346152</v>
      </c>
      <c r="HQ84" s="62">
        <f t="shared" si="530"/>
        <v>438</v>
      </c>
      <c r="HR84" s="52">
        <f t="shared" si="552"/>
        <v>2.9905776321179845E-2</v>
      </c>
      <c r="HS84" s="53">
        <f>SUM(HS77:HS83)/7</f>
        <v>64.45714285714287</v>
      </c>
      <c r="HT84" s="54">
        <f>SUM(HT77:HT83)</f>
        <v>13503</v>
      </c>
      <c r="HU84" s="53">
        <f>AVERAGE(HU77:HU83)</f>
        <v>92.193464208522727</v>
      </c>
      <c r="HV84" s="63">
        <f>HV82/HV81*100-100</f>
        <v>10.704979733642176</v>
      </c>
      <c r="HW84" s="67">
        <f>HW82/HW81*100-100</f>
        <v>4.9088771310993593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5.1827605019094383E-3</v>
      </c>
      <c r="HL85" s="66">
        <f>HL84/HN74</f>
        <v>6.1728395061728392E-3</v>
      </c>
      <c r="HM85" s="45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373">
        <v>34</v>
      </c>
      <c r="B86" s="68">
        <f>B83+1</f>
        <v>45004</v>
      </c>
      <c r="C86" s="33"/>
      <c r="D86" s="34"/>
      <c r="E86" s="34">
        <f>E83-C86</f>
        <v>693</v>
      </c>
      <c r="F86" s="34">
        <f>F83-D86</f>
        <v>63</v>
      </c>
      <c r="G86" s="34">
        <v>392</v>
      </c>
      <c r="H86" s="35">
        <f t="shared" ref="H86:H92" si="553">((G86+I86)/E86)</f>
        <v>0.57431457431457433</v>
      </c>
      <c r="I86" s="34">
        <v>6</v>
      </c>
      <c r="J86" s="35">
        <f>I86/(G86+I86)</f>
        <v>1.507537688442211E-2</v>
      </c>
      <c r="K86" s="36"/>
      <c r="L86" s="34"/>
      <c r="M86" s="34"/>
      <c r="N86" s="37"/>
      <c r="O86" s="33">
        <v>1</v>
      </c>
      <c r="P86" s="34"/>
      <c r="Q86" s="34">
        <f>Q83-O86</f>
        <v>686</v>
      </c>
      <c r="R86" s="34">
        <f>R83-P86</f>
        <v>62</v>
      </c>
      <c r="S86" s="34">
        <v>403</v>
      </c>
      <c r="T86" s="35">
        <f t="shared" ref="T86:T92" si="554">((S86+U86)/Q86)</f>
        <v>0.60349854227405253</v>
      </c>
      <c r="U86" s="34">
        <v>11</v>
      </c>
      <c r="V86" s="35">
        <f t="shared" ref="V86:V92" si="555">U86/(S86+U86)</f>
        <v>2.6570048309178744E-2</v>
      </c>
      <c r="W86" s="36"/>
      <c r="X86" s="34"/>
      <c r="Y86" s="34"/>
      <c r="Z86" s="37"/>
      <c r="AA86" s="33">
        <v>4</v>
      </c>
      <c r="AB86" s="34"/>
      <c r="AC86" s="34">
        <f>AC83-AA86</f>
        <v>155</v>
      </c>
      <c r="AD86" s="34">
        <f>AD83-AB86</f>
        <v>10</v>
      </c>
      <c r="AE86" s="34">
        <v>90</v>
      </c>
      <c r="AF86" s="35">
        <f t="shared" ref="AF86:AF92" si="556">((AE86+AG86)/AC86)</f>
        <v>0.59354838709677415</v>
      </c>
      <c r="AG86" s="34">
        <v>2</v>
      </c>
      <c r="AH86" s="35">
        <f t="shared" ref="AH86:AH92" si="557">AG86/(AE86+AG86)</f>
        <v>2.1739130434782608E-2</v>
      </c>
      <c r="AI86" s="36"/>
      <c r="AJ86" s="34"/>
      <c r="AK86" s="34"/>
      <c r="AL86" s="37"/>
      <c r="AM86" s="33"/>
      <c r="AN86" s="34"/>
      <c r="AO86" s="34">
        <f>AO83-AM86</f>
        <v>701</v>
      </c>
      <c r="AP86" s="34">
        <f>AP83-AN86</f>
        <v>63</v>
      </c>
      <c r="AQ86" s="34">
        <v>383</v>
      </c>
      <c r="AR86" s="35">
        <f t="shared" ref="AR86:AR92" si="558">((AQ86+AS86)/AO86)</f>
        <v>0.57203994293865901</v>
      </c>
      <c r="AS86" s="34">
        <v>18</v>
      </c>
      <c r="AT86" s="35">
        <f t="shared" ref="AT86:AT92" si="559">AS86/(AQ86+AS86)</f>
        <v>4.488778054862843E-2</v>
      </c>
      <c r="AU86" s="36"/>
      <c r="AV86" s="34"/>
      <c r="AW86" s="34"/>
      <c r="AX86" s="37"/>
      <c r="AY86" s="33"/>
      <c r="AZ86" s="34"/>
      <c r="BA86" s="34">
        <f>BA83-AY86</f>
        <v>706</v>
      </c>
      <c r="BB86" s="34">
        <f>BB83-AZ86</f>
        <v>61</v>
      </c>
      <c r="BC86" s="34">
        <v>391</v>
      </c>
      <c r="BD86" s="35">
        <f t="shared" ref="BD86:BD92" si="560">((BC86+BE86)/BA86)</f>
        <v>0.59206798866855526</v>
      </c>
      <c r="BE86" s="34">
        <v>27</v>
      </c>
      <c r="BF86" s="35">
        <f t="shared" ref="BF86:BF92" si="561">BE86/(BC86+BE86)</f>
        <v>6.4593301435406703E-2</v>
      </c>
      <c r="BG86" s="36"/>
      <c r="BH86" s="34"/>
      <c r="BI86" s="34"/>
      <c r="BJ86" s="37"/>
      <c r="BK86" s="33"/>
      <c r="BL86" s="34"/>
      <c r="BM86" s="34">
        <f>BM83-BK86</f>
        <v>701</v>
      </c>
      <c r="BN86" s="34">
        <f>BN83-BL86</f>
        <v>63</v>
      </c>
      <c r="BO86" s="34">
        <v>412</v>
      </c>
      <c r="BP86" s="35">
        <f t="shared" ref="BP86:BP92" si="562">((BO86+BQ86)/BM86)</f>
        <v>0.60199714693295292</v>
      </c>
      <c r="BQ86" s="34">
        <v>10</v>
      </c>
      <c r="BR86" s="35">
        <f t="shared" ref="BR86:BR92" si="563">BQ86/(BO86+BQ86)</f>
        <v>2.3696682464454975E-2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64">((CA86+CC86)/BY86)</f>
        <v>#DIV/0!</v>
      </c>
      <c r="CC86" s="34"/>
      <c r="CD86" s="35" t="e">
        <f t="shared" ref="CD86:CD92" si="565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66">((CM86+CO86)/CK86)</f>
        <v>#DIV/0!</v>
      </c>
      <c r="CO86" s="34"/>
      <c r="CP86" s="35" t="e">
        <f t="shared" ref="CP86:CP92" si="567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68">((CY86+DA86)/CW86)</f>
        <v>#DIV/0!</v>
      </c>
      <c r="DA86" s="34"/>
      <c r="DB86" s="35" t="e">
        <f t="shared" ref="DB86:DB92" si="569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70">((DK86+DM86)/DI86)</f>
        <v>#DIV/0!</v>
      </c>
      <c r="DM86" s="34"/>
      <c r="DN86" s="35" t="e">
        <f t="shared" ref="DN86:DN92" si="571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72">((DW86+DY86)/DU86)</f>
        <v>#DIV/0!</v>
      </c>
      <c r="DY86" s="34"/>
      <c r="DZ86" s="35" t="e">
        <f t="shared" ref="DZ86:DZ92" si="573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74">((EI86+EK86)/EG86)</f>
        <v>#DIV/0!</v>
      </c>
      <c r="EK86" s="34"/>
      <c r="EL86" s="35" t="e">
        <f t="shared" ref="EL86:EL92" si="575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76">((EU86+EW86)/ES86)</f>
        <v>#DIV/0!</v>
      </c>
      <c r="EW86" s="34"/>
      <c r="EX86" s="35" t="e">
        <f t="shared" ref="EX86:EX92" si="577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578">((FG86+FI86)/FE86)</f>
        <v>#DIV/0!</v>
      </c>
      <c r="FI86" s="34"/>
      <c r="FJ86" s="35" t="e">
        <f t="shared" ref="FJ86:FJ92" si="579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580">((FS86+FU86)/FQ86)</f>
        <v>#DIV/0!</v>
      </c>
      <c r="FU86" s="34"/>
      <c r="FV86" s="35" t="e">
        <f t="shared" ref="FV86:FV92" si="581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582">((GE86+GG86)/GC86)</f>
        <v>#DIV/0!</v>
      </c>
      <c r="GG86" s="34"/>
      <c r="GH86" s="35" t="e">
        <f t="shared" ref="GH86:GH92" si="583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584">((GQ86+GS86)/GO86)</f>
        <v>#DIV/0!</v>
      </c>
      <c r="GS86" s="34"/>
      <c r="GT86" s="35" t="e">
        <f t="shared" ref="GT86:GT92" si="585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586">((HC86+HE86)/HA86)</f>
        <v>#DIV/0!</v>
      </c>
      <c r="HE86" s="34"/>
      <c r="HF86" s="35" t="e">
        <f t="shared" ref="HF86:HF92" si="587">HE86/(HC86+HE86)</f>
        <v>#DIV/0!</v>
      </c>
      <c r="HG86" s="36"/>
      <c r="HH86" s="34"/>
      <c r="HI86" s="34"/>
      <c r="HJ86" s="37"/>
      <c r="HK86" s="33">
        <f t="shared" ref="HK86:HN101" si="588">+C86+O86+AA86+AM86+AY86+BK86+BW86+CI86+CU86+DG86+DS86+EE86+EQ86+FC86+FO86+GA86+GM86+GY86</f>
        <v>5</v>
      </c>
      <c r="HL86" s="34">
        <f t="shared" si="588"/>
        <v>0</v>
      </c>
      <c r="HM86" s="34">
        <f t="shared" si="588"/>
        <v>3642</v>
      </c>
      <c r="HN86" s="34">
        <f t="shared" si="588"/>
        <v>322</v>
      </c>
      <c r="HO86" s="34">
        <f t="shared" ref="HO86:HO101" si="589">+G86+S86+AE86+AQ86+BC86+BO86+CA86+CM86+CY86+DK86+DW86+EI86+EU86+FG86+FS86+GE86+GQ86+HC86+I86+U86+AG86+AS86+BE86+BQ86+CC86+CO86+DA86+DM86+DY86+EK86+EW86+FI86+FU86+GG86+GS86+HE86</f>
        <v>2145</v>
      </c>
      <c r="HP86" s="94">
        <f t="shared" ref="HP86:HP92" si="590">+(HO86)/HM86</f>
        <v>0.58896210873146626</v>
      </c>
      <c r="HQ86" s="48">
        <f t="shared" ref="HQ86:HQ101" si="591">+I86+U86+AG86+AS86+BE86+BQ86+CC86+CO86+DA86+DM86+DY86+EK86+EW86+FI86+FU86+GG86+GS86+HE86</f>
        <v>74</v>
      </c>
      <c r="HR86" s="35">
        <f>+(HQ86/(HO86))</f>
        <v>3.4498834498834501E-2</v>
      </c>
      <c r="HS86" s="49">
        <v>64.3</v>
      </c>
      <c r="HT86" s="50">
        <v>1982</v>
      </c>
      <c r="HU86" s="49">
        <f t="shared" ref="HU86:HU92" si="592">+HT86/HO86*100</f>
        <v>92.400932400932405</v>
      </c>
      <c r="HV86" s="48"/>
      <c r="HW86" s="37"/>
    </row>
    <row r="87" spans="1:231" ht="18.75" x14ac:dyDescent="0.25">
      <c r="A87" s="374"/>
      <c r="B87" s="41">
        <f t="shared" si="532"/>
        <v>45005</v>
      </c>
      <c r="C87" s="10"/>
      <c r="D87" s="11"/>
      <c r="E87" s="69">
        <f t="shared" ref="E87:F92" si="593">E86-C87</f>
        <v>693</v>
      </c>
      <c r="F87" s="69">
        <f t="shared" si="593"/>
        <v>63</v>
      </c>
      <c r="G87" s="11">
        <v>373</v>
      </c>
      <c r="H87" s="12">
        <f t="shared" si="553"/>
        <v>0.55555555555555558</v>
      </c>
      <c r="I87" s="11">
        <v>12</v>
      </c>
      <c r="J87" s="12">
        <f t="shared" ref="J87:J92" si="594">I87/(G87+I87)</f>
        <v>3.1168831168831169E-2</v>
      </c>
      <c r="K87" s="13"/>
      <c r="L87" s="11"/>
      <c r="M87" s="11"/>
      <c r="N87" s="14"/>
      <c r="O87" s="10"/>
      <c r="P87" s="11"/>
      <c r="Q87" s="69">
        <f t="shared" ref="Q87:R92" si="595">Q86-O87</f>
        <v>686</v>
      </c>
      <c r="R87" s="69">
        <f t="shared" si="595"/>
        <v>62</v>
      </c>
      <c r="S87" s="11">
        <v>382</v>
      </c>
      <c r="T87" s="12">
        <f t="shared" si="554"/>
        <v>0.57580174927113703</v>
      </c>
      <c r="U87" s="11">
        <v>13</v>
      </c>
      <c r="V87" s="12">
        <f t="shared" si="555"/>
        <v>3.2911392405063293E-2</v>
      </c>
      <c r="W87" s="13"/>
      <c r="X87" s="11"/>
      <c r="Y87" s="11"/>
      <c r="Z87" s="14"/>
      <c r="AA87" s="10"/>
      <c r="AB87" s="11"/>
      <c r="AC87" s="69">
        <f t="shared" ref="AC87:AD92" si="596">AC86-AA87</f>
        <v>155</v>
      </c>
      <c r="AD87" s="69">
        <f t="shared" si="596"/>
        <v>10</v>
      </c>
      <c r="AE87" s="11">
        <v>81</v>
      </c>
      <c r="AF87" s="12">
        <f t="shared" si="556"/>
        <v>0.53548387096774197</v>
      </c>
      <c r="AG87" s="11">
        <v>2</v>
      </c>
      <c r="AH87" s="12">
        <f t="shared" si="557"/>
        <v>2.4096385542168676E-2</v>
      </c>
      <c r="AI87" s="13"/>
      <c r="AJ87" s="11"/>
      <c r="AK87" s="11"/>
      <c r="AL87" s="14"/>
      <c r="AM87" s="10"/>
      <c r="AN87" s="11"/>
      <c r="AO87" s="69">
        <f t="shared" ref="AO87:AP92" si="597">AO86-AM87</f>
        <v>701</v>
      </c>
      <c r="AP87" s="69">
        <f t="shared" si="597"/>
        <v>63</v>
      </c>
      <c r="AQ87" s="11">
        <v>363</v>
      </c>
      <c r="AR87" s="12">
        <f t="shared" si="558"/>
        <v>0.54350927246790304</v>
      </c>
      <c r="AS87" s="11">
        <v>18</v>
      </c>
      <c r="AT87" s="12">
        <f t="shared" si="559"/>
        <v>4.7244094488188976E-2</v>
      </c>
      <c r="AU87" s="13"/>
      <c r="AV87" s="11"/>
      <c r="AW87" s="11"/>
      <c r="AX87" s="14"/>
      <c r="AY87" s="10">
        <v>1</v>
      </c>
      <c r="AZ87" s="11"/>
      <c r="BA87" s="69">
        <f t="shared" ref="BA87:BB92" si="598">BA86-AY87</f>
        <v>705</v>
      </c>
      <c r="BB87" s="69">
        <f t="shared" si="598"/>
        <v>61</v>
      </c>
      <c r="BC87" s="11">
        <v>364</v>
      </c>
      <c r="BD87" s="12">
        <f t="shared" si="560"/>
        <v>0.52907801418439715</v>
      </c>
      <c r="BE87" s="11">
        <v>9</v>
      </c>
      <c r="BF87" s="12">
        <f t="shared" si="561"/>
        <v>2.4128686327077747E-2</v>
      </c>
      <c r="BG87" s="13"/>
      <c r="BH87" s="11"/>
      <c r="BI87" s="11"/>
      <c r="BJ87" s="14"/>
      <c r="BK87" s="10">
        <v>1</v>
      </c>
      <c r="BL87" s="11"/>
      <c r="BM87" s="69">
        <f t="shared" ref="BM87:BN92" si="599">BM86-BK87</f>
        <v>700</v>
      </c>
      <c r="BN87" s="69">
        <f t="shared" si="599"/>
        <v>63</v>
      </c>
      <c r="BO87" s="11">
        <v>384</v>
      </c>
      <c r="BP87" s="12">
        <f t="shared" si="562"/>
        <v>0.55428571428571427</v>
      </c>
      <c r="BQ87" s="11">
        <v>4</v>
      </c>
      <c r="BR87" s="12">
        <f t="shared" si="563"/>
        <v>1.0309278350515464E-2</v>
      </c>
      <c r="BS87" s="13"/>
      <c r="BT87" s="11"/>
      <c r="BU87" s="11"/>
      <c r="BV87" s="14"/>
      <c r="BW87" s="10"/>
      <c r="BX87" s="11"/>
      <c r="BY87" s="69">
        <f t="shared" ref="BY87:BZ92" si="600">BY86-BW87</f>
        <v>0</v>
      </c>
      <c r="BZ87" s="69">
        <f t="shared" si="600"/>
        <v>0</v>
      </c>
      <c r="CA87" s="11"/>
      <c r="CB87" s="12" t="e">
        <f t="shared" si="564"/>
        <v>#DIV/0!</v>
      </c>
      <c r="CC87" s="11"/>
      <c r="CD87" s="12" t="e">
        <f t="shared" si="565"/>
        <v>#DIV/0!</v>
      </c>
      <c r="CE87" s="13"/>
      <c r="CF87" s="11"/>
      <c r="CG87" s="11"/>
      <c r="CH87" s="14"/>
      <c r="CI87" s="10"/>
      <c r="CJ87" s="11"/>
      <c r="CK87" s="69">
        <f t="shared" ref="CK87:CL92" si="601">CK86-CI87</f>
        <v>0</v>
      </c>
      <c r="CL87" s="69">
        <f t="shared" si="601"/>
        <v>0</v>
      </c>
      <c r="CM87" s="11"/>
      <c r="CN87" s="12" t="e">
        <f t="shared" si="566"/>
        <v>#DIV/0!</v>
      </c>
      <c r="CO87" s="11"/>
      <c r="CP87" s="12" t="e">
        <f t="shared" si="567"/>
        <v>#DIV/0!</v>
      </c>
      <c r="CQ87" s="13"/>
      <c r="CR87" s="11"/>
      <c r="CS87" s="11"/>
      <c r="CT87" s="14"/>
      <c r="CU87" s="10"/>
      <c r="CV87" s="11"/>
      <c r="CW87" s="69">
        <f t="shared" ref="CW87:CX92" si="602">CW86-CU87</f>
        <v>0</v>
      </c>
      <c r="CX87" s="69">
        <f t="shared" si="602"/>
        <v>0</v>
      </c>
      <c r="CY87" s="11"/>
      <c r="CZ87" s="12" t="e">
        <f t="shared" si="568"/>
        <v>#DIV/0!</v>
      </c>
      <c r="DA87" s="11"/>
      <c r="DB87" s="12" t="e">
        <f t="shared" si="569"/>
        <v>#DIV/0!</v>
      </c>
      <c r="DC87" s="13"/>
      <c r="DD87" s="11"/>
      <c r="DE87" s="11"/>
      <c r="DF87" s="14"/>
      <c r="DG87" s="10"/>
      <c r="DH87" s="11"/>
      <c r="DI87" s="69">
        <f t="shared" ref="DI87:DJ92" si="603">DI86-DG87</f>
        <v>0</v>
      </c>
      <c r="DJ87" s="69">
        <f t="shared" si="603"/>
        <v>0</v>
      </c>
      <c r="DK87" s="11"/>
      <c r="DL87" s="12" t="e">
        <f t="shared" si="570"/>
        <v>#DIV/0!</v>
      </c>
      <c r="DM87" s="11"/>
      <c r="DN87" s="12" t="e">
        <f t="shared" si="571"/>
        <v>#DIV/0!</v>
      </c>
      <c r="DO87" s="13"/>
      <c r="DP87" s="11"/>
      <c r="DQ87" s="11"/>
      <c r="DR87" s="14"/>
      <c r="DS87" s="10"/>
      <c r="DT87" s="11"/>
      <c r="DU87" s="69">
        <f t="shared" ref="DU87:DV92" si="604">DU86-DS87</f>
        <v>0</v>
      </c>
      <c r="DV87" s="69">
        <f t="shared" si="604"/>
        <v>0</v>
      </c>
      <c r="DW87" s="11"/>
      <c r="DX87" s="12" t="e">
        <f t="shared" si="572"/>
        <v>#DIV/0!</v>
      </c>
      <c r="DY87" s="11"/>
      <c r="DZ87" s="12" t="e">
        <f t="shared" si="573"/>
        <v>#DIV/0!</v>
      </c>
      <c r="EA87" s="13"/>
      <c r="EB87" s="11"/>
      <c r="EC87" s="11"/>
      <c r="ED87" s="14"/>
      <c r="EE87" s="10"/>
      <c r="EF87" s="11"/>
      <c r="EG87" s="69">
        <f t="shared" ref="EG87:EH92" si="605">EG86-EE87</f>
        <v>0</v>
      </c>
      <c r="EH87" s="69">
        <f t="shared" si="605"/>
        <v>0</v>
      </c>
      <c r="EI87" s="11"/>
      <c r="EJ87" s="12" t="e">
        <f t="shared" si="574"/>
        <v>#DIV/0!</v>
      </c>
      <c r="EK87" s="11"/>
      <c r="EL87" s="12" t="e">
        <f t="shared" si="575"/>
        <v>#DIV/0!</v>
      </c>
      <c r="EM87" s="13"/>
      <c r="EN87" s="11"/>
      <c r="EO87" s="11"/>
      <c r="EP87" s="14"/>
      <c r="EQ87" s="10"/>
      <c r="ER87" s="11"/>
      <c r="ES87" s="69">
        <f t="shared" ref="ES87:ET92" si="606">ES86-EQ87</f>
        <v>0</v>
      </c>
      <c r="ET87" s="69">
        <f t="shared" si="606"/>
        <v>0</v>
      </c>
      <c r="EU87" s="11"/>
      <c r="EV87" s="12" t="e">
        <f t="shared" si="576"/>
        <v>#DIV/0!</v>
      </c>
      <c r="EW87" s="11"/>
      <c r="EX87" s="12" t="e">
        <f t="shared" si="577"/>
        <v>#DIV/0!</v>
      </c>
      <c r="EY87" s="13"/>
      <c r="EZ87" s="11"/>
      <c r="FA87" s="11"/>
      <c r="FB87" s="14"/>
      <c r="FC87" s="10"/>
      <c r="FD87" s="11"/>
      <c r="FE87" s="69">
        <f t="shared" ref="FE87:FF92" si="607">FE86-FC87</f>
        <v>0</v>
      </c>
      <c r="FF87" s="69">
        <f t="shared" si="607"/>
        <v>0</v>
      </c>
      <c r="FG87" s="11"/>
      <c r="FH87" s="12" t="e">
        <f t="shared" si="578"/>
        <v>#DIV/0!</v>
      </c>
      <c r="FI87" s="11"/>
      <c r="FJ87" s="12" t="e">
        <f t="shared" si="579"/>
        <v>#DIV/0!</v>
      </c>
      <c r="FK87" s="13"/>
      <c r="FL87" s="11"/>
      <c r="FM87" s="11"/>
      <c r="FN87" s="14"/>
      <c r="FO87" s="10"/>
      <c r="FP87" s="11"/>
      <c r="FQ87" s="69">
        <f t="shared" ref="FQ87:FR92" si="608">FQ86-FO87</f>
        <v>0</v>
      </c>
      <c r="FR87" s="69">
        <f t="shared" si="608"/>
        <v>0</v>
      </c>
      <c r="FS87" s="11"/>
      <c r="FT87" s="12" t="e">
        <f t="shared" si="580"/>
        <v>#DIV/0!</v>
      </c>
      <c r="FU87" s="11"/>
      <c r="FV87" s="12" t="e">
        <f t="shared" si="581"/>
        <v>#DIV/0!</v>
      </c>
      <c r="FW87" s="13"/>
      <c r="FX87" s="11"/>
      <c r="FY87" s="11"/>
      <c r="FZ87" s="14"/>
      <c r="GA87" s="10"/>
      <c r="GB87" s="11"/>
      <c r="GC87" s="69">
        <f t="shared" ref="GC87:GD92" si="609">GC86-GA87</f>
        <v>0</v>
      </c>
      <c r="GD87" s="69">
        <f t="shared" si="609"/>
        <v>0</v>
      </c>
      <c r="GE87" s="11"/>
      <c r="GF87" s="12" t="e">
        <f t="shared" si="582"/>
        <v>#DIV/0!</v>
      </c>
      <c r="GG87" s="11"/>
      <c r="GH87" s="12" t="e">
        <f t="shared" si="583"/>
        <v>#DIV/0!</v>
      </c>
      <c r="GI87" s="13"/>
      <c r="GJ87" s="11"/>
      <c r="GK87" s="11"/>
      <c r="GL87" s="14"/>
      <c r="GM87" s="10"/>
      <c r="GN87" s="11"/>
      <c r="GO87" s="69">
        <f t="shared" ref="GO87:GP92" si="610">GO86-GM87</f>
        <v>0</v>
      </c>
      <c r="GP87" s="69">
        <f t="shared" si="610"/>
        <v>0</v>
      </c>
      <c r="GQ87" s="11"/>
      <c r="GR87" s="12" t="e">
        <f t="shared" si="584"/>
        <v>#DIV/0!</v>
      </c>
      <c r="GS87" s="11"/>
      <c r="GT87" s="12" t="e">
        <f t="shared" si="585"/>
        <v>#DIV/0!</v>
      </c>
      <c r="GU87" s="13"/>
      <c r="GV87" s="11"/>
      <c r="GW87" s="11"/>
      <c r="GX87" s="14"/>
      <c r="GY87" s="10"/>
      <c r="GZ87" s="11"/>
      <c r="HA87" s="69">
        <f t="shared" ref="HA87:HB92" si="611">HA86-GY87</f>
        <v>0</v>
      </c>
      <c r="HB87" s="69">
        <f t="shared" si="611"/>
        <v>0</v>
      </c>
      <c r="HC87" s="11"/>
      <c r="HD87" s="12" t="e">
        <f t="shared" si="586"/>
        <v>#DIV/0!</v>
      </c>
      <c r="HE87" s="11"/>
      <c r="HF87" s="12" t="e">
        <f t="shared" si="587"/>
        <v>#DIV/0!</v>
      </c>
      <c r="HG87" s="13"/>
      <c r="HH87" s="11"/>
      <c r="HI87" s="11"/>
      <c r="HJ87" s="14"/>
      <c r="HK87" s="10">
        <f t="shared" si="588"/>
        <v>2</v>
      </c>
      <c r="HL87" s="11">
        <f t="shared" si="588"/>
        <v>0</v>
      </c>
      <c r="HM87" s="11">
        <f t="shared" si="588"/>
        <v>3640</v>
      </c>
      <c r="HN87" s="11">
        <f t="shared" si="588"/>
        <v>322</v>
      </c>
      <c r="HO87" s="11">
        <f t="shared" si="589"/>
        <v>2005</v>
      </c>
      <c r="HP87" s="95">
        <f t="shared" si="590"/>
        <v>0.55082417582417587</v>
      </c>
      <c r="HQ87" s="15">
        <f t="shared" si="591"/>
        <v>58</v>
      </c>
      <c r="HR87" s="12">
        <f t="shared" ref="HR87:HR101" si="612">+(HQ87/(HO87))</f>
        <v>2.8927680798004989E-2</v>
      </c>
      <c r="HS87" s="16">
        <v>64.8</v>
      </c>
      <c r="HT87" s="17">
        <v>1851</v>
      </c>
      <c r="HU87" s="16">
        <f t="shared" si="592"/>
        <v>92.319201995012463</v>
      </c>
      <c r="HV87" s="15"/>
      <c r="HW87" s="14"/>
    </row>
    <row r="88" spans="1:231" ht="18.75" x14ac:dyDescent="0.25">
      <c r="A88" s="374"/>
      <c r="B88" s="41">
        <f t="shared" si="532"/>
        <v>45006</v>
      </c>
      <c r="C88" s="10"/>
      <c r="D88" s="11"/>
      <c r="E88" s="69">
        <f t="shared" si="593"/>
        <v>693</v>
      </c>
      <c r="F88" s="69">
        <f t="shared" si="593"/>
        <v>63</v>
      </c>
      <c r="G88" s="11">
        <v>334</v>
      </c>
      <c r="H88" s="12">
        <f t="shared" si="553"/>
        <v>0.50649350649350644</v>
      </c>
      <c r="I88" s="11">
        <v>17</v>
      </c>
      <c r="J88" s="12">
        <f t="shared" si="594"/>
        <v>4.843304843304843E-2</v>
      </c>
      <c r="K88" s="13"/>
      <c r="L88" s="11"/>
      <c r="M88" s="11"/>
      <c r="N88" s="14"/>
      <c r="O88" s="10"/>
      <c r="P88" s="11"/>
      <c r="Q88" s="69">
        <f t="shared" si="595"/>
        <v>686</v>
      </c>
      <c r="R88" s="69">
        <f t="shared" si="595"/>
        <v>62</v>
      </c>
      <c r="S88" s="11">
        <v>371</v>
      </c>
      <c r="T88" s="12">
        <f t="shared" si="554"/>
        <v>0.56268221574344024</v>
      </c>
      <c r="U88" s="11">
        <v>15</v>
      </c>
      <c r="V88" s="12">
        <f t="shared" si="555"/>
        <v>3.8860103626943004E-2</v>
      </c>
      <c r="W88" s="13"/>
      <c r="X88" s="11"/>
      <c r="Y88" s="11"/>
      <c r="Z88" s="14"/>
      <c r="AA88" s="10"/>
      <c r="AB88" s="11"/>
      <c r="AC88" s="69">
        <f t="shared" si="596"/>
        <v>155</v>
      </c>
      <c r="AD88" s="69">
        <f t="shared" si="596"/>
        <v>10</v>
      </c>
      <c r="AE88" s="11">
        <v>92</v>
      </c>
      <c r="AF88" s="12">
        <f t="shared" si="556"/>
        <v>0.61290322580645162</v>
      </c>
      <c r="AG88" s="11">
        <v>3</v>
      </c>
      <c r="AH88" s="12">
        <f t="shared" si="557"/>
        <v>3.1578947368421054E-2</v>
      </c>
      <c r="AI88" s="13"/>
      <c r="AJ88" s="11"/>
      <c r="AK88" s="11"/>
      <c r="AL88" s="14"/>
      <c r="AM88" s="10"/>
      <c r="AN88" s="11"/>
      <c r="AO88" s="69">
        <f t="shared" si="597"/>
        <v>701</v>
      </c>
      <c r="AP88" s="69">
        <f t="shared" si="597"/>
        <v>63</v>
      </c>
      <c r="AQ88" s="11">
        <v>387</v>
      </c>
      <c r="AR88" s="12">
        <f t="shared" si="558"/>
        <v>0.57774607703281022</v>
      </c>
      <c r="AS88" s="11">
        <v>18</v>
      </c>
      <c r="AT88" s="12">
        <f t="shared" si="559"/>
        <v>4.4444444444444446E-2</v>
      </c>
      <c r="AU88" s="13"/>
      <c r="AV88" s="11"/>
      <c r="AW88" s="11"/>
      <c r="AX88" s="14"/>
      <c r="AY88" s="10"/>
      <c r="AZ88" s="11"/>
      <c r="BA88" s="69">
        <f t="shared" si="598"/>
        <v>705</v>
      </c>
      <c r="BB88" s="69">
        <f t="shared" si="598"/>
        <v>61</v>
      </c>
      <c r="BC88" s="11">
        <v>355</v>
      </c>
      <c r="BD88" s="12">
        <f t="shared" si="560"/>
        <v>0.52765957446808509</v>
      </c>
      <c r="BE88" s="11">
        <v>17</v>
      </c>
      <c r="BF88" s="12">
        <f t="shared" si="561"/>
        <v>4.5698924731182797E-2</v>
      </c>
      <c r="BG88" s="13"/>
      <c r="BH88" s="11"/>
      <c r="BI88" s="11"/>
      <c r="BJ88" s="14"/>
      <c r="BK88" s="10"/>
      <c r="BL88" s="11"/>
      <c r="BM88" s="69">
        <f t="shared" si="599"/>
        <v>700</v>
      </c>
      <c r="BN88" s="69">
        <f t="shared" si="599"/>
        <v>63</v>
      </c>
      <c r="BO88" s="11">
        <v>393</v>
      </c>
      <c r="BP88" s="12">
        <f t="shared" si="562"/>
        <v>0.58571428571428574</v>
      </c>
      <c r="BQ88" s="11">
        <v>17</v>
      </c>
      <c r="BR88" s="12">
        <f t="shared" si="563"/>
        <v>4.1463414634146344E-2</v>
      </c>
      <c r="BS88" s="13"/>
      <c r="BT88" s="11"/>
      <c r="BU88" s="11"/>
      <c r="BV88" s="14"/>
      <c r="BW88" s="10"/>
      <c r="BX88" s="11"/>
      <c r="BY88" s="69">
        <f t="shared" si="600"/>
        <v>0</v>
      </c>
      <c r="BZ88" s="69">
        <f t="shared" si="600"/>
        <v>0</v>
      </c>
      <c r="CA88" s="11"/>
      <c r="CB88" s="12" t="e">
        <f t="shared" si="564"/>
        <v>#DIV/0!</v>
      </c>
      <c r="CC88" s="11"/>
      <c r="CD88" s="12" t="e">
        <f t="shared" si="565"/>
        <v>#DIV/0!</v>
      </c>
      <c r="CE88" s="13"/>
      <c r="CF88" s="11"/>
      <c r="CG88" s="11"/>
      <c r="CH88" s="14"/>
      <c r="CI88" s="10"/>
      <c r="CJ88" s="11"/>
      <c r="CK88" s="69">
        <f t="shared" si="601"/>
        <v>0</v>
      </c>
      <c r="CL88" s="69">
        <f t="shared" si="601"/>
        <v>0</v>
      </c>
      <c r="CM88" s="11"/>
      <c r="CN88" s="12" t="e">
        <f t="shared" si="566"/>
        <v>#DIV/0!</v>
      </c>
      <c r="CO88" s="11"/>
      <c r="CP88" s="12" t="e">
        <f t="shared" si="567"/>
        <v>#DIV/0!</v>
      </c>
      <c r="CQ88" s="13"/>
      <c r="CR88" s="11"/>
      <c r="CS88" s="11"/>
      <c r="CT88" s="14"/>
      <c r="CU88" s="10"/>
      <c r="CV88" s="11"/>
      <c r="CW88" s="69">
        <f t="shared" si="602"/>
        <v>0</v>
      </c>
      <c r="CX88" s="69">
        <f t="shared" si="602"/>
        <v>0</v>
      </c>
      <c r="CY88" s="11"/>
      <c r="CZ88" s="12" t="e">
        <f t="shared" si="568"/>
        <v>#DIV/0!</v>
      </c>
      <c r="DA88" s="11"/>
      <c r="DB88" s="12" t="e">
        <f t="shared" si="569"/>
        <v>#DIV/0!</v>
      </c>
      <c r="DC88" s="13"/>
      <c r="DD88" s="11"/>
      <c r="DE88" s="11"/>
      <c r="DF88" s="14"/>
      <c r="DG88" s="10"/>
      <c r="DH88" s="11"/>
      <c r="DI88" s="69">
        <f t="shared" si="603"/>
        <v>0</v>
      </c>
      <c r="DJ88" s="69">
        <f t="shared" si="603"/>
        <v>0</v>
      </c>
      <c r="DK88" s="11"/>
      <c r="DL88" s="12" t="e">
        <f t="shared" si="570"/>
        <v>#DIV/0!</v>
      </c>
      <c r="DM88" s="11"/>
      <c r="DN88" s="12" t="e">
        <f t="shared" si="571"/>
        <v>#DIV/0!</v>
      </c>
      <c r="DO88" s="13"/>
      <c r="DP88" s="11"/>
      <c r="DQ88" s="11"/>
      <c r="DR88" s="14"/>
      <c r="DS88" s="10"/>
      <c r="DT88" s="11"/>
      <c r="DU88" s="69">
        <f t="shared" si="604"/>
        <v>0</v>
      </c>
      <c r="DV88" s="69">
        <f t="shared" si="604"/>
        <v>0</v>
      </c>
      <c r="DW88" s="11"/>
      <c r="DX88" s="12" t="e">
        <f t="shared" si="572"/>
        <v>#DIV/0!</v>
      </c>
      <c r="DY88" s="11"/>
      <c r="DZ88" s="12" t="e">
        <f t="shared" si="573"/>
        <v>#DIV/0!</v>
      </c>
      <c r="EA88" s="13"/>
      <c r="EB88" s="11"/>
      <c r="EC88" s="11"/>
      <c r="ED88" s="14"/>
      <c r="EE88" s="10"/>
      <c r="EF88" s="11"/>
      <c r="EG88" s="69">
        <f t="shared" si="605"/>
        <v>0</v>
      </c>
      <c r="EH88" s="69">
        <f t="shared" si="605"/>
        <v>0</v>
      </c>
      <c r="EI88" s="11"/>
      <c r="EJ88" s="12" t="e">
        <f t="shared" si="574"/>
        <v>#DIV/0!</v>
      </c>
      <c r="EK88" s="11"/>
      <c r="EL88" s="12" t="e">
        <f t="shared" si="575"/>
        <v>#DIV/0!</v>
      </c>
      <c r="EM88" s="13"/>
      <c r="EN88" s="11"/>
      <c r="EO88" s="11"/>
      <c r="EP88" s="14"/>
      <c r="EQ88" s="10"/>
      <c r="ER88" s="11"/>
      <c r="ES88" s="69">
        <f t="shared" si="606"/>
        <v>0</v>
      </c>
      <c r="ET88" s="69">
        <f t="shared" si="606"/>
        <v>0</v>
      </c>
      <c r="EU88" s="11"/>
      <c r="EV88" s="12" t="e">
        <f t="shared" si="576"/>
        <v>#DIV/0!</v>
      </c>
      <c r="EW88" s="11"/>
      <c r="EX88" s="12" t="e">
        <f t="shared" si="577"/>
        <v>#DIV/0!</v>
      </c>
      <c r="EY88" s="13"/>
      <c r="EZ88" s="11"/>
      <c r="FA88" s="11"/>
      <c r="FB88" s="14"/>
      <c r="FC88" s="10"/>
      <c r="FD88" s="11"/>
      <c r="FE88" s="69">
        <f t="shared" si="607"/>
        <v>0</v>
      </c>
      <c r="FF88" s="69">
        <f t="shared" si="607"/>
        <v>0</v>
      </c>
      <c r="FG88" s="11"/>
      <c r="FH88" s="12" t="e">
        <f t="shared" si="578"/>
        <v>#DIV/0!</v>
      </c>
      <c r="FI88" s="11"/>
      <c r="FJ88" s="12" t="e">
        <f t="shared" si="579"/>
        <v>#DIV/0!</v>
      </c>
      <c r="FK88" s="13"/>
      <c r="FL88" s="11"/>
      <c r="FM88" s="11"/>
      <c r="FN88" s="14"/>
      <c r="FO88" s="10"/>
      <c r="FP88" s="11"/>
      <c r="FQ88" s="69">
        <f t="shared" si="608"/>
        <v>0</v>
      </c>
      <c r="FR88" s="69">
        <f t="shared" si="608"/>
        <v>0</v>
      </c>
      <c r="FS88" s="11"/>
      <c r="FT88" s="12" t="e">
        <f t="shared" si="580"/>
        <v>#DIV/0!</v>
      </c>
      <c r="FU88" s="11"/>
      <c r="FV88" s="12" t="e">
        <f t="shared" si="581"/>
        <v>#DIV/0!</v>
      </c>
      <c r="FW88" s="13"/>
      <c r="FX88" s="11"/>
      <c r="FY88" s="11"/>
      <c r="FZ88" s="14"/>
      <c r="GA88" s="10"/>
      <c r="GB88" s="11"/>
      <c r="GC88" s="69">
        <f t="shared" si="609"/>
        <v>0</v>
      </c>
      <c r="GD88" s="69">
        <f t="shared" si="609"/>
        <v>0</v>
      </c>
      <c r="GE88" s="11"/>
      <c r="GF88" s="12" t="e">
        <f t="shared" si="582"/>
        <v>#DIV/0!</v>
      </c>
      <c r="GG88" s="11"/>
      <c r="GH88" s="12" t="e">
        <f t="shared" si="583"/>
        <v>#DIV/0!</v>
      </c>
      <c r="GI88" s="13"/>
      <c r="GJ88" s="11"/>
      <c r="GK88" s="11"/>
      <c r="GL88" s="14"/>
      <c r="GM88" s="10"/>
      <c r="GN88" s="11"/>
      <c r="GO88" s="69">
        <f t="shared" si="610"/>
        <v>0</v>
      </c>
      <c r="GP88" s="69">
        <f t="shared" si="610"/>
        <v>0</v>
      </c>
      <c r="GQ88" s="11"/>
      <c r="GR88" s="12" t="e">
        <f t="shared" si="584"/>
        <v>#DIV/0!</v>
      </c>
      <c r="GS88" s="11"/>
      <c r="GT88" s="12" t="e">
        <f t="shared" si="585"/>
        <v>#DIV/0!</v>
      </c>
      <c r="GU88" s="13"/>
      <c r="GV88" s="11"/>
      <c r="GW88" s="11"/>
      <c r="GX88" s="14"/>
      <c r="GY88" s="10"/>
      <c r="GZ88" s="11"/>
      <c r="HA88" s="69">
        <f t="shared" si="611"/>
        <v>0</v>
      </c>
      <c r="HB88" s="69">
        <f t="shared" si="611"/>
        <v>0</v>
      </c>
      <c r="HC88" s="11"/>
      <c r="HD88" s="12" t="e">
        <f t="shared" si="586"/>
        <v>#DIV/0!</v>
      </c>
      <c r="HE88" s="11"/>
      <c r="HF88" s="12" t="e">
        <f t="shared" si="587"/>
        <v>#DIV/0!</v>
      </c>
      <c r="HG88" s="13"/>
      <c r="HH88" s="11"/>
      <c r="HI88" s="11"/>
      <c r="HJ88" s="14"/>
      <c r="HK88" s="10">
        <f t="shared" si="588"/>
        <v>0</v>
      </c>
      <c r="HL88" s="11">
        <f t="shared" si="588"/>
        <v>0</v>
      </c>
      <c r="HM88" s="11">
        <f t="shared" si="588"/>
        <v>3640</v>
      </c>
      <c r="HN88" s="11">
        <f t="shared" si="588"/>
        <v>322</v>
      </c>
      <c r="HO88" s="11">
        <f t="shared" si="589"/>
        <v>2019</v>
      </c>
      <c r="HP88" s="95">
        <f t="shared" si="590"/>
        <v>0.5546703296703297</v>
      </c>
      <c r="HQ88" s="15">
        <f t="shared" si="591"/>
        <v>87</v>
      </c>
      <c r="HR88" s="12">
        <f t="shared" si="612"/>
        <v>4.3090638930163447E-2</v>
      </c>
      <c r="HS88" s="16">
        <v>65</v>
      </c>
      <c r="HT88" s="17">
        <v>1841</v>
      </c>
      <c r="HU88" s="16">
        <f t="shared" si="592"/>
        <v>91.183754333828631</v>
      </c>
      <c r="HV88" s="15"/>
      <c r="HW88" s="14"/>
    </row>
    <row r="89" spans="1:231" ht="18.75" x14ac:dyDescent="0.25">
      <c r="A89" s="374"/>
      <c r="B89" s="41">
        <f t="shared" si="532"/>
        <v>45007</v>
      </c>
      <c r="C89" s="10"/>
      <c r="D89" s="11"/>
      <c r="E89" s="69">
        <f t="shared" si="593"/>
        <v>693</v>
      </c>
      <c r="F89" s="69">
        <f t="shared" si="593"/>
        <v>63</v>
      </c>
      <c r="G89" s="11">
        <v>363</v>
      </c>
      <c r="H89" s="12">
        <f t="shared" si="553"/>
        <v>0.54401154401154406</v>
      </c>
      <c r="I89" s="11">
        <v>14</v>
      </c>
      <c r="J89" s="12">
        <f t="shared" si="594"/>
        <v>3.7135278514588858E-2</v>
      </c>
      <c r="K89" s="11"/>
      <c r="L89" s="11"/>
      <c r="M89" s="18"/>
      <c r="N89" s="20"/>
      <c r="O89" s="10">
        <v>1</v>
      </c>
      <c r="P89" s="11"/>
      <c r="Q89" s="69">
        <f t="shared" si="595"/>
        <v>685</v>
      </c>
      <c r="R89" s="69">
        <f t="shared" si="595"/>
        <v>62</v>
      </c>
      <c r="S89" s="11">
        <v>411</v>
      </c>
      <c r="T89" s="12">
        <f t="shared" si="554"/>
        <v>0.62335766423357664</v>
      </c>
      <c r="U89" s="11">
        <v>16</v>
      </c>
      <c r="V89" s="12">
        <f t="shared" si="555"/>
        <v>3.7470725995316159E-2</v>
      </c>
      <c r="W89" s="11"/>
      <c r="X89" s="11"/>
      <c r="Y89" s="18"/>
      <c r="Z89" s="20"/>
      <c r="AA89" s="10">
        <v>1</v>
      </c>
      <c r="AB89" s="11"/>
      <c r="AC89" s="69">
        <f t="shared" si="596"/>
        <v>154</v>
      </c>
      <c r="AD89" s="69">
        <f t="shared" si="596"/>
        <v>10</v>
      </c>
      <c r="AE89" s="11">
        <v>86</v>
      </c>
      <c r="AF89" s="12">
        <f t="shared" si="556"/>
        <v>0.57792207792207795</v>
      </c>
      <c r="AG89" s="11">
        <v>3</v>
      </c>
      <c r="AH89" s="12">
        <f t="shared" si="557"/>
        <v>3.3707865168539325E-2</v>
      </c>
      <c r="AI89" s="11"/>
      <c r="AJ89" s="11"/>
      <c r="AK89" s="18"/>
      <c r="AL89" s="20"/>
      <c r="AM89" s="10"/>
      <c r="AN89" s="11"/>
      <c r="AO89" s="69">
        <f t="shared" si="597"/>
        <v>701</v>
      </c>
      <c r="AP89" s="69">
        <f t="shared" si="597"/>
        <v>63</v>
      </c>
      <c r="AQ89" s="11">
        <v>397</v>
      </c>
      <c r="AR89" s="12">
        <f t="shared" si="558"/>
        <v>0.58915834522111266</v>
      </c>
      <c r="AS89" s="11">
        <v>16</v>
      </c>
      <c r="AT89" s="12">
        <f t="shared" si="559"/>
        <v>3.8740920096852302E-2</v>
      </c>
      <c r="AU89" s="11"/>
      <c r="AV89" s="11"/>
      <c r="AW89" s="18"/>
      <c r="AX89" s="20"/>
      <c r="AY89" s="10"/>
      <c r="AZ89" s="11"/>
      <c r="BA89" s="69">
        <f t="shared" si="598"/>
        <v>705</v>
      </c>
      <c r="BB89" s="69">
        <f t="shared" si="598"/>
        <v>61</v>
      </c>
      <c r="BC89" s="11">
        <v>377</v>
      </c>
      <c r="BD89" s="12">
        <f t="shared" si="560"/>
        <v>0.56453900709219862</v>
      </c>
      <c r="BE89" s="11">
        <v>21</v>
      </c>
      <c r="BF89" s="12">
        <f t="shared" si="561"/>
        <v>5.2763819095477386E-2</v>
      </c>
      <c r="BG89" s="11"/>
      <c r="BH89" s="11"/>
      <c r="BI89" s="18"/>
      <c r="BJ89" s="20"/>
      <c r="BK89" s="10">
        <v>1</v>
      </c>
      <c r="BL89" s="11"/>
      <c r="BM89" s="69">
        <f t="shared" si="599"/>
        <v>699</v>
      </c>
      <c r="BN89" s="69">
        <f t="shared" si="599"/>
        <v>63</v>
      </c>
      <c r="BO89" s="11">
        <v>399</v>
      </c>
      <c r="BP89" s="12">
        <f t="shared" si="562"/>
        <v>0.59084406294706726</v>
      </c>
      <c r="BQ89" s="11">
        <v>14</v>
      </c>
      <c r="BR89" s="12">
        <f t="shared" si="563"/>
        <v>3.3898305084745763E-2</v>
      </c>
      <c r="BS89" s="11"/>
      <c r="BT89" s="11"/>
      <c r="BU89" s="18"/>
      <c r="BV89" s="20"/>
      <c r="BW89" s="10"/>
      <c r="BX89" s="11"/>
      <c r="BY89" s="69">
        <f t="shared" si="600"/>
        <v>0</v>
      </c>
      <c r="BZ89" s="69">
        <f t="shared" si="600"/>
        <v>0</v>
      </c>
      <c r="CA89" s="11"/>
      <c r="CB89" s="12" t="e">
        <f t="shared" si="564"/>
        <v>#DIV/0!</v>
      </c>
      <c r="CC89" s="11"/>
      <c r="CD89" s="12" t="e">
        <f t="shared" si="565"/>
        <v>#DIV/0!</v>
      </c>
      <c r="CE89" s="11"/>
      <c r="CF89" s="11"/>
      <c r="CG89" s="18"/>
      <c r="CH89" s="20"/>
      <c r="CI89" s="10"/>
      <c r="CJ89" s="11"/>
      <c r="CK89" s="69">
        <f t="shared" si="601"/>
        <v>0</v>
      </c>
      <c r="CL89" s="69">
        <f t="shared" si="601"/>
        <v>0</v>
      </c>
      <c r="CM89" s="11"/>
      <c r="CN89" s="12" t="e">
        <f t="shared" si="566"/>
        <v>#DIV/0!</v>
      </c>
      <c r="CO89" s="11"/>
      <c r="CP89" s="12" t="e">
        <f t="shared" si="567"/>
        <v>#DIV/0!</v>
      </c>
      <c r="CQ89" s="11"/>
      <c r="CR89" s="11"/>
      <c r="CS89" s="18"/>
      <c r="CT89" s="20"/>
      <c r="CU89" s="10"/>
      <c r="CV89" s="11"/>
      <c r="CW89" s="69">
        <f t="shared" si="602"/>
        <v>0</v>
      </c>
      <c r="CX89" s="69">
        <f t="shared" si="602"/>
        <v>0</v>
      </c>
      <c r="CY89" s="11"/>
      <c r="CZ89" s="12" t="e">
        <f t="shared" si="568"/>
        <v>#DIV/0!</v>
      </c>
      <c r="DA89" s="11"/>
      <c r="DB89" s="12" t="e">
        <f t="shared" si="569"/>
        <v>#DIV/0!</v>
      </c>
      <c r="DC89" s="11"/>
      <c r="DD89" s="11"/>
      <c r="DE89" s="18"/>
      <c r="DF89" s="20"/>
      <c r="DG89" s="10"/>
      <c r="DH89" s="11"/>
      <c r="DI89" s="69">
        <f t="shared" si="603"/>
        <v>0</v>
      </c>
      <c r="DJ89" s="69">
        <f t="shared" si="603"/>
        <v>0</v>
      </c>
      <c r="DK89" s="11"/>
      <c r="DL89" s="12" t="e">
        <f t="shared" si="570"/>
        <v>#DIV/0!</v>
      </c>
      <c r="DM89" s="11"/>
      <c r="DN89" s="12" t="e">
        <f t="shared" si="571"/>
        <v>#DIV/0!</v>
      </c>
      <c r="DO89" s="11"/>
      <c r="DP89" s="11"/>
      <c r="DQ89" s="18"/>
      <c r="DR89" s="20"/>
      <c r="DS89" s="10"/>
      <c r="DT89" s="11"/>
      <c r="DU89" s="69">
        <f t="shared" si="604"/>
        <v>0</v>
      </c>
      <c r="DV89" s="69">
        <f t="shared" si="604"/>
        <v>0</v>
      </c>
      <c r="DW89" s="11"/>
      <c r="DX89" s="12" t="e">
        <f t="shared" si="572"/>
        <v>#DIV/0!</v>
      </c>
      <c r="DY89" s="11"/>
      <c r="DZ89" s="12" t="e">
        <f t="shared" si="573"/>
        <v>#DIV/0!</v>
      </c>
      <c r="EA89" s="11"/>
      <c r="EB89" s="11"/>
      <c r="EC89" s="18"/>
      <c r="ED89" s="20"/>
      <c r="EE89" s="10"/>
      <c r="EF89" s="11"/>
      <c r="EG89" s="69">
        <f t="shared" si="605"/>
        <v>0</v>
      </c>
      <c r="EH89" s="69">
        <f t="shared" si="605"/>
        <v>0</v>
      </c>
      <c r="EI89" s="11"/>
      <c r="EJ89" s="12" t="e">
        <f t="shared" si="574"/>
        <v>#DIV/0!</v>
      </c>
      <c r="EK89" s="11"/>
      <c r="EL89" s="12" t="e">
        <f t="shared" si="575"/>
        <v>#DIV/0!</v>
      </c>
      <c r="EM89" s="11"/>
      <c r="EN89" s="11"/>
      <c r="EO89" s="18"/>
      <c r="EP89" s="20"/>
      <c r="EQ89" s="10"/>
      <c r="ER89" s="11"/>
      <c r="ES89" s="69">
        <f t="shared" si="606"/>
        <v>0</v>
      </c>
      <c r="ET89" s="69">
        <f t="shared" si="606"/>
        <v>0</v>
      </c>
      <c r="EU89" s="11"/>
      <c r="EV89" s="12" t="e">
        <f t="shared" si="576"/>
        <v>#DIV/0!</v>
      </c>
      <c r="EW89" s="11"/>
      <c r="EX89" s="12" t="e">
        <f t="shared" si="577"/>
        <v>#DIV/0!</v>
      </c>
      <c r="EY89" s="11"/>
      <c r="EZ89" s="11"/>
      <c r="FA89" s="18"/>
      <c r="FB89" s="20"/>
      <c r="FC89" s="10"/>
      <c r="FD89" s="11"/>
      <c r="FE89" s="69">
        <f t="shared" si="607"/>
        <v>0</v>
      </c>
      <c r="FF89" s="69">
        <f t="shared" si="607"/>
        <v>0</v>
      </c>
      <c r="FG89" s="11"/>
      <c r="FH89" s="12" t="e">
        <f t="shared" si="578"/>
        <v>#DIV/0!</v>
      </c>
      <c r="FI89" s="11"/>
      <c r="FJ89" s="12" t="e">
        <f t="shared" si="579"/>
        <v>#DIV/0!</v>
      </c>
      <c r="FK89" s="11"/>
      <c r="FL89" s="11"/>
      <c r="FM89" s="18"/>
      <c r="FN89" s="20"/>
      <c r="FO89" s="10"/>
      <c r="FP89" s="11"/>
      <c r="FQ89" s="69">
        <f t="shared" si="608"/>
        <v>0</v>
      </c>
      <c r="FR89" s="69">
        <f t="shared" si="608"/>
        <v>0</v>
      </c>
      <c r="FS89" s="11"/>
      <c r="FT89" s="12" t="e">
        <f t="shared" si="580"/>
        <v>#DIV/0!</v>
      </c>
      <c r="FU89" s="11"/>
      <c r="FV89" s="12" t="e">
        <f t="shared" si="581"/>
        <v>#DIV/0!</v>
      </c>
      <c r="FW89" s="11"/>
      <c r="FX89" s="11"/>
      <c r="FY89" s="18"/>
      <c r="FZ89" s="20"/>
      <c r="GA89" s="10"/>
      <c r="GB89" s="11"/>
      <c r="GC89" s="69">
        <f t="shared" si="609"/>
        <v>0</v>
      </c>
      <c r="GD89" s="69">
        <f t="shared" si="609"/>
        <v>0</v>
      </c>
      <c r="GE89" s="11"/>
      <c r="GF89" s="12" t="e">
        <f t="shared" si="582"/>
        <v>#DIV/0!</v>
      </c>
      <c r="GG89" s="11"/>
      <c r="GH89" s="12" t="e">
        <f t="shared" si="583"/>
        <v>#DIV/0!</v>
      </c>
      <c r="GI89" s="11"/>
      <c r="GJ89" s="11"/>
      <c r="GK89" s="18"/>
      <c r="GL89" s="20"/>
      <c r="GM89" s="10"/>
      <c r="GN89" s="11"/>
      <c r="GO89" s="69">
        <f t="shared" si="610"/>
        <v>0</v>
      </c>
      <c r="GP89" s="69">
        <f t="shared" si="610"/>
        <v>0</v>
      </c>
      <c r="GQ89" s="11"/>
      <c r="GR89" s="12" t="e">
        <f t="shared" si="584"/>
        <v>#DIV/0!</v>
      </c>
      <c r="GS89" s="11"/>
      <c r="GT89" s="12" t="e">
        <f t="shared" si="585"/>
        <v>#DIV/0!</v>
      </c>
      <c r="GU89" s="11"/>
      <c r="GV89" s="11"/>
      <c r="GW89" s="18"/>
      <c r="GX89" s="20"/>
      <c r="GY89" s="10"/>
      <c r="GZ89" s="11"/>
      <c r="HA89" s="69">
        <f t="shared" si="611"/>
        <v>0</v>
      </c>
      <c r="HB89" s="69">
        <f t="shared" si="611"/>
        <v>0</v>
      </c>
      <c r="HC89" s="11"/>
      <c r="HD89" s="12" t="e">
        <f t="shared" si="586"/>
        <v>#DIV/0!</v>
      </c>
      <c r="HE89" s="11"/>
      <c r="HF89" s="12" t="e">
        <f t="shared" si="587"/>
        <v>#DIV/0!</v>
      </c>
      <c r="HG89" s="11"/>
      <c r="HH89" s="11"/>
      <c r="HI89" s="18"/>
      <c r="HJ89" s="20"/>
      <c r="HK89" s="10">
        <f t="shared" si="588"/>
        <v>3</v>
      </c>
      <c r="HL89" s="11">
        <f t="shared" si="588"/>
        <v>0</v>
      </c>
      <c r="HM89" s="11">
        <f t="shared" si="588"/>
        <v>3637</v>
      </c>
      <c r="HN89" s="11">
        <f t="shared" si="588"/>
        <v>322</v>
      </c>
      <c r="HO89" s="11">
        <f t="shared" si="589"/>
        <v>2117</v>
      </c>
      <c r="HP89" s="95">
        <f t="shared" si="590"/>
        <v>0.58207313720098985</v>
      </c>
      <c r="HQ89" s="15">
        <f t="shared" si="591"/>
        <v>84</v>
      </c>
      <c r="HR89" s="12">
        <f t="shared" si="612"/>
        <v>3.9678790741615497E-2</v>
      </c>
      <c r="HS89" s="16">
        <v>64.2</v>
      </c>
      <c r="HT89" s="17">
        <v>1941</v>
      </c>
      <c r="HU89" s="16">
        <f t="shared" si="592"/>
        <v>91.686348606518663</v>
      </c>
      <c r="HV89" s="18"/>
      <c r="HW89" s="20"/>
    </row>
    <row r="90" spans="1:231" ht="18.75" x14ac:dyDescent="0.25">
      <c r="A90" s="374"/>
      <c r="B90" s="41">
        <f t="shared" si="532"/>
        <v>45008</v>
      </c>
      <c r="C90" s="10"/>
      <c r="D90" s="11"/>
      <c r="E90" s="69">
        <f t="shared" si="593"/>
        <v>693</v>
      </c>
      <c r="F90" s="69">
        <f t="shared" si="593"/>
        <v>63</v>
      </c>
      <c r="G90" s="11">
        <v>387</v>
      </c>
      <c r="H90" s="12">
        <f t="shared" si="553"/>
        <v>0.56998556998557004</v>
      </c>
      <c r="I90" s="11">
        <v>8</v>
      </c>
      <c r="J90" s="12">
        <f t="shared" si="594"/>
        <v>2.0253164556962026E-2</v>
      </c>
      <c r="K90" s="13"/>
      <c r="L90" s="13"/>
      <c r="M90" s="25">
        <v>3945</v>
      </c>
      <c r="N90" s="38">
        <v>4340</v>
      </c>
      <c r="O90" s="10"/>
      <c r="P90" s="11"/>
      <c r="Q90" s="69">
        <f t="shared" si="595"/>
        <v>685</v>
      </c>
      <c r="R90" s="69">
        <f t="shared" si="595"/>
        <v>62</v>
      </c>
      <c r="S90" s="11">
        <v>392</v>
      </c>
      <c r="T90" s="12">
        <f t="shared" si="554"/>
        <v>0.58540145985401459</v>
      </c>
      <c r="U90" s="11">
        <v>9</v>
      </c>
      <c r="V90" s="12">
        <f t="shared" si="555"/>
        <v>2.2443890274314215E-2</v>
      </c>
      <c r="W90" s="13"/>
      <c r="X90" s="13"/>
      <c r="Y90" s="25">
        <v>3945</v>
      </c>
      <c r="Z90" s="38">
        <v>4340</v>
      </c>
      <c r="AA90" s="10">
        <v>1</v>
      </c>
      <c r="AB90" s="11"/>
      <c r="AC90" s="69">
        <f t="shared" si="596"/>
        <v>153</v>
      </c>
      <c r="AD90" s="69">
        <f t="shared" si="596"/>
        <v>10</v>
      </c>
      <c r="AE90" s="11">
        <v>92</v>
      </c>
      <c r="AF90" s="12">
        <f t="shared" si="556"/>
        <v>0.62091503267973858</v>
      </c>
      <c r="AG90" s="11">
        <v>3</v>
      </c>
      <c r="AH90" s="12">
        <f t="shared" si="557"/>
        <v>3.1578947368421054E-2</v>
      </c>
      <c r="AI90" s="13"/>
      <c r="AJ90" s="13"/>
      <c r="AK90" s="25">
        <v>3945</v>
      </c>
      <c r="AL90" s="38">
        <v>4340</v>
      </c>
      <c r="AM90" s="10">
        <v>1</v>
      </c>
      <c r="AN90" s="11"/>
      <c r="AO90" s="69">
        <f t="shared" si="597"/>
        <v>700</v>
      </c>
      <c r="AP90" s="69">
        <f t="shared" si="597"/>
        <v>63</v>
      </c>
      <c r="AQ90" s="11">
        <v>365</v>
      </c>
      <c r="AR90" s="12">
        <f t="shared" si="558"/>
        <v>0.5485714285714286</v>
      </c>
      <c r="AS90" s="11">
        <v>19</v>
      </c>
      <c r="AT90" s="12">
        <f t="shared" si="559"/>
        <v>4.9479166666666664E-2</v>
      </c>
      <c r="AU90" s="13"/>
      <c r="AV90" s="13"/>
      <c r="AW90" s="25">
        <v>3945</v>
      </c>
      <c r="AX90" s="38">
        <v>4340</v>
      </c>
      <c r="AY90" s="10"/>
      <c r="AZ90" s="11"/>
      <c r="BA90" s="69">
        <f t="shared" si="598"/>
        <v>705</v>
      </c>
      <c r="BB90" s="69">
        <f t="shared" si="598"/>
        <v>61</v>
      </c>
      <c r="BC90" s="11">
        <v>366</v>
      </c>
      <c r="BD90" s="12">
        <f t="shared" si="560"/>
        <v>0.5446808510638298</v>
      </c>
      <c r="BE90" s="11">
        <v>18</v>
      </c>
      <c r="BF90" s="12">
        <f t="shared" si="561"/>
        <v>4.6875E-2</v>
      </c>
      <c r="BG90" s="13"/>
      <c r="BH90" s="13"/>
      <c r="BI90" s="25">
        <v>3945</v>
      </c>
      <c r="BJ90" s="38">
        <v>4340</v>
      </c>
      <c r="BK90" s="10"/>
      <c r="BL90" s="11"/>
      <c r="BM90" s="69">
        <f t="shared" si="599"/>
        <v>699</v>
      </c>
      <c r="BN90" s="69">
        <f t="shared" si="599"/>
        <v>63</v>
      </c>
      <c r="BO90" s="11">
        <v>417</v>
      </c>
      <c r="BP90" s="12">
        <f t="shared" si="562"/>
        <v>0.61373390557939911</v>
      </c>
      <c r="BQ90" s="11">
        <v>12</v>
      </c>
      <c r="BR90" s="12">
        <f t="shared" si="563"/>
        <v>2.7972027972027972E-2</v>
      </c>
      <c r="BS90" s="13"/>
      <c r="BT90" s="13"/>
      <c r="BU90" s="25">
        <v>3945</v>
      </c>
      <c r="BV90" s="38">
        <v>4340</v>
      </c>
      <c r="BW90" s="10"/>
      <c r="BX90" s="11"/>
      <c r="BY90" s="69">
        <f t="shared" si="600"/>
        <v>0</v>
      </c>
      <c r="BZ90" s="69">
        <f t="shared" si="600"/>
        <v>0</v>
      </c>
      <c r="CA90" s="11"/>
      <c r="CB90" s="12" t="e">
        <f t="shared" si="564"/>
        <v>#DIV/0!</v>
      </c>
      <c r="CC90" s="11"/>
      <c r="CD90" s="12" t="e">
        <f t="shared" si="565"/>
        <v>#DIV/0!</v>
      </c>
      <c r="CE90" s="13"/>
      <c r="CF90" s="13"/>
      <c r="CG90" s="25"/>
      <c r="CH90" s="38"/>
      <c r="CI90" s="10"/>
      <c r="CJ90" s="11"/>
      <c r="CK90" s="69">
        <f t="shared" si="601"/>
        <v>0</v>
      </c>
      <c r="CL90" s="69">
        <f t="shared" si="601"/>
        <v>0</v>
      </c>
      <c r="CM90" s="11"/>
      <c r="CN90" s="12" t="e">
        <f t="shared" si="566"/>
        <v>#DIV/0!</v>
      </c>
      <c r="CO90" s="11"/>
      <c r="CP90" s="12" t="e">
        <f t="shared" si="567"/>
        <v>#DIV/0!</v>
      </c>
      <c r="CQ90" s="13"/>
      <c r="CR90" s="13"/>
      <c r="CS90" s="25"/>
      <c r="CT90" s="38"/>
      <c r="CU90" s="10"/>
      <c r="CV90" s="11"/>
      <c r="CW90" s="69">
        <f t="shared" si="602"/>
        <v>0</v>
      </c>
      <c r="CX90" s="69">
        <f t="shared" si="602"/>
        <v>0</v>
      </c>
      <c r="CY90" s="11"/>
      <c r="CZ90" s="12" t="e">
        <f t="shared" si="568"/>
        <v>#DIV/0!</v>
      </c>
      <c r="DA90" s="11"/>
      <c r="DB90" s="12" t="e">
        <f t="shared" si="569"/>
        <v>#DIV/0!</v>
      </c>
      <c r="DC90" s="13"/>
      <c r="DD90" s="13"/>
      <c r="DE90" s="25"/>
      <c r="DF90" s="38"/>
      <c r="DG90" s="10"/>
      <c r="DH90" s="11"/>
      <c r="DI90" s="69">
        <f t="shared" si="603"/>
        <v>0</v>
      </c>
      <c r="DJ90" s="69">
        <f t="shared" si="603"/>
        <v>0</v>
      </c>
      <c r="DK90" s="11"/>
      <c r="DL90" s="12" t="e">
        <f t="shared" si="570"/>
        <v>#DIV/0!</v>
      </c>
      <c r="DM90" s="11"/>
      <c r="DN90" s="12" t="e">
        <f t="shared" si="571"/>
        <v>#DIV/0!</v>
      </c>
      <c r="DO90" s="13"/>
      <c r="DP90" s="13"/>
      <c r="DQ90" s="25"/>
      <c r="DR90" s="38"/>
      <c r="DS90" s="10"/>
      <c r="DT90" s="11"/>
      <c r="DU90" s="69">
        <f t="shared" si="604"/>
        <v>0</v>
      </c>
      <c r="DV90" s="69">
        <f t="shared" si="604"/>
        <v>0</v>
      </c>
      <c r="DW90" s="11"/>
      <c r="DX90" s="12" t="e">
        <f t="shared" si="572"/>
        <v>#DIV/0!</v>
      </c>
      <c r="DY90" s="11"/>
      <c r="DZ90" s="12" t="e">
        <f t="shared" si="573"/>
        <v>#DIV/0!</v>
      </c>
      <c r="EA90" s="13"/>
      <c r="EB90" s="13"/>
      <c r="EC90" s="25"/>
      <c r="ED90" s="38"/>
      <c r="EE90" s="10"/>
      <c r="EF90" s="11"/>
      <c r="EG90" s="69">
        <f t="shared" si="605"/>
        <v>0</v>
      </c>
      <c r="EH90" s="69">
        <f t="shared" si="605"/>
        <v>0</v>
      </c>
      <c r="EI90" s="11"/>
      <c r="EJ90" s="12" t="e">
        <f t="shared" si="574"/>
        <v>#DIV/0!</v>
      </c>
      <c r="EK90" s="11"/>
      <c r="EL90" s="12" t="e">
        <f t="shared" si="575"/>
        <v>#DIV/0!</v>
      </c>
      <c r="EM90" s="13"/>
      <c r="EN90" s="13"/>
      <c r="EO90" s="25"/>
      <c r="EP90" s="38"/>
      <c r="EQ90" s="10"/>
      <c r="ER90" s="11"/>
      <c r="ES90" s="69">
        <f t="shared" si="606"/>
        <v>0</v>
      </c>
      <c r="ET90" s="69">
        <f t="shared" si="606"/>
        <v>0</v>
      </c>
      <c r="EU90" s="11"/>
      <c r="EV90" s="12" t="e">
        <f t="shared" si="576"/>
        <v>#DIV/0!</v>
      </c>
      <c r="EW90" s="11"/>
      <c r="EX90" s="12" t="e">
        <f t="shared" si="577"/>
        <v>#DIV/0!</v>
      </c>
      <c r="EY90" s="13"/>
      <c r="EZ90" s="13"/>
      <c r="FA90" s="25"/>
      <c r="FB90" s="38"/>
      <c r="FC90" s="10"/>
      <c r="FD90" s="11"/>
      <c r="FE90" s="69">
        <f t="shared" si="607"/>
        <v>0</v>
      </c>
      <c r="FF90" s="69">
        <f t="shared" si="607"/>
        <v>0</v>
      </c>
      <c r="FG90" s="11"/>
      <c r="FH90" s="12" t="e">
        <f t="shared" si="578"/>
        <v>#DIV/0!</v>
      </c>
      <c r="FI90" s="11"/>
      <c r="FJ90" s="12" t="e">
        <f t="shared" si="579"/>
        <v>#DIV/0!</v>
      </c>
      <c r="FK90" s="13"/>
      <c r="FL90" s="13"/>
      <c r="FM90" s="25"/>
      <c r="FN90" s="38"/>
      <c r="FO90" s="10"/>
      <c r="FP90" s="11"/>
      <c r="FQ90" s="69">
        <f t="shared" si="608"/>
        <v>0</v>
      </c>
      <c r="FR90" s="69">
        <f t="shared" si="608"/>
        <v>0</v>
      </c>
      <c r="FS90" s="11"/>
      <c r="FT90" s="12" t="e">
        <f t="shared" si="580"/>
        <v>#DIV/0!</v>
      </c>
      <c r="FU90" s="11"/>
      <c r="FV90" s="12" t="e">
        <f t="shared" si="581"/>
        <v>#DIV/0!</v>
      </c>
      <c r="FW90" s="13"/>
      <c r="FX90" s="13"/>
      <c r="FY90" s="25"/>
      <c r="FZ90" s="38"/>
      <c r="GA90" s="10"/>
      <c r="GB90" s="11"/>
      <c r="GC90" s="69">
        <f t="shared" si="609"/>
        <v>0</v>
      </c>
      <c r="GD90" s="69">
        <f t="shared" si="609"/>
        <v>0</v>
      </c>
      <c r="GE90" s="11"/>
      <c r="GF90" s="12" t="e">
        <f t="shared" si="582"/>
        <v>#DIV/0!</v>
      </c>
      <c r="GG90" s="11"/>
      <c r="GH90" s="12" t="e">
        <f t="shared" si="583"/>
        <v>#DIV/0!</v>
      </c>
      <c r="GI90" s="13"/>
      <c r="GJ90" s="13"/>
      <c r="GK90" s="25"/>
      <c r="GL90" s="38"/>
      <c r="GM90" s="10"/>
      <c r="GN90" s="11"/>
      <c r="GO90" s="69">
        <f t="shared" si="610"/>
        <v>0</v>
      </c>
      <c r="GP90" s="69">
        <f t="shared" si="610"/>
        <v>0</v>
      </c>
      <c r="GQ90" s="11"/>
      <c r="GR90" s="12" t="e">
        <f t="shared" si="584"/>
        <v>#DIV/0!</v>
      </c>
      <c r="GS90" s="11"/>
      <c r="GT90" s="12" t="e">
        <f t="shared" si="585"/>
        <v>#DIV/0!</v>
      </c>
      <c r="GU90" s="13"/>
      <c r="GV90" s="13"/>
      <c r="GW90" s="25"/>
      <c r="GX90" s="38"/>
      <c r="GY90" s="10"/>
      <c r="GZ90" s="11"/>
      <c r="HA90" s="69">
        <f t="shared" si="611"/>
        <v>0</v>
      </c>
      <c r="HB90" s="69">
        <f t="shared" si="611"/>
        <v>0</v>
      </c>
      <c r="HC90" s="11"/>
      <c r="HD90" s="12" t="e">
        <f t="shared" si="586"/>
        <v>#DIV/0!</v>
      </c>
      <c r="HE90" s="11"/>
      <c r="HF90" s="12" t="e">
        <f t="shared" si="587"/>
        <v>#DIV/0!</v>
      </c>
      <c r="HG90" s="13"/>
      <c r="HH90" s="13"/>
      <c r="HI90" s="25"/>
      <c r="HJ90" s="38"/>
      <c r="HK90" s="10">
        <f t="shared" si="588"/>
        <v>2</v>
      </c>
      <c r="HL90" s="11">
        <f t="shared" si="588"/>
        <v>0</v>
      </c>
      <c r="HM90" s="11">
        <f t="shared" si="588"/>
        <v>3635</v>
      </c>
      <c r="HN90" s="11">
        <f t="shared" si="588"/>
        <v>322</v>
      </c>
      <c r="HO90" s="11">
        <f t="shared" si="589"/>
        <v>2088</v>
      </c>
      <c r="HP90" s="95">
        <f t="shared" si="590"/>
        <v>0.57441540577716643</v>
      </c>
      <c r="HQ90" s="15">
        <f t="shared" si="591"/>
        <v>69</v>
      </c>
      <c r="HR90" s="12">
        <f t="shared" si="612"/>
        <v>3.3045977011494254E-2</v>
      </c>
      <c r="HS90" s="16">
        <v>64.5</v>
      </c>
      <c r="HT90" s="17">
        <v>1911</v>
      </c>
      <c r="HU90" s="16">
        <f t="shared" si="592"/>
        <v>91.522988505747122</v>
      </c>
      <c r="HV90" s="23">
        <v>3945</v>
      </c>
      <c r="HW90" s="22">
        <v>4340</v>
      </c>
    </row>
    <row r="91" spans="1:231" ht="18.75" x14ac:dyDescent="0.25">
      <c r="A91" s="374"/>
      <c r="B91" s="41">
        <f t="shared" si="532"/>
        <v>45009</v>
      </c>
      <c r="C91" s="10"/>
      <c r="D91" s="11"/>
      <c r="E91" s="69">
        <f t="shared" si="593"/>
        <v>693</v>
      </c>
      <c r="F91" s="69">
        <f t="shared" si="593"/>
        <v>63</v>
      </c>
      <c r="G91" s="11">
        <v>383</v>
      </c>
      <c r="H91" s="12">
        <f t="shared" si="553"/>
        <v>0.56565656565656564</v>
      </c>
      <c r="I91" s="11">
        <v>9</v>
      </c>
      <c r="J91" s="12">
        <f t="shared" si="594"/>
        <v>2.2959183673469389E-2</v>
      </c>
      <c r="K91" s="13"/>
      <c r="L91" s="11"/>
      <c r="M91" s="25">
        <v>4410.79</v>
      </c>
      <c r="N91" s="38">
        <v>4134.29</v>
      </c>
      <c r="O91" s="10"/>
      <c r="P91" s="11"/>
      <c r="Q91" s="69">
        <f t="shared" si="595"/>
        <v>685</v>
      </c>
      <c r="R91" s="69">
        <f t="shared" si="595"/>
        <v>62</v>
      </c>
      <c r="S91" s="11">
        <v>396</v>
      </c>
      <c r="T91" s="12">
        <f t="shared" si="554"/>
        <v>0.59124087591240881</v>
      </c>
      <c r="U91" s="11">
        <v>9</v>
      </c>
      <c r="V91" s="12">
        <f t="shared" si="555"/>
        <v>2.2222222222222223E-2</v>
      </c>
      <c r="W91" s="13"/>
      <c r="X91" s="11"/>
      <c r="Y91" s="25">
        <v>4393.17</v>
      </c>
      <c r="Z91" s="38">
        <v>4471.33</v>
      </c>
      <c r="AA91" s="10"/>
      <c r="AB91" s="11"/>
      <c r="AC91" s="69">
        <f t="shared" si="596"/>
        <v>153</v>
      </c>
      <c r="AD91" s="69">
        <f t="shared" si="596"/>
        <v>10</v>
      </c>
      <c r="AE91" s="11">
        <v>75</v>
      </c>
      <c r="AF91" s="12">
        <f t="shared" si="556"/>
        <v>0.50980392156862742</v>
      </c>
      <c r="AG91" s="11">
        <v>3</v>
      </c>
      <c r="AH91" s="12">
        <f t="shared" si="557"/>
        <v>3.8461538461538464E-2</v>
      </c>
      <c r="AI91" s="13"/>
      <c r="AJ91" s="11"/>
      <c r="AK91" s="25">
        <v>4335</v>
      </c>
      <c r="AL91" s="38">
        <v>4128</v>
      </c>
      <c r="AM91" s="10"/>
      <c r="AN91" s="11"/>
      <c r="AO91" s="69">
        <f t="shared" si="597"/>
        <v>700</v>
      </c>
      <c r="AP91" s="69">
        <f t="shared" si="597"/>
        <v>63</v>
      </c>
      <c r="AQ91" s="11">
        <v>375</v>
      </c>
      <c r="AR91" s="12">
        <f t="shared" si="558"/>
        <v>0.55571428571428572</v>
      </c>
      <c r="AS91" s="11">
        <v>14</v>
      </c>
      <c r="AT91" s="12">
        <f t="shared" si="559"/>
        <v>3.5989717223650387E-2</v>
      </c>
      <c r="AU91" s="13"/>
      <c r="AV91" s="11"/>
      <c r="AW91" s="25">
        <v>4270.53</v>
      </c>
      <c r="AX91" s="38">
        <v>4507.8599999999997</v>
      </c>
      <c r="AY91" s="10"/>
      <c r="AZ91" s="11"/>
      <c r="BA91" s="69">
        <f t="shared" si="598"/>
        <v>705</v>
      </c>
      <c r="BB91" s="69">
        <f t="shared" si="598"/>
        <v>61</v>
      </c>
      <c r="BC91" s="11">
        <v>369</v>
      </c>
      <c r="BD91" s="12">
        <f t="shared" si="560"/>
        <v>0.54326241134751774</v>
      </c>
      <c r="BE91" s="11">
        <v>14</v>
      </c>
      <c r="BF91" s="12">
        <f t="shared" si="561"/>
        <v>3.6553524804177548E-2</v>
      </c>
      <c r="BG91" s="13"/>
      <c r="BH91" s="11"/>
      <c r="BI91" s="25">
        <v>4466.25</v>
      </c>
      <c r="BJ91" s="38">
        <v>4886.3599999999997</v>
      </c>
      <c r="BK91" s="10"/>
      <c r="BL91" s="11"/>
      <c r="BM91" s="69">
        <f t="shared" si="599"/>
        <v>699</v>
      </c>
      <c r="BN91" s="69">
        <f t="shared" si="599"/>
        <v>63</v>
      </c>
      <c r="BO91" s="11">
        <v>404</v>
      </c>
      <c r="BP91" s="12">
        <f t="shared" si="562"/>
        <v>0.59513590844062947</v>
      </c>
      <c r="BQ91" s="11">
        <v>12</v>
      </c>
      <c r="BR91" s="12">
        <f t="shared" si="563"/>
        <v>2.8846153846153848E-2</v>
      </c>
      <c r="BS91" s="13"/>
      <c r="BT91" s="11"/>
      <c r="BU91" s="25">
        <v>4515.95</v>
      </c>
      <c r="BV91" s="38">
        <v>4912.7299999999996</v>
      </c>
      <c r="BW91" s="10"/>
      <c r="BX91" s="11"/>
      <c r="BY91" s="69">
        <f t="shared" si="600"/>
        <v>0</v>
      </c>
      <c r="BZ91" s="69">
        <f t="shared" si="600"/>
        <v>0</v>
      </c>
      <c r="CA91" s="11"/>
      <c r="CB91" s="12" t="e">
        <f t="shared" si="564"/>
        <v>#DIV/0!</v>
      </c>
      <c r="CC91" s="11"/>
      <c r="CD91" s="12" t="e">
        <f t="shared" si="565"/>
        <v>#DIV/0!</v>
      </c>
      <c r="CE91" s="13"/>
      <c r="CF91" s="11"/>
      <c r="CG91" s="25"/>
      <c r="CH91" s="38"/>
      <c r="CI91" s="10"/>
      <c r="CJ91" s="11"/>
      <c r="CK91" s="69">
        <f t="shared" si="601"/>
        <v>0</v>
      </c>
      <c r="CL91" s="69">
        <f t="shared" si="601"/>
        <v>0</v>
      </c>
      <c r="CM91" s="11"/>
      <c r="CN91" s="12" t="e">
        <f t="shared" si="566"/>
        <v>#DIV/0!</v>
      </c>
      <c r="CO91" s="11"/>
      <c r="CP91" s="12" t="e">
        <f t="shared" si="567"/>
        <v>#DIV/0!</v>
      </c>
      <c r="CQ91" s="13"/>
      <c r="CR91" s="11"/>
      <c r="CS91" s="25"/>
      <c r="CT91" s="38"/>
      <c r="CU91" s="10"/>
      <c r="CV91" s="11"/>
      <c r="CW91" s="69">
        <f t="shared" si="602"/>
        <v>0</v>
      </c>
      <c r="CX91" s="69">
        <f t="shared" si="602"/>
        <v>0</v>
      </c>
      <c r="CY91" s="11"/>
      <c r="CZ91" s="12" t="e">
        <f t="shared" si="568"/>
        <v>#DIV/0!</v>
      </c>
      <c r="DA91" s="11"/>
      <c r="DB91" s="12" t="e">
        <f t="shared" si="569"/>
        <v>#DIV/0!</v>
      </c>
      <c r="DC91" s="13"/>
      <c r="DD91" s="11"/>
      <c r="DE91" s="25"/>
      <c r="DF91" s="38"/>
      <c r="DG91" s="10"/>
      <c r="DH91" s="11"/>
      <c r="DI91" s="69">
        <f t="shared" si="603"/>
        <v>0</v>
      </c>
      <c r="DJ91" s="69">
        <f t="shared" si="603"/>
        <v>0</v>
      </c>
      <c r="DK91" s="11"/>
      <c r="DL91" s="12" t="e">
        <f t="shared" si="570"/>
        <v>#DIV/0!</v>
      </c>
      <c r="DM91" s="11"/>
      <c r="DN91" s="12" t="e">
        <f t="shared" si="571"/>
        <v>#DIV/0!</v>
      </c>
      <c r="DO91" s="13"/>
      <c r="DP91" s="11"/>
      <c r="DQ91" s="25"/>
      <c r="DR91" s="38"/>
      <c r="DS91" s="10"/>
      <c r="DT91" s="11"/>
      <c r="DU91" s="69">
        <f t="shared" si="604"/>
        <v>0</v>
      </c>
      <c r="DV91" s="69">
        <f t="shared" si="604"/>
        <v>0</v>
      </c>
      <c r="DW91" s="11"/>
      <c r="DX91" s="12" t="e">
        <f t="shared" si="572"/>
        <v>#DIV/0!</v>
      </c>
      <c r="DY91" s="11"/>
      <c r="DZ91" s="12" t="e">
        <f t="shared" si="573"/>
        <v>#DIV/0!</v>
      </c>
      <c r="EA91" s="13"/>
      <c r="EB91" s="11"/>
      <c r="EC91" s="25"/>
      <c r="ED91" s="38"/>
      <c r="EE91" s="10"/>
      <c r="EF91" s="11"/>
      <c r="EG91" s="69">
        <f t="shared" si="605"/>
        <v>0</v>
      </c>
      <c r="EH91" s="69">
        <f t="shared" si="605"/>
        <v>0</v>
      </c>
      <c r="EI91" s="11"/>
      <c r="EJ91" s="12" t="e">
        <f t="shared" si="574"/>
        <v>#DIV/0!</v>
      </c>
      <c r="EK91" s="11"/>
      <c r="EL91" s="12" t="e">
        <f t="shared" si="575"/>
        <v>#DIV/0!</v>
      </c>
      <c r="EM91" s="13"/>
      <c r="EN91" s="11"/>
      <c r="EO91" s="25"/>
      <c r="EP91" s="38"/>
      <c r="EQ91" s="10"/>
      <c r="ER91" s="11"/>
      <c r="ES91" s="69">
        <f t="shared" si="606"/>
        <v>0</v>
      </c>
      <c r="ET91" s="69">
        <f t="shared" si="606"/>
        <v>0</v>
      </c>
      <c r="EU91" s="11"/>
      <c r="EV91" s="12" t="e">
        <f t="shared" si="576"/>
        <v>#DIV/0!</v>
      </c>
      <c r="EW91" s="11"/>
      <c r="EX91" s="12" t="e">
        <f t="shared" si="577"/>
        <v>#DIV/0!</v>
      </c>
      <c r="EY91" s="13"/>
      <c r="EZ91" s="11"/>
      <c r="FA91" s="25"/>
      <c r="FB91" s="38"/>
      <c r="FC91" s="10"/>
      <c r="FD91" s="11"/>
      <c r="FE91" s="69">
        <f t="shared" si="607"/>
        <v>0</v>
      </c>
      <c r="FF91" s="69">
        <f t="shared" si="607"/>
        <v>0</v>
      </c>
      <c r="FG91" s="11"/>
      <c r="FH91" s="12" t="e">
        <f t="shared" si="578"/>
        <v>#DIV/0!</v>
      </c>
      <c r="FI91" s="11"/>
      <c r="FJ91" s="12" t="e">
        <f t="shared" si="579"/>
        <v>#DIV/0!</v>
      </c>
      <c r="FK91" s="13"/>
      <c r="FL91" s="11"/>
      <c r="FM91" s="25"/>
      <c r="FN91" s="38"/>
      <c r="FO91" s="10"/>
      <c r="FP91" s="11"/>
      <c r="FQ91" s="69">
        <f t="shared" si="608"/>
        <v>0</v>
      </c>
      <c r="FR91" s="69">
        <f t="shared" si="608"/>
        <v>0</v>
      </c>
      <c r="FS91" s="11"/>
      <c r="FT91" s="12" t="e">
        <f t="shared" si="580"/>
        <v>#DIV/0!</v>
      </c>
      <c r="FU91" s="11"/>
      <c r="FV91" s="12" t="e">
        <f t="shared" si="581"/>
        <v>#DIV/0!</v>
      </c>
      <c r="FW91" s="13"/>
      <c r="FX91" s="11"/>
      <c r="FY91" s="25"/>
      <c r="FZ91" s="38"/>
      <c r="GA91" s="10"/>
      <c r="GB91" s="11"/>
      <c r="GC91" s="69">
        <f t="shared" si="609"/>
        <v>0</v>
      </c>
      <c r="GD91" s="69">
        <f t="shared" si="609"/>
        <v>0</v>
      </c>
      <c r="GE91" s="11"/>
      <c r="GF91" s="12" t="e">
        <f t="shared" si="582"/>
        <v>#DIV/0!</v>
      </c>
      <c r="GG91" s="11"/>
      <c r="GH91" s="12" t="e">
        <f t="shared" si="583"/>
        <v>#DIV/0!</v>
      </c>
      <c r="GI91" s="13"/>
      <c r="GJ91" s="11"/>
      <c r="GK91" s="25"/>
      <c r="GL91" s="38"/>
      <c r="GM91" s="10"/>
      <c r="GN91" s="11"/>
      <c r="GO91" s="69">
        <f t="shared" si="610"/>
        <v>0</v>
      </c>
      <c r="GP91" s="69">
        <f t="shared" si="610"/>
        <v>0</v>
      </c>
      <c r="GQ91" s="11"/>
      <c r="GR91" s="12" t="e">
        <f t="shared" si="584"/>
        <v>#DIV/0!</v>
      </c>
      <c r="GS91" s="11"/>
      <c r="GT91" s="12" t="e">
        <f t="shared" si="585"/>
        <v>#DIV/0!</v>
      </c>
      <c r="GU91" s="13"/>
      <c r="GV91" s="11"/>
      <c r="GW91" s="25"/>
      <c r="GX91" s="38"/>
      <c r="GY91" s="10"/>
      <c r="GZ91" s="11"/>
      <c r="HA91" s="69">
        <f t="shared" si="611"/>
        <v>0</v>
      </c>
      <c r="HB91" s="69">
        <f t="shared" si="611"/>
        <v>0</v>
      </c>
      <c r="HC91" s="11"/>
      <c r="HD91" s="12" t="e">
        <f t="shared" si="586"/>
        <v>#DIV/0!</v>
      </c>
      <c r="HE91" s="11"/>
      <c r="HF91" s="12" t="e">
        <f t="shared" si="587"/>
        <v>#DIV/0!</v>
      </c>
      <c r="HG91" s="13"/>
      <c r="HH91" s="11"/>
      <c r="HI91" s="25"/>
      <c r="HJ91" s="38"/>
      <c r="HK91" s="10">
        <f t="shared" si="588"/>
        <v>0</v>
      </c>
      <c r="HL91" s="11">
        <f t="shared" si="588"/>
        <v>0</v>
      </c>
      <c r="HM91" s="11">
        <f t="shared" si="588"/>
        <v>3635</v>
      </c>
      <c r="HN91" s="11">
        <f t="shared" si="588"/>
        <v>322</v>
      </c>
      <c r="HO91" s="11">
        <f t="shared" si="589"/>
        <v>2063</v>
      </c>
      <c r="HP91" s="95">
        <f t="shared" si="590"/>
        <v>0.56753782668500685</v>
      </c>
      <c r="HQ91" s="15">
        <f t="shared" si="591"/>
        <v>61</v>
      </c>
      <c r="HR91" s="12">
        <f t="shared" si="612"/>
        <v>2.9568589432864761E-2</v>
      </c>
      <c r="HS91" s="16">
        <v>64.599999999999994</v>
      </c>
      <c r="HT91" s="17">
        <v>1906</v>
      </c>
      <c r="HU91" s="16">
        <f t="shared" si="592"/>
        <v>92.389723703344643</v>
      </c>
      <c r="HV91" s="23">
        <v>4408.07</v>
      </c>
      <c r="HW91" s="22">
        <v>4521.29</v>
      </c>
    </row>
    <row r="92" spans="1:231" ht="18.75" x14ac:dyDescent="0.25">
      <c r="A92" s="374"/>
      <c r="B92" s="339">
        <f t="shared" si="532"/>
        <v>45010</v>
      </c>
      <c r="C92" s="10"/>
      <c r="D92" s="11"/>
      <c r="E92" s="69">
        <f>E91-C92</f>
        <v>693</v>
      </c>
      <c r="F92" s="69">
        <f t="shared" si="593"/>
        <v>63</v>
      </c>
      <c r="G92" s="11">
        <v>371</v>
      </c>
      <c r="H92" s="12">
        <f t="shared" si="553"/>
        <v>0.55266955266955264</v>
      </c>
      <c r="I92" s="11">
        <v>12</v>
      </c>
      <c r="J92" s="12">
        <f t="shared" si="594"/>
        <v>3.1331592689295036E-2</v>
      </c>
      <c r="K92" s="13"/>
      <c r="L92" s="11"/>
      <c r="M92" s="39">
        <v>76.3</v>
      </c>
      <c r="N92" s="43">
        <v>100</v>
      </c>
      <c r="O92" s="10"/>
      <c r="P92" s="11"/>
      <c r="Q92" s="69">
        <f t="shared" si="595"/>
        <v>685</v>
      </c>
      <c r="R92" s="69">
        <f t="shared" si="595"/>
        <v>62</v>
      </c>
      <c r="S92" s="11">
        <v>383</v>
      </c>
      <c r="T92" s="12">
        <f t="shared" si="554"/>
        <v>0.57518248175182485</v>
      </c>
      <c r="U92" s="11">
        <v>11</v>
      </c>
      <c r="V92" s="12">
        <f t="shared" si="555"/>
        <v>2.7918781725888325E-2</v>
      </c>
      <c r="W92" s="13"/>
      <c r="X92" s="11"/>
      <c r="Y92" s="39">
        <v>87.8</v>
      </c>
      <c r="Z92" s="43">
        <v>100</v>
      </c>
      <c r="AA92" s="10">
        <v>2</v>
      </c>
      <c r="AB92" s="11">
        <v>2</v>
      </c>
      <c r="AC92" s="69">
        <f t="shared" si="596"/>
        <v>151</v>
      </c>
      <c r="AD92" s="69">
        <f t="shared" si="596"/>
        <v>8</v>
      </c>
      <c r="AE92" s="11">
        <v>84</v>
      </c>
      <c r="AF92" s="12">
        <f t="shared" si="556"/>
        <v>0.58278145695364236</v>
      </c>
      <c r="AG92" s="11">
        <v>4</v>
      </c>
      <c r="AH92" s="12">
        <f t="shared" si="557"/>
        <v>4.5454545454545456E-2</v>
      </c>
      <c r="AI92" s="13"/>
      <c r="AJ92" s="11"/>
      <c r="AK92" s="39">
        <v>75</v>
      </c>
      <c r="AL92" s="43">
        <v>100</v>
      </c>
      <c r="AM92" s="10"/>
      <c r="AN92" s="11"/>
      <c r="AO92" s="69">
        <f t="shared" si="597"/>
        <v>700</v>
      </c>
      <c r="AP92" s="69">
        <f>AP91-AN92</f>
        <v>63</v>
      </c>
      <c r="AQ92" s="11">
        <v>386</v>
      </c>
      <c r="AR92" s="12">
        <f t="shared" si="558"/>
        <v>0.57571428571428573</v>
      </c>
      <c r="AS92" s="11">
        <v>17</v>
      </c>
      <c r="AT92" s="12">
        <f t="shared" si="559"/>
        <v>4.2183622828784122E-2</v>
      </c>
      <c r="AU92" s="13"/>
      <c r="AV92" s="11"/>
      <c r="AW92" s="39">
        <v>89.5</v>
      </c>
      <c r="AX92" s="43">
        <v>100</v>
      </c>
      <c r="AY92" s="10"/>
      <c r="AZ92" s="11"/>
      <c r="BA92" s="69">
        <f t="shared" si="598"/>
        <v>705</v>
      </c>
      <c r="BB92" s="69">
        <f>BB91-AZ92</f>
        <v>61</v>
      </c>
      <c r="BC92" s="11">
        <v>374</v>
      </c>
      <c r="BD92" s="12">
        <f t="shared" si="560"/>
        <v>0.55602836879432627</v>
      </c>
      <c r="BE92" s="11">
        <v>18</v>
      </c>
      <c r="BF92" s="12">
        <f t="shared" si="561"/>
        <v>4.5918367346938778E-2</v>
      </c>
      <c r="BG92" s="13"/>
      <c r="BH92" s="11"/>
      <c r="BI92" s="39">
        <v>82.5</v>
      </c>
      <c r="BJ92" s="43">
        <v>100</v>
      </c>
      <c r="BK92" s="10"/>
      <c r="BL92" s="11"/>
      <c r="BM92" s="69">
        <f t="shared" si="599"/>
        <v>699</v>
      </c>
      <c r="BN92" s="69">
        <f>BN91-BL92</f>
        <v>63</v>
      </c>
      <c r="BO92" s="11">
        <v>406</v>
      </c>
      <c r="BP92" s="12">
        <f t="shared" si="562"/>
        <v>0.59513590844062947</v>
      </c>
      <c r="BQ92" s="11">
        <v>10</v>
      </c>
      <c r="BR92" s="12">
        <f t="shared" si="563"/>
        <v>2.403846153846154E-2</v>
      </c>
      <c r="BS92" s="13"/>
      <c r="BT92" s="11"/>
      <c r="BU92" s="39">
        <v>86.49</v>
      </c>
      <c r="BV92" s="43">
        <v>100</v>
      </c>
      <c r="BW92" s="10"/>
      <c r="BX92" s="11"/>
      <c r="BY92" s="69">
        <f t="shared" si="600"/>
        <v>0</v>
      </c>
      <c r="BZ92" s="69">
        <f t="shared" si="600"/>
        <v>0</v>
      </c>
      <c r="CA92" s="11"/>
      <c r="CB92" s="12" t="e">
        <f t="shared" si="564"/>
        <v>#DIV/0!</v>
      </c>
      <c r="CC92" s="11"/>
      <c r="CD92" s="12" t="e">
        <f t="shared" si="565"/>
        <v>#DIV/0!</v>
      </c>
      <c r="CE92" s="13"/>
      <c r="CF92" s="11"/>
      <c r="CG92" s="39"/>
      <c r="CH92" s="43"/>
      <c r="CI92" s="10"/>
      <c r="CJ92" s="11"/>
      <c r="CK92" s="69">
        <f t="shared" si="601"/>
        <v>0</v>
      </c>
      <c r="CL92" s="69">
        <f t="shared" si="601"/>
        <v>0</v>
      </c>
      <c r="CM92" s="11"/>
      <c r="CN92" s="12" t="e">
        <f t="shared" si="566"/>
        <v>#DIV/0!</v>
      </c>
      <c r="CO92" s="11"/>
      <c r="CP92" s="12" t="e">
        <f t="shared" si="567"/>
        <v>#DIV/0!</v>
      </c>
      <c r="CQ92" s="13"/>
      <c r="CR92" s="11"/>
      <c r="CS92" s="39"/>
      <c r="CT92" s="43"/>
      <c r="CU92" s="10"/>
      <c r="CV92" s="11"/>
      <c r="CW92" s="69">
        <f t="shared" si="602"/>
        <v>0</v>
      </c>
      <c r="CX92" s="69">
        <f t="shared" si="602"/>
        <v>0</v>
      </c>
      <c r="CY92" s="11"/>
      <c r="CZ92" s="12" t="e">
        <f t="shared" si="568"/>
        <v>#DIV/0!</v>
      </c>
      <c r="DA92" s="11"/>
      <c r="DB92" s="12" t="e">
        <f t="shared" si="569"/>
        <v>#DIV/0!</v>
      </c>
      <c r="DC92" s="13"/>
      <c r="DD92" s="11"/>
      <c r="DE92" s="39"/>
      <c r="DF92" s="43"/>
      <c r="DG92" s="10"/>
      <c r="DH92" s="11"/>
      <c r="DI92" s="69">
        <f t="shared" si="603"/>
        <v>0</v>
      </c>
      <c r="DJ92" s="69">
        <f t="shared" si="603"/>
        <v>0</v>
      </c>
      <c r="DK92" s="11"/>
      <c r="DL92" s="12" t="e">
        <f t="shared" si="570"/>
        <v>#DIV/0!</v>
      </c>
      <c r="DM92" s="11"/>
      <c r="DN92" s="12" t="e">
        <f t="shared" si="571"/>
        <v>#DIV/0!</v>
      </c>
      <c r="DO92" s="13"/>
      <c r="DP92" s="11"/>
      <c r="DQ92" s="39"/>
      <c r="DR92" s="43"/>
      <c r="DS92" s="10"/>
      <c r="DT92" s="11"/>
      <c r="DU92" s="69">
        <f t="shared" si="604"/>
        <v>0</v>
      </c>
      <c r="DV92" s="69">
        <f t="shared" si="604"/>
        <v>0</v>
      </c>
      <c r="DW92" s="11"/>
      <c r="DX92" s="12" t="e">
        <f t="shared" si="572"/>
        <v>#DIV/0!</v>
      </c>
      <c r="DY92" s="11"/>
      <c r="DZ92" s="12" t="e">
        <f t="shared" si="573"/>
        <v>#DIV/0!</v>
      </c>
      <c r="EA92" s="13"/>
      <c r="EB92" s="11"/>
      <c r="EC92" s="39"/>
      <c r="ED92" s="43"/>
      <c r="EE92" s="10"/>
      <c r="EF92" s="11"/>
      <c r="EG92" s="69">
        <f t="shared" si="605"/>
        <v>0</v>
      </c>
      <c r="EH92" s="69">
        <f t="shared" si="605"/>
        <v>0</v>
      </c>
      <c r="EI92" s="11"/>
      <c r="EJ92" s="12" t="e">
        <f t="shared" si="574"/>
        <v>#DIV/0!</v>
      </c>
      <c r="EK92" s="11"/>
      <c r="EL92" s="12" t="e">
        <f t="shared" si="575"/>
        <v>#DIV/0!</v>
      </c>
      <c r="EM92" s="13"/>
      <c r="EN92" s="11"/>
      <c r="EO92" s="39"/>
      <c r="EP92" s="43"/>
      <c r="EQ92" s="10"/>
      <c r="ER92" s="11"/>
      <c r="ES92" s="69">
        <f t="shared" si="606"/>
        <v>0</v>
      </c>
      <c r="ET92" s="69">
        <f t="shared" si="606"/>
        <v>0</v>
      </c>
      <c r="EU92" s="11"/>
      <c r="EV92" s="12" t="e">
        <f t="shared" si="576"/>
        <v>#DIV/0!</v>
      </c>
      <c r="EW92" s="11"/>
      <c r="EX92" s="12" t="e">
        <f t="shared" si="577"/>
        <v>#DIV/0!</v>
      </c>
      <c r="EY92" s="13"/>
      <c r="EZ92" s="11"/>
      <c r="FA92" s="39"/>
      <c r="FB92" s="43"/>
      <c r="FC92" s="10"/>
      <c r="FD92" s="11"/>
      <c r="FE92" s="69">
        <f t="shared" si="607"/>
        <v>0</v>
      </c>
      <c r="FF92" s="69">
        <f t="shared" si="607"/>
        <v>0</v>
      </c>
      <c r="FG92" s="11"/>
      <c r="FH92" s="12" t="e">
        <f t="shared" si="578"/>
        <v>#DIV/0!</v>
      </c>
      <c r="FI92" s="11"/>
      <c r="FJ92" s="12" t="e">
        <f t="shared" si="579"/>
        <v>#DIV/0!</v>
      </c>
      <c r="FK92" s="13"/>
      <c r="FL92" s="11"/>
      <c r="FM92" s="39"/>
      <c r="FN92" s="43"/>
      <c r="FO92" s="10"/>
      <c r="FP92" s="11"/>
      <c r="FQ92" s="69">
        <f t="shared" si="608"/>
        <v>0</v>
      </c>
      <c r="FR92" s="69">
        <f t="shared" si="608"/>
        <v>0</v>
      </c>
      <c r="FS92" s="11"/>
      <c r="FT92" s="12" t="e">
        <f t="shared" si="580"/>
        <v>#DIV/0!</v>
      </c>
      <c r="FU92" s="11"/>
      <c r="FV92" s="12" t="e">
        <f t="shared" si="581"/>
        <v>#DIV/0!</v>
      </c>
      <c r="FW92" s="13"/>
      <c r="FX92" s="11"/>
      <c r="FY92" s="39"/>
      <c r="FZ92" s="43"/>
      <c r="GA92" s="10"/>
      <c r="GB92" s="11"/>
      <c r="GC92" s="69">
        <f t="shared" si="609"/>
        <v>0</v>
      </c>
      <c r="GD92" s="69">
        <f t="shared" si="609"/>
        <v>0</v>
      </c>
      <c r="GE92" s="11"/>
      <c r="GF92" s="12" t="e">
        <f t="shared" si="582"/>
        <v>#DIV/0!</v>
      </c>
      <c r="GG92" s="11"/>
      <c r="GH92" s="12" t="e">
        <f t="shared" si="583"/>
        <v>#DIV/0!</v>
      </c>
      <c r="GI92" s="13"/>
      <c r="GJ92" s="11"/>
      <c r="GK92" s="39"/>
      <c r="GL92" s="43"/>
      <c r="GM92" s="10"/>
      <c r="GN92" s="11"/>
      <c r="GO92" s="69">
        <f t="shared" si="610"/>
        <v>0</v>
      </c>
      <c r="GP92" s="69">
        <f t="shared" si="610"/>
        <v>0</v>
      </c>
      <c r="GQ92" s="11"/>
      <c r="GR92" s="12" t="e">
        <f t="shared" si="584"/>
        <v>#DIV/0!</v>
      </c>
      <c r="GS92" s="11"/>
      <c r="GT92" s="12" t="e">
        <f t="shared" si="585"/>
        <v>#DIV/0!</v>
      </c>
      <c r="GU92" s="13"/>
      <c r="GV92" s="11"/>
      <c r="GW92" s="39"/>
      <c r="GX92" s="43"/>
      <c r="GY92" s="10"/>
      <c r="GZ92" s="11"/>
      <c r="HA92" s="69">
        <f t="shared" si="611"/>
        <v>0</v>
      </c>
      <c r="HB92" s="69">
        <f t="shared" si="611"/>
        <v>0</v>
      </c>
      <c r="HC92" s="11"/>
      <c r="HD92" s="12" t="e">
        <f t="shared" si="586"/>
        <v>#DIV/0!</v>
      </c>
      <c r="HE92" s="11"/>
      <c r="HF92" s="12" t="e">
        <f t="shared" si="587"/>
        <v>#DIV/0!</v>
      </c>
      <c r="HG92" s="13"/>
      <c r="HH92" s="11"/>
      <c r="HI92" s="39"/>
      <c r="HJ92" s="43"/>
      <c r="HK92" s="10">
        <f t="shared" si="588"/>
        <v>2</v>
      </c>
      <c r="HL92" s="11">
        <f t="shared" si="588"/>
        <v>2</v>
      </c>
      <c r="HM92" s="11">
        <f t="shared" si="588"/>
        <v>3633</v>
      </c>
      <c r="HN92" s="11">
        <f t="shared" si="588"/>
        <v>320</v>
      </c>
      <c r="HO92" s="11">
        <f t="shared" si="589"/>
        <v>2076</v>
      </c>
      <c r="HP92" s="95">
        <f t="shared" si="590"/>
        <v>0.5714285714285714</v>
      </c>
      <c r="HQ92" s="15">
        <f t="shared" si="591"/>
        <v>72</v>
      </c>
      <c r="HR92" s="12">
        <f t="shared" si="612"/>
        <v>3.4682080924855488E-2</v>
      </c>
      <c r="HS92" s="16">
        <v>65.5</v>
      </c>
      <c r="HT92" s="17">
        <v>1931</v>
      </c>
      <c r="HU92" s="16">
        <f t="shared" si="592"/>
        <v>93.015414258188827</v>
      </c>
      <c r="HV92" s="23">
        <v>79.7</v>
      </c>
      <c r="HW92" s="22">
        <v>78.569999999999993</v>
      </c>
    </row>
    <row r="93" spans="1:231" ht="19.5" thickBot="1" x14ac:dyDescent="0.3">
      <c r="A93" s="374"/>
      <c r="B93" s="42"/>
      <c r="C93" s="26">
        <f>SUM(C86:C92)</f>
        <v>0</v>
      </c>
      <c r="D93" s="27">
        <f>SUM(D86:D92)</f>
        <v>0</v>
      </c>
      <c r="E93" s="27"/>
      <c r="F93" s="27"/>
      <c r="G93" s="27">
        <f>SUM(G86:G92)</f>
        <v>2603</v>
      </c>
      <c r="H93" s="28">
        <f>((G93+I93)/7)/E92</f>
        <v>0.55266955266955264</v>
      </c>
      <c r="I93" s="27">
        <f>SUM(I86:I92)</f>
        <v>78</v>
      </c>
      <c r="J93" s="28">
        <f>(I93/(I93+G93))</f>
        <v>2.9093621782916822E-2</v>
      </c>
      <c r="K93" s="27"/>
      <c r="L93" s="27"/>
      <c r="M93" s="29">
        <f>M91/M90*100-100</f>
        <v>11.807097591888464</v>
      </c>
      <c r="N93" s="67">
        <f>N91/N90*100-100</f>
        <v>-4.7398617511520769</v>
      </c>
      <c r="O93" s="26">
        <f>SUM(O86:O92)</f>
        <v>2</v>
      </c>
      <c r="P93" s="27">
        <f>SUM(P86:P92)</f>
        <v>0</v>
      </c>
      <c r="Q93" s="27"/>
      <c r="R93" s="27"/>
      <c r="S93" s="27">
        <f>SUM(S86:S92)</f>
        <v>2738</v>
      </c>
      <c r="T93" s="28">
        <f>((S93+U93)/7)/Q92</f>
        <v>0.58852971845672575</v>
      </c>
      <c r="U93" s="27">
        <f>SUM(U86:U92)</f>
        <v>84</v>
      </c>
      <c r="V93" s="28">
        <f>(U93/(U93+S93))</f>
        <v>2.9766123316796598E-2</v>
      </c>
      <c r="W93" s="27"/>
      <c r="X93" s="27"/>
      <c r="Y93" s="29">
        <f>Y91/Y90*100-100</f>
        <v>11.360456273764257</v>
      </c>
      <c r="Z93" s="67">
        <f>Z91/Z90*100-100</f>
        <v>3.0260368663594477</v>
      </c>
      <c r="AA93" s="26">
        <f>SUM(AA86:AA92)</f>
        <v>8</v>
      </c>
      <c r="AB93" s="27">
        <f>SUM(AB86:AB92)</f>
        <v>2</v>
      </c>
      <c r="AC93" s="27"/>
      <c r="AD93" s="27"/>
      <c r="AE93" s="27">
        <f>SUM(AE86:AE92)</f>
        <v>600</v>
      </c>
      <c r="AF93" s="28">
        <f>((AE93+AG93)/7)/AC92</f>
        <v>0.58656575212866602</v>
      </c>
      <c r="AG93" s="27">
        <f>SUM(AG86:AG92)</f>
        <v>20</v>
      </c>
      <c r="AH93" s="28">
        <f>(AG93/(AG93+AE93))</f>
        <v>3.2258064516129031E-2</v>
      </c>
      <c r="AI93" s="27"/>
      <c r="AJ93" s="27"/>
      <c r="AK93" s="29">
        <f>AK91/AK90*100-100</f>
        <v>9.8859315589353542</v>
      </c>
      <c r="AL93" s="67">
        <f>AL91/AL90*100-100</f>
        <v>-4.8847926267281139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2656</v>
      </c>
      <c r="AR93" s="28">
        <f>((AQ93+AS93)/7)/AO92</f>
        <v>0.56653061224489798</v>
      </c>
      <c r="AS93" s="27">
        <f>SUM(AS86:AS92)</f>
        <v>120</v>
      </c>
      <c r="AT93" s="28">
        <f>(AS93/(AS93+AQ93))</f>
        <v>4.3227665706051875E-2</v>
      </c>
      <c r="AU93" s="27"/>
      <c r="AV93" s="27"/>
      <c r="AW93" s="29">
        <f>AW91/AW90*100-100</f>
        <v>8.2517110266159648</v>
      </c>
      <c r="AX93" s="67">
        <f>AX91/AX90*100-100</f>
        <v>3.8677419354838776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2596</v>
      </c>
      <c r="BD93" s="28">
        <f>((BC93+BE93)/7)/BA92</f>
        <v>0.55116514690982776</v>
      </c>
      <c r="BE93" s="27">
        <f>SUM(BE86:BE92)</f>
        <v>124</v>
      </c>
      <c r="BF93" s="28">
        <f>(BE93/(BE93+BC93))</f>
        <v>4.5588235294117645E-2</v>
      </c>
      <c r="BG93" s="27"/>
      <c r="BH93" s="27"/>
      <c r="BI93" s="29">
        <f>BI91/BI90*100-100</f>
        <v>13.212927756653997</v>
      </c>
      <c r="BJ93" s="67">
        <f>BJ91/BJ90*100-100</f>
        <v>12.588940092165885</v>
      </c>
      <c r="BK93" s="26">
        <f>SUM(BK86:BK92)</f>
        <v>2</v>
      </c>
      <c r="BL93" s="27">
        <f>SUM(BL86:BL92)</f>
        <v>0</v>
      </c>
      <c r="BM93" s="27"/>
      <c r="BN93" s="27"/>
      <c r="BO93" s="27">
        <f>SUM(BO86:BO92)</f>
        <v>2815</v>
      </c>
      <c r="BP93" s="28">
        <f>((BO93+BQ93)/7)/BM92</f>
        <v>0.59145718373186185</v>
      </c>
      <c r="BQ93" s="27">
        <f>SUM(BQ86:BQ92)</f>
        <v>79</v>
      </c>
      <c r="BR93" s="28">
        <f>(BQ93/(BQ93+BO93))</f>
        <v>2.7297857636489287E-2</v>
      </c>
      <c r="BS93" s="27"/>
      <c r="BT93" s="27"/>
      <c r="BU93" s="29">
        <f>BU91/BU90*100-100</f>
        <v>14.472750316856775</v>
      </c>
      <c r="BV93" s="67">
        <f>BV91/BV90*100-100</f>
        <v>13.196543778801839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7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7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7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7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7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7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7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7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7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7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7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7" t="e">
        <f>HJ91/HJ90*100-100</f>
        <v>#DIV/0!</v>
      </c>
      <c r="HK93" s="26">
        <f t="shared" si="588"/>
        <v>14</v>
      </c>
      <c r="HL93" s="27">
        <f t="shared" si="588"/>
        <v>2</v>
      </c>
      <c r="HM93" s="27">
        <f t="shared" si="588"/>
        <v>0</v>
      </c>
      <c r="HN93" s="27">
        <f t="shared" si="588"/>
        <v>0</v>
      </c>
      <c r="HO93" s="27">
        <f t="shared" si="589"/>
        <v>14513</v>
      </c>
      <c r="HP93" s="96">
        <f>+((HO93)/HM92)/7</f>
        <v>0.57068145177146001</v>
      </c>
      <c r="HQ93" s="62">
        <f t="shared" si="591"/>
        <v>505</v>
      </c>
      <c r="HR93" s="52">
        <f t="shared" si="612"/>
        <v>3.4796389443946807E-2</v>
      </c>
      <c r="HS93" s="53">
        <f>SUM(HS86:HS92)/7</f>
        <v>64.7</v>
      </c>
      <c r="HT93" s="54">
        <f>SUM(HT86:HT92)</f>
        <v>13363</v>
      </c>
      <c r="HU93" s="53">
        <f>AVERAGE(HU86:HU92)</f>
        <v>92.074051971938957</v>
      </c>
      <c r="HV93" s="63">
        <f>HV91/HV90*100-100</f>
        <v>11.738149556400487</v>
      </c>
      <c r="HW93" s="67">
        <f>HW91/HW90*100-100</f>
        <v>4.1771889400921509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3.838771593090211E-3</v>
      </c>
      <c r="HL94" s="66">
        <f>HL93/HN83</f>
        <v>6.2111801242236021E-3</v>
      </c>
      <c r="HM94" s="30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373">
        <v>35</v>
      </c>
      <c r="B95" s="68">
        <f>B92+1</f>
        <v>45011</v>
      </c>
      <c r="C95" s="33"/>
      <c r="D95" s="34"/>
      <c r="E95" s="69">
        <f>E92-C95</f>
        <v>693</v>
      </c>
      <c r="F95" s="34">
        <f>F92-D95</f>
        <v>63</v>
      </c>
      <c r="G95" s="34">
        <v>389</v>
      </c>
      <c r="H95" s="35">
        <v>0.57864357864357863</v>
      </c>
      <c r="I95" s="34">
        <v>12</v>
      </c>
      <c r="J95" s="12">
        <f t="shared" ref="J95:J101" si="613">I95/(G95+I95)</f>
        <v>2.9925187032418952E-2</v>
      </c>
      <c r="K95" s="36"/>
      <c r="L95" s="34"/>
      <c r="M95" s="34"/>
      <c r="N95" s="37"/>
      <c r="O95" s="33">
        <v>1</v>
      </c>
      <c r="P95" s="34"/>
      <c r="Q95" s="69">
        <f>Q92-O95</f>
        <v>684</v>
      </c>
      <c r="R95" s="34">
        <f>R92-P95</f>
        <v>62</v>
      </c>
      <c r="S95" s="34">
        <v>375</v>
      </c>
      <c r="T95" s="35">
        <v>0.58040935672514615</v>
      </c>
      <c r="U95" s="34">
        <v>22</v>
      </c>
      <c r="V95" s="12">
        <f t="shared" ref="V95:V101" si="614">U95/(S95+U95)</f>
        <v>5.5415617128463476E-2</v>
      </c>
      <c r="W95" s="36"/>
      <c r="X95" s="34"/>
      <c r="Y95" s="34"/>
      <c r="Z95" s="37"/>
      <c r="AA95" s="33"/>
      <c r="AB95" s="34"/>
      <c r="AC95" s="69">
        <f>AC92-AA95</f>
        <v>151</v>
      </c>
      <c r="AD95" s="34">
        <f>AD92-AB95</f>
        <v>8</v>
      </c>
      <c r="AE95" s="34">
        <v>83</v>
      </c>
      <c r="AF95" s="35">
        <v>0.58278145695364236</v>
      </c>
      <c r="AG95" s="34">
        <v>5</v>
      </c>
      <c r="AH95" s="12">
        <f t="shared" ref="AH95:AH101" si="615">AG95/(AE95+AG95)</f>
        <v>5.6818181818181816E-2</v>
      </c>
      <c r="AI95" s="36"/>
      <c r="AJ95" s="34"/>
      <c r="AK95" s="34"/>
      <c r="AL95" s="37"/>
      <c r="AM95" s="33"/>
      <c r="AN95" s="34"/>
      <c r="AO95" s="69">
        <f>AO92-AM95</f>
        <v>700</v>
      </c>
      <c r="AP95" s="34">
        <f>AP92-AN95</f>
        <v>63</v>
      </c>
      <c r="AQ95" s="34">
        <v>381</v>
      </c>
      <c r="AR95" s="35">
        <v>0.56999999999999995</v>
      </c>
      <c r="AS95" s="34">
        <v>18</v>
      </c>
      <c r="AT95" s="12">
        <f t="shared" ref="AT95:AT101" si="616">AS95/(AQ95+AS95)</f>
        <v>4.5112781954887216E-2</v>
      </c>
      <c r="AU95" s="36"/>
      <c r="AV95" s="34"/>
      <c r="AW95" s="34"/>
      <c r="AX95" s="37"/>
      <c r="AY95" s="33"/>
      <c r="AZ95" s="34"/>
      <c r="BA95" s="69">
        <f>BA92-AY95</f>
        <v>705</v>
      </c>
      <c r="BB95" s="34">
        <f>BB92-AZ95</f>
        <v>61</v>
      </c>
      <c r="BC95" s="34">
        <v>369</v>
      </c>
      <c r="BD95" s="35">
        <v>0.54184397163120568</v>
      </c>
      <c r="BE95" s="34">
        <v>13</v>
      </c>
      <c r="BF95" s="12">
        <f t="shared" ref="BF95:BF101" si="617">BE95/(BC95+BE95)</f>
        <v>3.4031413612565446E-2</v>
      </c>
      <c r="BG95" s="36"/>
      <c r="BH95" s="34"/>
      <c r="BI95" s="34"/>
      <c r="BJ95" s="37"/>
      <c r="BK95" s="33"/>
      <c r="BL95" s="34"/>
      <c r="BM95" s="69">
        <f>BM92-BK95</f>
        <v>699</v>
      </c>
      <c r="BN95" s="34">
        <f>BN92-BL95</f>
        <v>63</v>
      </c>
      <c r="BO95" s="34">
        <v>409</v>
      </c>
      <c r="BP95" s="35">
        <v>0.59084406294706726</v>
      </c>
      <c r="BQ95" s="34">
        <v>4</v>
      </c>
      <c r="BR95" s="12">
        <f t="shared" ref="BR95:BR101" si="618">BQ95/(BO95+BQ95)</f>
        <v>9.6852300242130755E-3</v>
      </c>
      <c r="BS95" s="36"/>
      <c r="BT95" s="34"/>
      <c r="BU95" s="34"/>
      <c r="BV95" s="37"/>
      <c r="BW95" s="33"/>
      <c r="BX95" s="34"/>
      <c r="BY95" s="34">
        <v>0</v>
      </c>
      <c r="BZ95" s="34">
        <v>0</v>
      </c>
      <c r="CA95" s="34"/>
      <c r="CB95" s="35" t="e">
        <v>#DIV/0!</v>
      </c>
      <c r="CC95" s="34"/>
      <c r="CD95" s="35" t="e">
        <v>#DIV/0!</v>
      </c>
      <c r="CE95" s="36"/>
      <c r="CF95" s="34"/>
      <c r="CG95" s="34"/>
      <c r="CH95" s="37"/>
      <c r="CI95" s="33"/>
      <c r="CJ95" s="34"/>
      <c r="CK95" s="34">
        <v>0</v>
      </c>
      <c r="CL95" s="34">
        <v>0</v>
      </c>
      <c r="CM95" s="34"/>
      <c r="CN95" s="35" t="e">
        <v>#DIV/0!</v>
      </c>
      <c r="CO95" s="34"/>
      <c r="CP95" s="35" t="e">
        <v>#DIV/0!</v>
      </c>
      <c r="CQ95" s="36"/>
      <c r="CR95" s="34"/>
      <c r="CS95" s="34"/>
      <c r="CT95" s="37"/>
      <c r="CU95" s="33"/>
      <c r="CV95" s="34"/>
      <c r="CW95" s="34">
        <v>0</v>
      </c>
      <c r="CX95" s="34">
        <v>0</v>
      </c>
      <c r="CY95" s="34"/>
      <c r="CZ95" s="35" t="e">
        <v>#DIV/0!</v>
      </c>
      <c r="DA95" s="34"/>
      <c r="DB95" s="35" t="e">
        <v>#DIV/0!</v>
      </c>
      <c r="DC95" s="36"/>
      <c r="DD95" s="34"/>
      <c r="DE95" s="34"/>
      <c r="DF95" s="37"/>
      <c r="DG95" s="33"/>
      <c r="DH95" s="34"/>
      <c r="DI95" s="34">
        <v>0</v>
      </c>
      <c r="DJ95" s="34">
        <v>0</v>
      </c>
      <c r="DK95" s="34"/>
      <c r="DL95" s="35" t="e">
        <v>#DIV/0!</v>
      </c>
      <c r="DM95" s="34"/>
      <c r="DN95" s="35" t="e">
        <v>#DIV/0!</v>
      </c>
      <c r="DO95" s="36"/>
      <c r="DP95" s="34"/>
      <c r="DQ95" s="34"/>
      <c r="DR95" s="37"/>
      <c r="DS95" s="33"/>
      <c r="DT95" s="34"/>
      <c r="DU95" s="34">
        <v>0</v>
      </c>
      <c r="DV95" s="34">
        <v>0</v>
      </c>
      <c r="DW95" s="34"/>
      <c r="DX95" s="35" t="e">
        <v>#DIV/0!</v>
      </c>
      <c r="DY95" s="34"/>
      <c r="DZ95" s="35" t="e">
        <v>#DIV/0!</v>
      </c>
      <c r="EA95" s="36"/>
      <c r="EB95" s="34"/>
      <c r="EC95" s="34"/>
      <c r="ED95" s="37"/>
      <c r="EE95" s="33"/>
      <c r="EF95" s="34"/>
      <c r="EG95" s="34">
        <v>0</v>
      </c>
      <c r="EH95" s="34">
        <v>0</v>
      </c>
      <c r="EI95" s="34"/>
      <c r="EJ95" s="35" t="e">
        <v>#DIV/0!</v>
      </c>
      <c r="EK95" s="34"/>
      <c r="EL95" s="35" t="e">
        <v>#DIV/0!</v>
      </c>
      <c r="EM95" s="36"/>
      <c r="EN95" s="34"/>
      <c r="EO95" s="34"/>
      <c r="EP95" s="37"/>
      <c r="EQ95" s="33"/>
      <c r="ER95" s="34"/>
      <c r="ES95" s="34">
        <v>0</v>
      </c>
      <c r="ET95" s="34">
        <v>0</v>
      </c>
      <c r="EU95" s="34"/>
      <c r="EV95" s="35" t="e">
        <v>#DIV/0!</v>
      </c>
      <c r="EW95" s="34"/>
      <c r="EX95" s="35" t="e">
        <v>#DIV/0!</v>
      </c>
      <c r="EY95" s="36"/>
      <c r="EZ95" s="34"/>
      <c r="FA95" s="34"/>
      <c r="FB95" s="37"/>
      <c r="FC95" s="33"/>
      <c r="FD95" s="34"/>
      <c r="FE95" s="34">
        <v>0</v>
      </c>
      <c r="FF95" s="34">
        <v>0</v>
      </c>
      <c r="FG95" s="34"/>
      <c r="FH95" s="35" t="e">
        <v>#DIV/0!</v>
      </c>
      <c r="FI95" s="34"/>
      <c r="FJ95" s="35" t="e">
        <v>#DIV/0!</v>
      </c>
      <c r="FK95" s="36"/>
      <c r="FL95" s="34"/>
      <c r="FM95" s="34"/>
      <c r="FN95" s="37"/>
      <c r="FO95" s="33"/>
      <c r="FP95" s="34"/>
      <c r="FQ95" s="34">
        <v>0</v>
      </c>
      <c r="FR95" s="34">
        <v>0</v>
      </c>
      <c r="FS95" s="34"/>
      <c r="FT95" s="35" t="e">
        <v>#DIV/0!</v>
      </c>
      <c r="FU95" s="34"/>
      <c r="FV95" s="35" t="e">
        <v>#DIV/0!</v>
      </c>
      <c r="FW95" s="36"/>
      <c r="FX95" s="34"/>
      <c r="FY95" s="34"/>
      <c r="FZ95" s="37"/>
      <c r="GA95" s="33"/>
      <c r="GB95" s="34"/>
      <c r="GC95" s="34">
        <v>0</v>
      </c>
      <c r="GD95" s="34">
        <v>0</v>
      </c>
      <c r="GE95" s="34"/>
      <c r="GF95" s="35" t="e">
        <v>#DIV/0!</v>
      </c>
      <c r="GG95" s="34"/>
      <c r="GH95" s="35" t="e">
        <v>#DIV/0!</v>
      </c>
      <c r="GI95" s="36"/>
      <c r="GJ95" s="34"/>
      <c r="GK95" s="34"/>
      <c r="GL95" s="37"/>
      <c r="GM95" s="33"/>
      <c r="GN95" s="34"/>
      <c r="GO95" s="34">
        <v>0</v>
      </c>
      <c r="GP95" s="34">
        <v>0</v>
      </c>
      <c r="GQ95" s="34"/>
      <c r="GR95" s="35" t="e">
        <v>#DIV/0!</v>
      </c>
      <c r="GS95" s="34"/>
      <c r="GT95" s="35" t="e">
        <v>#DIV/0!</v>
      </c>
      <c r="GU95" s="36"/>
      <c r="GV95" s="34"/>
      <c r="GW95" s="34"/>
      <c r="GX95" s="37"/>
      <c r="GY95" s="33"/>
      <c r="GZ95" s="34"/>
      <c r="HA95" s="34">
        <v>0</v>
      </c>
      <c r="HB95" s="34">
        <v>0</v>
      </c>
      <c r="HC95" s="34"/>
      <c r="HD95" s="35" t="e">
        <v>#DIV/0!</v>
      </c>
      <c r="HE95" s="34"/>
      <c r="HF95" s="35" t="e">
        <v>#DIV/0!</v>
      </c>
      <c r="HG95" s="36"/>
      <c r="HH95" s="34"/>
      <c r="HI95" s="34"/>
      <c r="HJ95" s="342"/>
      <c r="HK95" s="33">
        <f t="shared" si="588"/>
        <v>1</v>
      </c>
      <c r="HL95" s="34">
        <v>0</v>
      </c>
      <c r="HM95" s="34">
        <f t="shared" si="588"/>
        <v>3632</v>
      </c>
      <c r="HN95" s="34">
        <f t="shared" si="588"/>
        <v>320</v>
      </c>
      <c r="HO95" s="34">
        <f t="shared" si="589"/>
        <v>2080</v>
      </c>
      <c r="HP95" s="94">
        <f t="shared" ref="HP95:HP101" si="619">+(HO95)/HM95</f>
        <v>0.57268722466960353</v>
      </c>
      <c r="HQ95" s="48">
        <f t="shared" si="591"/>
        <v>74</v>
      </c>
      <c r="HR95" s="35">
        <f t="shared" si="612"/>
        <v>3.5576923076923075E-2</v>
      </c>
      <c r="HS95" s="49">
        <v>66</v>
      </c>
      <c r="HT95" s="50">
        <v>1929</v>
      </c>
      <c r="HU95" s="49">
        <f t="shared" ref="HU95:HU101" si="620">+HT95/HO95*100</f>
        <v>92.740384615384613</v>
      </c>
      <c r="HV95" s="48"/>
      <c r="HW95" s="37"/>
    </row>
    <row r="96" spans="1:231" ht="18.75" x14ac:dyDescent="0.25">
      <c r="A96" s="374"/>
      <c r="B96" s="41">
        <f t="shared" si="411"/>
        <v>45012</v>
      </c>
      <c r="C96" s="10"/>
      <c r="D96" s="11"/>
      <c r="E96" s="69">
        <f t="shared" ref="E96:F101" si="621">E95-C96</f>
        <v>693</v>
      </c>
      <c r="F96" s="69">
        <f t="shared" si="621"/>
        <v>63</v>
      </c>
      <c r="G96" s="11">
        <v>369</v>
      </c>
      <c r="H96" s="12">
        <v>0.55266955266955264</v>
      </c>
      <c r="I96" s="11">
        <v>14</v>
      </c>
      <c r="J96" s="12">
        <f t="shared" si="613"/>
        <v>3.6553524804177548E-2</v>
      </c>
      <c r="K96" s="13"/>
      <c r="L96" s="11"/>
      <c r="M96" s="11"/>
      <c r="N96" s="14"/>
      <c r="O96" s="10"/>
      <c r="P96" s="11"/>
      <c r="Q96" s="69">
        <f t="shared" ref="Q96:R101" si="622">Q95-O96</f>
        <v>684</v>
      </c>
      <c r="R96" s="69">
        <f t="shared" si="622"/>
        <v>62</v>
      </c>
      <c r="S96" s="11">
        <v>395</v>
      </c>
      <c r="T96" s="12">
        <v>0.60380116959064323</v>
      </c>
      <c r="U96" s="11">
        <v>18</v>
      </c>
      <c r="V96" s="12">
        <f t="shared" si="614"/>
        <v>4.3583535108958835E-2</v>
      </c>
      <c r="W96" s="13"/>
      <c r="X96" s="11"/>
      <c r="Y96" s="11"/>
      <c r="Z96" s="14"/>
      <c r="AA96" s="10"/>
      <c r="AB96" s="11"/>
      <c r="AC96" s="69">
        <f t="shared" ref="AC96:AD101" si="623">AC95-AA96</f>
        <v>151</v>
      </c>
      <c r="AD96" s="69">
        <f t="shared" si="623"/>
        <v>8</v>
      </c>
      <c r="AE96" s="11">
        <v>77</v>
      </c>
      <c r="AF96" s="12">
        <v>0.53642384105960261</v>
      </c>
      <c r="AG96" s="11">
        <v>4</v>
      </c>
      <c r="AH96" s="12">
        <f t="shared" si="615"/>
        <v>4.9382716049382713E-2</v>
      </c>
      <c r="AI96" s="13"/>
      <c r="AJ96" s="11"/>
      <c r="AK96" s="11"/>
      <c r="AL96" s="14"/>
      <c r="AM96" s="10"/>
      <c r="AN96" s="11"/>
      <c r="AO96" s="69">
        <f t="shared" ref="AO96:AP101" si="624">AO95-AM96</f>
        <v>700</v>
      </c>
      <c r="AP96" s="69">
        <f t="shared" si="624"/>
        <v>63</v>
      </c>
      <c r="AQ96" s="11">
        <v>371</v>
      </c>
      <c r="AR96" s="12">
        <v>0.54714285714285715</v>
      </c>
      <c r="AS96" s="11">
        <v>12</v>
      </c>
      <c r="AT96" s="12">
        <f t="shared" si="616"/>
        <v>3.1331592689295036E-2</v>
      </c>
      <c r="AU96" s="13"/>
      <c r="AV96" s="11"/>
      <c r="AW96" s="11"/>
      <c r="AX96" s="14"/>
      <c r="AY96" s="10">
        <v>1</v>
      </c>
      <c r="AZ96" s="11"/>
      <c r="BA96" s="69">
        <f t="shared" ref="BA96:BB101" si="625">BA95-AY96</f>
        <v>704</v>
      </c>
      <c r="BB96" s="69">
        <f t="shared" si="625"/>
        <v>61</v>
      </c>
      <c r="BC96" s="11">
        <v>365</v>
      </c>
      <c r="BD96" s="12">
        <v>0.53693181818181823</v>
      </c>
      <c r="BE96" s="11">
        <v>13</v>
      </c>
      <c r="BF96" s="12">
        <f t="shared" si="617"/>
        <v>3.439153439153439E-2</v>
      </c>
      <c r="BG96" s="13"/>
      <c r="BH96" s="11"/>
      <c r="BI96" s="11"/>
      <c r="BJ96" s="14"/>
      <c r="BK96" s="10"/>
      <c r="BL96" s="11"/>
      <c r="BM96" s="69">
        <f t="shared" ref="BM96:BN101" si="626">BM95-BK96</f>
        <v>699</v>
      </c>
      <c r="BN96" s="69">
        <f t="shared" si="626"/>
        <v>63</v>
      </c>
      <c r="BO96" s="11">
        <v>396</v>
      </c>
      <c r="BP96" s="12">
        <v>0.57796852646638053</v>
      </c>
      <c r="BQ96" s="11">
        <v>8</v>
      </c>
      <c r="BR96" s="12">
        <f t="shared" si="618"/>
        <v>1.9801980198019802E-2</v>
      </c>
      <c r="BS96" s="13"/>
      <c r="BT96" s="11"/>
      <c r="BU96" s="11"/>
      <c r="BV96" s="14"/>
      <c r="BW96" s="10"/>
      <c r="BX96" s="11"/>
      <c r="BY96" s="69">
        <v>0</v>
      </c>
      <c r="BZ96" s="69">
        <v>0</v>
      </c>
      <c r="CA96" s="11"/>
      <c r="CB96" s="12" t="e">
        <v>#DIV/0!</v>
      </c>
      <c r="CC96" s="11"/>
      <c r="CD96" s="12" t="e">
        <v>#DIV/0!</v>
      </c>
      <c r="CE96" s="13"/>
      <c r="CF96" s="11"/>
      <c r="CG96" s="11"/>
      <c r="CH96" s="14"/>
      <c r="CI96" s="10"/>
      <c r="CJ96" s="11"/>
      <c r="CK96" s="69">
        <v>0</v>
      </c>
      <c r="CL96" s="69">
        <v>0</v>
      </c>
      <c r="CM96" s="11"/>
      <c r="CN96" s="12" t="e">
        <v>#DIV/0!</v>
      </c>
      <c r="CO96" s="11"/>
      <c r="CP96" s="12" t="e">
        <v>#DIV/0!</v>
      </c>
      <c r="CQ96" s="13"/>
      <c r="CR96" s="11"/>
      <c r="CS96" s="11"/>
      <c r="CT96" s="14"/>
      <c r="CU96" s="10"/>
      <c r="CV96" s="11"/>
      <c r="CW96" s="69">
        <v>0</v>
      </c>
      <c r="CX96" s="69">
        <v>0</v>
      </c>
      <c r="CY96" s="11"/>
      <c r="CZ96" s="12" t="e">
        <v>#DIV/0!</v>
      </c>
      <c r="DA96" s="11"/>
      <c r="DB96" s="12" t="e">
        <v>#DIV/0!</v>
      </c>
      <c r="DC96" s="13"/>
      <c r="DD96" s="11"/>
      <c r="DE96" s="11"/>
      <c r="DF96" s="14"/>
      <c r="DG96" s="10"/>
      <c r="DH96" s="11"/>
      <c r="DI96" s="69">
        <v>0</v>
      </c>
      <c r="DJ96" s="69">
        <v>0</v>
      </c>
      <c r="DK96" s="11"/>
      <c r="DL96" s="12" t="e">
        <v>#DIV/0!</v>
      </c>
      <c r="DM96" s="11"/>
      <c r="DN96" s="12" t="e">
        <v>#DIV/0!</v>
      </c>
      <c r="DO96" s="13"/>
      <c r="DP96" s="11"/>
      <c r="DQ96" s="11"/>
      <c r="DR96" s="14"/>
      <c r="DS96" s="10"/>
      <c r="DT96" s="11"/>
      <c r="DU96" s="69">
        <v>0</v>
      </c>
      <c r="DV96" s="69">
        <v>0</v>
      </c>
      <c r="DW96" s="11"/>
      <c r="DX96" s="12" t="e">
        <v>#DIV/0!</v>
      </c>
      <c r="DY96" s="11"/>
      <c r="DZ96" s="12" t="e">
        <v>#DIV/0!</v>
      </c>
      <c r="EA96" s="13"/>
      <c r="EB96" s="11"/>
      <c r="EC96" s="11"/>
      <c r="ED96" s="14"/>
      <c r="EE96" s="10"/>
      <c r="EF96" s="11"/>
      <c r="EG96" s="69">
        <v>0</v>
      </c>
      <c r="EH96" s="69">
        <v>0</v>
      </c>
      <c r="EI96" s="11"/>
      <c r="EJ96" s="12" t="e">
        <v>#DIV/0!</v>
      </c>
      <c r="EK96" s="11"/>
      <c r="EL96" s="12" t="e">
        <v>#DIV/0!</v>
      </c>
      <c r="EM96" s="13"/>
      <c r="EN96" s="11"/>
      <c r="EO96" s="11"/>
      <c r="EP96" s="14"/>
      <c r="EQ96" s="10"/>
      <c r="ER96" s="11"/>
      <c r="ES96" s="69">
        <v>0</v>
      </c>
      <c r="ET96" s="69">
        <v>0</v>
      </c>
      <c r="EU96" s="11"/>
      <c r="EV96" s="12" t="e">
        <v>#DIV/0!</v>
      </c>
      <c r="EW96" s="11"/>
      <c r="EX96" s="12" t="e">
        <v>#DIV/0!</v>
      </c>
      <c r="EY96" s="13"/>
      <c r="EZ96" s="11"/>
      <c r="FA96" s="11"/>
      <c r="FB96" s="14"/>
      <c r="FC96" s="10"/>
      <c r="FD96" s="11"/>
      <c r="FE96" s="69">
        <v>0</v>
      </c>
      <c r="FF96" s="69">
        <v>0</v>
      </c>
      <c r="FG96" s="11"/>
      <c r="FH96" s="12" t="e">
        <v>#DIV/0!</v>
      </c>
      <c r="FI96" s="11"/>
      <c r="FJ96" s="12" t="e">
        <v>#DIV/0!</v>
      </c>
      <c r="FK96" s="13"/>
      <c r="FL96" s="11"/>
      <c r="FM96" s="11"/>
      <c r="FN96" s="14"/>
      <c r="FO96" s="10"/>
      <c r="FP96" s="11"/>
      <c r="FQ96" s="69">
        <v>0</v>
      </c>
      <c r="FR96" s="69">
        <v>0</v>
      </c>
      <c r="FS96" s="11"/>
      <c r="FT96" s="12" t="e">
        <v>#DIV/0!</v>
      </c>
      <c r="FU96" s="11"/>
      <c r="FV96" s="12" t="e">
        <v>#DIV/0!</v>
      </c>
      <c r="FW96" s="13"/>
      <c r="FX96" s="11"/>
      <c r="FY96" s="11"/>
      <c r="FZ96" s="14"/>
      <c r="GA96" s="10"/>
      <c r="GB96" s="11"/>
      <c r="GC96" s="69">
        <v>0</v>
      </c>
      <c r="GD96" s="69">
        <v>0</v>
      </c>
      <c r="GE96" s="11"/>
      <c r="GF96" s="12" t="e">
        <v>#DIV/0!</v>
      </c>
      <c r="GG96" s="11"/>
      <c r="GH96" s="12" t="e">
        <v>#DIV/0!</v>
      </c>
      <c r="GI96" s="13"/>
      <c r="GJ96" s="11"/>
      <c r="GK96" s="11"/>
      <c r="GL96" s="14"/>
      <c r="GM96" s="10"/>
      <c r="GN96" s="11"/>
      <c r="GO96" s="69">
        <v>0</v>
      </c>
      <c r="GP96" s="69">
        <v>0</v>
      </c>
      <c r="GQ96" s="11"/>
      <c r="GR96" s="12" t="e">
        <v>#DIV/0!</v>
      </c>
      <c r="GS96" s="11"/>
      <c r="GT96" s="12" t="e">
        <v>#DIV/0!</v>
      </c>
      <c r="GU96" s="13"/>
      <c r="GV96" s="11"/>
      <c r="GW96" s="11"/>
      <c r="GX96" s="14"/>
      <c r="GY96" s="10"/>
      <c r="GZ96" s="11"/>
      <c r="HA96" s="69">
        <v>0</v>
      </c>
      <c r="HB96" s="69">
        <v>0</v>
      </c>
      <c r="HC96" s="11"/>
      <c r="HD96" s="12" t="e">
        <v>#DIV/0!</v>
      </c>
      <c r="HE96" s="11"/>
      <c r="HF96" s="12" t="e">
        <v>#DIV/0!</v>
      </c>
      <c r="HG96" s="13"/>
      <c r="HH96" s="11"/>
      <c r="HI96" s="11"/>
      <c r="HJ96" s="343"/>
      <c r="HK96" s="10">
        <f t="shared" si="588"/>
        <v>1</v>
      </c>
      <c r="HL96" s="11">
        <v>0</v>
      </c>
      <c r="HM96" s="11">
        <f t="shared" si="588"/>
        <v>3631</v>
      </c>
      <c r="HN96" s="11">
        <f t="shared" si="588"/>
        <v>320</v>
      </c>
      <c r="HO96" s="11">
        <f t="shared" si="589"/>
        <v>2042</v>
      </c>
      <c r="HP96" s="95">
        <f t="shared" si="619"/>
        <v>0.56237950977692097</v>
      </c>
      <c r="HQ96" s="15">
        <f t="shared" si="591"/>
        <v>69</v>
      </c>
      <c r="HR96" s="12">
        <f t="shared" si="612"/>
        <v>3.3790401567091087E-2</v>
      </c>
      <c r="HS96" s="16">
        <v>66.2</v>
      </c>
      <c r="HT96" s="17">
        <v>1899</v>
      </c>
      <c r="HU96" s="16">
        <f t="shared" si="620"/>
        <v>92.997061704211561</v>
      </c>
      <c r="HV96" s="15"/>
      <c r="HW96" s="14"/>
    </row>
    <row r="97" spans="1:231" ht="18.75" x14ac:dyDescent="0.25">
      <c r="A97" s="374"/>
      <c r="B97" s="41">
        <f t="shared" si="411"/>
        <v>45013</v>
      </c>
      <c r="C97" s="10">
        <v>1</v>
      </c>
      <c r="D97" s="11"/>
      <c r="E97" s="69">
        <f t="shared" si="621"/>
        <v>692</v>
      </c>
      <c r="F97" s="69">
        <f t="shared" si="621"/>
        <v>63</v>
      </c>
      <c r="G97" s="11">
        <v>370</v>
      </c>
      <c r="H97" s="12">
        <v>0.55057803468208089</v>
      </c>
      <c r="I97" s="11">
        <v>11</v>
      </c>
      <c r="J97" s="12">
        <f t="shared" si="613"/>
        <v>2.8871391076115485E-2</v>
      </c>
      <c r="K97" s="13"/>
      <c r="L97" s="11"/>
      <c r="M97" s="11"/>
      <c r="N97" s="14"/>
      <c r="O97" s="10"/>
      <c r="P97" s="11"/>
      <c r="Q97" s="69">
        <f t="shared" si="622"/>
        <v>684</v>
      </c>
      <c r="R97" s="69">
        <f t="shared" si="622"/>
        <v>62</v>
      </c>
      <c r="S97" s="11">
        <v>390</v>
      </c>
      <c r="T97" s="12">
        <v>0.59795321637426901</v>
      </c>
      <c r="U97" s="11">
        <v>19</v>
      </c>
      <c r="V97" s="12">
        <f t="shared" si="614"/>
        <v>4.6454767726161368E-2</v>
      </c>
      <c r="W97" s="13"/>
      <c r="X97" s="11"/>
      <c r="Y97" s="11"/>
      <c r="Z97" s="14"/>
      <c r="AA97" s="10">
        <v>3</v>
      </c>
      <c r="AB97" s="11"/>
      <c r="AC97" s="69">
        <f t="shared" si="623"/>
        <v>148</v>
      </c>
      <c r="AD97" s="69">
        <f t="shared" si="623"/>
        <v>8</v>
      </c>
      <c r="AE97" s="11">
        <v>79</v>
      </c>
      <c r="AF97" s="12">
        <v>0.55405405405405406</v>
      </c>
      <c r="AG97" s="11">
        <v>3</v>
      </c>
      <c r="AH97" s="12">
        <f t="shared" si="615"/>
        <v>3.6585365853658534E-2</v>
      </c>
      <c r="AI97" s="13"/>
      <c r="AJ97" s="11"/>
      <c r="AK97" s="11"/>
      <c r="AL97" s="14"/>
      <c r="AM97" s="10"/>
      <c r="AN97" s="11"/>
      <c r="AO97" s="69">
        <f t="shared" si="624"/>
        <v>700</v>
      </c>
      <c r="AP97" s="69">
        <f t="shared" si="624"/>
        <v>63</v>
      </c>
      <c r="AQ97" s="11">
        <v>369</v>
      </c>
      <c r="AR97" s="12">
        <v>0.5485714285714286</v>
      </c>
      <c r="AS97" s="11">
        <v>15</v>
      </c>
      <c r="AT97" s="12">
        <f t="shared" si="616"/>
        <v>3.90625E-2</v>
      </c>
      <c r="AU97" s="13"/>
      <c r="AV97" s="11"/>
      <c r="AW97" s="11"/>
      <c r="AX97" s="14"/>
      <c r="AY97" s="10"/>
      <c r="AZ97" s="11"/>
      <c r="BA97" s="69">
        <f t="shared" si="625"/>
        <v>704</v>
      </c>
      <c r="BB97" s="69">
        <f t="shared" si="625"/>
        <v>61</v>
      </c>
      <c r="BC97" s="11">
        <v>370</v>
      </c>
      <c r="BD97" s="12">
        <v>0.54829545454545459</v>
      </c>
      <c r="BE97" s="11">
        <v>16</v>
      </c>
      <c r="BF97" s="12">
        <f t="shared" si="617"/>
        <v>4.145077720207254E-2</v>
      </c>
      <c r="BG97" s="13"/>
      <c r="BH97" s="11"/>
      <c r="BI97" s="11"/>
      <c r="BJ97" s="14"/>
      <c r="BK97" s="10">
        <v>2</v>
      </c>
      <c r="BL97" s="11"/>
      <c r="BM97" s="69">
        <f t="shared" si="626"/>
        <v>697</v>
      </c>
      <c r="BN97" s="69">
        <f t="shared" si="626"/>
        <v>63</v>
      </c>
      <c r="BO97" s="11">
        <v>390</v>
      </c>
      <c r="BP97" s="12">
        <v>0.58536585365853655</v>
      </c>
      <c r="BQ97" s="11">
        <v>18</v>
      </c>
      <c r="BR97" s="12">
        <f t="shared" si="618"/>
        <v>4.4117647058823532E-2</v>
      </c>
      <c r="BS97" s="13"/>
      <c r="BT97" s="11"/>
      <c r="BU97" s="11"/>
      <c r="BV97" s="14"/>
      <c r="BW97" s="10"/>
      <c r="BX97" s="11"/>
      <c r="BY97" s="69">
        <v>0</v>
      </c>
      <c r="BZ97" s="69">
        <v>0</v>
      </c>
      <c r="CA97" s="11"/>
      <c r="CB97" s="12" t="e">
        <v>#DIV/0!</v>
      </c>
      <c r="CC97" s="11"/>
      <c r="CD97" s="12" t="e">
        <v>#DIV/0!</v>
      </c>
      <c r="CE97" s="13"/>
      <c r="CF97" s="11"/>
      <c r="CG97" s="11"/>
      <c r="CH97" s="14"/>
      <c r="CI97" s="10"/>
      <c r="CJ97" s="11"/>
      <c r="CK97" s="69">
        <v>0</v>
      </c>
      <c r="CL97" s="69">
        <v>0</v>
      </c>
      <c r="CM97" s="11"/>
      <c r="CN97" s="12" t="e">
        <v>#DIV/0!</v>
      </c>
      <c r="CO97" s="11"/>
      <c r="CP97" s="12" t="e">
        <v>#DIV/0!</v>
      </c>
      <c r="CQ97" s="13"/>
      <c r="CR97" s="11"/>
      <c r="CS97" s="11"/>
      <c r="CT97" s="14"/>
      <c r="CU97" s="10"/>
      <c r="CV97" s="11"/>
      <c r="CW97" s="69">
        <v>0</v>
      </c>
      <c r="CX97" s="69">
        <v>0</v>
      </c>
      <c r="CY97" s="11"/>
      <c r="CZ97" s="12" t="e">
        <v>#DIV/0!</v>
      </c>
      <c r="DA97" s="11"/>
      <c r="DB97" s="12" t="e">
        <v>#DIV/0!</v>
      </c>
      <c r="DC97" s="13"/>
      <c r="DD97" s="11"/>
      <c r="DE97" s="11"/>
      <c r="DF97" s="14"/>
      <c r="DG97" s="10"/>
      <c r="DH97" s="11"/>
      <c r="DI97" s="69">
        <v>0</v>
      </c>
      <c r="DJ97" s="69">
        <v>0</v>
      </c>
      <c r="DK97" s="11"/>
      <c r="DL97" s="12" t="e">
        <v>#DIV/0!</v>
      </c>
      <c r="DM97" s="11"/>
      <c r="DN97" s="12" t="e">
        <v>#DIV/0!</v>
      </c>
      <c r="DO97" s="13"/>
      <c r="DP97" s="11"/>
      <c r="DQ97" s="11"/>
      <c r="DR97" s="14"/>
      <c r="DS97" s="10"/>
      <c r="DT97" s="11"/>
      <c r="DU97" s="69">
        <v>0</v>
      </c>
      <c r="DV97" s="69">
        <v>0</v>
      </c>
      <c r="DW97" s="11"/>
      <c r="DX97" s="12" t="e">
        <v>#DIV/0!</v>
      </c>
      <c r="DY97" s="11"/>
      <c r="DZ97" s="12" t="e">
        <v>#DIV/0!</v>
      </c>
      <c r="EA97" s="13"/>
      <c r="EB97" s="11"/>
      <c r="EC97" s="11"/>
      <c r="ED97" s="14"/>
      <c r="EE97" s="10"/>
      <c r="EF97" s="11"/>
      <c r="EG97" s="69">
        <v>0</v>
      </c>
      <c r="EH97" s="69">
        <v>0</v>
      </c>
      <c r="EI97" s="11"/>
      <c r="EJ97" s="12" t="e">
        <v>#DIV/0!</v>
      </c>
      <c r="EK97" s="11"/>
      <c r="EL97" s="12" t="e">
        <v>#DIV/0!</v>
      </c>
      <c r="EM97" s="13"/>
      <c r="EN97" s="11"/>
      <c r="EO97" s="11"/>
      <c r="EP97" s="14"/>
      <c r="EQ97" s="10"/>
      <c r="ER97" s="11"/>
      <c r="ES97" s="69">
        <v>0</v>
      </c>
      <c r="ET97" s="69">
        <v>0</v>
      </c>
      <c r="EU97" s="11"/>
      <c r="EV97" s="12" t="e">
        <v>#DIV/0!</v>
      </c>
      <c r="EW97" s="11"/>
      <c r="EX97" s="12" t="e">
        <v>#DIV/0!</v>
      </c>
      <c r="EY97" s="13"/>
      <c r="EZ97" s="11"/>
      <c r="FA97" s="11"/>
      <c r="FB97" s="14"/>
      <c r="FC97" s="10"/>
      <c r="FD97" s="11"/>
      <c r="FE97" s="69">
        <v>0</v>
      </c>
      <c r="FF97" s="69">
        <v>0</v>
      </c>
      <c r="FG97" s="11"/>
      <c r="FH97" s="12" t="e">
        <v>#DIV/0!</v>
      </c>
      <c r="FI97" s="11"/>
      <c r="FJ97" s="12" t="e">
        <v>#DIV/0!</v>
      </c>
      <c r="FK97" s="13"/>
      <c r="FL97" s="11"/>
      <c r="FM97" s="11"/>
      <c r="FN97" s="14"/>
      <c r="FO97" s="10"/>
      <c r="FP97" s="11"/>
      <c r="FQ97" s="69">
        <v>0</v>
      </c>
      <c r="FR97" s="69">
        <v>0</v>
      </c>
      <c r="FS97" s="11"/>
      <c r="FT97" s="12" t="e">
        <v>#DIV/0!</v>
      </c>
      <c r="FU97" s="11"/>
      <c r="FV97" s="12" t="e">
        <v>#DIV/0!</v>
      </c>
      <c r="FW97" s="13"/>
      <c r="FX97" s="11"/>
      <c r="FY97" s="11"/>
      <c r="FZ97" s="14"/>
      <c r="GA97" s="10"/>
      <c r="GB97" s="11"/>
      <c r="GC97" s="69">
        <v>0</v>
      </c>
      <c r="GD97" s="69">
        <v>0</v>
      </c>
      <c r="GE97" s="11"/>
      <c r="GF97" s="12" t="e">
        <v>#DIV/0!</v>
      </c>
      <c r="GG97" s="11"/>
      <c r="GH97" s="12" t="e">
        <v>#DIV/0!</v>
      </c>
      <c r="GI97" s="13"/>
      <c r="GJ97" s="11"/>
      <c r="GK97" s="11"/>
      <c r="GL97" s="14"/>
      <c r="GM97" s="10"/>
      <c r="GN97" s="11"/>
      <c r="GO97" s="69">
        <v>0</v>
      </c>
      <c r="GP97" s="69">
        <v>0</v>
      </c>
      <c r="GQ97" s="11"/>
      <c r="GR97" s="12" t="e">
        <v>#DIV/0!</v>
      </c>
      <c r="GS97" s="11"/>
      <c r="GT97" s="12" t="e">
        <v>#DIV/0!</v>
      </c>
      <c r="GU97" s="13"/>
      <c r="GV97" s="11"/>
      <c r="GW97" s="11"/>
      <c r="GX97" s="14"/>
      <c r="GY97" s="10"/>
      <c r="GZ97" s="11"/>
      <c r="HA97" s="69">
        <v>0</v>
      </c>
      <c r="HB97" s="69">
        <v>0</v>
      </c>
      <c r="HC97" s="11"/>
      <c r="HD97" s="12" t="e">
        <v>#DIV/0!</v>
      </c>
      <c r="HE97" s="11"/>
      <c r="HF97" s="12" t="e">
        <v>#DIV/0!</v>
      </c>
      <c r="HG97" s="13"/>
      <c r="HH97" s="11"/>
      <c r="HI97" s="11"/>
      <c r="HJ97" s="343"/>
      <c r="HK97" s="10">
        <f t="shared" si="588"/>
        <v>6</v>
      </c>
      <c r="HL97" s="11">
        <v>0</v>
      </c>
      <c r="HM97" s="11">
        <f t="shared" si="588"/>
        <v>3625</v>
      </c>
      <c r="HN97" s="11">
        <f t="shared" si="588"/>
        <v>320</v>
      </c>
      <c r="HO97" s="11">
        <f t="shared" si="589"/>
        <v>2050</v>
      </c>
      <c r="HP97" s="95">
        <f t="shared" si="619"/>
        <v>0.56551724137931036</v>
      </c>
      <c r="HQ97" s="15">
        <f t="shared" si="591"/>
        <v>82</v>
      </c>
      <c r="HR97" s="12">
        <f t="shared" si="612"/>
        <v>0.04</v>
      </c>
      <c r="HS97" s="16">
        <v>66.400000000000006</v>
      </c>
      <c r="HT97" s="17">
        <v>1885</v>
      </c>
      <c r="HU97" s="16">
        <f t="shared" si="620"/>
        <v>91.951219512195124</v>
      </c>
      <c r="HV97" s="15"/>
      <c r="HW97" s="14"/>
    </row>
    <row r="98" spans="1:231" ht="18.75" x14ac:dyDescent="0.25">
      <c r="A98" s="374"/>
      <c r="B98" s="41">
        <f t="shared" si="411"/>
        <v>45014</v>
      </c>
      <c r="C98" s="10"/>
      <c r="D98" s="11"/>
      <c r="E98" s="69">
        <f t="shared" si="621"/>
        <v>692</v>
      </c>
      <c r="F98" s="69">
        <f t="shared" si="621"/>
        <v>63</v>
      </c>
      <c r="G98" s="11">
        <v>358</v>
      </c>
      <c r="H98" s="12">
        <v>0.52890173410404628</v>
      </c>
      <c r="I98" s="11">
        <v>8</v>
      </c>
      <c r="J98" s="12">
        <f t="shared" si="613"/>
        <v>2.185792349726776E-2</v>
      </c>
      <c r="K98" s="11"/>
      <c r="L98" s="11"/>
      <c r="M98" s="18"/>
      <c r="N98" s="20"/>
      <c r="O98" s="10"/>
      <c r="P98" s="11"/>
      <c r="Q98" s="69">
        <f t="shared" si="622"/>
        <v>684</v>
      </c>
      <c r="R98" s="69">
        <f t="shared" si="622"/>
        <v>62</v>
      </c>
      <c r="S98" s="11">
        <v>356</v>
      </c>
      <c r="T98" s="12">
        <v>0.53508771929824561</v>
      </c>
      <c r="U98" s="11">
        <v>10</v>
      </c>
      <c r="V98" s="12">
        <f t="shared" si="614"/>
        <v>2.7322404371584699E-2</v>
      </c>
      <c r="W98" s="11"/>
      <c r="X98" s="11"/>
      <c r="Y98" s="18"/>
      <c r="Z98" s="20"/>
      <c r="AA98" s="10"/>
      <c r="AB98" s="11"/>
      <c r="AC98" s="69">
        <f t="shared" si="623"/>
        <v>148</v>
      </c>
      <c r="AD98" s="69">
        <f t="shared" si="623"/>
        <v>8</v>
      </c>
      <c r="AE98" s="11">
        <v>87</v>
      </c>
      <c r="AF98" s="12">
        <v>0.61486486486486491</v>
      </c>
      <c r="AG98" s="11">
        <v>4</v>
      </c>
      <c r="AH98" s="12">
        <f t="shared" si="615"/>
        <v>4.3956043956043959E-2</v>
      </c>
      <c r="AI98" s="11"/>
      <c r="AJ98" s="11"/>
      <c r="AK98" s="18"/>
      <c r="AL98" s="20"/>
      <c r="AM98" s="10"/>
      <c r="AN98" s="11"/>
      <c r="AO98" s="69">
        <f t="shared" si="624"/>
        <v>700</v>
      </c>
      <c r="AP98" s="69">
        <f t="shared" si="624"/>
        <v>63</v>
      </c>
      <c r="AQ98" s="11">
        <v>376</v>
      </c>
      <c r="AR98" s="12">
        <v>0.55571428571428572</v>
      </c>
      <c r="AS98" s="11">
        <v>13</v>
      </c>
      <c r="AT98" s="12">
        <f t="shared" si="616"/>
        <v>3.3419023136246784E-2</v>
      </c>
      <c r="AU98" s="11"/>
      <c r="AV98" s="11"/>
      <c r="AW98" s="18"/>
      <c r="AX98" s="20"/>
      <c r="AY98" s="10"/>
      <c r="AZ98" s="11"/>
      <c r="BA98" s="69">
        <f t="shared" si="625"/>
        <v>704</v>
      </c>
      <c r="BB98" s="69">
        <f t="shared" si="625"/>
        <v>61</v>
      </c>
      <c r="BC98" s="11">
        <v>357</v>
      </c>
      <c r="BD98" s="12">
        <v>0.52130681818181823</v>
      </c>
      <c r="BE98" s="11">
        <v>10</v>
      </c>
      <c r="BF98" s="12">
        <f t="shared" si="617"/>
        <v>2.7247956403269755E-2</v>
      </c>
      <c r="BG98" s="11"/>
      <c r="BH98" s="11"/>
      <c r="BI98" s="18"/>
      <c r="BJ98" s="20"/>
      <c r="BK98" s="10"/>
      <c r="BL98" s="11"/>
      <c r="BM98" s="69">
        <f t="shared" si="626"/>
        <v>697</v>
      </c>
      <c r="BN98" s="69">
        <f t="shared" si="626"/>
        <v>63</v>
      </c>
      <c r="BO98" s="11">
        <v>394</v>
      </c>
      <c r="BP98" s="12">
        <v>0.57675753228120519</v>
      </c>
      <c r="BQ98" s="11">
        <v>8</v>
      </c>
      <c r="BR98" s="12">
        <f t="shared" si="618"/>
        <v>1.9900497512437811E-2</v>
      </c>
      <c r="BS98" s="11"/>
      <c r="BT98" s="11"/>
      <c r="BU98" s="18"/>
      <c r="BV98" s="20"/>
      <c r="BW98" s="10"/>
      <c r="BX98" s="11"/>
      <c r="BY98" s="69">
        <v>0</v>
      </c>
      <c r="BZ98" s="69">
        <v>0</v>
      </c>
      <c r="CA98" s="11"/>
      <c r="CB98" s="12" t="e">
        <v>#DIV/0!</v>
      </c>
      <c r="CC98" s="11"/>
      <c r="CD98" s="12" t="e">
        <v>#DIV/0!</v>
      </c>
      <c r="CE98" s="11"/>
      <c r="CF98" s="11"/>
      <c r="CG98" s="18"/>
      <c r="CH98" s="20"/>
      <c r="CI98" s="10"/>
      <c r="CJ98" s="11"/>
      <c r="CK98" s="69">
        <v>0</v>
      </c>
      <c r="CL98" s="69">
        <v>0</v>
      </c>
      <c r="CM98" s="11"/>
      <c r="CN98" s="12" t="e">
        <v>#DIV/0!</v>
      </c>
      <c r="CO98" s="11"/>
      <c r="CP98" s="12" t="e">
        <v>#DIV/0!</v>
      </c>
      <c r="CQ98" s="11"/>
      <c r="CR98" s="11"/>
      <c r="CS98" s="18"/>
      <c r="CT98" s="20"/>
      <c r="CU98" s="10"/>
      <c r="CV98" s="11"/>
      <c r="CW98" s="69">
        <v>0</v>
      </c>
      <c r="CX98" s="69">
        <v>0</v>
      </c>
      <c r="CY98" s="11"/>
      <c r="CZ98" s="12" t="e">
        <v>#DIV/0!</v>
      </c>
      <c r="DA98" s="11"/>
      <c r="DB98" s="12" t="e">
        <v>#DIV/0!</v>
      </c>
      <c r="DC98" s="11"/>
      <c r="DD98" s="11"/>
      <c r="DE98" s="18"/>
      <c r="DF98" s="20"/>
      <c r="DG98" s="10"/>
      <c r="DH98" s="11"/>
      <c r="DI98" s="69">
        <v>0</v>
      </c>
      <c r="DJ98" s="69">
        <v>0</v>
      </c>
      <c r="DK98" s="11"/>
      <c r="DL98" s="12" t="e">
        <v>#DIV/0!</v>
      </c>
      <c r="DM98" s="11"/>
      <c r="DN98" s="12" t="e">
        <v>#DIV/0!</v>
      </c>
      <c r="DO98" s="11"/>
      <c r="DP98" s="11"/>
      <c r="DQ98" s="18"/>
      <c r="DR98" s="20"/>
      <c r="DS98" s="10"/>
      <c r="DT98" s="11"/>
      <c r="DU98" s="69">
        <v>0</v>
      </c>
      <c r="DV98" s="69">
        <v>0</v>
      </c>
      <c r="DW98" s="11"/>
      <c r="DX98" s="12" t="e">
        <v>#DIV/0!</v>
      </c>
      <c r="DY98" s="11"/>
      <c r="DZ98" s="12" t="e">
        <v>#DIV/0!</v>
      </c>
      <c r="EA98" s="11"/>
      <c r="EB98" s="11"/>
      <c r="EC98" s="18"/>
      <c r="ED98" s="20"/>
      <c r="EE98" s="10"/>
      <c r="EF98" s="11"/>
      <c r="EG98" s="69">
        <v>0</v>
      </c>
      <c r="EH98" s="69">
        <v>0</v>
      </c>
      <c r="EI98" s="11"/>
      <c r="EJ98" s="12" t="e">
        <v>#DIV/0!</v>
      </c>
      <c r="EK98" s="11"/>
      <c r="EL98" s="12" t="e">
        <v>#DIV/0!</v>
      </c>
      <c r="EM98" s="11"/>
      <c r="EN98" s="11"/>
      <c r="EO98" s="18"/>
      <c r="EP98" s="20"/>
      <c r="EQ98" s="10"/>
      <c r="ER98" s="11"/>
      <c r="ES98" s="69">
        <v>0</v>
      </c>
      <c r="ET98" s="69">
        <v>0</v>
      </c>
      <c r="EU98" s="11"/>
      <c r="EV98" s="12" t="e">
        <v>#DIV/0!</v>
      </c>
      <c r="EW98" s="11"/>
      <c r="EX98" s="12" t="e">
        <v>#DIV/0!</v>
      </c>
      <c r="EY98" s="11"/>
      <c r="EZ98" s="11"/>
      <c r="FA98" s="18"/>
      <c r="FB98" s="20"/>
      <c r="FC98" s="10"/>
      <c r="FD98" s="11"/>
      <c r="FE98" s="69">
        <v>0</v>
      </c>
      <c r="FF98" s="69">
        <v>0</v>
      </c>
      <c r="FG98" s="11"/>
      <c r="FH98" s="12" t="e">
        <v>#DIV/0!</v>
      </c>
      <c r="FI98" s="11"/>
      <c r="FJ98" s="12" t="e">
        <v>#DIV/0!</v>
      </c>
      <c r="FK98" s="11"/>
      <c r="FL98" s="11"/>
      <c r="FM98" s="18"/>
      <c r="FN98" s="20"/>
      <c r="FO98" s="10"/>
      <c r="FP98" s="11"/>
      <c r="FQ98" s="69">
        <v>0</v>
      </c>
      <c r="FR98" s="69">
        <v>0</v>
      </c>
      <c r="FS98" s="11"/>
      <c r="FT98" s="12" t="e">
        <v>#DIV/0!</v>
      </c>
      <c r="FU98" s="11"/>
      <c r="FV98" s="12" t="e">
        <v>#DIV/0!</v>
      </c>
      <c r="FW98" s="11"/>
      <c r="FX98" s="11"/>
      <c r="FY98" s="18"/>
      <c r="FZ98" s="20"/>
      <c r="GA98" s="10"/>
      <c r="GB98" s="11"/>
      <c r="GC98" s="69">
        <v>0</v>
      </c>
      <c r="GD98" s="69">
        <v>0</v>
      </c>
      <c r="GE98" s="11"/>
      <c r="GF98" s="12" t="e">
        <v>#DIV/0!</v>
      </c>
      <c r="GG98" s="11"/>
      <c r="GH98" s="12" t="e">
        <v>#DIV/0!</v>
      </c>
      <c r="GI98" s="11"/>
      <c r="GJ98" s="11"/>
      <c r="GK98" s="18"/>
      <c r="GL98" s="20"/>
      <c r="GM98" s="10"/>
      <c r="GN98" s="11"/>
      <c r="GO98" s="69">
        <v>0</v>
      </c>
      <c r="GP98" s="69">
        <v>0</v>
      </c>
      <c r="GQ98" s="11"/>
      <c r="GR98" s="12" t="e">
        <v>#DIV/0!</v>
      </c>
      <c r="GS98" s="11"/>
      <c r="GT98" s="12" t="e">
        <v>#DIV/0!</v>
      </c>
      <c r="GU98" s="11"/>
      <c r="GV98" s="11"/>
      <c r="GW98" s="18"/>
      <c r="GX98" s="20"/>
      <c r="GY98" s="10"/>
      <c r="GZ98" s="11"/>
      <c r="HA98" s="69">
        <v>0</v>
      </c>
      <c r="HB98" s="69">
        <v>0</v>
      </c>
      <c r="HC98" s="11"/>
      <c r="HD98" s="12" t="e">
        <v>#DIV/0!</v>
      </c>
      <c r="HE98" s="11"/>
      <c r="HF98" s="12" t="e">
        <v>#DIV/0!</v>
      </c>
      <c r="HG98" s="11"/>
      <c r="HH98" s="11"/>
      <c r="HI98" s="18"/>
      <c r="HJ98" s="21"/>
      <c r="HK98" s="10">
        <f t="shared" si="588"/>
        <v>0</v>
      </c>
      <c r="HL98" s="11">
        <v>0</v>
      </c>
      <c r="HM98" s="11">
        <f t="shared" si="588"/>
        <v>3625</v>
      </c>
      <c r="HN98" s="11">
        <f t="shared" si="588"/>
        <v>320</v>
      </c>
      <c r="HO98" s="11">
        <f t="shared" si="589"/>
        <v>1981</v>
      </c>
      <c r="HP98" s="95">
        <f t="shared" si="619"/>
        <v>0.54648275862068962</v>
      </c>
      <c r="HQ98" s="15">
        <f t="shared" si="591"/>
        <v>53</v>
      </c>
      <c r="HR98" s="12">
        <f t="shared" si="612"/>
        <v>2.6754164563351841E-2</v>
      </c>
      <c r="HS98" s="16">
        <v>66.599999999999994</v>
      </c>
      <c r="HT98" s="17">
        <v>1838</v>
      </c>
      <c r="HU98" s="16">
        <f t="shared" si="620"/>
        <v>92.781423523472995</v>
      </c>
      <c r="HV98" s="18"/>
      <c r="HW98" s="20"/>
    </row>
    <row r="99" spans="1:231" ht="18.75" x14ac:dyDescent="0.25">
      <c r="A99" s="374"/>
      <c r="B99" s="41">
        <f t="shared" si="411"/>
        <v>45015</v>
      </c>
      <c r="C99" s="10"/>
      <c r="D99" s="11"/>
      <c r="E99" s="69">
        <f t="shared" si="621"/>
        <v>692</v>
      </c>
      <c r="F99" s="69">
        <f t="shared" si="621"/>
        <v>63</v>
      </c>
      <c r="G99" s="11">
        <v>368</v>
      </c>
      <c r="H99" s="12">
        <v>0</v>
      </c>
      <c r="I99" s="11">
        <v>15</v>
      </c>
      <c r="J99" s="12">
        <f t="shared" si="613"/>
        <v>3.91644908616188E-2</v>
      </c>
      <c r="K99" s="13"/>
      <c r="L99" s="13"/>
      <c r="M99" s="25">
        <v>3965</v>
      </c>
      <c r="N99" s="38">
        <v>4360</v>
      </c>
      <c r="O99" s="10"/>
      <c r="P99" s="11"/>
      <c r="Q99" s="69">
        <f t="shared" si="622"/>
        <v>684</v>
      </c>
      <c r="R99" s="69">
        <f t="shared" si="622"/>
        <v>62</v>
      </c>
      <c r="S99" s="11">
        <v>407</v>
      </c>
      <c r="T99" s="12">
        <v>0</v>
      </c>
      <c r="U99" s="11">
        <v>15</v>
      </c>
      <c r="V99" s="12">
        <f t="shared" si="614"/>
        <v>3.5545023696682464E-2</v>
      </c>
      <c r="W99" s="13"/>
      <c r="X99" s="13"/>
      <c r="Y99" s="25">
        <v>3965</v>
      </c>
      <c r="Z99" s="38">
        <v>4360</v>
      </c>
      <c r="AA99" s="10"/>
      <c r="AB99" s="11"/>
      <c r="AC99" s="69">
        <f t="shared" si="623"/>
        <v>148</v>
      </c>
      <c r="AD99" s="69">
        <f t="shared" si="623"/>
        <v>8</v>
      </c>
      <c r="AE99" s="11">
        <v>87</v>
      </c>
      <c r="AF99" s="12">
        <v>0</v>
      </c>
      <c r="AG99" s="11">
        <v>5</v>
      </c>
      <c r="AH99" s="12">
        <f t="shared" si="615"/>
        <v>5.434782608695652E-2</v>
      </c>
      <c r="AI99" s="13"/>
      <c r="AJ99" s="13"/>
      <c r="AK99" s="25">
        <v>3965</v>
      </c>
      <c r="AL99" s="38">
        <v>4360</v>
      </c>
      <c r="AM99" s="10"/>
      <c r="AN99" s="11"/>
      <c r="AO99" s="69">
        <f t="shared" si="624"/>
        <v>700</v>
      </c>
      <c r="AP99" s="69">
        <f t="shared" si="624"/>
        <v>63</v>
      </c>
      <c r="AQ99" s="11">
        <v>382</v>
      </c>
      <c r="AR99" s="12">
        <v>0</v>
      </c>
      <c r="AS99" s="11">
        <v>17</v>
      </c>
      <c r="AT99" s="12">
        <f t="shared" si="616"/>
        <v>4.2606516290726815E-2</v>
      </c>
      <c r="AU99" s="13"/>
      <c r="AV99" s="13"/>
      <c r="AW99" s="25">
        <v>3965</v>
      </c>
      <c r="AX99" s="38">
        <v>4360</v>
      </c>
      <c r="AY99" s="10"/>
      <c r="AZ99" s="11"/>
      <c r="BA99" s="69">
        <f t="shared" si="625"/>
        <v>704</v>
      </c>
      <c r="BB99" s="69">
        <f t="shared" si="625"/>
        <v>61</v>
      </c>
      <c r="BC99" s="11">
        <v>374</v>
      </c>
      <c r="BD99" s="12">
        <v>0</v>
      </c>
      <c r="BE99" s="11">
        <v>19</v>
      </c>
      <c r="BF99" s="12">
        <f t="shared" si="617"/>
        <v>4.8346055979643768E-2</v>
      </c>
      <c r="BG99" s="13"/>
      <c r="BH99" s="13"/>
      <c r="BI99" s="25">
        <v>3965</v>
      </c>
      <c r="BJ99" s="38">
        <v>4360</v>
      </c>
      <c r="BK99" s="10"/>
      <c r="BL99" s="11"/>
      <c r="BM99" s="69">
        <f t="shared" si="626"/>
        <v>697</v>
      </c>
      <c r="BN99" s="69">
        <f t="shared" si="626"/>
        <v>63</v>
      </c>
      <c r="BO99" s="11">
        <v>404</v>
      </c>
      <c r="BP99" s="12">
        <v>0</v>
      </c>
      <c r="BQ99" s="11">
        <v>6</v>
      </c>
      <c r="BR99" s="12">
        <f t="shared" si="618"/>
        <v>1.4634146341463415E-2</v>
      </c>
      <c r="BS99" s="13"/>
      <c r="BT99" s="13"/>
      <c r="BU99" s="25">
        <v>3965</v>
      </c>
      <c r="BV99" s="38">
        <v>4360</v>
      </c>
      <c r="BW99" s="10"/>
      <c r="BX99" s="11"/>
      <c r="BY99" s="69">
        <v>0</v>
      </c>
      <c r="BZ99" s="69">
        <v>0</v>
      </c>
      <c r="CA99" s="11"/>
      <c r="CB99" s="12" t="e">
        <v>#DIV/0!</v>
      </c>
      <c r="CC99" s="11"/>
      <c r="CD99" s="12" t="e">
        <v>#DIV/0!</v>
      </c>
      <c r="CE99" s="13"/>
      <c r="CF99" s="13"/>
      <c r="CG99" s="25"/>
      <c r="CH99" s="38"/>
      <c r="CI99" s="10"/>
      <c r="CJ99" s="11"/>
      <c r="CK99" s="69">
        <v>0</v>
      </c>
      <c r="CL99" s="69">
        <v>0</v>
      </c>
      <c r="CM99" s="11"/>
      <c r="CN99" s="12" t="e">
        <v>#DIV/0!</v>
      </c>
      <c r="CO99" s="11"/>
      <c r="CP99" s="12" t="e">
        <v>#DIV/0!</v>
      </c>
      <c r="CQ99" s="13"/>
      <c r="CR99" s="13"/>
      <c r="CS99" s="25"/>
      <c r="CT99" s="38"/>
      <c r="CU99" s="10"/>
      <c r="CV99" s="11"/>
      <c r="CW99" s="69">
        <v>0</v>
      </c>
      <c r="CX99" s="69">
        <v>0</v>
      </c>
      <c r="CY99" s="11"/>
      <c r="CZ99" s="12" t="e">
        <v>#DIV/0!</v>
      </c>
      <c r="DA99" s="11"/>
      <c r="DB99" s="12" t="e">
        <v>#DIV/0!</v>
      </c>
      <c r="DC99" s="13"/>
      <c r="DD99" s="13"/>
      <c r="DE99" s="25"/>
      <c r="DF99" s="38"/>
      <c r="DG99" s="10"/>
      <c r="DH99" s="11"/>
      <c r="DI99" s="69">
        <v>0</v>
      </c>
      <c r="DJ99" s="69">
        <v>0</v>
      </c>
      <c r="DK99" s="11"/>
      <c r="DL99" s="12" t="e">
        <v>#DIV/0!</v>
      </c>
      <c r="DM99" s="11"/>
      <c r="DN99" s="12" t="e">
        <v>#DIV/0!</v>
      </c>
      <c r="DO99" s="13"/>
      <c r="DP99" s="13"/>
      <c r="DQ99" s="25"/>
      <c r="DR99" s="38"/>
      <c r="DS99" s="10"/>
      <c r="DT99" s="11"/>
      <c r="DU99" s="69">
        <v>0</v>
      </c>
      <c r="DV99" s="69">
        <v>0</v>
      </c>
      <c r="DW99" s="11"/>
      <c r="DX99" s="12" t="e">
        <v>#DIV/0!</v>
      </c>
      <c r="DY99" s="11"/>
      <c r="DZ99" s="12" t="e">
        <v>#DIV/0!</v>
      </c>
      <c r="EA99" s="13"/>
      <c r="EB99" s="13"/>
      <c r="EC99" s="25"/>
      <c r="ED99" s="38"/>
      <c r="EE99" s="10"/>
      <c r="EF99" s="11"/>
      <c r="EG99" s="69">
        <v>0</v>
      </c>
      <c r="EH99" s="69">
        <v>0</v>
      </c>
      <c r="EI99" s="11"/>
      <c r="EJ99" s="12" t="e">
        <v>#DIV/0!</v>
      </c>
      <c r="EK99" s="11"/>
      <c r="EL99" s="12" t="e">
        <v>#DIV/0!</v>
      </c>
      <c r="EM99" s="13"/>
      <c r="EN99" s="13"/>
      <c r="EO99" s="25"/>
      <c r="EP99" s="38"/>
      <c r="EQ99" s="10"/>
      <c r="ER99" s="11"/>
      <c r="ES99" s="69">
        <v>0</v>
      </c>
      <c r="ET99" s="69">
        <v>0</v>
      </c>
      <c r="EU99" s="11"/>
      <c r="EV99" s="12" t="e">
        <v>#DIV/0!</v>
      </c>
      <c r="EW99" s="11"/>
      <c r="EX99" s="12" t="e">
        <v>#DIV/0!</v>
      </c>
      <c r="EY99" s="13"/>
      <c r="EZ99" s="13"/>
      <c r="FA99" s="25"/>
      <c r="FB99" s="38"/>
      <c r="FC99" s="10"/>
      <c r="FD99" s="11"/>
      <c r="FE99" s="69">
        <v>0</v>
      </c>
      <c r="FF99" s="69">
        <v>0</v>
      </c>
      <c r="FG99" s="11"/>
      <c r="FH99" s="12" t="e">
        <v>#DIV/0!</v>
      </c>
      <c r="FI99" s="11"/>
      <c r="FJ99" s="12" t="e">
        <v>#DIV/0!</v>
      </c>
      <c r="FK99" s="13"/>
      <c r="FL99" s="13"/>
      <c r="FM99" s="25"/>
      <c r="FN99" s="38"/>
      <c r="FO99" s="10"/>
      <c r="FP99" s="11"/>
      <c r="FQ99" s="69">
        <v>0</v>
      </c>
      <c r="FR99" s="69">
        <v>0</v>
      </c>
      <c r="FS99" s="11"/>
      <c r="FT99" s="12" t="e">
        <v>#DIV/0!</v>
      </c>
      <c r="FU99" s="11"/>
      <c r="FV99" s="12" t="e">
        <v>#DIV/0!</v>
      </c>
      <c r="FW99" s="13"/>
      <c r="FX99" s="13"/>
      <c r="FY99" s="25"/>
      <c r="FZ99" s="38"/>
      <c r="GA99" s="10"/>
      <c r="GB99" s="11"/>
      <c r="GC99" s="69">
        <v>0</v>
      </c>
      <c r="GD99" s="69">
        <v>0</v>
      </c>
      <c r="GE99" s="11"/>
      <c r="GF99" s="12" t="e">
        <v>#DIV/0!</v>
      </c>
      <c r="GG99" s="11"/>
      <c r="GH99" s="12" t="e">
        <v>#DIV/0!</v>
      </c>
      <c r="GI99" s="13"/>
      <c r="GJ99" s="13"/>
      <c r="GK99" s="25"/>
      <c r="GL99" s="38"/>
      <c r="GM99" s="10"/>
      <c r="GN99" s="11"/>
      <c r="GO99" s="69">
        <v>0</v>
      </c>
      <c r="GP99" s="69">
        <v>0</v>
      </c>
      <c r="GQ99" s="11"/>
      <c r="GR99" s="12" t="e">
        <v>#DIV/0!</v>
      </c>
      <c r="GS99" s="11"/>
      <c r="GT99" s="12" t="e">
        <v>#DIV/0!</v>
      </c>
      <c r="GU99" s="13"/>
      <c r="GV99" s="13"/>
      <c r="GW99" s="25"/>
      <c r="GX99" s="38"/>
      <c r="GY99" s="10"/>
      <c r="GZ99" s="11"/>
      <c r="HA99" s="69">
        <v>0</v>
      </c>
      <c r="HB99" s="69">
        <v>0</v>
      </c>
      <c r="HC99" s="11"/>
      <c r="HD99" s="12" t="e">
        <v>#DIV/0!</v>
      </c>
      <c r="HE99" s="11"/>
      <c r="HF99" s="12" t="e">
        <v>#DIV/0!</v>
      </c>
      <c r="HG99" s="13"/>
      <c r="HH99" s="13"/>
      <c r="HI99" s="25"/>
      <c r="HJ99" s="24"/>
      <c r="HK99" s="10">
        <f t="shared" si="588"/>
        <v>0</v>
      </c>
      <c r="HL99" s="11">
        <v>0</v>
      </c>
      <c r="HM99" s="11">
        <f t="shared" si="588"/>
        <v>3625</v>
      </c>
      <c r="HN99" s="11">
        <f t="shared" si="588"/>
        <v>320</v>
      </c>
      <c r="HO99" s="11">
        <f t="shared" si="589"/>
        <v>2099</v>
      </c>
      <c r="HP99" s="95">
        <f t="shared" si="619"/>
        <v>0.57903448275862068</v>
      </c>
      <c r="HQ99" s="15">
        <f t="shared" si="591"/>
        <v>77</v>
      </c>
      <c r="HR99" s="12">
        <f t="shared" si="612"/>
        <v>3.6684135302525012E-2</v>
      </c>
      <c r="HS99" s="16">
        <v>66.5</v>
      </c>
      <c r="HT99" s="17">
        <v>1928</v>
      </c>
      <c r="HU99" s="16">
        <f t="shared" si="620"/>
        <v>91.853263458789897</v>
      </c>
      <c r="HV99" s="23">
        <v>3965</v>
      </c>
      <c r="HW99" s="22">
        <v>4360</v>
      </c>
    </row>
    <row r="100" spans="1:231" ht="18.75" x14ac:dyDescent="0.25">
      <c r="A100" s="374"/>
      <c r="B100" s="41">
        <f t="shared" si="411"/>
        <v>45016</v>
      </c>
      <c r="C100" s="10"/>
      <c r="D100" s="11"/>
      <c r="E100" s="69">
        <f t="shared" si="621"/>
        <v>692</v>
      </c>
      <c r="F100" s="69">
        <f t="shared" si="621"/>
        <v>63</v>
      </c>
      <c r="G100" s="11">
        <v>359</v>
      </c>
      <c r="H100" s="12">
        <v>0</v>
      </c>
      <c r="I100" s="11">
        <v>11</v>
      </c>
      <c r="J100" s="12">
        <f t="shared" si="613"/>
        <v>2.9729729729729731E-2</v>
      </c>
      <c r="K100" s="13"/>
      <c r="L100" s="11"/>
      <c r="M100" s="25">
        <v>4383.5294117647063</v>
      </c>
      <c r="N100" s="38">
        <v>4313.8461538461543</v>
      </c>
      <c r="O100" s="10">
        <v>1</v>
      </c>
      <c r="P100" s="11"/>
      <c r="Q100" s="69">
        <f t="shared" si="622"/>
        <v>683</v>
      </c>
      <c r="R100" s="69">
        <f t="shared" si="622"/>
        <v>62</v>
      </c>
      <c r="S100" s="11">
        <v>373</v>
      </c>
      <c r="T100" s="12">
        <v>0</v>
      </c>
      <c r="U100" s="11">
        <v>13</v>
      </c>
      <c r="V100" s="12">
        <f t="shared" si="614"/>
        <v>3.367875647668394E-2</v>
      </c>
      <c r="W100" s="13"/>
      <c r="X100" s="11"/>
      <c r="Y100" s="25">
        <v>4559.375</v>
      </c>
      <c r="Z100" s="38">
        <v>4599.2307692307695</v>
      </c>
      <c r="AA100" s="10"/>
      <c r="AB100" s="11"/>
      <c r="AC100" s="69">
        <f t="shared" si="623"/>
        <v>148</v>
      </c>
      <c r="AD100" s="69">
        <f t="shared" si="623"/>
        <v>8</v>
      </c>
      <c r="AE100" s="11">
        <v>61</v>
      </c>
      <c r="AF100" s="12">
        <v>0</v>
      </c>
      <c r="AG100" s="11">
        <v>3</v>
      </c>
      <c r="AH100" s="12">
        <f t="shared" si="615"/>
        <v>4.6875E-2</v>
      </c>
      <c r="AI100" s="13"/>
      <c r="AJ100" s="11"/>
      <c r="AK100" s="25">
        <v>4415.7142857142853</v>
      </c>
      <c r="AL100" s="38">
        <v>4396</v>
      </c>
      <c r="AM100" s="10"/>
      <c r="AN100" s="11"/>
      <c r="AO100" s="69">
        <f t="shared" si="624"/>
        <v>700</v>
      </c>
      <c r="AP100" s="69">
        <f t="shared" si="624"/>
        <v>63</v>
      </c>
      <c r="AQ100" s="11">
        <v>378</v>
      </c>
      <c r="AR100" s="12">
        <v>0</v>
      </c>
      <c r="AS100" s="11">
        <v>17</v>
      </c>
      <c r="AT100" s="12">
        <f t="shared" si="616"/>
        <v>4.3037974683544304E-2</v>
      </c>
      <c r="AU100" s="13"/>
      <c r="AV100" s="11"/>
      <c r="AW100" s="25">
        <v>4573.333333333333</v>
      </c>
      <c r="AX100" s="38">
        <v>4640</v>
      </c>
      <c r="AY100" s="10">
        <v>2</v>
      </c>
      <c r="AZ100" s="11"/>
      <c r="BA100" s="69">
        <f t="shared" si="625"/>
        <v>702</v>
      </c>
      <c r="BB100" s="69">
        <f t="shared" si="625"/>
        <v>61</v>
      </c>
      <c r="BC100" s="11">
        <v>364</v>
      </c>
      <c r="BD100" s="12">
        <v>0</v>
      </c>
      <c r="BE100" s="11">
        <v>17</v>
      </c>
      <c r="BF100" s="12">
        <f t="shared" si="617"/>
        <v>4.4619422572178477E-2</v>
      </c>
      <c r="BG100" s="13"/>
      <c r="BH100" s="11"/>
      <c r="BI100" s="25">
        <v>4514.4444444444443</v>
      </c>
      <c r="BJ100" s="38">
        <v>4888</v>
      </c>
      <c r="BK100" s="10">
        <v>1</v>
      </c>
      <c r="BL100" s="11"/>
      <c r="BM100" s="69">
        <f t="shared" si="626"/>
        <v>696</v>
      </c>
      <c r="BN100" s="69">
        <f t="shared" si="626"/>
        <v>63</v>
      </c>
      <c r="BO100" s="11">
        <v>391</v>
      </c>
      <c r="BP100" s="12">
        <v>0</v>
      </c>
      <c r="BQ100" s="11">
        <v>13</v>
      </c>
      <c r="BR100" s="12">
        <f t="shared" si="618"/>
        <v>3.2178217821782179E-2</v>
      </c>
      <c r="BS100" s="13"/>
      <c r="BT100" s="11"/>
      <c r="BU100" s="25">
        <v>4471.7647058823532</v>
      </c>
      <c r="BV100" s="38">
        <v>4998</v>
      </c>
      <c r="BW100" s="10"/>
      <c r="BX100" s="11"/>
      <c r="BY100" s="69">
        <v>0</v>
      </c>
      <c r="BZ100" s="69">
        <v>0</v>
      </c>
      <c r="CA100" s="11"/>
      <c r="CB100" s="12" t="e">
        <v>#DIV/0!</v>
      </c>
      <c r="CC100" s="11"/>
      <c r="CD100" s="12" t="e">
        <v>#DIV/0!</v>
      </c>
      <c r="CE100" s="13"/>
      <c r="CF100" s="11"/>
      <c r="CG100" s="25"/>
      <c r="CH100" s="38"/>
      <c r="CI100" s="10"/>
      <c r="CJ100" s="11"/>
      <c r="CK100" s="69">
        <v>0</v>
      </c>
      <c r="CL100" s="69">
        <v>0</v>
      </c>
      <c r="CM100" s="11"/>
      <c r="CN100" s="12" t="e">
        <v>#DIV/0!</v>
      </c>
      <c r="CO100" s="11"/>
      <c r="CP100" s="12" t="e">
        <v>#DIV/0!</v>
      </c>
      <c r="CQ100" s="13"/>
      <c r="CR100" s="11"/>
      <c r="CS100" s="25"/>
      <c r="CT100" s="38"/>
      <c r="CU100" s="10"/>
      <c r="CV100" s="11"/>
      <c r="CW100" s="69">
        <v>0</v>
      </c>
      <c r="CX100" s="69">
        <v>0</v>
      </c>
      <c r="CY100" s="11"/>
      <c r="CZ100" s="12" t="e">
        <v>#DIV/0!</v>
      </c>
      <c r="DA100" s="11"/>
      <c r="DB100" s="12" t="e">
        <v>#DIV/0!</v>
      </c>
      <c r="DC100" s="13"/>
      <c r="DD100" s="11"/>
      <c r="DE100" s="25"/>
      <c r="DF100" s="38"/>
      <c r="DG100" s="10"/>
      <c r="DH100" s="11"/>
      <c r="DI100" s="69">
        <v>0</v>
      </c>
      <c r="DJ100" s="69">
        <v>0</v>
      </c>
      <c r="DK100" s="11"/>
      <c r="DL100" s="12" t="e">
        <v>#DIV/0!</v>
      </c>
      <c r="DM100" s="11"/>
      <c r="DN100" s="12" t="e">
        <v>#DIV/0!</v>
      </c>
      <c r="DO100" s="13"/>
      <c r="DP100" s="11"/>
      <c r="DQ100" s="25"/>
      <c r="DR100" s="38"/>
      <c r="DS100" s="10"/>
      <c r="DT100" s="11"/>
      <c r="DU100" s="69">
        <v>0</v>
      </c>
      <c r="DV100" s="69">
        <v>0</v>
      </c>
      <c r="DW100" s="11"/>
      <c r="DX100" s="12" t="e">
        <v>#DIV/0!</v>
      </c>
      <c r="DY100" s="11"/>
      <c r="DZ100" s="12" t="e">
        <v>#DIV/0!</v>
      </c>
      <c r="EA100" s="13"/>
      <c r="EB100" s="11"/>
      <c r="EC100" s="25"/>
      <c r="ED100" s="38"/>
      <c r="EE100" s="10"/>
      <c r="EF100" s="11"/>
      <c r="EG100" s="69">
        <v>0</v>
      </c>
      <c r="EH100" s="69">
        <v>0</v>
      </c>
      <c r="EI100" s="11"/>
      <c r="EJ100" s="12" t="e">
        <v>#DIV/0!</v>
      </c>
      <c r="EK100" s="11"/>
      <c r="EL100" s="12" t="e">
        <v>#DIV/0!</v>
      </c>
      <c r="EM100" s="13"/>
      <c r="EN100" s="11"/>
      <c r="EO100" s="25"/>
      <c r="EP100" s="38"/>
      <c r="EQ100" s="10"/>
      <c r="ER100" s="11"/>
      <c r="ES100" s="69">
        <v>0</v>
      </c>
      <c r="ET100" s="69">
        <v>0</v>
      </c>
      <c r="EU100" s="11"/>
      <c r="EV100" s="12" t="e">
        <v>#DIV/0!</v>
      </c>
      <c r="EW100" s="11"/>
      <c r="EX100" s="12" t="e">
        <v>#DIV/0!</v>
      </c>
      <c r="EY100" s="13"/>
      <c r="EZ100" s="11"/>
      <c r="FA100" s="25"/>
      <c r="FB100" s="38"/>
      <c r="FC100" s="10"/>
      <c r="FD100" s="11"/>
      <c r="FE100" s="69">
        <v>0</v>
      </c>
      <c r="FF100" s="69">
        <v>0</v>
      </c>
      <c r="FG100" s="11"/>
      <c r="FH100" s="12" t="e">
        <v>#DIV/0!</v>
      </c>
      <c r="FI100" s="11"/>
      <c r="FJ100" s="12" t="e">
        <v>#DIV/0!</v>
      </c>
      <c r="FK100" s="13"/>
      <c r="FL100" s="11"/>
      <c r="FM100" s="25"/>
      <c r="FN100" s="38"/>
      <c r="FO100" s="10"/>
      <c r="FP100" s="11"/>
      <c r="FQ100" s="69">
        <v>0</v>
      </c>
      <c r="FR100" s="69">
        <v>0</v>
      </c>
      <c r="FS100" s="11"/>
      <c r="FT100" s="12" t="e">
        <v>#DIV/0!</v>
      </c>
      <c r="FU100" s="11"/>
      <c r="FV100" s="12" t="e">
        <v>#DIV/0!</v>
      </c>
      <c r="FW100" s="13"/>
      <c r="FX100" s="11"/>
      <c r="FY100" s="25"/>
      <c r="FZ100" s="38"/>
      <c r="GA100" s="10"/>
      <c r="GB100" s="11"/>
      <c r="GC100" s="69">
        <v>0</v>
      </c>
      <c r="GD100" s="69">
        <v>0</v>
      </c>
      <c r="GE100" s="11"/>
      <c r="GF100" s="12" t="e">
        <v>#DIV/0!</v>
      </c>
      <c r="GG100" s="11"/>
      <c r="GH100" s="12" t="e">
        <v>#DIV/0!</v>
      </c>
      <c r="GI100" s="13"/>
      <c r="GJ100" s="11"/>
      <c r="GK100" s="25"/>
      <c r="GL100" s="38"/>
      <c r="GM100" s="10"/>
      <c r="GN100" s="11"/>
      <c r="GO100" s="69">
        <v>0</v>
      </c>
      <c r="GP100" s="69">
        <v>0</v>
      </c>
      <c r="GQ100" s="11"/>
      <c r="GR100" s="12" t="e">
        <v>#DIV/0!</v>
      </c>
      <c r="GS100" s="11"/>
      <c r="GT100" s="12" t="e">
        <v>#DIV/0!</v>
      </c>
      <c r="GU100" s="13"/>
      <c r="GV100" s="11"/>
      <c r="GW100" s="25"/>
      <c r="GX100" s="38"/>
      <c r="GY100" s="10"/>
      <c r="GZ100" s="11"/>
      <c r="HA100" s="69">
        <v>0</v>
      </c>
      <c r="HB100" s="69">
        <v>0</v>
      </c>
      <c r="HC100" s="11"/>
      <c r="HD100" s="12" t="e">
        <v>#DIV/0!</v>
      </c>
      <c r="HE100" s="11"/>
      <c r="HF100" s="12" t="e">
        <v>#DIV/0!</v>
      </c>
      <c r="HG100" s="13"/>
      <c r="HH100" s="11"/>
      <c r="HI100" s="25"/>
      <c r="HJ100" s="24"/>
      <c r="HK100" s="10">
        <f t="shared" si="588"/>
        <v>4</v>
      </c>
      <c r="HL100" s="11">
        <v>0</v>
      </c>
      <c r="HM100" s="11">
        <f t="shared" si="588"/>
        <v>3621</v>
      </c>
      <c r="HN100" s="11">
        <f t="shared" si="588"/>
        <v>320</v>
      </c>
      <c r="HO100" s="11">
        <f t="shared" si="589"/>
        <v>2000</v>
      </c>
      <c r="HP100" s="95">
        <f t="shared" si="619"/>
        <v>0.5523336095001381</v>
      </c>
      <c r="HQ100" s="15">
        <f t="shared" si="591"/>
        <v>74</v>
      </c>
      <c r="HR100" s="12">
        <f t="shared" si="612"/>
        <v>3.6999999999999998E-2</v>
      </c>
      <c r="HS100" s="16">
        <v>66.599999999999994</v>
      </c>
      <c r="HT100" s="17">
        <v>1856</v>
      </c>
      <c r="HU100" s="16">
        <f t="shared" si="620"/>
        <v>92.800000000000011</v>
      </c>
      <c r="HV100" s="23">
        <v>4497.4860335195526</v>
      </c>
      <c r="HW100" s="22">
        <v>4641.166666666667</v>
      </c>
    </row>
    <row r="101" spans="1:231" ht="18.75" x14ac:dyDescent="0.25">
      <c r="A101" s="374"/>
      <c r="B101" s="41">
        <f t="shared" si="411"/>
        <v>45017</v>
      </c>
      <c r="C101" s="10"/>
      <c r="D101" s="11"/>
      <c r="E101" s="69">
        <f t="shared" si="621"/>
        <v>692</v>
      </c>
      <c r="F101" s="69">
        <f t="shared" si="621"/>
        <v>63</v>
      </c>
      <c r="G101" s="11">
        <v>357</v>
      </c>
      <c r="H101" s="12">
        <v>0</v>
      </c>
      <c r="I101" s="11">
        <v>15</v>
      </c>
      <c r="J101" s="12">
        <f t="shared" si="613"/>
        <v>4.0322580645161289E-2</v>
      </c>
      <c r="K101" s="13"/>
      <c r="L101" s="11"/>
      <c r="M101" s="39">
        <v>82.352941176470594</v>
      </c>
      <c r="N101" s="43">
        <v>92.307692307692307</v>
      </c>
      <c r="O101" s="10"/>
      <c r="P101" s="11"/>
      <c r="Q101" s="69">
        <f t="shared" si="622"/>
        <v>683</v>
      </c>
      <c r="R101" s="69">
        <f t="shared" si="622"/>
        <v>62</v>
      </c>
      <c r="S101" s="11">
        <v>365</v>
      </c>
      <c r="T101" s="12">
        <v>0</v>
      </c>
      <c r="U101" s="11">
        <v>19</v>
      </c>
      <c r="V101" s="12">
        <f t="shared" si="614"/>
        <v>4.9479166666666664E-2</v>
      </c>
      <c r="W101" s="13"/>
      <c r="X101" s="11"/>
      <c r="Y101" s="39">
        <v>93.75</v>
      </c>
      <c r="Z101" s="43">
        <v>100</v>
      </c>
      <c r="AA101" s="10"/>
      <c r="AB101" s="11"/>
      <c r="AC101" s="69">
        <f t="shared" si="623"/>
        <v>148</v>
      </c>
      <c r="AD101" s="69">
        <f>AD100-AB101</f>
        <v>8</v>
      </c>
      <c r="AE101" s="11">
        <v>78</v>
      </c>
      <c r="AF101" s="12">
        <v>0</v>
      </c>
      <c r="AG101" s="11">
        <v>5</v>
      </c>
      <c r="AH101" s="12">
        <f t="shared" si="615"/>
        <v>6.0240963855421686E-2</v>
      </c>
      <c r="AI101" s="13"/>
      <c r="AJ101" s="11"/>
      <c r="AK101" s="39">
        <v>100</v>
      </c>
      <c r="AL101" s="43">
        <v>100</v>
      </c>
      <c r="AM101" s="10"/>
      <c r="AN101" s="11"/>
      <c r="AO101" s="69">
        <f t="shared" si="624"/>
        <v>700</v>
      </c>
      <c r="AP101" s="69">
        <f>AP100-AN101</f>
        <v>63</v>
      </c>
      <c r="AQ101" s="11">
        <v>351</v>
      </c>
      <c r="AR101" s="12">
        <v>0</v>
      </c>
      <c r="AS101" s="11">
        <v>20</v>
      </c>
      <c r="AT101" s="12">
        <f t="shared" si="616"/>
        <v>5.3908355795148251E-2</v>
      </c>
      <c r="AU101" s="13"/>
      <c r="AV101" s="11"/>
      <c r="AW101" s="39">
        <v>86.111111111111114</v>
      </c>
      <c r="AX101" s="43">
        <v>100</v>
      </c>
      <c r="AY101" s="10">
        <v>1</v>
      </c>
      <c r="AZ101" s="11"/>
      <c r="BA101" s="69">
        <f t="shared" si="625"/>
        <v>701</v>
      </c>
      <c r="BB101" s="69">
        <f>BB100-AZ101</f>
        <v>61</v>
      </c>
      <c r="BC101" s="11">
        <v>358</v>
      </c>
      <c r="BD101" s="12">
        <v>0</v>
      </c>
      <c r="BE101" s="11">
        <v>14</v>
      </c>
      <c r="BF101" s="12">
        <f t="shared" si="617"/>
        <v>3.7634408602150539E-2</v>
      </c>
      <c r="BG101" s="13"/>
      <c r="BH101" s="11"/>
      <c r="BI101" s="39">
        <v>88.888888888888886</v>
      </c>
      <c r="BJ101" s="43">
        <v>100</v>
      </c>
      <c r="BK101" s="10"/>
      <c r="BL101" s="11"/>
      <c r="BM101" s="69">
        <f t="shared" si="626"/>
        <v>696</v>
      </c>
      <c r="BN101" s="69">
        <f>BN100-BL101</f>
        <v>63</v>
      </c>
      <c r="BO101" s="11">
        <v>378</v>
      </c>
      <c r="BP101" s="12">
        <v>0</v>
      </c>
      <c r="BQ101" s="11">
        <v>6</v>
      </c>
      <c r="BR101" s="12">
        <f t="shared" si="618"/>
        <v>1.5625E-2</v>
      </c>
      <c r="BS101" s="13"/>
      <c r="BT101" s="11"/>
      <c r="BU101" s="39">
        <v>94.117647058823536</v>
      </c>
      <c r="BV101" s="43">
        <v>100</v>
      </c>
      <c r="BW101" s="10"/>
      <c r="BX101" s="11"/>
      <c r="BY101" s="69">
        <v>0</v>
      </c>
      <c r="BZ101" s="69">
        <v>0</v>
      </c>
      <c r="CA101" s="11"/>
      <c r="CB101" s="12" t="e">
        <v>#DIV/0!</v>
      </c>
      <c r="CC101" s="11"/>
      <c r="CD101" s="12" t="e">
        <v>#DIV/0!</v>
      </c>
      <c r="CE101" s="13"/>
      <c r="CF101" s="11"/>
      <c r="CG101" s="39"/>
      <c r="CH101" s="43"/>
      <c r="CI101" s="10"/>
      <c r="CJ101" s="11"/>
      <c r="CK101" s="69">
        <v>0</v>
      </c>
      <c r="CL101" s="69">
        <v>0</v>
      </c>
      <c r="CM101" s="11"/>
      <c r="CN101" s="12" t="e">
        <v>#DIV/0!</v>
      </c>
      <c r="CO101" s="11"/>
      <c r="CP101" s="12" t="e">
        <v>#DIV/0!</v>
      </c>
      <c r="CQ101" s="13"/>
      <c r="CR101" s="11"/>
      <c r="CS101" s="39"/>
      <c r="CT101" s="43"/>
      <c r="CU101" s="10"/>
      <c r="CV101" s="11"/>
      <c r="CW101" s="69">
        <v>0</v>
      </c>
      <c r="CX101" s="69">
        <v>0</v>
      </c>
      <c r="CY101" s="11"/>
      <c r="CZ101" s="12" t="e">
        <v>#DIV/0!</v>
      </c>
      <c r="DA101" s="11"/>
      <c r="DB101" s="12" t="e">
        <v>#DIV/0!</v>
      </c>
      <c r="DC101" s="13"/>
      <c r="DD101" s="11"/>
      <c r="DE101" s="39"/>
      <c r="DF101" s="43"/>
      <c r="DG101" s="10"/>
      <c r="DH101" s="11"/>
      <c r="DI101" s="69">
        <v>0</v>
      </c>
      <c r="DJ101" s="69">
        <v>0</v>
      </c>
      <c r="DK101" s="11"/>
      <c r="DL101" s="12" t="e">
        <v>#DIV/0!</v>
      </c>
      <c r="DM101" s="11"/>
      <c r="DN101" s="12" t="e">
        <v>#DIV/0!</v>
      </c>
      <c r="DO101" s="13"/>
      <c r="DP101" s="11"/>
      <c r="DQ101" s="39"/>
      <c r="DR101" s="43"/>
      <c r="DS101" s="10"/>
      <c r="DT101" s="11"/>
      <c r="DU101" s="69">
        <v>0</v>
      </c>
      <c r="DV101" s="69">
        <v>0</v>
      </c>
      <c r="DW101" s="11"/>
      <c r="DX101" s="12" t="e">
        <v>#DIV/0!</v>
      </c>
      <c r="DY101" s="11"/>
      <c r="DZ101" s="12" t="e">
        <v>#DIV/0!</v>
      </c>
      <c r="EA101" s="13"/>
      <c r="EB101" s="11"/>
      <c r="EC101" s="39"/>
      <c r="ED101" s="43"/>
      <c r="EE101" s="10"/>
      <c r="EF101" s="11"/>
      <c r="EG101" s="69">
        <v>0</v>
      </c>
      <c r="EH101" s="69">
        <v>0</v>
      </c>
      <c r="EI101" s="11"/>
      <c r="EJ101" s="12" t="e">
        <v>#DIV/0!</v>
      </c>
      <c r="EK101" s="11"/>
      <c r="EL101" s="12" t="e">
        <v>#DIV/0!</v>
      </c>
      <c r="EM101" s="13"/>
      <c r="EN101" s="11"/>
      <c r="EO101" s="39"/>
      <c r="EP101" s="43"/>
      <c r="EQ101" s="10"/>
      <c r="ER101" s="11"/>
      <c r="ES101" s="69">
        <v>0</v>
      </c>
      <c r="ET101" s="69">
        <v>0</v>
      </c>
      <c r="EU101" s="11"/>
      <c r="EV101" s="12" t="e">
        <v>#DIV/0!</v>
      </c>
      <c r="EW101" s="11"/>
      <c r="EX101" s="12" t="e">
        <v>#DIV/0!</v>
      </c>
      <c r="EY101" s="13"/>
      <c r="EZ101" s="11"/>
      <c r="FA101" s="39"/>
      <c r="FB101" s="43"/>
      <c r="FC101" s="10"/>
      <c r="FD101" s="11"/>
      <c r="FE101" s="69">
        <v>0</v>
      </c>
      <c r="FF101" s="69">
        <v>0</v>
      </c>
      <c r="FG101" s="11"/>
      <c r="FH101" s="12" t="e">
        <v>#DIV/0!</v>
      </c>
      <c r="FI101" s="11"/>
      <c r="FJ101" s="12" t="e">
        <v>#DIV/0!</v>
      </c>
      <c r="FK101" s="13"/>
      <c r="FL101" s="11"/>
      <c r="FM101" s="39"/>
      <c r="FN101" s="43"/>
      <c r="FO101" s="10"/>
      <c r="FP101" s="11"/>
      <c r="FQ101" s="69">
        <v>0</v>
      </c>
      <c r="FR101" s="69">
        <v>0</v>
      </c>
      <c r="FS101" s="11"/>
      <c r="FT101" s="12" t="e">
        <v>#DIV/0!</v>
      </c>
      <c r="FU101" s="11"/>
      <c r="FV101" s="12" t="e">
        <v>#DIV/0!</v>
      </c>
      <c r="FW101" s="13"/>
      <c r="FX101" s="11"/>
      <c r="FY101" s="39"/>
      <c r="FZ101" s="43"/>
      <c r="GA101" s="10"/>
      <c r="GB101" s="11"/>
      <c r="GC101" s="69">
        <v>0</v>
      </c>
      <c r="GD101" s="69">
        <v>0</v>
      </c>
      <c r="GE101" s="11"/>
      <c r="GF101" s="12" t="e">
        <v>#DIV/0!</v>
      </c>
      <c r="GG101" s="11"/>
      <c r="GH101" s="12" t="e">
        <v>#DIV/0!</v>
      </c>
      <c r="GI101" s="13"/>
      <c r="GJ101" s="11"/>
      <c r="GK101" s="39"/>
      <c r="GL101" s="43"/>
      <c r="GM101" s="10"/>
      <c r="GN101" s="11"/>
      <c r="GO101" s="69">
        <v>0</v>
      </c>
      <c r="GP101" s="69">
        <v>0</v>
      </c>
      <c r="GQ101" s="11"/>
      <c r="GR101" s="12" t="e">
        <v>#DIV/0!</v>
      </c>
      <c r="GS101" s="11"/>
      <c r="GT101" s="12" t="e">
        <v>#DIV/0!</v>
      </c>
      <c r="GU101" s="13"/>
      <c r="GV101" s="11"/>
      <c r="GW101" s="39"/>
      <c r="GX101" s="43"/>
      <c r="GY101" s="10"/>
      <c r="GZ101" s="11"/>
      <c r="HA101" s="69">
        <v>0</v>
      </c>
      <c r="HB101" s="69">
        <v>0</v>
      </c>
      <c r="HC101" s="11"/>
      <c r="HD101" s="12" t="e">
        <v>#DIV/0!</v>
      </c>
      <c r="HE101" s="11"/>
      <c r="HF101" s="12" t="e">
        <v>#DIV/0!</v>
      </c>
      <c r="HG101" s="13"/>
      <c r="HH101" s="11"/>
      <c r="HI101" s="39"/>
      <c r="HJ101" s="344"/>
      <c r="HK101" s="10">
        <f t="shared" si="588"/>
        <v>1</v>
      </c>
      <c r="HL101" s="11">
        <v>0</v>
      </c>
      <c r="HM101" s="11">
        <f t="shared" si="588"/>
        <v>3620</v>
      </c>
      <c r="HN101" s="11">
        <f t="shared" si="588"/>
        <v>320</v>
      </c>
      <c r="HO101" s="11">
        <f t="shared" si="589"/>
        <v>1966</v>
      </c>
      <c r="HP101" s="95">
        <f t="shared" si="619"/>
        <v>0.54309392265193368</v>
      </c>
      <c r="HQ101" s="15">
        <f t="shared" si="591"/>
        <v>79</v>
      </c>
      <c r="HR101" s="12">
        <f t="shared" si="612"/>
        <v>4.0183112919633772E-2</v>
      </c>
      <c r="HS101" s="16">
        <v>66.8</v>
      </c>
      <c r="HT101" s="17">
        <v>1814</v>
      </c>
      <c r="HU101" s="16">
        <f t="shared" si="620"/>
        <v>92.268565615462876</v>
      </c>
      <c r="HV101" s="23">
        <v>89.385474860335194</v>
      </c>
      <c r="HW101" s="22">
        <v>78.333333333333329</v>
      </c>
    </row>
    <row r="102" spans="1:231" ht="19.5" thickBot="1" x14ac:dyDescent="0.3">
      <c r="A102" s="374"/>
      <c r="B102" s="42"/>
      <c r="C102" s="26">
        <f>SUM(C95:C101)</f>
        <v>1</v>
      </c>
      <c r="D102" s="26">
        <f>SUM(D95:D101)</f>
        <v>0</v>
      </c>
      <c r="E102" s="27"/>
      <c r="F102" s="27"/>
      <c r="G102" s="27">
        <f>SUM(G95:G101)</f>
        <v>2570</v>
      </c>
      <c r="H102" s="28">
        <f>((G102+I102)/7)/E101</f>
        <v>0.54830718414533441</v>
      </c>
      <c r="I102" s="27">
        <f>SUM(I95:I101)</f>
        <v>86</v>
      </c>
      <c r="J102" s="28">
        <f>(I102/(I102+G102))</f>
        <v>3.2379518072289157E-2</v>
      </c>
      <c r="K102" s="27"/>
      <c r="L102" s="27"/>
      <c r="M102" s="29" t="e">
        <v>#DIV/0!</v>
      </c>
      <c r="N102" s="67" t="e">
        <v>#DIV/0!</v>
      </c>
      <c r="O102" s="26">
        <f>SUM(O95:O101)</f>
        <v>2</v>
      </c>
      <c r="P102" s="26">
        <f>SUM(P95:P101)</f>
        <v>0</v>
      </c>
      <c r="Q102" s="27"/>
      <c r="R102" s="27"/>
      <c r="S102" s="27">
        <f>SUM(S95:S101)</f>
        <v>2661</v>
      </c>
      <c r="T102" s="28">
        <f>((S102+U102)/7)/Q101</f>
        <v>0.58084082827860284</v>
      </c>
      <c r="U102" s="27">
        <f>SUM(U95:U101)</f>
        <v>116</v>
      </c>
      <c r="V102" s="28">
        <f>(U102/(U102+S102))</f>
        <v>4.1771696074900971E-2</v>
      </c>
      <c r="W102" s="27"/>
      <c r="X102" s="27"/>
      <c r="Y102" s="29" t="e">
        <v>#DIV/0!</v>
      </c>
      <c r="Z102" s="67" t="e">
        <v>#DIV/0!</v>
      </c>
      <c r="AA102" s="26">
        <f>SUM(AA95:AA101)</f>
        <v>3</v>
      </c>
      <c r="AB102" s="26">
        <f>SUM(AB95:AB101)</f>
        <v>0</v>
      </c>
      <c r="AC102" s="27"/>
      <c r="AD102" s="27"/>
      <c r="AE102" s="27">
        <f>SUM(AE95:AE101)</f>
        <v>552</v>
      </c>
      <c r="AF102" s="28">
        <f>((AE102+AG102)/7)/AC101</f>
        <v>0.56081081081081086</v>
      </c>
      <c r="AG102" s="27">
        <f>SUM(AG95:AG101)</f>
        <v>29</v>
      </c>
      <c r="AH102" s="28">
        <f>(AG102/(AG102+AE102))</f>
        <v>4.9913941480206538E-2</v>
      </c>
      <c r="AI102" s="27"/>
      <c r="AJ102" s="27"/>
      <c r="AK102" s="29" t="e">
        <v>#DIV/0!</v>
      </c>
      <c r="AL102" s="67" t="e">
        <v>#DIV/0!</v>
      </c>
      <c r="AM102" s="26">
        <f>SUM(AM95:AM101)</f>
        <v>0</v>
      </c>
      <c r="AN102" s="26">
        <f>SUM(AN95:AN101)</f>
        <v>0</v>
      </c>
      <c r="AO102" s="27"/>
      <c r="AP102" s="27"/>
      <c r="AQ102" s="27">
        <f>SUM(AQ95:AQ101)</f>
        <v>2608</v>
      </c>
      <c r="AR102" s="28">
        <f>((AQ102+AS102)/7)/AO101</f>
        <v>0.55510204081632653</v>
      </c>
      <c r="AS102" s="27">
        <f>SUM(AS95:AS101)</f>
        <v>112</v>
      </c>
      <c r="AT102" s="28">
        <f>(AS102/(AS102+AQ102))</f>
        <v>4.1176470588235294E-2</v>
      </c>
      <c r="AU102" s="27"/>
      <c r="AV102" s="27"/>
      <c r="AW102" s="29" t="e">
        <v>#DIV/0!</v>
      </c>
      <c r="AX102" s="67" t="e">
        <v>#DIV/0!</v>
      </c>
      <c r="AY102" s="26">
        <f>SUM(AY95:AY101)</f>
        <v>4</v>
      </c>
      <c r="AZ102" s="26">
        <f>SUM(AZ95:AZ101)</f>
        <v>0</v>
      </c>
      <c r="BA102" s="27"/>
      <c r="BB102" s="27"/>
      <c r="BC102" s="27">
        <f>SUM(BC95:BC101)</f>
        <v>2557</v>
      </c>
      <c r="BD102" s="28">
        <f>((BC102+BE102)/7)/BA101</f>
        <v>0.54187894844100259</v>
      </c>
      <c r="BE102" s="27">
        <f>SUM(BE95:BE101)</f>
        <v>102</v>
      </c>
      <c r="BF102" s="28">
        <f>(BE102/(BE102+BC102))</f>
        <v>3.8360285821737498E-2</v>
      </c>
      <c r="BG102" s="27"/>
      <c r="BH102" s="27"/>
      <c r="BI102" s="29" t="e">
        <v>#DIV/0!</v>
      </c>
      <c r="BJ102" s="67" t="e">
        <v>#DIV/0!</v>
      </c>
      <c r="BK102" s="26">
        <f>SUM(BK95:BK101)</f>
        <v>3</v>
      </c>
      <c r="BL102" s="26">
        <f>SUM(BL95:BL101)</f>
        <v>0</v>
      </c>
      <c r="BM102" s="27"/>
      <c r="BN102" s="27"/>
      <c r="BO102" s="27">
        <f>SUM(BO95:BO101)</f>
        <v>2762</v>
      </c>
      <c r="BP102" s="28">
        <f>((BO102+BQ102)/7)/BM101</f>
        <v>0.5798440065681445</v>
      </c>
      <c r="BQ102" s="27">
        <f>SUM(BQ95:BQ101)</f>
        <v>63</v>
      </c>
      <c r="BR102" s="28">
        <f>(BQ102/(BQ102+BO102))</f>
        <v>2.2300884955752213E-2</v>
      </c>
      <c r="BS102" s="27"/>
      <c r="BT102" s="27"/>
      <c r="BU102" s="29" t="e">
        <v>#DIV/0!</v>
      </c>
      <c r="BV102" s="67" t="e">
        <v>#DIV/0!</v>
      </c>
      <c r="BW102" s="26">
        <v>0</v>
      </c>
      <c r="BX102" s="27">
        <v>0</v>
      </c>
      <c r="BY102" s="27"/>
      <c r="BZ102" s="27"/>
      <c r="CA102" s="27">
        <v>0</v>
      </c>
      <c r="CB102" s="28" t="e">
        <v>#DIV/0!</v>
      </c>
      <c r="CC102" s="27">
        <v>0</v>
      </c>
      <c r="CD102" s="28" t="e">
        <v>#DIV/0!</v>
      </c>
      <c r="CE102" s="27"/>
      <c r="CF102" s="27"/>
      <c r="CG102" s="29" t="e">
        <v>#DIV/0!</v>
      </c>
      <c r="CH102" s="67" t="e">
        <v>#DIV/0!</v>
      </c>
      <c r="CI102" s="26">
        <v>0</v>
      </c>
      <c r="CJ102" s="27">
        <v>0</v>
      </c>
      <c r="CK102" s="27"/>
      <c r="CL102" s="27"/>
      <c r="CM102" s="27">
        <v>0</v>
      </c>
      <c r="CN102" s="28" t="e">
        <v>#DIV/0!</v>
      </c>
      <c r="CO102" s="27">
        <v>0</v>
      </c>
      <c r="CP102" s="28" t="e">
        <v>#DIV/0!</v>
      </c>
      <c r="CQ102" s="27"/>
      <c r="CR102" s="27"/>
      <c r="CS102" s="29" t="e">
        <v>#DIV/0!</v>
      </c>
      <c r="CT102" s="67" t="e">
        <v>#DIV/0!</v>
      </c>
      <c r="CU102" s="26">
        <v>0</v>
      </c>
      <c r="CV102" s="27">
        <v>0</v>
      </c>
      <c r="CW102" s="27"/>
      <c r="CX102" s="27"/>
      <c r="CY102" s="27">
        <v>0</v>
      </c>
      <c r="CZ102" s="28" t="e">
        <v>#DIV/0!</v>
      </c>
      <c r="DA102" s="27">
        <v>0</v>
      </c>
      <c r="DB102" s="28" t="e">
        <v>#DIV/0!</v>
      </c>
      <c r="DC102" s="27"/>
      <c r="DD102" s="27"/>
      <c r="DE102" s="29" t="e">
        <v>#DIV/0!</v>
      </c>
      <c r="DF102" s="67" t="e">
        <v>#DIV/0!</v>
      </c>
      <c r="DG102" s="26">
        <v>0</v>
      </c>
      <c r="DH102" s="27">
        <v>0</v>
      </c>
      <c r="DI102" s="27"/>
      <c r="DJ102" s="27"/>
      <c r="DK102" s="27">
        <v>0</v>
      </c>
      <c r="DL102" s="28" t="e">
        <v>#DIV/0!</v>
      </c>
      <c r="DM102" s="27">
        <v>0</v>
      </c>
      <c r="DN102" s="28" t="e">
        <v>#DIV/0!</v>
      </c>
      <c r="DO102" s="27"/>
      <c r="DP102" s="27"/>
      <c r="DQ102" s="29" t="e">
        <v>#DIV/0!</v>
      </c>
      <c r="DR102" s="67" t="e">
        <v>#DIV/0!</v>
      </c>
      <c r="DS102" s="26">
        <v>0</v>
      </c>
      <c r="DT102" s="27">
        <v>0</v>
      </c>
      <c r="DU102" s="27"/>
      <c r="DV102" s="27"/>
      <c r="DW102" s="27">
        <v>0</v>
      </c>
      <c r="DX102" s="28" t="e">
        <v>#DIV/0!</v>
      </c>
      <c r="DY102" s="27">
        <v>0</v>
      </c>
      <c r="DZ102" s="28" t="e">
        <v>#DIV/0!</v>
      </c>
      <c r="EA102" s="27"/>
      <c r="EB102" s="27"/>
      <c r="EC102" s="29" t="e">
        <v>#DIV/0!</v>
      </c>
      <c r="ED102" s="67" t="e">
        <v>#DIV/0!</v>
      </c>
      <c r="EE102" s="26">
        <v>0</v>
      </c>
      <c r="EF102" s="27">
        <v>0</v>
      </c>
      <c r="EG102" s="27"/>
      <c r="EH102" s="27"/>
      <c r="EI102" s="27">
        <v>0</v>
      </c>
      <c r="EJ102" s="28" t="e">
        <v>#DIV/0!</v>
      </c>
      <c r="EK102" s="27">
        <v>0</v>
      </c>
      <c r="EL102" s="28" t="e">
        <v>#DIV/0!</v>
      </c>
      <c r="EM102" s="27"/>
      <c r="EN102" s="27"/>
      <c r="EO102" s="29" t="e">
        <v>#DIV/0!</v>
      </c>
      <c r="EP102" s="67" t="e">
        <v>#DIV/0!</v>
      </c>
      <c r="EQ102" s="26">
        <v>0</v>
      </c>
      <c r="ER102" s="27">
        <v>0</v>
      </c>
      <c r="ES102" s="27"/>
      <c r="ET102" s="27"/>
      <c r="EU102" s="27">
        <v>0</v>
      </c>
      <c r="EV102" s="28" t="e">
        <v>#DIV/0!</v>
      </c>
      <c r="EW102" s="27">
        <v>0</v>
      </c>
      <c r="EX102" s="28" t="e">
        <v>#DIV/0!</v>
      </c>
      <c r="EY102" s="27"/>
      <c r="EZ102" s="27"/>
      <c r="FA102" s="29" t="e">
        <v>#DIV/0!</v>
      </c>
      <c r="FB102" s="67" t="e">
        <v>#DIV/0!</v>
      </c>
      <c r="FC102" s="26">
        <v>0</v>
      </c>
      <c r="FD102" s="27">
        <v>0</v>
      </c>
      <c r="FE102" s="27"/>
      <c r="FF102" s="27"/>
      <c r="FG102" s="27">
        <v>0</v>
      </c>
      <c r="FH102" s="28" t="e">
        <v>#DIV/0!</v>
      </c>
      <c r="FI102" s="27">
        <v>0</v>
      </c>
      <c r="FJ102" s="28" t="e">
        <v>#DIV/0!</v>
      </c>
      <c r="FK102" s="27"/>
      <c r="FL102" s="27"/>
      <c r="FM102" s="29" t="e">
        <v>#DIV/0!</v>
      </c>
      <c r="FN102" s="67" t="e">
        <v>#DIV/0!</v>
      </c>
      <c r="FO102" s="26">
        <v>0</v>
      </c>
      <c r="FP102" s="27">
        <v>0</v>
      </c>
      <c r="FQ102" s="27"/>
      <c r="FR102" s="27"/>
      <c r="FS102" s="27">
        <v>0</v>
      </c>
      <c r="FT102" s="28" t="e">
        <v>#DIV/0!</v>
      </c>
      <c r="FU102" s="27">
        <v>0</v>
      </c>
      <c r="FV102" s="28" t="e">
        <v>#DIV/0!</v>
      </c>
      <c r="FW102" s="27"/>
      <c r="FX102" s="27"/>
      <c r="FY102" s="29" t="e">
        <v>#DIV/0!</v>
      </c>
      <c r="FZ102" s="67" t="e">
        <v>#DIV/0!</v>
      </c>
      <c r="GA102" s="26">
        <v>0</v>
      </c>
      <c r="GB102" s="27">
        <v>0</v>
      </c>
      <c r="GC102" s="27"/>
      <c r="GD102" s="27"/>
      <c r="GE102" s="27">
        <v>0</v>
      </c>
      <c r="GF102" s="28" t="e">
        <v>#DIV/0!</v>
      </c>
      <c r="GG102" s="27">
        <v>0</v>
      </c>
      <c r="GH102" s="28" t="e">
        <v>#DIV/0!</v>
      </c>
      <c r="GI102" s="27"/>
      <c r="GJ102" s="27"/>
      <c r="GK102" s="29" t="e">
        <v>#DIV/0!</v>
      </c>
      <c r="GL102" s="67" t="e">
        <v>#DIV/0!</v>
      </c>
      <c r="GM102" s="26">
        <v>0</v>
      </c>
      <c r="GN102" s="27">
        <v>0</v>
      </c>
      <c r="GO102" s="27"/>
      <c r="GP102" s="27"/>
      <c r="GQ102" s="27">
        <v>0</v>
      </c>
      <c r="GR102" s="28" t="e">
        <v>#DIV/0!</v>
      </c>
      <c r="GS102" s="27">
        <v>0</v>
      </c>
      <c r="GT102" s="28" t="e">
        <v>#DIV/0!</v>
      </c>
      <c r="GU102" s="27"/>
      <c r="GV102" s="27"/>
      <c r="GW102" s="29" t="e">
        <v>#DIV/0!</v>
      </c>
      <c r="GX102" s="67" t="e">
        <v>#DIV/0!</v>
      </c>
      <c r="GY102" s="26">
        <v>0</v>
      </c>
      <c r="GZ102" s="27">
        <v>0</v>
      </c>
      <c r="HA102" s="27"/>
      <c r="HB102" s="27"/>
      <c r="HC102" s="27">
        <v>0</v>
      </c>
      <c r="HD102" s="28" t="e">
        <v>#DIV/0!</v>
      </c>
      <c r="HE102" s="27">
        <v>0</v>
      </c>
      <c r="HF102" s="28" t="e">
        <v>#DIV/0!</v>
      </c>
      <c r="HG102" s="27"/>
      <c r="HH102" s="27"/>
      <c r="HI102" s="29" t="e">
        <v>#DIV/0!</v>
      </c>
      <c r="HJ102" s="345" t="e">
        <v>#DIV/0!</v>
      </c>
      <c r="HK102" s="26">
        <f t="shared" ref="HK102" si="627">+C102+O102+AA102+AM102+AY102+BK102+BW102+CI102+CU102+DG102+DS102+EE102+EQ102+FC102+FO102+GA102+GM102+GY102</f>
        <v>13</v>
      </c>
      <c r="HL102" s="27">
        <f t="shared" ref="HL102" si="628">+D102+P102+AB102+AN102+AZ102+BL102+BX102+CJ102+CV102+DH102+DT102+EF102+ER102+FD102+FP102+GB102+GN102+GZ102</f>
        <v>0</v>
      </c>
      <c r="HM102" s="27">
        <f t="shared" ref="HM102" si="629">+E102+Q102+AC102+AO102+BA102+BM102+BY102+CK102+CW102+DI102+DU102+EG102+ES102+FE102+FQ102+GC102+GO102+HA102</f>
        <v>0</v>
      </c>
      <c r="HN102" s="27">
        <f t="shared" ref="HN102" si="630">+F102+R102+AD102+AP102+BB102+BN102+BZ102+CL102+CX102+DJ102+DV102+EH102+ET102+FF102+FR102+GD102+GP102+HB102</f>
        <v>0</v>
      </c>
      <c r="HO102" s="27">
        <f t="shared" ref="HO102" si="631">+G102+S102+AE102+AQ102+BC102+BO102+CA102+CM102+CY102+DK102+DW102+EI102+EU102+FG102+FS102+GE102+GQ102+HC102+I102+U102+AG102+AS102+BE102+BQ102+CC102+CO102+DA102+DM102+DY102+EK102+EW102+FI102+FU102+GG102+GS102+HE102</f>
        <v>14218</v>
      </c>
      <c r="HP102" s="96">
        <f>+((HO102)/HM101)/7</f>
        <v>0.56108918705603794</v>
      </c>
      <c r="HQ102" s="62">
        <f t="shared" ref="HQ102" si="632">+I102+U102+AG102+AS102+BE102+BQ102+CC102+CO102+DA102+DM102+DY102+EK102+EW102+FI102+FU102+GG102+GS102+HE102</f>
        <v>508</v>
      </c>
      <c r="HR102" s="52">
        <f t="shared" ref="HR102" si="633">+(HQ102/(HO102))</f>
        <v>3.5729357152904768E-2</v>
      </c>
      <c r="HS102" s="53">
        <f>SUM(HS95:HS101)/7</f>
        <v>66.442857142857136</v>
      </c>
      <c r="HT102" s="54">
        <f>SUM(HT95:HT101)</f>
        <v>13149</v>
      </c>
      <c r="HU102" s="53">
        <f>AVERAGE(HU95:HU101)</f>
        <v>92.484559775645295</v>
      </c>
      <c r="HV102" s="63">
        <f>HV100/HV99*100-100</f>
        <v>13.429660366192991</v>
      </c>
      <c r="HW102" s="67">
        <f>HW100/HW99*100-100</f>
        <v>6.4487767584098066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3.5783099366914397E-3</v>
      </c>
      <c r="HL103" s="66">
        <f>HL102/HN92</f>
        <v>0</v>
      </c>
      <c r="HM103" s="45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373">
        <v>36</v>
      </c>
      <c r="B104" s="68">
        <f>B101+1</f>
        <v>45018</v>
      </c>
      <c r="C104" s="33"/>
      <c r="D104" s="34"/>
      <c r="E104" s="34">
        <f>E101-C104</f>
        <v>692</v>
      </c>
      <c r="F104" s="34">
        <f>F101-D104</f>
        <v>63</v>
      </c>
      <c r="G104" s="34">
        <v>376</v>
      </c>
      <c r="H104" s="35">
        <f t="shared" ref="H104:H110" si="634">((G104+I104)/E104)</f>
        <v>0.56791907514450868</v>
      </c>
      <c r="I104" s="34">
        <v>17</v>
      </c>
      <c r="J104" s="35">
        <f>I104/(G104+I104)</f>
        <v>4.3256997455470736E-2</v>
      </c>
      <c r="K104" s="36"/>
      <c r="L104" s="34"/>
      <c r="M104" s="34"/>
      <c r="N104" s="37"/>
      <c r="O104" s="33"/>
      <c r="P104" s="34">
        <v>1</v>
      </c>
      <c r="Q104" s="34">
        <f>Q101-O104</f>
        <v>683</v>
      </c>
      <c r="R104" s="34">
        <f>R101-P104</f>
        <v>61</v>
      </c>
      <c r="S104" s="34">
        <v>369</v>
      </c>
      <c r="T104" s="35">
        <f t="shared" ref="T104:T110" si="635">((S104+U104)/Q104)</f>
        <v>0.57393850658857981</v>
      </c>
      <c r="U104" s="34">
        <v>23</v>
      </c>
      <c r="V104" s="35">
        <f t="shared" ref="V104:V110" si="636">U104/(S104+U104)</f>
        <v>5.8673469387755105E-2</v>
      </c>
      <c r="W104" s="36"/>
      <c r="X104" s="34"/>
      <c r="Y104" s="34"/>
      <c r="Z104" s="37"/>
      <c r="AA104" s="33"/>
      <c r="AB104" s="34"/>
      <c r="AC104" s="34">
        <f>AC101-AA104</f>
        <v>148</v>
      </c>
      <c r="AD104" s="34">
        <f>AD101-AB104</f>
        <v>8</v>
      </c>
      <c r="AE104" s="34">
        <v>93</v>
      </c>
      <c r="AF104" s="35">
        <f t="shared" ref="AF104:AF110" si="637">((AE104+AG104)/AC104)</f>
        <v>0.64864864864864868</v>
      </c>
      <c r="AG104" s="34">
        <v>3</v>
      </c>
      <c r="AH104" s="35">
        <f t="shared" ref="AH104:AH110" si="638">AG104/(AE104+AG104)</f>
        <v>3.125E-2</v>
      </c>
      <c r="AI104" s="36"/>
      <c r="AJ104" s="34"/>
      <c r="AK104" s="34"/>
      <c r="AL104" s="37"/>
      <c r="AM104" s="33">
        <v>1</v>
      </c>
      <c r="AN104" s="34"/>
      <c r="AO104" s="34">
        <f>AO101-AM104</f>
        <v>699</v>
      </c>
      <c r="AP104" s="34">
        <f>AP101-AN104</f>
        <v>63</v>
      </c>
      <c r="AQ104" s="34">
        <v>365</v>
      </c>
      <c r="AR104" s="35">
        <f t="shared" ref="AR104:AR110" si="639">((AQ104+AS104)/AO104)</f>
        <v>0.54363376251788265</v>
      </c>
      <c r="AS104" s="34">
        <v>15</v>
      </c>
      <c r="AT104" s="35">
        <f t="shared" ref="AT104:AT110" si="640">AS104/(AQ104+AS104)</f>
        <v>3.9473684210526314E-2</v>
      </c>
      <c r="AU104" s="36"/>
      <c r="AV104" s="34"/>
      <c r="AW104" s="34"/>
      <c r="AX104" s="37"/>
      <c r="AY104" s="33"/>
      <c r="AZ104" s="34"/>
      <c r="BA104" s="34">
        <f>BA101-AY104</f>
        <v>701</v>
      </c>
      <c r="BB104" s="34">
        <f>BB101-AZ104</f>
        <v>61</v>
      </c>
      <c r="BC104" s="34">
        <v>362</v>
      </c>
      <c r="BD104" s="35">
        <f t="shared" ref="BD104:BD110" si="641">((BC104+BE104)/BA104)</f>
        <v>0.54208273894436521</v>
      </c>
      <c r="BE104" s="34">
        <v>18</v>
      </c>
      <c r="BF104" s="35">
        <f t="shared" ref="BF104:BF110" si="642">BE104/(BC104+BE104)</f>
        <v>4.736842105263158E-2</v>
      </c>
      <c r="BG104" s="36"/>
      <c r="BH104" s="34"/>
      <c r="BI104" s="34"/>
      <c r="BJ104" s="37"/>
      <c r="BK104" s="33"/>
      <c r="BL104" s="34"/>
      <c r="BM104" s="34">
        <f>BM101-BK104</f>
        <v>696</v>
      </c>
      <c r="BN104" s="34">
        <f>BN101-BL104</f>
        <v>63</v>
      </c>
      <c r="BO104" s="34">
        <v>372</v>
      </c>
      <c r="BP104" s="35">
        <f t="shared" ref="BP104:BP110" si="643">((BO104+BQ104)/BM104)</f>
        <v>0.55603448275862066</v>
      </c>
      <c r="BQ104" s="34">
        <v>15</v>
      </c>
      <c r="BR104" s="35">
        <f t="shared" ref="BR104:BR110" si="644">BQ104/(BO104+BQ104)</f>
        <v>3.875968992248062E-2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45">((CA104+CC104)/BY104)</f>
        <v>#DIV/0!</v>
      </c>
      <c r="CC104" s="34"/>
      <c r="CD104" s="35" t="e">
        <f t="shared" ref="CD104:CD110" si="646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47">((CM104+CO104)/CK104)</f>
        <v>#DIV/0!</v>
      </c>
      <c r="CO104" s="34"/>
      <c r="CP104" s="35" t="e">
        <f t="shared" ref="CP104:CP110" si="648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49">((CY104+DA104)/CW104)</f>
        <v>#DIV/0!</v>
      </c>
      <c r="DA104" s="34"/>
      <c r="DB104" s="35" t="e">
        <f t="shared" ref="DB104:DB110" si="650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51">((DK104+DM104)/DI104)</f>
        <v>#DIV/0!</v>
      </c>
      <c r="DM104" s="34"/>
      <c r="DN104" s="35" t="e">
        <f t="shared" ref="DN104:DN110" si="652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53">((DW104+DY104)/DU104)</f>
        <v>#DIV/0!</v>
      </c>
      <c r="DY104" s="34"/>
      <c r="DZ104" s="35" t="e">
        <f t="shared" ref="DZ104:DZ110" si="654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55">((EI104+EK104)/EG104)</f>
        <v>#DIV/0!</v>
      </c>
      <c r="EK104" s="34"/>
      <c r="EL104" s="35" t="e">
        <f t="shared" ref="EL104:EL110" si="656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57">((EU104+EW104)/ES104)</f>
        <v>#DIV/0!</v>
      </c>
      <c r="EW104" s="34"/>
      <c r="EX104" s="35" t="e">
        <f t="shared" ref="EX104:EX110" si="658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59">((FG104+FI104)/FE104)</f>
        <v>#DIV/0!</v>
      </c>
      <c r="FI104" s="34"/>
      <c r="FJ104" s="35" t="e">
        <f t="shared" ref="FJ104:FJ110" si="660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61">((FS104+FU104)/FQ104)</f>
        <v>#DIV/0!</v>
      </c>
      <c r="FU104" s="34"/>
      <c r="FV104" s="35" t="e">
        <f t="shared" ref="FV104:FV110" si="662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63">((GE104+GG104)/GC104)</f>
        <v>#DIV/0!</v>
      </c>
      <c r="GG104" s="34"/>
      <c r="GH104" s="35" t="e">
        <f t="shared" ref="GH104:GH110" si="664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65">((GQ104+GS104)/GO104)</f>
        <v>#DIV/0!</v>
      </c>
      <c r="GS104" s="34"/>
      <c r="GT104" s="35" t="e">
        <f t="shared" ref="GT104:GT110" si="666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67">((HC104+HE104)/HA104)</f>
        <v>#DIV/0!</v>
      </c>
      <c r="HE104" s="34"/>
      <c r="HF104" s="35" t="e">
        <f t="shared" ref="HF104:HF110" si="668">HE104/(HC104+HE104)</f>
        <v>#DIV/0!</v>
      </c>
      <c r="HG104" s="36"/>
      <c r="HH104" s="34"/>
      <c r="HI104" s="34"/>
      <c r="HJ104" s="37"/>
      <c r="HK104" s="33">
        <f t="shared" ref="HK104:HN111" si="669">+C104+O104+AA104+AM104+AY104+BK104+BW104+CI104+CU104+DG104+DS104+EE104+EQ104+FC104+FO104+GA104+GM104+GY104</f>
        <v>1</v>
      </c>
      <c r="HL104" s="34">
        <f t="shared" si="669"/>
        <v>1</v>
      </c>
      <c r="HM104" s="34">
        <f t="shared" si="669"/>
        <v>3619</v>
      </c>
      <c r="HN104" s="34">
        <f t="shared" si="669"/>
        <v>319</v>
      </c>
      <c r="HO104" s="34">
        <f t="shared" ref="HO104:HO111" si="670">+G104+S104+AE104+AQ104+BC104+BO104+CA104+CM104+CY104+DK104+DW104+EI104+EU104+FG104+FS104+GE104+GQ104+HC104+I104+U104+AG104+AS104+BE104+BQ104+CC104+CO104+DA104+DM104+DY104+EK104+EW104+FI104+FU104+GG104+GS104+HE104</f>
        <v>2028</v>
      </c>
      <c r="HP104" s="94">
        <f t="shared" ref="HP104:HP110" si="671">+(HO104)/HM104</f>
        <v>0.56037579441834762</v>
      </c>
      <c r="HQ104" s="48">
        <f t="shared" ref="HQ104:HQ111" si="672">+I104+U104+AG104+AS104+BE104+BQ104+CC104+CO104+DA104+DM104+DY104+EK104+EW104+FI104+FU104+GG104+GS104+HE104</f>
        <v>91</v>
      </c>
      <c r="HR104" s="35">
        <f>+(HQ104/(HO104))</f>
        <v>4.4871794871794872E-2</v>
      </c>
      <c r="HS104" s="49">
        <v>66.7</v>
      </c>
      <c r="HT104" s="50">
        <v>1852</v>
      </c>
      <c r="HU104" s="49">
        <f t="shared" ref="HU104:HU110" si="673">+HT104/HO104*100</f>
        <v>91.321499013806701</v>
      </c>
      <c r="HV104" s="48"/>
      <c r="HW104" s="37"/>
    </row>
    <row r="105" spans="1:231" ht="18.75" x14ac:dyDescent="0.25">
      <c r="A105" s="374"/>
      <c r="B105" s="41">
        <f t="shared" si="411"/>
        <v>45019</v>
      </c>
      <c r="C105" s="10">
        <v>3</v>
      </c>
      <c r="D105" s="11"/>
      <c r="E105" s="69">
        <f t="shared" ref="E105:F109" si="674">E104-C105</f>
        <v>689</v>
      </c>
      <c r="F105" s="69">
        <f t="shared" si="674"/>
        <v>63</v>
      </c>
      <c r="G105" s="11">
        <v>362</v>
      </c>
      <c r="H105" s="12">
        <f t="shared" si="634"/>
        <v>0.54426705370101591</v>
      </c>
      <c r="I105" s="11">
        <v>13</v>
      </c>
      <c r="J105" s="12">
        <f t="shared" ref="J105:J110" si="675">I105/(G105+I105)</f>
        <v>3.4666666666666665E-2</v>
      </c>
      <c r="K105" s="13"/>
      <c r="L105" s="11"/>
      <c r="M105" s="11"/>
      <c r="N105" s="14"/>
      <c r="O105" s="10"/>
      <c r="P105" s="11"/>
      <c r="Q105" s="69">
        <f t="shared" ref="Q105:R110" si="676">Q104-O105</f>
        <v>683</v>
      </c>
      <c r="R105" s="69">
        <f t="shared" si="676"/>
        <v>61</v>
      </c>
      <c r="S105" s="11">
        <v>374</v>
      </c>
      <c r="T105" s="12">
        <f t="shared" si="635"/>
        <v>0.5622254758418741</v>
      </c>
      <c r="U105" s="11">
        <v>10</v>
      </c>
      <c r="V105" s="12">
        <f t="shared" si="636"/>
        <v>2.6041666666666668E-2</v>
      </c>
      <c r="W105" s="13"/>
      <c r="X105" s="11"/>
      <c r="Y105" s="11"/>
      <c r="Z105" s="14"/>
      <c r="AA105" s="10"/>
      <c r="AB105" s="11"/>
      <c r="AC105" s="69">
        <f t="shared" ref="AC105:AD110" si="677">AC104-AA105</f>
        <v>148</v>
      </c>
      <c r="AD105" s="69">
        <f t="shared" si="677"/>
        <v>8</v>
      </c>
      <c r="AE105" s="11">
        <v>80</v>
      </c>
      <c r="AF105" s="12">
        <f t="shared" si="637"/>
        <v>0.56081081081081086</v>
      </c>
      <c r="AG105" s="11">
        <v>3</v>
      </c>
      <c r="AH105" s="12">
        <f t="shared" si="638"/>
        <v>3.614457831325301E-2</v>
      </c>
      <c r="AI105" s="13"/>
      <c r="AJ105" s="11"/>
      <c r="AK105" s="11"/>
      <c r="AL105" s="14"/>
      <c r="AM105" s="10"/>
      <c r="AN105" s="11"/>
      <c r="AO105" s="69">
        <f t="shared" ref="AO105:AP110" si="678">AO104-AM105</f>
        <v>699</v>
      </c>
      <c r="AP105" s="69">
        <f t="shared" si="678"/>
        <v>63</v>
      </c>
      <c r="AQ105" s="11">
        <v>359</v>
      </c>
      <c r="AR105" s="12">
        <f t="shared" si="639"/>
        <v>0.53218884120171672</v>
      </c>
      <c r="AS105" s="11">
        <v>13</v>
      </c>
      <c r="AT105" s="12">
        <f t="shared" si="640"/>
        <v>3.4946236559139782E-2</v>
      </c>
      <c r="AU105" s="13"/>
      <c r="AV105" s="11"/>
      <c r="AW105" s="11"/>
      <c r="AX105" s="14"/>
      <c r="AY105" s="10"/>
      <c r="AZ105" s="11"/>
      <c r="BA105" s="69">
        <f t="shared" ref="BA105:BB110" si="679">BA104-AY105</f>
        <v>701</v>
      </c>
      <c r="BB105" s="69">
        <f t="shared" si="679"/>
        <v>61</v>
      </c>
      <c r="BC105" s="11">
        <v>378</v>
      </c>
      <c r="BD105" s="12">
        <f t="shared" si="641"/>
        <v>0.56490727532097007</v>
      </c>
      <c r="BE105" s="11">
        <v>18</v>
      </c>
      <c r="BF105" s="12">
        <f t="shared" si="642"/>
        <v>4.5454545454545456E-2</v>
      </c>
      <c r="BG105" s="13"/>
      <c r="BH105" s="11"/>
      <c r="BI105" s="11"/>
      <c r="BJ105" s="14"/>
      <c r="BK105" s="10"/>
      <c r="BL105" s="11"/>
      <c r="BM105" s="69">
        <f t="shared" ref="BM105:BN110" si="680">BM104-BK105</f>
        <v>696</v>
      </c>
      <c r="BN105" s="69">
        <f t="shared" si="680"/>
        <v>63</v>
      </c>
      <c r="BO105" s="11">
        <v>410</v>
      </c>
      <c r="BP105" s="12">
        <f t="shared" si="643"/>
        <v>0.60057471264367812</v>
      </c>
      <c r="BQ105" s="11">
        <v>8</v>
      </c>
      <c r="BR105" s="12">
        <f t="shared" si="644"/>
        <v>1.9138755980861243E-2</v>
      </c>
      <c r="BS105" s="13"/>
      <c r="BT105" s="11"/>
      <c r="BU105" s="11"/>
      <c r="BV105" s="14"/>
      <c r="BW105" s="10"/>
      <c r="BX105" s="11"/>
      <c r="BY105" s="69">
        <f t="shared" ref="BY105:BZ110" si="681">BY104-BW105</f>
        <v>0</v>
      </c>
      <c r="BZ105" s="69">
        <f t="shared" si="681"/>
        <v>0</v>
      </c>
      <c r="CA105" s="11"/>
      <c r="CB105" s="12" t="e">
        <f t="shared" si="645"/>
        <v>#DIV/0!</v>
      </c>
      <c r="CC105" s="11"/>
      <c r="CD105" s="12" t="e">
        <f t="shared" si="646"/>
        <v>#DIV/0!</v>
      </c>
      <c r="CE105" s="13"/>
      <c r="CF105" s="11"/>
      <c r="CG105" s="11"/>
      <c r="CH105" s="14"/>
      <c r="CI105" s="10"/>
      <c r="CJ105" s="11"/>
      <c r="CK105" s="69">
        <f t="shared" ref="CK105:CL110" si="682">CK104-CI105</f>
        <v>0</v>
      </c>
      <c r="CL105" s="69">
        <f t="shared" si="682"/>
        <v>0</v>
      </c>
      <c r="CM105" s="11"/>
      <c r="CN105" s="12" t="e">
        <f t="shared" si="647"/>
        <v>#DIV/0!</v>
      </c>
      <c r="CO105" s="11"/>
      <c r="CP105" s="12" t="e">
        <f t="shared" si="648"/>
        <v>#DIV/0!</v>
      </c>
      <c r="CQ105" s="13"/>
      <c r="CR105" s="11"/>
      <c r="CS105" s="11"/>
      <c r="CT105" s="14"/>
      <c r="CU105" s="10"/>
      <c r="CV105" s="11"/>
      <c r="CW105" s="69">
        <f t="shared" ref="CW105:CX110" si="683">CW104-CU105</f>
        <v>0</v>
      </c>
      <c r="CX105" s="69">
        <f t="shared" si="683"/>
        <v>0</v>
      </c>
      <c r="CY105" s="11"/>
      <c r="CZ105" s="12" t="e">
        <f t="shared" si="649"/>
        <v>#DIV/0!</v>
      </c>
      <c r="DA105" s="11"/>
      <c r="DB105" s="12" t="e">
        <f t="shared" si="650"/>
        <v>#DIV/0!</v>
      </c>
      <c r="DC105" s="13"/>
      <c r="DD105" s="11"/>
      <c r="DE105" s="11"/>
      <c r="DF105" s="14"/>
      <c r="DG105" s="10"/>
      <c r="DH105" s="11"/>
      <c r="DI105" s="69">
        <f t="shared" ref="DI105:DJ110" si="684">DI104-DG105</f>
        <v>0</v>
      </c>
      <c r="DJ105" s="69">
        <f t="shared" si="684"/>
        <v>0</v>
      </c>
      <c r="DK105" s="11"/>
      <c r="DL105" s="12" t="e">
        <f t="shared" si="651"/>
        <v>#DIV/0!</v>
      </c>
      <c r="DM105" s="11"/>
      <c r="DN105" s="12" t="e">
        <f t="shared" si="652"/>
        <v>#DIV/0!</v>
      </c>
      <c r="DO105" s="13"/>
      <c r="DP105" s="11"/>
      <c r="DQ105" s="11"/>
      <c r="DR105" s="14"/>
      <c r="DS105" s="10"/>
      <c r="DT105" s="11"/>
      <c r="DU105" s="69">
        <f t="shared" ref="DU105:DV110" si="685">DU104-DS105</f>
        <v>0</v>
      </c>
      <c r="DV105" s="69">
        <f t="shared" si="685"/>
        <v>0</v>
      </c>
      <c r="DW105" s="11"/>
      <c r="DX105" s="12" t="e">
        <f t="shared" si="653"/>
        <v>#DIV/0!</v>
      </c>
      <c r="DY105" s="11"/>
      <c r="DZ105" s="12" t="e">
        <f t="shared" si="654"/>
        <v>#DIV/0!</v>
      </c>
      <c r="EA105" s="13"/>
      <c r="EB105" s="11"/>
      <c r="EC105" s="11"/>
      <c r="ED105" s="14"/>
      <c r="EE105" s="10"/>
      <c r="EF105" s="11"/>
      <c r="EG105" s="69">
        <f t="shared" ref="EG105:EH110" si="686">EG104-EE105</f>
        <v>0</v>
      </c>
      <c r="EH105" s="69">
        <f t="shared" si="686"/>
        <v>0</v>
      </c>
      <c r="EI105" s="11"/>
      <c r="EJ105" s="12" t="e">
        <f t="shared" si="655"/>
        <v>#DIV/0!</v>
      </c>
      <c r="EK105" s="11"/>
      <c r="EL105" s="12" t="e">
        <f t="shared" si="656"/>
        <v>#DIV/0!</v>
      </c>
      <c r="EM105" s="13"/>
      <c r="EN105" s="11"/>
      <c r="EO105" s="11"/>
      <c r="EP105" s="14"/>
      <c r="EQ105" s="10"/>
      <c r="ER105" s="11"/>
      <c r="ES105" s="69">
        <f t="shared" ref="ES105:ET110" si="687">ES104-EQ105</f>
        <v>0</v>
      </c>
      <c r="ET105" s="69">
        <f t="shared" si="687"/>
        <v>0</v>
      </c>
      <c r="EU105" s="11"/>
      <c r="EV105" s="12" t="e">
        <f t="shared" si="657"/>
        <v>#DIV/0!</v>
      </c>
      <c r="EW105" s="11"/>
      <c r="EX105" s="12" t="e">
        <f t="shared" si="658"/>
        <v>#DIV/0!</v>
      </c>
      <c r="EY105" s="13"/>
      <c r="EZ105" s="11"/>
      <c r="FA105" s="11"/>
      <c r="FB105" s="14"/>
      <c r="FC105" s="10"/>
      <c r="FD105" s="11"/>
      <c r="FE105" s="69">
        <f t="shared" ref="FE105:FF110" si="688">FE104-FC105</f>
        <v>0</v>
      </c>
      <c r="FF105" s="69">
        <f t="shared" si="688"/>
        <v>0</v>
      </c>
      <c r="FG105" s="11"/>
      <c r="FH105" s="12" t="e">
        <f t="shared" si="659"/>
        <v>#DIV/0!</v>
      </c>
      <c r="FI105" s="11"/>
      <c r="FJ105" s="12" t="e">
        <f t="shared" si="660"/>
        <v>#DIV/0!</v>
      </c>
      <c r="FK105" s="13"/>
      <c r="FL105" s="11"/>
      <c r="FM105" s="11"/>
      <c r="FN105" s="14"/>
      <c r="FO105" s="10"/>
      <c r="FP105" s="11"/>
      <c r="FQ105" s="69">
        <f t="shared" ref="FQ105:FR110" si="689">FQ104-FO105</f>
        <v>0</v>
      </c>
      <c r="FR105" s="69">
        <f t="shared" si="689"/>
        <v>0</v>
      </c>
      <c r="FS105" s="11"/>
      <c r="FT105" s="12" t="e">
        <f t="shared" si="661"/>
        <v>#DIV/0!</v>
      </c>
      <c r="FU105" s="11"/>
      <c r="FV105" s="12" t="e">
        <f t="shared" si="662"/>
        <v>#DIV/0!</v>
      </c>
      <c r="FW105" s="13"/>
      <c r="FX105" s="11"/>
      <c r="FY105" s="11"/>
      <c r="FZ105" s="14"/>
      <c r="GA105" s="10"/>
      <c r="GB105" s="11"/>
      <c r="GC105" s="69">
        <f t="shared" ref="GC105:GD110" si="690">GC104-GA105</f>
        <v>0</v>
      </c>
      <c r="GD105" s="69">
        <f t="shared" si="690"/>
        <v>0</v>
      </c>
      <c r="GE105" s="11"/>
      <c r="GF105" s="12" t="e">
        <f t="shared" si="663"/>
        <v>#DIV/0!</v>
      </c>
      <c r="GG105" s="11"/>
      <c r="GH105" s="12" t="e">
        <f t="shared" si="664"/>
        <v>#DIV/0!</v>
      </c>
      <c r="GI105" s="13"/>
      <c r="GJ105" s="11"/>
      <c r="GK105" s="11"/>
      <c r="GL105" s="14"/>
      <c r="GM105" s="10"/>
      <c r="GN105" s="11"/>
      <c r="GO105" s="69">
        <f t="shared" ref="GO105:GP110" si="691">GO104-GM105</f>
        <v>0</v>
      </c>
      <c r="GP105" s="69">
        <f t="shared" si="691"/>
        <v>0</v>
      </c>
      <c r="GQ105" s="11"/>
      <c r="GR105" s="12" t="e">
        <f t="shared" si="665"/>
        <v>#DIV/0!</v>
      </c>
      <c r="GS105" s="11"/>
      <c r="GT105" s="12" t="e">
        <f t="shared" si="666"/>
        <v>#DIV/0!</v>
      </c>
      <c r="GU105" s="13"/>
      <c r="GV105" s="11"/>
      <c r="GW105" s="11"/>
      <c r="GX105" s="14"/>
      <c r="GY105" s="10"/>
      <c r="GZ105" s="11"/>
      <c r="HA105" s="69">
        <f t="shared" ref="HA105:HB110" si="692">HA104-GY105</f>
        <v>0</v>
      </c>
      <c r="HB105" s="69">
        <f t="shared" si="692"/>
        <v>0</v>
      </c>
      <c r="HC105" s="11"/>
      <c r="HD105" s="12" t="e">
        <f t="shared" si="667"/>
        <v>#DIV/0!</v>
      </c>
      <c r="HE105" s="11"/>
      <c r="HF105" s="12" t="e">
        <f t="shared" si="668"/>
        <v>#DIV/0!</v>
      </c>
      <c r="HG105" s="13"/>
      <c r="HH105" s="11"/>
      <c r="HI105" s="11"/>
      <c r="HJ105" s="14"/>
      <c r="HK105" s="10">
        <f t="shared" si="669"/>
        <v>3</v>
      </c>
      <c r="HL105" s="11">
        <f t="shared" si="669"/>
        <v>0</v>
      </c>
      <c r="HM105" s="11">
        <f t="shared" si="669"/>
        <v>3616</v>
      </c>
      <c r="HN105" s="11">
        <f t="shared" si="669"/>
        <v>319</v>
      </c>
      <c r="HO105" s="11">
        <f t="shared" si="670"/>
        <v>2028</v>
      </c>
      <c r="HP105" s="95">
        <f t="shared" si="671"/>
        <v>0.56084070796460173</v>
      </c>
      <c r="HQ105" s="15">
        <f t="shared" si="672"/>
        <v>65</v>
      </c>
      <c r="HR105" s="12">
        <f t="shared" ref="HR105:HR111" si="693">+(HQ105/(HO105))</f>
        <v>3.2051282051282048E-2</v>
      </c>
      <c r="HS105" s="16">
        <v>66.2</v>
      </c>
      <c r="HT105" s="17">
        <v>1879</v>
      </c>
      <c r="HU105" s="16">
        <f t="shared" si="673"/>
        <v>92.652859960552263</v>
      </c>
      <c r="HV105" s="15"/>
      <c r="HW105" s="14"/>
    </row>
    <row r="106" spans="1:231" ht="18.75" x14ac:dyDescent="0.25">
      <c r="A106" s="374"/>
      <c r="B106" s="41">
        <f t="shared" si="411"/>
        <v>45020</v>
      </c>
      <c r="C106" s="10">
        <v>3</v>
      </c>
      <c r="D106" s="11"/>
      <c r="E106" s="69">
        <f t="shared" si="674"/>
        <v>686</v>
      </c>
      <c r="F106" s="69">
        <f t="shared" si="674"/>
        <v>63</v>
      </c>
      <c r="G106" s="11">
        <v>362</v>
      </c>
      <c r="H106" s="12">
        <f t="shared" si="634"/>
        <v>0.55393586005830908</v>
      </c>
      <c r="I106" s="11">
        <v>18</v>
      </c>
      <c r="J106" s="12">
        <f t="shared" si="675"/>
        <v>4.736842105263158E-2</v>
      </c>
      <c r="K106" s="13"/>
      <c r="L106" s="11"/>
      <c r="M106" s="11"/>
      <c r="N106" s="14"/>
      <c r="O106" s="10"/>
      <c r="P106" s="11"/>
      <c r="Q106" s="69">
        <f t="shared" si="676"/>
        <v>683</v>
      </c>
      <c r="R106" s="69">
        <f t="shared" si="676"/>
        <v>61</v>
      </c>
      <c r="S106" s="11">
        <v>388</v>
      </c>
      <c r="T106" s="12">
        <f t="shared" si="635"/>
        <v>0.58565153733528552</v>
      </c>
      <c r="U106" s="11">
        <v>12</v>
      </c>
      <c r="V106" s="12">
        <f t="shared" si="636"/>
        <v>0.03</v>
      </c>
      <c r="W106" s="13"/>
      <c r="X106" s="11"/>
      <c r="Y106" s="11"/>
      <c r="Z106" s="14"/>
      <c r="AA106" s="10"/>
      <c r="AB106" s="11"/>
      <c r="AC106" s="69">
        <f t="shared" si="677"/>
        <v>148</v>
      </c>
      <c r="AD106" s="69">
        <f t="shared" si="677"/>
        <v>8</v>
      </c>
      <c r="AE106" s="11">
        <v>79</v>
      </c>
      <c r="AF106" s="12">
        <f t="shared" si="637"/>
        <v>0.56081081081081086</v>
      </c>
      <c r="AG106" s="11">
        <v>4</v>
      </c>
      <c r="AH106" s="12">
        <f t="shared" si="638"/>
        <v>4.8192771084337352E-2</v>
      </c>
      <c r="AI106" s="13"/>
      <c r="AJ106" s="11"/>
      <c r="AK106" s="11"/>
      <c r="AL106" s="14"/>
      <c r="AM106" s="10"/>
      <c r="AN106" s="11"/>
      <c r="AO106" s="69">
        <f t="shared" si="678"/>
        <v>699</v>
      </c>
      <c r="AP106" s="69">
        <f t="shared" si="678"/>
        <v>63</v>
      </c>
      <c r="AQ106" s="11">
        <v>359</v>
      </c>
      <c r="AR106" s="12">
        <f t="shared" si="639"/>
        <v>0.52932761087267521</v>
      </c>
      <c r="AS106" s="11">
        <v>11</v>
      </c>
      <c r="AT106" s="12">
        <f t="shared" si="640"/>
        <v>2.9729729729729731E-2</v>
      </c>
      <c r="AU106" s="13"/>
      <c r="AV106" s="11"/>
      <c r="AW106" s="11"/>
      <c r="AX106" s="14"/>
      <c r="AY106" s="10"/>
      <c r="AZ106" s="11"/>
      <c r="BA106" s="69">
        <f t="shared" si="679"/>
        <v>701</v>
      </c>
      <c r="BB106" s="69">
        <f t="shared" si="679"/>
        <v>61</v>
      </c>
      <c r="BC106" s="11">
        <v>378</v>
      </c>
      <c r="BD106" s="12">
        <f t="shared" si="641"/>
        <v>0.55349500713266764</v>
      </c>
      <c r="BE106" s="11">
        <v>10</v>
      </c>
      <c r="BF106" s="12">
        <f t="shared" si="642"/>
        <v>2.5773195876288658E-2</v>
      </c>
      <c r="BG106" s="13"/>
      <c r="BH106" s="11"/>
      <c r="BI106" s="11"/>
      <c r="BJ106" s="14"/>
      <c r="BK106" s="10">
        <v>1</v>
      </c>
      <c r="BL106" s="11"/>
      <c r="BM106" s="69">
        <f t="shared" si="680"/>
        <v>695</v>
      </c>
      <c r="BN106" s="69">
        <f t="shared" si="680"/>
        <v>63</v>
      </c>
      <c r="BO106" s="11">
        <v>367</v>
      </c>
      <c r="BP106" s="12">
        <f t="shared" si="643"/>
        <v>0.54820143884892081</v>
      </c>
      <c r="BQ106" s="11">
        <v>14</v>
      </c>
      <c r="BR106" s="12">
        <f t="shared" si="644"/>
        <v>3.6745406824146981E-2</v>
      </c>
      <c r="BS106" s="13"/>
      <c r="BT106" s="11"/>
      <c r="BU106" s="11"/>
      <c r="BV106" s="14"/>
      <c r="BW106" s="10"/>
      <c r="BX106" s="11"/>
      <c r="BY106" s="69">
        <f t="shared" si="681"/>
        <v>0</v>
      </c>
      <c r="BZ106" s="69">
        <f t="shared" si="681"/>
        <v>0</v>
      </c>
      <c r="CA106" s="11"/>
      <c r="CB106" s="12" t="e">
        <f t="shared" si="645"/>
        <v>#DIV/0!</v>
      </c>
      <c r="CC106" s="11"/>
      <c r="CD106" s="12" t="e">
        <f t="shared" si="646"/>
        <v>#DIV/0!</v>
      </c>
      <c r="CE106" s="13"/>
      <c r="CF106" s="11"/>
      <c r="CG106" s="11"/>
      <c r="CH106" s="14"/>
      <c r="CI106" s="10"/>
      <c r="CJ106" s="11"/>
      <c r="CK106" s="69">
        <f t="shared" si="682"/>
        <v>0</v>
      </c>
      <c r="CL106" s="69">
        <f t="shared" si="682"/>
        <v>0</v>
      </c>
      <c r="CM106" s="11"/>
      <c r="CN106" s="12" t="e">
        <f t="shared" si="647"/>
        <v>#DIV/0!</v>
      </c>
      <c r="CO106" s="11"/>
      <c r="CP106" s="12" t="e">
        <f t="shared" si="648"/>
        <v>#DIV/0!</v>
      </c>
      <c r="CQ106" s="13"/>
      <c r="CR106" s="11"/>
      <c r="CS106" s="11"/>
      <c r="CT106" s="14"/>
      <c r="CU106" s="10"/>
      <c r="CV106" s="11"/>
      <c r="CW106" s="69">
        <f t="shared" si="683"/>
        <v>0</v>
      </c>
      <c r="CX106" s="69">
        <f t="shared" si="683"/>
        <v>0</v>
      </c>
      <c r="CY106" s="11"/>
      <c r="CZ106" s="12" t="e">
        <f t="shared" si="649"/>
        <v>#DIV/0!</v>
      </c>
      <c r="DA106" s="11"/>
      <c r="DB106" s="12" t="e">
        <f t="shared" si="650"/>
        <v>#DIV/0!</v>
      </c>
      <c r="DC106" s="13"/>
      <c r="DD106" s="11"/>
      <c r="DE106" s="11"/>
      <c r="DF106" s="14"/>
      <c r="DG106" s="10"/>
      <c r="DH106" s="11"/>
      <c r="DI106" s="69">
        <f t="shared" si="684"/>
        <v>0</v>
      </c>
      <c r="DJ106" s="69">
        <f t="shared" si="684"/>
        <v>0</v>
      </c>
      <c r="DK106" s="11"/>
      <c r="DL106" s="12" t="e">
        <f t="shared" si="651"/>
        <v>#DIV/0!</v>
      </c>
      <c r="DM106" s="11"/>
      <c r="DN106" s="12" t="e">
        <f t="shared" si="652"/>
        <v>#DIV/0!</v>
      </c>
      <c r="DO106" s="13"/>
      <c r="DP106" s="11"/>
      <c r="DQ106" s="11"/>
      <c r="DR106" s="14"/>
      <c r="DS106" s="10"/>
      <c r="DT106" s="11"/>
      <c r="DU106" s="69">
        <f t="shared" si="685"/>
        <v>0</v>
      </c>
      <c r="DV106" s="69">
        <f t="shared" si="685"/>
        <v>0</v>
      </c>
      <c r="DW106" s="11"/>
      <c r="DX106" s="12" t="e">
        <f t="shared" si="653"/>
        <v>#DIV/0!</v>
      </c>
      <c r="DY106" s="11"/>
      <c r="DZ106" s="12" t="e">
        <f t="shared" si="654"/>
        <v>#DIV/0!</v>
      </c>
      <c r="EA106" s="13"/>
      <c r="EB106" s="11"/>
      <c r="EC106" s="11"/>
      <c r="ED106" s="14"/>
      <c r="EE106" s="10"/>
      <c r="EF106" s="11"/>
      <c r="EG106" s="69">
        <f t="shared" si="686"/>
        <v>0</v>
      </c>
      <c r="EH106" s="69">
        <f t="shared" si="686"/>
        <v>0</v>
      </c>
      <c r="EI106" s="11"/>
      <c r="EJ106" s="12" t="e">
        <f t="shared" si="655"/>
        <v>#DIV/0!</v>
      </c>
      <c r="EK106" s="11"/>
      <c r="EL106" s="12" t="e">
        <f t="shared" si="656"/>
        <v>#DIV/0!</v>
      </c>
      <c r="EM106" s="13"/>
      <c r="EN106" s="11"/>
      <c r="EO106" s="11"/>
      <c r="EP106" s="14"/>
      <c r="EQ106" s="10"/>
      <c r="ER106" s="11"/>
      <c r="ES106" s="69">
        <f t="shared" si="687"/>
        <v>0</v>
      </c>
      <c r="ET106" s="69">
        <f t="shared" si="687"/>
        <v>0</v>
      </c>
      <c r="EU106" s="11"/>
      <c r="EV106" s="12" t="e">
        <f t="shared" si="657"/>
        <v>#DIV/0!</v>
      </c>
      <c r="EW106" s="11"/>
      <c r="EX106" s="12" t="e">
        <f t="shared" si="658"/>
        <v>#DIV/0!</v>
      </c>
      <c r="EY106" s="13"/>
      <c r="EZ106" s="11"/>
      <c r="FA106" s="11"/>
      <c r="FB106" s="14"/>
      <c r="FC106" s="10"/>
      <c r="FD106" s="11"/>
      <c r="FE106" s="69">
        <f t="shared" si="688"/>
        <v>0</v>
      </c>
      <c r="FF106" s="69">
        <f t="shared" si="688"/>
        <v>0</v>
      </c>
      <c r="FG106" s="11"/>
      <c r="FH106" s="12" t="e">
        <f t="shared" si="659"/>
        <v>#DIV/0!</v>
      </c>
      <c r="FI106" s="11"/>
      <c r="FJ106" s="12" t="e">
        <f t="shared" si="660"/>
        <v>#DIV/0!</v>
      </c>
      <c r="FK106" s="13"/>
      <c r="FL106" s="11"/>
      <c r="FM106" s="11"/>
      <c r="FN106" s="14"/>
      <c r="FO106" s="10"/>
      <c r="FP106" s="11"/>
      <c r="FQ106" s="69">
        <f t="shared" si="689"/>
        <v>0</v>
      </c>
      <c r="FR106" s="69">
        <f t="shared" si="689"/>
        <v>0</v>
      </c>
      <c r="FS106" s="11"/>
      <c r="FT106" s="12" t="e">
        <f t="shared" si="661"/>
        <v>#DIV/0!</v>
      </c>
      <c r="FU106" s="11"/>
      <c r="FV106" s="12" t="e">
        <f t="shared" si="662"/>
        <v>#DIV/0!</v>
      </c>
      <c r="FW106" s="13"/>
      <c r="FX106" s="11"/>
      <c r="FY106" s="11"/>
      <c r="FZ106" s="14"/>
      <c r="GA106" s="10"/>
      <c r="GB106" s="11"/>
      <c r="GC106" s="69">
        <f t="shared" si="690"/>
        <v>0</v>
      </c>
      <c r="GD106" s="69">
        <f t="shared" si="690"/>
        <v>0</v>
      </c>
      <c r="GE106" s="11"/>
      <c r="GF106" s="12" t="e">
        <f t="shared" si="663"/>
        <v>#DIV/0!</v>
      </c>
      <c r="GG106" s="11"/>
      <c r="GH106" s="12" t="e">
        <f t="shared" si="664"/>
        <v>#DIV/0!</v>
      </c>
      <c r="GI106" s="13"/>
      <c r="GJ106" s="11"/>
      <c r="GK106" s="11"/>
      <c r="GL106" s="14"/>
      <c r="GM106" s="10"/>
      <c r="GN106" s="11"/>
      <c r="GO106" s="69">
        <f t="shared" si="691"/>
        <v>0</v>
      </c>
      <c r="GP106" s="69">
        <f t="shared" si="691"/>
        <v>0</v>
      </c>
      <c r="GQ106" s="11"/>
      <c r="GR106" s="12" t="e">
        <f t="shared" si="665"/>
        <v>#DIV/0!</v>
      </c>
      <c r="GS106" s="11"/>
      <c r="GT106" s="12" t="e">
        <f t="shared" si="666"/>
        <v>#DIV/0!</v>
      </c>
      <c r="GU106" s="13"/>
      <c r="GV106" s="11"/>
      <c r="GW106" s="11"/>
      <c r="GX106" s="14"/>
      <c r="GY106" s="10"/>
      <c r="GZ106" s="11"/>
      <c r="HA106" s="69">
        <f t="shared" si="692"/>
        <v>0</v>
      </c>
      <c r="HB106" s="69">
        <f t="shared" si="692"/>
        <v>0</v>
      </c>
      <c r="HC106" s="11"/>
      <c r="HD106" s="12" t="e">
        <f t="shared" si="667"/>
        <v>#DIV/0!</v>
      </c>
      <c r="HE106" s="11"/>
      <c r="HF106" s="12" t="e">
        <f t="shared" si="668"/>
        <v>#DIV/0!</v>
      </c>
      <c r="HG106" s="13"/>
      <c r="HH106" s="11"/>
      <c r="HI106" s="11"/>
      <c r="HJ106" s="14"/>
      <c r="HK106" s="10">
        <f t="shared" si="669"/>
        <v>4</v>
      </c>
      <c r="HL106" s="11">
        <f t="shared" si="669"/>
        <v>0</v>
      </c>
      <c r="HM106" s="11">
        <f t="shared" si="669"/>
        <v>3612</v>
      </c>
      <c r="HN106" s="11">
        <f t="shared" si="669"/>
        <v>319</v>
      </c>
      <c r="HO106" s="11">
        <f t="shared" si="670"/>
        <v>2002</v>
      </c>
      <c r="HP106" s="95">
        <f t="shared" si="671"/>
        <v>0.55426356589147285</v>
      </c>
      <c r="HQ106" s="15">
        <f t="shared" si="672"/>
        <v>69</v>
      </c>
      <c r="HR106" s="12">
        <f t="shared" si="693"/>
        <v>3.4465534465534464E-2</v>
      </c>
      <c r="HS106" s="16">
        <v>66.099999999999994</v>
      </c>
      <c r="HT106" s="17">
        <v>1846</v>
      </c>
      <c r="HU106" s="16">
        <f t="shared" si="673"/>
        <v>92.20779220779221</v>
      </c>
      <c r="HV106" s="15"/>
      <c r="HW106" s="14"/>
    </row>
    <row r="107" spans="1:231" ht="18.75" x14ac:dyDescent="0.25">
      <c r="A107" s="374"/>
      <c r="B107" s="41">
        <f t="shared" si="411"/>
        <v>45021</v>
      </c>
      <c r="C107" s="10">
        <v>1</v>
      </c>
      <c r="D107" s="11"/>
      <c r="E107" s="69">
        <f t="shared" si="674"/>
        <v>685</v>
      </c>
      <c r="F107" s="11">
        <f>F106-D107</f>
        <v>63</v>
      </c>
      <c r="G107" s="11">
        <v>314</v>
      </c>
      <c r="H107" s="12">
        <f t="shared" si="634"/>
        <v>0.47883211678832116</v>
      </c>
      <c r="I107" s="11">
        <v>14</v>
      </c>
      <c r="J107" s="12">
        <f t="shared" si="675"/>
        <v>4.2682926829268296E-2</v>
      </c>
      <c r="K107" s="11"/>
      <c r="L107" s="11"/>
      <c r="M107" s="18"/>
      <c r="N107" s="20"/>
      <c r="O107" s="10"/>
      <c r="P107" s="11"/>
      <c r="Q107" s="69">
        <f t="shared" si="676"/>
        <v>683</v>
      </c>
      <c r="R107" s="11">
        <f>R106-P107</f>
        <v>61</v>
      </c>
      <c r="S107" s="11">
        <v>331</v>
      </c>
      <c r="T107" s="12">
        <f t="shared" si="635"/>
        <v>0.50658857979502192</v>
      </c>
      <c r="U107" s="11">
        <v>15</v>
      </c>
      <c r="V107" s="12">
        <f t="shared" si="636"/>
        <v>4.3352601156069363E-2</v>
      </c>
      <c r="W107" s="11"/>
      <c r="X107" s="11"/>
      <c r="Y107" s="18"/>
      <c r="Z107" s="20"/>
      <c r="AA107" s="10"/>
      <c r="AB107" s="11"/>
      <c r="AC107" s="69">
        <f t="shared" si="677"/>
        <v>148</v>
      </c>
      <c r="AD107" s="11">
        <f>AD106-AB107</f>
        <v>8</v>
      </c>
      <c r="AE107" s="11">
        <v>87</v>
      </c>
      <c r="AF107" s="12">
        <f t="shared" si="637"/>
        <v>0.6216216216216216</v>
      </c>
      <c r="AG107" s="11">
        <v>5</v>
      </c>
      <c r="AH107" s="12">
        <f t="shared" si="638"/>
        <v>5.434782608695652E-2</v>
      </c>
      <c r="AI107" s="11"/>
      <c r="AJ107" s="11"/>
      <c r="AK107" s="18"/>
      <c r="AL107" s="20"/>
      <c r="AM107" s="10"/>
      <c r="AN107" s="11"/>
      <c r="AO107" s="69">
        <f t="shared" si="678"/>
        <v>699</v>
      </c>
      <c r="AP107" s="11">
        <f>AP106-AN107</f>
        <v>63</v>
      </c>
      <c r="AQ107" s="11">
        <v>359</v>
      </c>
      <c r="AR107" s="12">
        <f t="shared" si="639"/>
        <v>0.53648068669527893</v>
      </c>
      <c r="AS107" s="11">
        <v>16</v>
      </c>
      <c r="AT107" s="12">
        <f t="shared" si="640"/>
        <v>4.2666666666666665E-2</v>
      </c>
      <c r="AU107" s="11"/>
      <c r="AV107" s="11"/>
      <c r="AW107" s="18"/>
      <c r="AX107" s="20"/>
      <c r="AY107" s="10">
        <v>1</v>
      </c>
      <c r="AZ107" s="11"/>
      <c r="BA107" s="69">
        <f t="shared" si="679"/>
        <v>700</v>
      </c>
      <c r="BB107" s="11">
        <f>BB106-AZ107</f>
        <v>61</v>
      </c>
      <c r="BC107" s="11">
        <v>370</v>
      </c>
      <c r="BD107" s="12">
        <f t="shared" si="641"/>
        <v>0.55000000000000004</v>
      </c>
      <c r="BE107" s="11">
        <v>15</v>
      </c>
      <c r="BF107" s="12">
        <f t="shared" si="642"/>
        <v>3.896103896103896E-2</v>
      </c>
      <c r="BG107" s="11"/>
      <c r="BH107" s="11"/>
      <c r="BI107" s="18"/>
      <c r="BJ107" s="20"/>
      <c r="BK107" s="10"/>
      <c r="BL107" s="11"/>
      <c r="BM107" s="69">
        <f t="shared" si="680"/>
        <v>695</v>
      </c>
      <c r="BN107" s="69">
        <f t="shared" si="680"/>
        <v>63</v>
      </c>
      <c r="BO107" s="11">
        <v>383</v>
      </c>
      <c r="BP107" s="12">
        <f t="shared" si="643"/>
        <v>0.56978417266187054</v>
      </c>
      <c r="BQ107" s="11">
        <v>13</v>
      </c>
      <c r="BR107" s="12">
        <f t="shared" si="644"/>
        <v>3.2828282828282832E-2</v>
      </c>
      <c r="BS107" s="11"/>
      <c r="BT107" s="11"/>
      <c r="BU107" s="18"/>
      <c r="BV107" s="20"/>
      <c r="BW107" s="10"/>
      <c r="BX107" s="11"/>
      <c r="BY107" s="69">
        <f t="shared" si="681"/>
        <v>0</v>
      </c>
      <c r="BZ107" s="69">
        <f t="shared" si="681"/>
        <v>0</v>
      </c>
      <c r="CA107" s="11"/>
      <c r="CB107" s="12" t="e">
        <f t="shared" si="645"/>
        <v>#DIV/0!</v>
      </c>
      <c r="CC107" s="11"/>
      <c r="CD107" s="12" t="e">
        <f t="shared" si="646"/>
        <v>#DIV/0!</v>
      </c>
      <c r="CE107" s="11"/>
      <c r="CF107" s="11"/>
      <c r="CG107" s="18"/>
      <c r="CH107" s="20"/>
      <c r="CI107" s="10"/>
      <c r="CJ107" s="11"/>
      <c r="CK107" s="69">
        <f t="shared" si="682"/>
        <v>0</v>
      </c>
      <c r="CL107" s="69">
        <f t="shared" si="682"/>
        <v>0</v>
      </c>
      <c r="CM107" s="11"/>
      <c r="CN107" s="12" t="e">
        <f t="shared" si="647"/>
        <v>#DIV/0!</v>
      </c>
      <c r="CO107" s="11"/>
      <c r="CP107" s="12" t="e">
        <f t="shared" si="648"/>
        <v>#DIV/0!</v>
      </c>
      <c r="CQ107" s="11"/>
      <c r="CR107" s="11"/>
      <c r="CS107" s="18"/>
      <c r="CT107" s="20"/>
      <c r="CU107" s="10"/>
      <c r="CV107" s="11"/>
      <c r="CW107" s="69">
        <f t="shared" si="683"/>
        <v>0</v>
      </c>
      <c r="CX107" s="69">
        <f t="shared" si="683"/>
        <v>0</v>
      </c>
      <c r="CY107" s="11"/>
      <c r="CZ107" s="12" t="e">
        <f t="shared" si="649"/>
        <v>#DIV/0!</v>
      </c>
      <c r="DA107" s="11"/>
      <c r="DB107" s="12" t="e">
        <f t="shared" si="650"/>
        <v>#DIV/0!</v>
      </c>
      <c r="DC107" s="11"/>
      <c r="DD107" s="11"/>
      <c r="DE107" s="18"/>
      <c r="DF107" s="20"/>
      <c r="DG107" s="10"/>
      <c r="DH107" s="11"/>
      <c r="DI107" s="69">
        <f t="shared" si="684"/>
        <v>0</v>
      </c>
      <c r="DJ107" s="69">
        <f t="shared" si="684"/>
        <v>0</v>
      </c>
      <c r="DK107" s="11"/>
      <c r="DL107" s="12" t="e">
        <f t="shared" si="651"/>
        <v>#DIV/0!</v>
      </c>
      <c r="DM107" s="11"/>
      <c r="DN107" s="12" t="e">
        <f t="shared" si="652"/>
        <v>#DIV/0!</v>
      </c>
      <c r="DO107" s="11"/>
      <c r="DP107" s="11"/>
      <c r="DQ107" s="18"/>
      <c r="DR107" s="20"/>
      <c r="DS107" s="10"/>
      <c r="DT107" s="11"/>
      <c r="DU107" s="69">
        <f t="shared" si="685"/>
        <v>0</v>
      </c>
      <c r="DV107" s="69">
        <f t="shared" si="685"/>
        <v>0</v>
      </c>
      <c r="DW107" s="11"/>
      <c r="DX107" s="12" t="e">
        <f t="shared" si="653"/>
        <v>#DIV/0!</v>
      </c>
      <c r="DY107" s="11"/>
      <c r="DZ107" s="12" t="e">
        <f t="shared" si="654"/>
        <v>#DIV/0!</v>
      </c>
      <c r="EA107" s="11"/>
      <c r="EB107" s="11"/>
      <c r="EC107" s="18"/>
      <c r="ED107" s="20"/>
      <c r="EE107" s="10"/>
      <c r="EF107" s="11"/>
      <c r="EG107" s="69">
        <f t="shared" si="686"/>
        <v>0</v>
      </c>
      <c r="EH107" s="69">
        <f t="shared" si="686"/>
        <v>0</v>
      </c>
      <c r="EI107" s="11"/>
      <c r="EJ107" s="12" t="e">
        <f t="shared" si="655"/>
        <v>#DIV/0!</v>
      </c>
      <c r="EK107" s="11"/>
      <c r="EL107" s="12" t="e">
        <f t="shared" si="656"/>
        <v>#DIV/0!</v>
      </c>
      <c r="EM107" s="11"/>
      <c r="EN107" s="11"/>
      <c r="EO107" s="18"/>
      <c r="EP107" s="20"/>
      <c r="EQ107" s="10"/>
      <c r="ER107" s="11"/>
      <c r="ES107" s="69">
        <f t="shared" si="687"/>
        <v>0</v>
      </c>
      <c r="ET107" s="69">
        <f t="shared" si="687"/>
        <v>0</v>
      </c>
      <c r="EU107" s="11"/>
      <c r="EV107" s="12" t="e">
        <f t="shared" si="657"/>
        <v>#DIV/0!</v>
      </c>
      <c r="EW107" s="11"/>
      <c r="EX107" s="12" t="e">
        <f t="shared" si="658"/>
        <v>#DIV/0!</v>
      </c>
      <c r="EY107" s="11"/>
      <c r="EZ107" s="11"/>
      <c r="FA107" s="18"/>
      <c r="FB107" s="20"/>
      <c r="FC107" s="10"/>
      <c r="FD107" s="11"/>
      <c r="FE107" s="69">
        <f t="shared" si="688"/>
        <v>0</v>
      </c>
      <c r="FF107" s="69">
        <f t="shared" si="688"/>
        <v>0</v>
      </c>
      <c r="FG107" s="11"/>
      <c r="FH107" s="12" t="e">
        <f t="shared" si="659"/>
        <v>#DIV/0!</v>
      </c>
      <c r="FI107" s="11"/>
      <c r="FJ107" s="12" t="e">
        <f t="shared" si="660"/>
        <v>#DIV/0!</v>
      </c>
      <c r="FK107" s="11"/>
      <c r="FL107" s="11"/>
      <c r="FM107" s="18"/>
      <c r="FN107" s="20"/>
      <c r="FO107" s="10"/>
      <c r="FP107" s="11"/>
      <c r="FQ107" s="69">
        <f t="shared" si="689"/>
        <v>0</v>
      </c>
      <c r="FR107" s="69">
        <f t="shared" si="689"/>
        <v>0</v>
      </c>
      <c r="FS107" s="11"/>
      <c r="FT107" s="12" t="e">
        <f t="shared" si="661"/>
        <v>#DIV/0!</v>
      </c>
      <c r="FU107" s="11"/>
      <c r="FV107" s="12" t="e">
        <f t="shared" si="662"/>
        <v>#DIV/0!</v>
      </c>
      <c r="FW107" s="11"/>
      <c r="FX107" s="11"/>
      <c r="FY107" s="18"/>
      <c r="FZ107" s="20"/>
      <c r="GA107" s="10"/>
      <c r="GB107" s="11"/>
      <c r="GC107" s="69">
        <f t="shared" si="690"/>
        <v>0</v>
      </c>
      <c r="GD107" s="69">
        <f t="shared" si="690"/>
        <v>0</v>
      </c>
      <c r="GE107" s="11"/>
      <c r="GF107" s="12" t="e">
        <f t="shared" si="663"/>
        <v>#DIV/0!</v>
      </c>
      <c r="GG107" s="11"/>
      <c r="GH107" s="12" t="e">
        <f t="shared" si="664"/>
        <v>#DIV/0!</v>
      </c>
      <c r="GI107" s="11"/>
      <c r="GJ107" s="11"/>
      <c r="GK107" s="18"/>
      <c r="GL107" s="20"/>
      <c r="GM107" s="10"/>
      <c r="GN107" s="11"/>
      <c r="GO107" s="69">
        <f t="shared" si="691"/>
        <v>0</v>
      </c>
      <c r="GP107" s="69">
        <f t="shared" si="691"/>
        <v>0</v>
      </c>
      <c r="GQ107" s="11"/>
      <c r="GR107" s="12" t="e">
        <f t="shared" si="665"/>
        <v>#DIV/0!</v>
      </c>
      <c r="GS107" s="11"/>
      <c r="GT107" s="12" t="e">
        <f t="shared" si="666"/>
        <v>#DIV/0!</v>
      </c>
      <c r="GU107" s="11"/>
      <c r="GV107" s="11"/>
      <c r="GW107" s="18"/>
      <c r="GX107" s="20"/>
      <c r="GY107" s="10"/>
      <c r="GZ107" s="11"/>
      <c r="HA107" s="69">
        <f t="shared" si="692"/>
        <v>0</v>
      </c>
      <c r="HB107" s="69">
        <f t="shared" si="692"/>
        <v>0</v>
      </c>
      <c r="HC107" s="11"/>
      <c r="HD107" s="12" t="e">
        <f t="shared" si="667"/>
        <v>#DIV/0!</v>
      </c>
      <c r="HE107" s="11"/>
      <c r="HF107" s="12" t="e">
        <f t="shared" si="668"/>
        <v>#DIV/0!</v>
      </c>
      <c r="HG107" s="11"/>
      <c r="HH107" s="11"/>
      <c r="HI107" s="18"/>
      <c r="HJ107" s="20"/>
      <c r="HK107" s="10">
        <f t="shared" si="669"/>
        <v>2</v>
      </c>
      <c r="HL107" s="11">
        <f t="shared" si="669"/>
        <v>0</v>
      </c>
      <c r="HM107" s="11">
        <f t="shared" si="669"/>
        <v>3610</v>
      </c>
      <c r="HN107" s="11">
        <f t="shared" si="669"/>
        <v>319</v>
      </c>
      <c r="HO107" s="11">
        <f t="shared" si="670"/>
        <v>1922</v>
      </c>
      <c r="HP107" s="95">
        <f t="shared" si="671"/>
        <v>0.53240997229916898</v>
      </c>
      <c r="HQ107" s="15">
        <f t="shared" si="672"/>
        <v>78</v>
      </c>
      <c r="HR107" s="12">
        <f t="shared" si="693"/>
        <v>4.0582726326742979E-2</v>
      </c>
      <c r="HS107" s="16">
        <v>66.7</v>
      </c>
      <c r="HT107" s="17">
        <v>1766</v>
      </c>
      <c r="HU107" s="16">
        <f t="shared" si="673"/>
        <v>91.883454734651409</v>
      </c>
      <c r="HV107" s="18"/>
      <c r="HW107" s="20"/>
    </row>
    <row r="108" spans="1:231" ht="18.75" x14ac:dyDescent="0.25">
      <c r="A108" s="374"/>
      <c r="B108" s="41">
        <f t="shared" si="411"/>
        <v>45022</v>
      </c>
      <c r="C108" s="10">
        <v>1</v>
      </c>
      <c r="D108" s="11"/>
      <c r="E108" s="69">
        <f t="shared" si="674"/>
        <v>684</v>
      </c>
      <c r="F108" s="69">
        <f t="shared" si="674"/>
        <v>63</v>
      </c>
      <c r="G108" s="11">
        <v>357</v>
      </c>
      <c r="H108" s="12">
        <f t="shared" si="634"/>
        <v>0.54824561403508776</v>
      </c>
      <c r="I108" s="11">
        <v>18</v>
      </c>
      <c r="J108" s="12">
        <f t="shared" si="675"/>
        <v>4.8000000000000001E-2</v>
      </c>
      <c r="K108" s="13"/>
      <c r="L108" s="13"/>
      <c r="M108" s="25">
        <v>3985</v>
      </c>
      <c r="N108" s="38">
        <v>4380</v>
      </c>
      <c r="O108" s="10">
        <v>1</v>
      </c>
      <c r="P108" s="11"/>
      <c r="Q108" s="69">
        <f t="shared" si="676"/>
        <v>682</v>
      </c>
      <c r="R108" s="69">
        <f t="shared" si="676"/>
        <v>61</v>
      </c>
      <c r="S108" s="11">
        <v>389</v>
      </c>
      <c r="T108" s="12">
        <f t="shared" si="635"/>
        <v>0.59384164222873903</v>
      </c>
      <c r="U108" s="11">
        <v>16</v>
      </c>
      <c r="V108" s="12">
        <f t="shared" si="636"/>
        <v>3.9506172839506172E-2</v>
      </c>
      <c r="W108" s="13"/>
      <c r="X108" s="13"/>
      <c r="Y108" s="25">
        <v>3985</v>
      </c>
      <c r="Z108" s="38">
        <v>4380</v>
      </c>
      <c r="AA108" s="10"/>
      <c r="AB108" s="11"/>
      <c r="AC108" s="69">
        <f t="shared" si="677"/>
        <v>148</v>
      </c>
      <c r="AD108" s="69">
        <f t="shared" si="677"/>
        <v>8</v>
      </c>
      <c r="AE108" s="11">
        <v>87</v>
      </c>
      <c r="AF108" s="12">
        <f t="shared" si="637"/>
        <v>0.59459459459459463</v>
      </c>
      <c r="AG108" s="11">
        <v>1</v>
      </c>
      <c r="AH108" s="12">
        <f t="shared" si="638"/>
        <v>1.1363636363636364E-2</v>
      </c>
      <c r="AI108" s="13"/>
      <c r="AJ108" s="13"/>
      <c r="AK108" s="25">
        <v>3985</v>
      </c>
      <c r="AL108" s="38">
        <v>4380</v>
      </c>
      <c r="AM108" s="10">
        <v>1</v>
      </c>
      <c r="AN108" s="11"/>
      <c r="AO108" s="69">
        <f t="shared" si="678"/>
        <v>698</v>
      </c>
      <c r="AP108" s="69">
        <f t="shared" si="678"/>
        <v>63</v>
      </c>
      <c r="AQ108" s="11">
        <v>365</v>
      </c>
      <c r="AR108" s="12">
        <f t="shared" si="639"/>
        <v>0.54584527220630374</v>
      </c>
      <c r="AS108" s="11">
        <v>16</v>
      </c>
      <c r="AT108" s="12">
        <f t="shared" si="640"/>
        <v>4.1994750656167978E-2</v>
      </c>
      <c r="AU108" s="13"/>
      <c r="AV108" s="13"/>
      <c r="AW108" s="25">
        <v>3985</v>
      </c>
      <c r="AX108" s="38">
        <v>4380</v>
      </c>
      <c r="AY108" s="10"/>
      <c r="AZ108" s="11"/>
      <c r="BA108" s="69">
        <f t="shared" si="679"/>
        <v>700</v>
      </c>
      <c r="BB108" s="69">
        <f t="shared" si="679"/>
        <v>61</v>
      </c>
      <c r="BC108" s="11">
        <v>359</v>
      </c>
      <c r="BD108" s="12">
        <f t="shared" si="641"/>
        <v>0.52857142857142858</v>
      </c>
      <c r="BE108" s="11">
        <v>11</v>
      </c>
      <c r="BF108" s="12">
        <f t="shared" si="642"/>
        <v>2.9729729729729731E-2</v>
      </c>
      <c r="BG108" s="13"/>
      <c r="BH108" s="13"/>
      <c r="BI108" s="25">
        <v>3985</v>
      </c>
      <c r="BJ108" s="38">
        <v>4380</v>
      </c>
      <c r="BK108" s="10">
        <v>1</v>
      </c>
      <c r="BL108" s="11"/>
      <c r="BM108" s="69">
        <f t="shared" si="680"/>
        <v>694</v>
      </c>
      <c r="BN108" s="69">
        <f t="shared" si="680"/>
        <v>63</v>
      </c>
      <c r="BO108" s="11">
        <v>394</v>
      </c>
      <c r="BP108" s="12">
        <f t="shared" si="643"/>
        <v>0.57636887608069165</v>
      </c>
      <c r="BQ108" s="11">
        <v>6</v>
      </c>
      <c r="BR108" s="12">
        <f t="shared" si="644"/>
        <v>1.4999999999999999E-2</v>
      </c>
      <c r="BS108" s="13"/>
      <c r="BT108" s="13"/>
      <c r="BU108" s="25">
        <v>3985</v>
      </c>
      <c r="BV108" s="38">
        <v>4380</v>
      </c>
      <c r="BW108" s="10"/>
      <c r="BX108" s="11"/>
      <c r="BY108" s="69">
        <f t="shared" si="681"/>
        <v>0</v>
      </c>
      <c r="BZ108" s="69">
        <f t="shared" si="681"/>
        <v>0</v>
      </c>
      <c r="CA108" s="11"/>
      <c r="CB108" s="12" t="e">
        <f t="shared" si="645"/>
        <v>#DIV/0!</v>
      </c>
      <c r="CC108" s="11"/>
      <c r="CD108" s="12" t="e">
        <f t="shared" si="646"/>
        <v>#DIV/0!</v>
      </c>
      <c r="CE108" s="13"/>
      <c r="CF108" s="13"/>
      <c r="CG108" s="25"/>
      <c r="CH108" s="38"/>
      <c r="CI108" s="10"/>
      <c r="CJ108" s="11"/>
      <c r="CK108" s="69">
        <f t="shared" si="682"/>
        <v>0</v>
      </c>
      <c r="CL108" s="69">
        <f t="shared" si="682"/>
        <v>0</v>
      </c>
      <c r="CM108" s="11"/>
      <c r="CN108" s="12" t="e">
        <f t="shared" si="647"/>
        <v>#DIV/0!</v>
      </c>
      <c r="CO108" s="11"/>
      <c r="CP108" s="12" t="e">
        <f t="shared" si="648"/>
        <v>#DIV/0!</v>
      </c>
      <c r="CQ108" s="13"/>
      <c r="CR108" s="13"/>
      <c r="CS108" s="25"/>
      <c r="CT108" s="38"/>
      <c r="CU108" s="10"/>
      <c r="CV108" s="11"/>
      <c r="CW108" s="69">
        <f t="shared" si="683"/>
        <v>0</v>
      </c>
      <c r="CX108" s="69">
        <f t="shared" si="683"/>
        <v>0</v>
      </c>
      <c r="CY108" s="11"/>
      <c r="CZ108" s="12" t="e">
        <f t="shared" si="649"/>
        <v>#DIV/0!</v>
      </c>
      <c r="DA108" s="11"/>
      <c r="DB108" s="12" t="e">
        <f t="shared" si="650"/>
        <v>#DIV/0!</v>
      </c>
      <c r="DC108" s="13"/>
      <c r="DD108" s="13"/>
      <c r="DE108" s="25"/>
      <c r="DF108" s="38"/>
      <c r="DG108" s="10"/>
      <c r="DH108" s="11"/>
      <c r="DI108" s="69">
        <f t="shared" si="684"/>
        <v>0</v>
      </c>
      <c r="DJ108" s="69">
        <f t="shared" si="684"/>
        <v>0</v>
      </c>
      <c r="DK108" s="11"/>
      <c r="DL108" s="12" t="e">
        <f t="shared" si="651"/>
        <v>#DIV/0!</v>
      </c>
      <c r="DM108" s="11"/>
      <c r="DN108" s="12" t="e">
        <f t="shared" si="652"/>
        <v>#DIV/0!</v>
      </c>
      <c r="DO108" s="13"/>
      <c r="DP108" s="13"/>
      <c r="DQ108" s="25"/>
      <c r="DR108" s="38"/>
      <c r="DS108" s="10"/>
      <c r="DT108" s="11"/>
      <c r="DU108" s="69">
        <f t="shared" si="685"/>
        <v>0</v>
      </c>
      <c r="DV108" s="69">
        <f t="shared" si="685"/>
        <v>0</v>
      </c>
      <c r="DW108" s="11"/>
      <c r="DX108" s="12" t="e">
        <f t="shared" si="653"/>
        <v>#DIV/0!</v>
      </c>
      <c r="DY108" s="11"/>
      <c r="DZ108" s="12" t="e">
        <f t="shared" si="654"/>
        <v>#DIV/0!</v>
      </c>
      <c r="EA108" s="13"/>
      <c r="EB108" s="13"/>
      <c r="EC108" s="25"/>
      <c r="ED108" s="38"/>
      <c r="EE108" s="10"/>
      <c r="EF108" s="11"/>
      <c r="EG108" s="69">
        <f t="shared" si="686"/>
        <v>0</v>
      </c>
      <c r="EH108" s="69">
        <f t="shared" si="686"/>
        <v>0</v>
      </c>
      <c r="EI108" s="11"/>
      <c r="EJ108" s="12" t="e">
        <f t="shared" si="655"/>
        <v>#DIV/0!</v>
      </c>
      <c r="EK108" s="11"/>
      <c r="EL108" s="12" t="e">
        <f t="shared" si="656"/>
        <v>#DIV/0!</v>
      </c>
      <c r="EM108" s="13"/>
      <c r="EN108" s="13"/>
      <c r="EO108" s="25"/>
      <c r="EP108" s="38"/>
      <c r="EQ108" s="10"/>
      <c r="ER108" s="11"/>
      <c r="ES108" s="69">
        <f t="shared" si="687"/>
        <v>0</v>
      </c>
      <c r="ET108" s="69">
        <f t="shared" si="687"/>
        <v>0</v>
      </c>
      <c r="EU108" s="11"/>
      <c r="EV108" s="12" t="e">
        <f t="shared" si="657"/>
        <v>#DIV/0!</v>
      </c>
      <c r="EW108" s="11"/>
      <c r="EX108" s="12" t="e">
        <f t="shared" si="658"/>
        <v>#DIV/0!</v>
      </c>
      <c r="EY108" s="13"/>
      <c r="EZ108" s="13"/>
      <c r="FA108" s="25"/>
      <c r="FB108" s="38"/>
      <c r="FC108" s="10"/>
      <c r="FD108" s="11"/>
      <c r="FE108" s="69">
        <f t="shared" si="688"/>
        <v>0</v>
      </c>
      <c r="FF108" s="69">
        <f t="shared" si="688"/>
        <v>0</v>
      </c>
      <c r="FG108" s="11"/>
      <c r="FH108" s="12" t="e">
        <f t="shared" si="659"/>
        <v>#DIV/0!</v>
      </c>
      <c r="FI108" s="11"/>
      <c r="FJ108" s="12" t="e">
        <f t="shared" si="660"/>
        <v>#DIV/0!</v>
      </c>
      <c r="FK108" s="13"/>
      <c r="FL108" s="13"/>
      <c r="FM108" s="25"/>
      <c r="FN108" s="38"/>
      <c r="FO108" s="10"/>
      <c r="FP108" s="11"/>
      <c r="FQ108" s="69">
        <f t="shared" si="689"/>
        <v>0</v>
      </c>
      <c r="FR108" s="69">
        <f t="shared" si="689"/>
        <v>0</v>
      </c>
      <c r="FS108" s="11"/>
      <c r="FT108" s="12" t="e">
        <f t="shared" si="661"/>
        <v>#DIV/0!</v>
      </c>
      <c r="FU108" s="11"/>
      <c r="FV108" s="12" t="e">
        <f t="shared" si="662"/>
        <v>#DIV/0!</v>
      </c>
      <c r="FW108" s="13"/>
      <c r="FX108" s="13"/>
      <c r="FY108" s="25"/>
      <c r="FZ108" s="38"/>
      <c r="GA108" s="10"/>
      <c r="GB108" s="11"/>
      <c r="GC108" s="69">
        <f t="shared" si="690"/>
        <v>0</v>
      </c>
      <c r="GD108" s="69">
        <f t="shared" si="690"/>
        <v>0</v>
      </c>
      <c r="GE108" s="11"/>
      <c r="GF108" s="12" t="e">
        <f t="shared" si="663"/>
        <v>#DIV/0!</v>
      </c>
      <c r="GG108" s="11"/>
      <c r="GH108" s="12" t="e">
        <f t="shared" si="664"/>
        <v>#DIV/0!</v>
      </c>
      <c r="GI108" s="13"/>
      <c r="GJ108" s="13"/>
      <c r="GK108" s="25"/>
      <c r="GL108" s="38"/>
      <c r="GM108" s="10"/>
      <c r="GN108" s="11"/>
      <c r="GO108" s="69">
        <f t="shared" si="691"/>
        <v>0</v>
      </c>
      <c r="GP108" s="69">
        <f t="shared" si="691"/>
        <v>0</v>
      </c>
      <c r="GQ108" s="11"/>
      <c r="GR108" s="12" t="e">
        <f t="shared" si="665"/>
        <v>#DIV/0!</v>
      </c>
      <c r="GS108" s="11"/>
      <c r="GT108" s="12" t="e">
        <f t="shared" si="666"/>
        <v>#DIV/0!</v>
      </c>
      <c r="GU108" s="13"/>
      <c r="GV108" s="13"/>
      <c r="GW108" s="25"/>
      <c r="GX108" s="38"/>
      <c r="GY108" s="10"/>
      <c r="GZ108" s="11"/>
      <c r="HA108" s="69">
        <f t="shared" si="692"/>
        <v>0</v>
      </c>
      <c r="HB108" s="69">
        <f t="shared" si="692"/>
        <v>0</v>
      </c>
      <c r="HC108" s="11"/>
      <c r="HD108" s="12" t="e">
        <f t="shared" si="667"/>
        <v>#DIV/0!</v>
      </c>
      <c r="HE108" s="11"/>
      <c r="HF108" s="12" t="e">
        <f t="shared" si="668"/>
        <v>#DIV/0!</v>
      </c>
      <c r="HG108" s="13"/>
      <c r="HH108" s="13"/>
      <c r="HI108" s="25"/>
      <c r="HJ108" s="38"/>
      <c r="HK108" s="10">
        <f t="shared" si="669"/>
        <v>4</v>
      </c>
      <c r="HL108" s="11">
        <f t="shared" si="669"/>
        <v>0</v>
      </c>
      <c r="HM108" s="11">
        <f t="shared" si="669"/>
        <v>3606</v>
      </c>
      <c r="HN108" s="11">
        <f t="shared" si="669"/>
        <v>319</v>
      </c>
      <c r="HO108" s="11">
        <f t="shared" si="670"/>
        <v>2019</v>
      </c>
      <c r="HP108" s="95">
        <f t="shared" si="671"/>
        <v>0.55990016638935103</v>
      </c>
      <c r="HQ108" s="15">
        <f t="shared" si="672"/>
        <v>68</v>
      </c>
      <c r="HR108" s="12">
        <f t="shared" si="693"/>
        <v>3.3680039623576026E-2</v>
      </c>
      <c r="HS108" s="16">
        <v>66.599999999999994</v>
      </c>
      <c r="HT108" s="17">
        <v>1864</v>
      </c>
      <c r="HU108" s="16">
        <f t="shared" si="673"/>
        <v>92.322932144626051</v>
      </c>
      <c r="HV108" s="23">
        <v>3985</v>
      </c>
      <c r="HW108" s="22">
        <v>4380</v>
      </c>
    </row>
    <row r="109" spans="1:231" ht="18.75" x14ac:dyDescent="0.25">
      <c r="A109" s="374"/>
      <c r="B109" s="41">
        <f t="shared" si="411"/>
        <v>45023</v>
      </c>
      <c r="C109" s="10"/>
      <c r="D109" s="11"/>
      <c r="E109" s="69">
        <f t="shared" si="674"/>
        <v>684</v>
      </c>
      <c r="F109" s="69">
        <f t="shared" si="674"/>
        <v>63</v>
      </c>
      <c r="G109" s="11">
        <v>384</v>
      </c>
      <c r="H109" s="12">
        <f t="shared" si="634"/>
        <v>0.57602339181286555</v>
      </c>
      <c r="I109" s="11">
        <v>10</v>
      </c>
      <c r="J109" s="12">
        <f t="shared" si="675"/>
        <v>2.5380710659898477E-2</v>
      </c>
      <c r="K109" s="13"/>
      <c r="L109" s="11"/>
      <c r="M109" s="25">
        <v>4536.8571428571431</v>
      </c>
      <c r="N109" s="38">
        <v>4437.5</v>
      </c>
      <c r="O109" s="10">
        <v>1</v>
      </c>
      <c r="P109" s="11"/>
      <c r="Q109" s="69">
        <f t="shared" si="676"/>
        <v>681</v>
      </c>
      <c r="R109" s="69">
        <f t="shared" si="676"/>
        <v>61</v>
      </c>
      <c r="S109" s="11">
        <v>383</v>
      </c>
      <c r="T109" s="12">
        <f t="shared" si="635"/>
        <v>0.58443465491923641</v>
      </c>
      <c r="U109" s="11">
        <v>15</v>
      </c>
      <c r="V109" s="12">
        <f t="shared" si="636"/>
        <v>3.7688442211055273E-2</v>
      </c>
      <c r="W109" s="13"/>
      <c r="X109" s="11"/>
      <c r="Y109" s="25">
        <v>4484</v>
      </c>
      <c r="Z109" s="38">
        <v>4722.8571428571431</v>
      </c>
      <c r="AA109" s="10"/>
      <c r="AB109" s="11"/>
      <c r="AC109" s="69">
        <f t="shared" si="677"/>
        <v>148</v>
      </c>
      <c r="AD109" s="69">
        <f t="shared" si="677"/>
        <v>8</v>
      </c>
      <c r="AE109" s="11">
        <v>83</v>
      </c>
      <c r="AF109" s="12">
        <f t="shared" si="637"/>
        <v>0.58783783783783783</v>
      </c>
      <c r="AG109" s="11">
        <v>4</v>
      </c>
      <c r="AH109" s="12">
        <f t="shared" si="638"/>
        <v>4.5977011494252873E-2</v>
      </c>
      <c r="AI109" s="13"/>
      <c r="AJ109" s="11"/>
      <c r="AK109" s="25">
        <v>4561.25</v>
      </c>
      <c r="AL109" s="38">
        <v>4410</v>
      </c>
      <c r="AM109" s="10">
        <v>1</v>
      </c>
      <c r="AN109" s="11"/>
      <c r="AO109" s="69">
        <f t="shared" si="678"/>
        <v>697</v>
      </c>
      <c r="AP109" s="69">
        <f t="shared" si="678"/>
        <v>63</v>
      </c>
      <c r="AQ109" s="11">
        <v>352</v>
      </c>
      <c r="AR109" s="12">
        <f t="shared" si="639"/>
        <v>0.52080344332855089</v>
      </c>
      <c r="AS109" s="11">
        <v>11</v>
      </c>
      <c r="AT109" s="12">
        <f t="shared" si="640"/>
        <v>3.0303030303030304E-2</v>
      </c>
      <c r="AU109" s="13"/>
      <c r="AV109" s="11"/>
      <c r="AW109" s="25">
        <v>4426.060606060606</v>
      </c>
      <c r="AX109" s="38">
        <v>4709.2857142857147</v>
      </c>
      <c r="AY109" s="10"/>
      <c r="AZ109" s="11"/>
      <c r="BA109" s="69">
        <f t="shared" si="679"/>
        <v>700</v>
      </c>
      <c r="BB109" s="69">
        <f t="shared" si="679"/>
        <v>61</v>
      </c>
      <c r="BC109" s="11">
        <v>380</v>
      </c>
      <c r="BD109" s="12">
        <f t="shared" si="641"/>
        <v>0.56000000000000005</v>
      </c>
      <c r="BE109" s="11">
        <v>12</v>
      </c>
      <c r="BF109" s="12">
        <f t="shared" si="642"/>
        <v>3.0612244897959183E-2</v>
      </c>
      <c r="BG109" s="13"/>
      <c r="BH109" s="11"/>
      <c r="BI109" s="25">
        <v>4464.545454545455</v>
      </c>
      <c r="BJ109" s="38">
        <v>5140</v>
      </c>
      <c r="BK109" s="10">
        <v>1</v>
      </c>
      <c r="BL109" s="11"/>
      <c r="BM109" s="69">
        <f t="shared" si="680"/>
        <v>693</v>
      </c>
      <c r="BN109" s="69">
        <f t="shared" si="680"/>
        <v>63</v>
      </c>
      <c r="BO109" s="11">
        <v>412</v>
      </c>
      <c r="BP109" s="12">
        <f t="shared" si="643"/>
        <v>0.61183261183261184</v>
      </c>
      <c r="BQ109" s="11">
        <v>12</v>
      </c>
      <c r="BR109" s="12">
        <f t="shared" si="644"/>
        <v>2.8301886792452831E-2</v>
      </c>
      <c r="BS109" s="13"/>
      <c r="BT109" s="11"/>
      <c r="BU109" s="25">
        <v>4694.4444444444443</v>
      </c>
      <c r="BV109" s="38">
        <v>5040</v>
      </c>
      <c r="BW109" s="10"/>
      <c r="BX109" s="11"/>
      <c r="BY109" s="69">
        <f t="shared" si="681"/>
        <v>0</v>
      </c>
      <c r="BZ109" s="69">
        <f t="shared" si="681"/>
        <v>0</v>
      </c>
      <c r="CA109" s="11"/>
      <c r="CB109" s="12" t="e">
        <f t="shared" si="645"/>
        <v>#DIV/0!</v>
      </c>
      <c r="CC109" s="11"/>
      <c r="CD109" s="12" t="e">
        <f t="shared" si="646"/>
        <v>#DIV/0!</v>
      </c>
      <c r="CE109" s="13"/>
      <c r="CF109" s="11"/>
      <c r="CG109" s="25"/>
      <c r="CH109" s="38"/>
      <c r="CI109" s="10"/>
      <c r="CJ109" s="11"/>
      <c r="CK109" s="69">
        <f t="shared" si="682"/>
        <v>0</v>
      </c>
      <c r="CL109" s="69">
        <f t="shared" si="682"/>
        <v>0</v>
      </c>
      <c r="CM109" s="11"/>
      <c r="CN109" s="12" t="e">
        <f t="shared" si="647"/>
        <v>#DIV/0!</v>
      </c>
      <c r="CO109" s="11"/>
      <c r="CP109" s="12" t="e">
        <f t="shared" si="648"/>
        <v>#DIV/0!</v>
      </c>
      <c r="CQ109" s="13"/>
      <c r="CR109" s="11"/>
      <c r="CS109" s="25"/>
      <c r="CT109" s="38"/>
      <c r="CU109" s="10"/>
      <c r="CV109" s="11"/>
      <c r="CW109" s="69">
        <f t="shared" si="683"/>
        <v>0</v>
      </c>
      <c r="CX109" s="69">
        <f t="shared" si="683"/>
        <v>0</v>
      </c>
      <c r="CY109" s="11"/>
      <c r="CZ109" s="12" t="e">
        <f t="shared" si="649"/>
        <v>#DIV/0!</v>
      </c>
      <c r="DA109" s="11"/>
      <c r="DB109" s="12" t="e">
        <f t="shared" si="650"/>
        <v>#DIV/0!</v>
      </c>
      <c r="DC109" s="13"/>
      <c r="DD109" s="11"/>
      <c r="DE109" s="25"/>
      <c r="DF109" s="38"/>
      <c r="DG109" s="10"/>
      <c r="DH109" s="11"/>
      <c r="DI109" s="69">
        <f t="shared" si="684"/>
        <v>0</v>
      </c>
      <c r="DJ109" s="69">
        <f t="shared" si="684"/>
        <v>0</v>
      </c>
      <c r="DK109" s="11"/>
      <c r="DL109" s="12" t="e">
        <f t="shared" si="651"/>
        <v>#DIV/0!</v>
      </c>
      <c r="DM109" s="11"/>
      <c r="DN109" s="12" t="e">
        <f t="shared" si="652"/>
        <v>#DIV/0!</v>
      </c>
      <c r="DO109" s="13"/>
      <c r="DP109" s="11"/>
      <c r="DQ109" s="25"/>
      <c r="DR109" s="38"/>
      <c r="DS109" s="10"/>
      <c r="DT109" s="11"/>
      <c r="DU109" s="69">
        <f t="shared" si="685"/>
        <v>0</v>
      </c>
      <c r="DV109" s="69">
        <f t="shared" si="685"/>
        <v>0</v>
      </c>
      <c r="DW109" s="11"/>
      <c r="DX109" s="12" t="e">
        <f t="shared" si="653"/>
        <v>#DIV/0!</v>
      </c>
      <c r="DY109" s="11"/>
      <c r="DZ109" s="12" t="e">
        <f t="shared" si="654"/>
        <v>#DIV/0!</v>
      </c>
      <c r="EA109" s="13"/>
      <c r="EB109" s="11"/>
      <c r="EC109" s="25"/>
      <c r="ED109" s="38"/>
      <c r="EE109" s="10"/>
      <c r="EF109" s="11"/>
      <c r="EG109" s="69">
        <f t="shared" si="686"/>
        <v>0</v>
      </c>
      <c r="EH109" s="69">
        <f t="shared" si="686"/>
        <v>0</v>
      </c>
      <c r="EI109" s="11"/>
      <c r="EJ109" s="12" t="e">
        <f t="shared" si="655"/>
        <v>#DIV/0!</v>
      </c>
      <c r="EK109" s="11"/>
      <c r="EL109" s="12" t="e">
        <f t="shared" si="656"/>
        <v>#DIV/0!</v>
      </c>
      <c r="EM109" s="13"/>
      <c r="EN109" s="11"/>
      <c r="EO109" s="25"/>
      <c r="EP109" s="38"/>
      <c r="EQ109" s="10"/>
      <c r="ER109" s="11"/>
      <c r="ES109" s="69">
        <f t="shared" si="687"/>
        <v>0</v>
      </c>
      <c r="ET109" s="69">
        <f t="shared" si="687"/>
        <v>0</v>
      </c>
      <c r="EU109" s="11"/>
      <c r="EV109" s="12" t="e">
        <f t="shared" si="657"/>
        <v>#DIV/0!</v>
      </c>
      <c r="EW109" s="11"/>
      <c r="EX109" s="12" t="e">
        <f t="shared" si="658"/>
        <v>#DIV/0!</v>
      </c>
      <c r="EY109" s="13"/>
      <c r="EZ109" s="11"/>
      <c r="FA109" s="25"/>
      <c r="FB109" s="38"/>
      <c r="FC109" s="10"/>
      <c r="FD109" s="11"/>
      <c r="FE109" s="69">
        <f t="shared" si="688"/>
        <v>0</v>
      </c>
      <c r="FF109" s="69">
        <f t="shared" si="688"/>
        <v>0</v>
      </c>
      <c r="FG109" s="11"/>
      <c r="FH109" s="12" t="e">
        <f t="shared" si="659"/>
        <v>#DIV/0!</v>
      </c>
      <c r="FI109" s="11"/>
      <c r="FJ109" s="12" t="e">
        <f t="shared" si="660"/>
        <v>#DIV/0!</v>
      </c>
      <c r="FK109" s="13"/>
      <c r="FL109" s="11"/>
      <c r="FM109" s="25"/>
      <c r="FN109" s="38"/>
      <c r="FO109" s="10"/>
      <c r="FP109" s="11"/>
      <c r="FQ109" s="69">
        <f t="shared" si="689"/>
        <v>0</v>
      </c>
      <c r="FR109" s="69">
        <f t="shared" si="689"/>
        <v>0</v>
      </c>
      <c r="FS109" s="11"/>
      <c r="FT109" s="12" t="e">
        <f t="shared" si="661"/>
        <v>#DIV/0!</v>
      </c>
      <c r="FU109" s="11"/>
      <c r="FV109" s="12" t="e">
        <f t="shared" si="662"/>
        <v>#DIV/0!</v>
      </c>
      <c r="FW109" s="13"/>
      <c r="FX109" s="11"/>
      <c r="FY109" s="25"/>
      <c r="FZ109" s="38"/>
      <c r="GA109" s="10"/>
      <c r="GB109" s="11"/>
      <c r="GC109" s="69">
        <f t="shared" si="690"/>
        <v>0</v>
      </c>
      <c r="GD109" s="69">
        <f t="shared" si="690"/>
        <v>0</v>
      </c>
      <c r="GE109" s="11"/>
      <c r="GF109" s="12" t="e">
        <f t="shared" si="663"/>
        <v>#DIV/0!</v>
      </c>
      <c r="GG109" s="11"/>
      <c r="GH109" s="12" t="e">
        <f t="shared" si="664"/>
        <v>#DIV/0!</v>
      </c>
      <c r="GI109" s="13"/>
      <c r="GJ109" s="11"/>
      <c r="GK109" s="25"/>
      <c r="GL109" s="38"/>
      <c r="GM109" s="10"/>
      <c r="GN109" s="11"/>
      <c r="GO109" s="69">
        <f t="shared" si="691"/>
        <v>0</v>
      </c>
      <c r="GP109" s="69">
        <f t="shared" si="691"/>
        <v>0</v>
      </c>
      <c r="GQ109" s="11"/>
      <c r="GR109" s="12" t="e">
        <f t="shared" si="665"/>
        <v>#DIV/0!</v>
      </c>
      <c r="GS109" s="11"/>
      <c r="GT109" s="12" t="e">
        <f t="shared" si="666"/>
        <v>#DIV/0!</v>
      </c>
      <c r="GU109" s="13"/>
      <c r="GV109" s="11"/>
      <c r="GW109" s="25"/>
      <c r="GX109" s="38"/>
      <c r="GY109" s="10"/>
      <c r="GZ109" s="11"/>
      <c r="HA109" s="69">
        <f t="shared" si="692"/>
        <v>0</v>
      </c>
      <c r="HB109" s="69">
        <f t="shared" si="692"/>
        <v>0</v>
      </c>
      <c r="HC109" s="11"/>
      <c r="HD109" s="12" t="e">
        <f t="shared" si="667"/>
        <v>#DIV/0!</v>
      </c>
      <c r="HE109" s="11"/>
      <c r="HF109" s="12" t="e">
        <f t="shared" si="668"/>
        <v>#DIV/0!</v>
      </c>
      <c r="HG109" s="13"/>
      <c r="HH109" s="11"/>
      <c r="HI109" s="25"/>
      <c r="HJ109" s="38"/>
      <c r="HK109" s="10">
        <f t="shared" si="669"/>
        <v>3</v>
      </c>
      <c r="HL109" s="11">
        <f t="shared" si="669"/>
        <v>0</v>
      </c>
      <c r="HM109" s="11">
        <f t="shared" si="669"/>
        <v>3603</v>
      </c>
      <c r="HN109" s="11">
        <f t="shared" si="669"/>
        <v>319</v>
      </c>
      <c r="HO109" s="11">
        <f t="shared" si="670"/>
        <v>2058</v>
      </c>
      <c r="HP109" s="95">
        <f t="shared" si="671"/>
        <v>0.57119067443796834</v>
      </c>
      <c r="HQ109" s="15">
        <f t="shared" si="672"/>
        <v>64</v>
      </c>
      <c r="HR109" s="12">
        <f t="shared" si="693"/>
        <v>3.1098153547133137E-2</v>
      </c>
      <c r="HS109" s="16">
        <v>66.7</v>
      </c>
      <c r="HT109" s="17">
        <v>1915</v>
      </c>
      <c r="HU109" s="16">
        <f t="shared" si="673"/>
        <v>93.051506316812436</v>
      </c>
      <c r="HV109" s="23">
        <v>4525.6111111111113</v>
      </c>
      <c r="HW109" s="22">
        <v>4749.393939393939</v>
      </c>
    </row>
    <row r="110" spans="1:231" ht="18.75" x14ac:dyDescent="0.25">
      <c r="A110" s="374"/>
      <c r="B110" s="41">
        <f t="shared" si="411"/>
        <v>45024</v>
      </c>
      <c r="C110" s="10"/>
      <c r="D110" s="11"/>
      <c r="E110" s="69">
        <f>E109-C110</f>
        <v>684</v>
      </c>
      <c r="F110" s="69">
        <f>F109-D110</f>
        <v>63</v>
      </c>
      <c r="G110" s="11">
        <v>350</v>
      </c>
      <c r="H110" s="12">
        <f t="shared" si="634"/>
        <v>0.533625730994152</v>
      </c>
      <c r="I110" s="11">
        <v>15</v>
      </c>
      <c r="J110" s="12">
        <f t="shared" si="675"/>
        <v>4.1095890410958902E-2</v>
      </c>
      <c r="K110" s="13"/>
      <c r="L110" s="11"/>
      <c r="M110" s="39">
        <v>82.857142857142861</v>
      </c>
      <c r="N110" s="43">
        <v>100</v>
      </c>
      <c r="O110" s="10"/>
      <c r="P110" s="11"/>
      <c r="Q110" s="69">
        <f t="shared" si="676"/>
        <v>681</v>
      </c>
      <c r="R110" s="69">
        <f t="shared" si="676"/>
        <v>61</v>
      </c>
      <c r="S110" s="11">
        <v>371</v>
      </c>
      <c r="T110" s="12">
        <f t="shared" si="635"/>
        <v>0.55359765051395005</v>
      </c>
      <c r="U110" s="11">
        <v>6</v>
      </c>
      <c r="V110" s="12">
        <f t="shared" si="636"/>
        <v>1.5915119363395226E-2</v>
      </c>
      <c r="W110" s="13"/>
      <c r="X110" s="11"/>
      <c r="Y110" s="39">
        <v>94.285714285714292</v>
      </c>
      <c r="Z110" s="43">
        <v>92.857142857142861</v>
      </c>
      <c r="AA110" s="10"/>
      <c r="AB110" s="11"/>
      <c r="AC110" s="69">
        <f t="shared" si="677"/>
        <v>148</v>
      </c>
      <c r="AD110" s="69">
        <f t="shared" si="677"/>
        <v>8</v>
      </c>
      <c r="AE110" s="11">
        <v>85</v>
      </c>
      <c r="AF110" s="12">
        <f t="shared" si="637"/>
        <v>0.58783783783783783</v>
      </c>
      <c r="AG110" s="11">
        <v>2</v>
      </c>
      <c r="AH110" s="12">
        <f t="shared" si="638"/>
        <v>2.2988505747126436E-2</v>
      </c>
      <c r="AI110" s="13"/>
      <c r="AJ110" s="11"/>
      <c r="AK110" s="39">
        <v>75</v>
      </c>
      <c r="AL110" s="43">
        <v>83.333333333333329</v>
      </c>
      <c r="AM110" s="10"/>
      <c r="AN110" s="11"/>
      <c r="AO110" s="69">
        <f t="shared" si="678"/>
        <v>697</v>
      </c>
      <c r="AP110" s="69">
        <f t="shared" si="678"/>
        <v>63</v>
      </c>
      <c r="AQ110" s="11">
        <v>356</v>
      </c>
      <c r="AR110" s="12">
        <f t="shared" si="639"/>
        <v>0.52654232424677183</v>
      </c>
      <c r="AS110" s="11">
        <v>11</v>
      </c>
      <c r="AT110" s="12">
        <f t="shared" si="640"/>
        <v>2.9972752043596729E-2</v>
      </c>
      <c r="AU110" s="13"/>
      <c r="AV110" s="11"/>
      <c r="AW110" s="39">
        <v>90.909090909090907</v>
      </c>
      <c r="AX110" s="43">
        <v>92.857142857142861</v>
      </c>
      <c r="AY110" s="10">
        <v>1</v>
      </c>
      <c r="AZ110" s="11"/>
      <c r="BA110" s="69">
        <f t="shared" si="679"/>
        <v>699</v>
      </c>
      <c r="BB110" s="69">
        <f t="shared" si="679"/>
        <v>61</v>
      </c>
      <c r="BC110" s="11">
        <v>381</v>
      </c>
      <c r="BD110" s="12">
        <f t="shared" si="641"/>
        <v>0.55650929899856938</v>
      </c>
      <c r="BE110" s="11">
        <v>8</v>
      </c>
      <c r="BF110" s="12">
        <f t="shared" si="642"/>
        <v>2.056555269922879E-2</v>
      </c>
      <c r="BG110" s="13"/>
      <c r="BH110" s="11"/>
      <c r="BI110" s="39">
        <v>93.939393939393938</v>
      </c>
      <c r="BJ110" s="43">
        <v>100</v>
      </c>
      <c r="BK110" s="10">
        <v>1</v>
      </c>
      <c r="BL110" s="11"/>
      <c r="BM110" s="69">
        <f t="shared" si="680"/>
        <v>692</v>
      </c>
      <c r="BN110" s="69">
        <f t="shared" si="680"/>
        <v>63</v>
      </c>
      <c r="BO110" s="11">
        <v>376</v>
      </c>
      <c r="BP110" s="12">
        <f t="shared" si="643"/>
        <v>0.55635838150289019</v>
      </c>
      <c r="BQ110" s="11">
        <v>9</v>
      </c>
      <c r="BR110" s="12">
        <f t="shared" si="644"/>
        <v>2.3376623376623377E-2</v>
      </c>
      <c r="BS110" s="13"/>
      <c r="BT110" s="11"/>
      <c r="BU110" s="39">
        <v>83.333333333333329</v>
      </c>
      <c r="BV110" s="43">
        <v>100</v>
      </c>
      <c r="BW110" s="10"/>
      <c r="BX110" s="11"/>
      <c r="BY110" s="69">
        <f t="shared" si="681"/>
        <v>0</v>
      </c>
      <c r="BZ110" s="69">
        <f t="shared" si="681"/>
        <v>0</v>
      </c>
      <c r="CA110" s="11"/>
      <c r="CB110" s="12" t="e">
        <f t="shared" si="645"/>
        <v>#DIV/0!</v>
      </c>
      <c r="CC110" s="11"/>
      <c r="CD110" s="12" t="e">
        <f t="shared" si="646"/>
        <v>#DIV/0!</v>
      </c>
      <c r="CE110" s="13"/>
      <c r="CF110" s="11"/>
      <c r="CG110" s="39"/>
      <c r="CH110" s="43"/>
      <c r="CI110" s="10"/>
      <c r="CJ110" s="11"/>
      <c r="CK110" s="69">
        <f t="shared" si="682"/>
        <v>0</v>
      </c>
      <c r="CL110" s="69">
        <f t="shared" si="682"/>
        <v>0</v>
      </c>
      <c r="CM110" s="11"/>
      <c r="CN110" s="12" t="e">
        <f t="shared" si="647"/>
        <v>#DIV/0!</v>
      </c>
      <c r="CO110" s="11"/>
      <c r="CP110" s="12" t="e">
        <f t="shared" si="648"/>
        <v>#DIV/0!</v>
      </c>
      <c r="CQ110" s="13"/>
      <c r="CR110" s="11"/>
      <c r="CS110" s="39"/>
      <c r="CT110" s="43"/>
      <c r="CU110" s="10"/>
      <c r="CV110" s="11"/>
      <c r="CW110" s="69">
        <f t="shared" si="683"/>
        <v>0</v>
      </c>
      <c r="CX110" s="69">
        <f t="shared" si="683"/>
        <v>0</v>
      </c>
      <c r="CY110" s="11"/>
      <c r="CZ110" s="12" t="e">
        <f t="shared" si="649"/>
        <v>#DIV/0!</v>
      </c>
      <c r="DA110" s="11"/>
      <c r="DB110" s="12" t="e">
        <f t="shared" si="650"/>
        <v>#DIV/0!</v>
      </c>
      <c r="DC110" s="13"/>
      <c r="DD110" s="11"/>
      <c r="DE110" s="39"/>
      <c r="DF110" s="43"/>
      <c r="DG110" s="10"/>
      <c r="DH110" s="11"/>
      <c r="DI110" s="69">
        <f t="shared" si="684"/>
        <v>0</v>
      </c>
      <c r="DJ110" s="69">
        <f t="shared" si="684"/>
        <v>0</v>
      </c>
      <c r="DK110" s="11"/>
      <c r="DL110" s="12" t="e">
        <f t="shared" si="651"/>
        <v>#DIV/0!</v>
      </c>
      <c r="DM110" s="11"/>
      <c r="DN110" s="12" t="e">
        <f t="shared" si="652"/>
        <v>#DIV/0!</v>
      </c>
      <c r="DO110" s="13"/>
      <c r="DP110" s="11"/>
      <c r="DQ110" s="39"/>
      <c r="DR110" s="43"/>
      <c r="DS110" s="10"/>
      <c r="DT110" s="11"/>
      <c r="DU110" s="69">
        <f t="shared" si="685"/>
        <v>0</v>
      </c>
      <c r="DV110" s="69">
        <f t="shared" si="685"/>
        <v>0</v>
      </c>
      <c r="DW110" s="11"/>
      <c r="DX110" s="12" t="e">
        <f t="shared" si="653"/>
        <v>#DIV/0!</v>
      </c>
      <c r="DY110" s="11"/>
      <c r="DZ110" s="12" t="e">
        <f t="shared" si="654"/>
        <v>#DIV/0!</v>
      </c>
      <c r="EA110" s="13"/>
      <c r="EB110" s="11"/>
      <c r="EC110" s="39"/>
      <c r="ED110" s="43"/>
      <c r="EE110" s="10"/>
      <c r="EF110" s="11"/>
      <c r="EG110" s="69">
        <f t="shared" si="686"/>
        <v>0</v>
      </c>
      <c r="EH110" s="69">
        <f t="shared" si="686"/>
        <v>0</v>
      </c>
      <c r="EI110" s="11"/>
      <c r="EJ110" s="12" t="e">
        <f t="shared" si="655"/>
        <v>#DIV/0!</v>
      </c>
      <c r="EK110" s="11"/>
      <c r="EL110" s="12" t="e">
        <f t="shared" si="656"/>
        <v>#DIV/0!</v>
      </c>
      <c r="EM110" s="13"/>
      <c r="EN110" s="11"/>
      <c r="EO110" s="39"/>
      <c r="EP110" s="43"/>
      <c r="EQ110" s="10"/>
      <c r="ER110" s="11"/>
      <c r="ES110" s="69">
        <f t="shared" si="687"/>
        <v>0</v>
      </c>
      <c r="ET110" s="69">
        <f t="shared" si="687"/>
        <v>0</v>
      </c>
      <c r="EU110" s="11"/>
      <c r="EV110" s="12" t="e">
        <f t="shared" si="657"/>
        <v>#DIV/0!</v>
      </c>
      <c r="EW110" s="11"/>
      <c r="EX110" s="12" t="e">
        <f t="shared" si="658"/>
        <v>#DIV/0!</v>
      </c>
      <c r="EY110" s="13"/>
      <c r="EZ110" s="11"/>
      <c r="FA110" s="39"/>
      <c r="FB110" s="43"/>
      <c r="FC110" s="10"/>
      <c r="FD110" s="11"/>
      <c r="FE110" s="69">
        <f t="shared" si="688"/>
        <v>0</v>
      </c>
      <c r="FF110" s="69">
        <f t="shared" si="688"/>
        <v>0</v>
      </c>
      <c r="FG110" s="11"/>
      <c r="FH110" s="12" t="e">
        <f t="shared" si="659"/>
        <v>#DIV/0!</v>
      </c>
      <c r="FI110" s="11"/>
      <c r="FJ110" s="12" t="e">
        <f t="shared" si="660"/>
        <v>#DIV/0!</v>
      </c>
      <c r="FK110" s="13"/>
      <c r="FL110" s="11"/>
      <c r="FM110" s="39"/>
      <c r="FN110" s="43"/>
      <c r="FO110" s="10"/>
      <c r="FP110" s="11"/>
      <c r="FQ110" s="69">
        <f t="shared" si="689"/>
        <v>0</v>
      </c>
      <c r="FR110" s="69">
        <f t="shared" si="689"/>
        <v>0</v>
      </c>
      <c r="FS110" s="11"/>
      <c r="FT110" s="12" t="e">
        <f t="shared" si="661"/>
        <v>#DIV/0!</v>
      </c>
      <c r="FU110" s="11"/>
      <c r="FV110" s="12" t="e">
        <f t="shared" si="662"/>
        <v>#DIV/0!</v>
      </c>
      <c r="FW110" s="13"/>
      <c r="FX110" s="11"/>
      <c r="FY110" s="39"/>
      <c r="FZ110" s="43"/>
      <c r="GA110" s="10"/>
      <c r="GB110" s="11"/>
      <c r="GC110" s="69">
        <f t="shared" si="690"/>
        <v>0</v>
      </c>
      <c r="GD110" s="69">
        <f t="shared" si="690"/>
        <v>0</v>
      </c>
      <c r="GE110" s="11"/>
      <c r="GF110" s="12" t="e">
        <f t="shared" si="663"/>
        <v>#DIV/0!</v>
      </c>
      <c r="GG110" s="11"/>
      <c r="GH110" s="12" t="e">
        <f t="shared" si="664"/>
        <v>#DIV/0!</v>
      </c>
      <c r="GI110" s="13"/>
      <c r="GJ110" s="11"/>
      <c r="GK110" s="39"/>
      <c r="GL110" s="43"/>
      <c r="GM110" s="10"/>
      <c r="GN110" s="11"/>
      <c r="GO110" s="69">
        <f t="shared" si="691"/>
        <v>0</v>
      </c>
      <c r="GP110" s="69">
        <f t="shared" si="691"/>
        <v>0</v>
      </c>
      <c r="GQ110" s="11"/>
      <c r="GR110" s="12" t="e">
        <f t="shared" si="665"/>
        <v>#DIV/0!</v>
      </c>
      <c r="GS110" s="11"/>
      <c r="GT110" s="12" t="e">
        <f t="shared" si="666"/>
        <v>#DIV/0!</v>
      </c>
      <c r="GU110" s="13"/>
      <c r="GV110" s="11"/>
      <c r="GW110" s="39"/>
      <c r="GX110" s="43"/>
      <c r="GY110" s="10"/>
      <c r="GZ110" s="11"/>
      <c r="HA110" s="69">
        <f t="shared" si="692"/>
        <v>0</v>
      </c>
      <c r="HB110" s="69">
        <f t="shared" si="692"/>
        <v>0</v>
      </c>
      <c r="HC110" s="11"/>
      <c r="HD110" s="12" t="e">
        <f t="shared" si="667"/>
        <v>#DIV/0!</v>
      </c>
      <c r="HE110" s="11"/>
      <c r="HF110" s="12" t="e">
        <f t="shared" si="668"/>
        <v>#DIV/0!</v>
      </c>
      <c r="HG110" s="13"/>
      <c r="HH110" s="11"/>
      <c r="HI110" s="39"/>
      <c r="HJ110" s="43"/>
      <c r="HK110" s="10">
        <f t="shared" si="669"/>
        <v>2</v>
      </c>
      <c r="HL110" s="11">
        <f t="shared" si="669"/>
        <v>0</v>
      </c>
      <c r="HM110" s="11">
        <f t="shared" si="669"/>
        <v>3601</v>
      </c>
      <c r="HN110" s="11">
        <f t="shared" si="669"/>
        <v>319</v>
      </c>
      <c r="HO110" s="11">
        <f t="shared" si="670"/>
        <v>1970</v>
      </c>
      <c r="HP110" s="95">
        <f t="shared" si="671"/>
        <v>0.54707025826159406</v>
      </c>
      <c r="HQ110" s="15">
        <f t="shared" si="672"/>
        <v>51</v>
      </c>
      <c r="HR110" s="12">
        <f t="shared" si="693"/>
        <v>2.5888324873096447E-2</v>
      </c>
      <c r="HS110" s="16">
        <v>66.5</v>
      </c>
      <c r="HT110" s="17">
        <v>1849</v>
      </c>
      <c r="HU110" s="16">
        <f t="shared" si="673"/>
        <v>93.857868020304565</v>
      </c>
      <c r="HV110" s="23">
        <v>86.666666666666671</v>
      </c>
      <c r="HW110" s="22">
        <v>83.333333333333329</v>
      </c>
    </row>
    <row r="111" spans="1:231" ht="19.5" thickBot="1" x14ac:dyDescent="0.3">
      <c r="A111" s="374"/>
      <c r="B111" s="42"/>
      <c r="C111" s="26">
        <f>SUM(C104:C110)</f>
        <v>8</v>
      </c>
      <c r="D111" s="27">
        <f>SUM(D104:D110)</f>
        <v>0</v>
      </c>
      <c r="E111" s="27"/>
      <c r="F111" s="27"/>
      <c r="G111" s="27">
        <f>SUM(G104:G110)</f>
        <v>2505</v>
      </c>
      <c r="H111" s="28">
        <f>((G111+I111)/7)/E110</f>
        <v>0.54511278195488722</v>
      </c>
      <c r="I111" s="27">
        <f>SUM(I104:I110)</f>
        <v>105</v>
      </c>
      <c r="J111" s="28">
        <f>(I111/(I111+G111))</f>
        <v>4.0229885057471264E-2</v>
      </c>
      <c r="K111" s="27"/>
      <c r="L111" s="27"/>
      <c r="M111" s="29">
        <f>M109/M108*100-100</f>
        <v>13.848359921132825</v>
      </c>
      <c r="N111" s="67">
        <f>N109/N108*100-100</f>
        <v>1.3127853881278497</v>
      </c>
      <c r="O111" s="26">
        <f>SUM(O104:O110)</f>
        <v>2</v>
      </c>
      <c r="P111" s="27">
        <f>SUM(P104:P110)</f>
        <v>1</v>
      </c>
      <c r="Q111" s="27"/>
      <c r="R111" s="27"/>
      <c r="S111" s="27">
        <f>SUM(S104:S110)</f>
        <v>2605</v>
      </c>
      <c r="T111" s="28">
        <f>((S111+U111)/7)/Q110</f>
        <v>0.56681350954478704</v>
      </c>
      <c r="U111" s="27">
        <f>SUM(U104:U110)</f>
        <v>97</v>
      </c>
      <c r="V111" s="28">
        <f>(U111/(U111+S111))</f>
        <v>3.5899333826794964E-2</v>
      </c>
      <c r="W111" s="27"/>
      <c r="X111" s="27"/>
      <c r="Y111" s="29">
        <f>Y109/Y108*100-100</f>
        <v>12.521957340025097</v>
      </c>
      <c r="Z111" s="67">
        <f>Z109/Z108*100-100</f>
        <v>7.8277886497064628</v>
      </c>
      <c r="AA111" s="26">
        <f>SUM(AA104:AA110)</f>
        <v>0</v>
      </c>
      <c r="AB111" s="27">
        <f>SUM(AB104:AB110)</f>
        <v>0</v>
      </c>
      <c r="AC111" s="27"/>
      <c r="AD111" s="27"/>
      <c r="AE111" s="27">
        <f>SUM(AE104:AE110)</f>
        <v>594</v>
      </c>
      <c r="AF111" s="28">
        <f>((AE111+AG111)/7)/AC110</f>
        <v>0.59459459459459463</v>
      </c>
      <c r="AG111" s="27">
        <f>SUM(AG104:AG110)</f>
        <v>22</v>
      </c>
      <c r="AH111" s="28">
        <f>(AG111/(AG111+AE111))</f>
        <v>3.5714285714285712E-2</v>
      </c>
      <c r="AI111" s="27"/>
      <c r="AJ111" s="27"/>
      <c r="AK111" s="29">
        <f>AK109/AK108*100-100</f>
        <v>14.460476787954832</v>
      </c>
      <c r="AL111" s="67">
        <f>AL109/AL108*100-100</f>
        <v>0.68493150684932402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2515</v>
      </c>
      <c r="AR111" s="28">
        <f>((AQ111+AS111)/7)/AO110</f>
        <v>0.53453576552572246</v>
      </c>
      <c r="AS111" s="27">
        <f>SUM(AS104:AS110)</f>
        <v>93</v>
      </c>
      <c r="AT111" s="28">
        <f>(AS111/(AS111+AQ111))</f>
        <v>3.565950920245399E-2</v>
      </c>
      <c r="AU111" s="27"/>
      <c r="AV111" s="27"/>
      <c r="AW111" s="29">
        <f>AW109/AW108*100-100</f>
        <v>11.068020227367768</v>
      </c>
      <c r="AX111" s="67">
        <f>AX109/AX108*100-100</f>
        <v>7.5179386823222387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2608</v>
      </c>
      <c r="BD111" s="28">
        <f>((BC111+BE111)/7)/BA110</f>
        <v>0.55180870631514412</v>
      </c>
      <c r="BE111" s="27">
        <f>SUM(BE104:BE110)</f>
        <v>92</v>
      </c>
      <c r="BF111" s="28">
        <f>(BE111/(BE111+BC111))</f>
        <v>3.4074074074074076E-2</v>
      </c>
      <c r="BG111" s="27"/>
      <c r="BH111" s="27"/>
      <c r="BI111" s="29">
        <f>BI109/BI108*100-100</f>
        <v>12.033762974791841</v>
      </c>
      <c r="BJ111" s="67">
        <f>BJ109/BJ108*100-100</f>
        <v>17.351598173515995</v>
      </c>
      <c r="BK111" s="26">
        <f>SUM(BK104:BK110)</f>
        <v>4</v>
      </c>
      <c r="BL111" s="27">
        <f>SUM(BL104:BL110)</f>
        <v>0</v>
      </c>
      <c r="BM111" s="27"/>
      <c r="BN111" s="27"/>
      <c r="BO111" s="27">
        <f>SUM(BO104:BO110)</f>
        <v>2714</v>
      </c>
      <c r="BP111" s="28">
        <f>((BO111+BQ111)/7)/BM110</f>
        <v>0.57617671345995047</v>
      </c>
      <c r="BQ111" s="27">
        <f>SUM(BQ104:BQ110)</f>
        <v>77</v>
      </c>
      <c r="BR111" s="28">
        <f>(BQ111/(BQ111+BO111))</f>
        <v>2.7588677893228233E-2</v>
      </c>
      <c r="BS111" s="27"/>
      <c r="BT111" s="27"/>
      <c r="BU111" s="29">
        <f>BU109/BU108*100-100</f>
        <v>17.802871880663602</v>
      </c>
      <c r="BV111" s="67">
        <f>BV109/BV108*100-100</f>
        <v>15.06849315068493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7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7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7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7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7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7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7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7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7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7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7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7" t="e">
        <f>HJ109/HJ108*100-100</f>
        <v>#DIV/0!</v>
      </c>
      <c r="HK111" s="26">
        <f t="shared" si="669"/>
        <v>19</v>
      </c>
      <c r="HL111" s="27">
        <f t="shared" si="669"/>
        <v>1</v>
      </c>
      <c r="HM111" s="27">
        <f t="shared" si="669"/>
        <v>0</v>
      </c>
      <c r="HN111" s="27">
        <f t="shared" si="669"/>
        <v>0</v>
      </c>
      <c r="HO111" s="27">
        <f t="shared" si="670"/>
        <v>14027</v>
      </c>
      <c r="HP111" s="96">
        <f>+((HO111)/HM110)/7</f>
        <v>0.55647240845796797</v>
      </c>
      <c r="HQ111" s="62">
        <f t="shared" si="672"/>
        <v>486</v>
      </c>
      <c r="HR111" s="52">
        <f t="shared" si="693"/>
        <v>3.464746560205318E-2</v>
      </c>
      <c r="HS111" s="53">
        <f>SUM(HS104:HS110)/7</f>
        <v>66.499999999999986</v>
      </c>
      <c r="HT111" s="54">
        <f>SUM(HT104:HT110)</f>
        <v>12971</v>
      </c>
      <c r="HU111" s="53">
        <f>AVERAGE(HU104:HU110)</f>
        <v>92.471130342649374</v>
      </c>
      <c r="HV111" s="63">
        <f>HV109/HV108*100-100</f>
        <v>13.566150843440681</v>
      </c>
      <c r="HW111" s="67">
        <f>HW109/HW108*100-100</f>
        <v>8.4336515843365163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5.2486187845303869E-3</v>
      </c>
      <c r="HL112" s="66">
        <f>HL111/HN101</f>
        <v>3.1250000000000002E-3</v>
      </c>
      <c r="HM112" s="45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373">
        <v>37</v>
      </c>
      <c r="B113" s="68">
        <f>B110+1</f>
        <v>45025</v>
      </c>
      <c r="C113" s="33"/>
      <c r="D113" s="34"/>
      <c r="E113" s="34">
        <f>E110-C113</f>
        <v>684</v>
      </c>
      <c r="F113" s="34">
        <f>F110-D113</f>
        <v>63</v>
      </c>
      <c r="G113" s="34">
        <v>350</v>
      </c>
      <c r="H113" s="35">
        <f t="shared" ref="H113:H119" si="694">((G113+I113)/E113)</f>
        <v>0.52485380116959068</v>
      </c>
      <c r="I113" s="34">
        <v>9</v>
      </c>
      <c r="J113" s="35">
        <f>I113/(G113+I113)</f>
        <v>2.5069637883008356E-2</v>
      </c>
      <c r="K113" s="36"/>
      <c r="L113" s="34"/>
      <c r="M113" s="34"/>
      <c r="N113" s="37"/>
      <c r="O113" s="33">
        <v>1</v>
      </c>
      <c r="P113" s="34"/>
      <c r="Q113" s="34">
        <f>Q110-O113</f>
        <v>680</v>
      </c>
      <c r="R113" s="34">
        <f>R110-P113</f>
        <v>61</v>
      </c>
      <c r="S113" s="34">
        <v>373</v>
      </c>
      <c r="T113" s="35">
        <f t="shared" ref="T113:T119" si="695">((S113+U113)/Q113)</f>
        <v>0.56617647058823528</v>
      </c>
      <c r="U113" s="34">
        <v>12</v>
      </c>
      <c r="V113" s="35">
        <f t="shared" ref="V113:V119" si="696">U113/(S113+U113)</f>
        <v>3.1168831168831169E-2</v>
      </c>
      <c r="W113" s="36"/>
      <c r="X113" s="34"/>
      <c r="Y113" s="34"/>
      <c r="Z113" s="37"/>
      <c r="AA113" s="33"/>
      <c r="AB113" s="34"/>
      <c r="AC113" s="34">
        <f>AC110-AA113</f>
        <v>148</v>
      </c>
      <c r="AD113" s="34">
        <f>AD110-AB113</f>
        <v>8</v>
      </c>
      <c r="AE113" s="34">
        <v>75</v>
      </c>
      <c r="AF113" s="35">
        <f t="shared" ref="AF113:AF119" si="697">((AE113+AG113)/AC113)</f>
        <v>0.53378378378378377</v>
      </c>
      <c r="AG113" s="34">
        <v>4</v>
      </c>
      <c r="AH113" s="35">
        <f t="shared" ref="AH113:AH119" si="698">AG113/(AE113+AG113)</f>
        <v>5.0632911392405063E-2</v>
      </c>
      <c r="AI113" s="36"/>
      <c r="AJ113" s="34"/>
      <c r="AK113" s="34"/>
      <c r="AL113" s="37"/>
      <c r="AM113" s="33"/>
      <c r="AN113" s="34"/>
      <c r="AO113" s="34">
        <f>AO110-AM113</f>
        <v>697</v>
      </c>
      <c r="AP113" s="34">
        <f>AP110-AN113</f>
        <v>63</v>
      </c>
      <c r="AQ113" s="34">
        <v>359</v>
      </c>
      <c r="AR113" s="35">
        <f t="shared" ref="AR113:AR119" si="699">((AQ113+AS113)/AO113)</f>
        <v>0.52941176470588236</v>
      </c>
      <c r="AS113" s="34">
        <v>10</v>
      </c>
      <c r="AT113" s="35">
        <f t="shared" ref="AT113:AT119" si="700">AS113/(AQ113+AS113)</f>
        <v>2.7100271002710029E-2</v>
      </c>
      <c r="AU113" s="36"/>
      <c r="AV113" s="34"/>
      <c r="AW113" s="34"/>
      <c r="AX113" s="37"/>
      <c r="AY113" s="33"/>
      <c r="AZ113" s="34">
        <v>1</v>
      </c>
      <c r="BA113" s="34">
        <f>BA110-AY113</f>
        <v>699</v>
      </c>
      <c r="BB113" s="34">
        <f>BB110-AZ113</f>
        <v>60</v>
      </c>
      <c r="BC113" s="34">
        <v>363</v>
      </c>
      <c r="BD113" s="35">
        <f t="shared" ref="BD113:BD119" si="701">((BC113+BE113)/BA113)</f>
        <v>0.52932761087267521</v>
      </c>
      <c r="BE113" s="34">
        <v>7</v>
      </c>
      <c r="BF113" s="35">
        <f t="shared" ref="BF113:BF119" si="702">BE113/(BC113+BE113)</f>
        <v>1.891891891891892E-2</v>
      </c>
      <c r="BG113" s="36"/>
      <c r="BH113" s="34"/>
      <c r="BI113" s="34"/>
      <c r="BJ113" s="37"/>
      <c r="BK113" s="33"/>
      <c r="BL113" s="34"/>
      <c r="BM113" s="34">
        <f>BM110-BK113</f>
        <v>692</v>
      </c>
      <c r="BN113" s="34">
        <f>BN110-BL113</f>
        <v>63</v>
      </c>
      <c r="BO113" s="34">
        <v>371</v>
      </c>
      <c r="BP113" s="35">
        <f t="shared" ref="BP113:BP119" si="703">((BO113+BQ113)/BM113)</f>
        <v>0.54768786127167635</v>
      </c>
      <c r="BQ113" s="34">
        <v>8</v>
      </c>
      <c r="BR113" s="35">
        <f t="shared" ref="BR113:BR119" si="704">BQ113/(BO113+BQ113)</f>
        <v>2.1108179419525065E-2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05">((CA113+CC113)/BY113)</f>
        <v>#DIV/0!</v>
      </c>
      <c r="CC113" s="34"/>
      <c r="CD113" s="35" t="e">
        <f t="shared" ref="CD113:CD119" si="706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07">((CM113+CO113)/CK113)</f>
        <v>#DIV/0!</v>
      </c>
      <c r="CO113" s="34"/>
      <c r="CP113" s="35" t="e">
        <f t="shared" ref="CP113:CP119" si="708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09">((CY113+DA113)/CW113)</f>
        <v>#DIV/0!</v>
      </c>
      <c r="DA113" s="34"/>
      <c r="DB113" s="35" t="e">
        <f t="shared" ref="DB113:DB119" si="710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11">((DK113+DM113)/DI113)</f>
        <v>#DIV/0!</v>
      </c>
      <c r="DM113" s="34"/>
      <c r="DN113" s="35" t="e">
        <f t="shared" ref="DN113:DN119" si="712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13">((DW113+DY113)/DU113)</f>
        <v>#DIV/0!</v>
      </c>
      <c r="DY113" s="34"/>
      <c r="DZ113" s="35" t="e">
        <f t="shared" ref="DZ113:DZ119" si="714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15">((EI113+EK113)/EG113)</f>
        <v>#DIV/0!</v>
      </c>
      <c r="EK113" s="34"/>
      <c r="EL113" s="35" t="e">
        <f t="shared" ref="EL113:EL119" si="716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17">((EU113+EW113)/ES113)</f>
        <v>#DIV/0!</v>
      </c>
      <c r="EW113" s="34"/>
      <c r="EX113" s="35" t="e">
        <f t="shared" ref="EX113:EX119" si="718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19">((FG113+FI113)/FE113)</f>
        <v>#DIV/0!</v>
      </c>
      <c r="FI113" s="34"/>
      <c r="FJ113" s="35" t="e">
        <f t="shared" ref="FJ113:FJ119" si="720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21">((FS113+FU113)/FQ113)</f>
        <v>#DIV/0!</v>
      </c>
      <c r="FU113" s="34"/>
      <c r="FV113" s="35" t="e">
        <f t="shared" ref="FV113:FV119" si="722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23">((GE113+GG113)/GC113)</f>
        <v>#DIV/0!</v>
      </c>
      <c r="GG113" s="34"/>
      <c r="GH113" s="35" t="e">
        <f t="shared" ref="GH113:GH119" si="724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25">((GQ113+GS113)/GO113)</f>
        <v>#DIV/0!</v>
      </c>
      <c r="GS113" s="34"/>
      <c r="GT113" s="35" t="e">
        <f t="shared" ref="GT113:GT119" si="726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27">((HC113+HE113)/HA113)</f>
        <v>#DIV/0!</v>
      </c>
      <c r="HE113" s="34"/>
      <c r="HF113" s="35" t="e">
        <f t="shared" ref="HF113:HF119" si="728">HE113/(HC113+HE113)</f>
        <v>#DIV/0!</v>
      </c>
      <c r="HG113" s="36"/>
      <c r="HH113" s="34"/>
      <c r="HI113" s="34"/>
      <c r="HJ113" s="37"/>
      <c r="HK113" s="33">
        <f t="shared" ref="HK113:HN120" si="729">+C113+O113+AA113+AM113+AY113+BK113+BW113+CI113+CU113+DG113+DS113+EE113+EQ113+FC113+FO113+GA113+GM113+GY113</f>
        <v>1</v>
      </c>
      <c r="HL113" s="34">
        <f t="shared" si="729"/>
        <v>1</v>
      </c>
      <c r="HM113" s="34">
        <f t="shared" si="729"/>
        <v>3600</v>
      </c>
      <c r="HN113" s="34">
        <f t="shared" si="729"/>
        <v>318</v>
      </c>
      <c r="HO113" s="34">
        <f t="shared" ref="HO113:HO120" si="730">+G113+S113+AE113+AQ113+BC113+BO113+CA113+CM113+CY113+DK113+DW113+EI113+EU113+FG113+FS113+GE113+GQ113+HC113+I113+U113+AG113+AS113+BE113+BQ113+CC113+CO113+DA113+DM113+DY113+EK113+EW113+FI113+FU113+GG113+GS113+HE113</f>
        <v>1941</v>
      </c>
      <c r="HP113" s="94">
        <f t="shared" ref="HP113:HP119" si="731">+(HO113)/HM113</f>
        <v>0.53916666666666668</v>
      </c>
      <c r="HQ113" s="48">
        <f t="shared" ref="HQ113:HQ120" si="732">+I113+U113+AG113+AS113+BE113+BQ113+CC113+CO113+DA113+DM113+DY113+EK113+EW113+FI113+FU113+GG113+GS113+HE113</f>
        <v>50</v>
      </c>
      <c r="HR113" s="35">
        <f>+(HQ113/(HO113))</f>
        <v>2.575991756826378E-2</v>
      </c>
      <c r="HS113" s="49">
        <v>66.7</v>
      </c>
      <c r="HT113" s="50">
        <v>1809</v>
      </c>
      <c r="HU113" s="49">
        <f t="shared" ref="HU113:HU119" si="733">+HT113/HO113*100</f>
        <v>93.199381761978358</v>
      </c>
      <c r="HV113" s="48"/>
      <c r="HW113" s="37"/>
    </row>
    <row r="114" spans="1:231" ht="18.75" x14ac:dyDescent="0.25">
      <c r="A114" s="374"/>
      <c r="B114" s="41">
        <f t="shared" si="411"/>
        <v>45026</v>
      </c>
      <c r="C114" s="10"/>
      <c r="D114" s="11">
        <v>3</v>
      </c>
      <c r="E114" s="69">
        <f t="shared" ref="E114:F118" si="734">E113-C114</f>
        <v>684</v>
      </c>
      <c r="F114" s="69">
        <f t="shared" si="734"/>
        <v>60</v>
      </c>
      <c r="G114" s="11">
        <v>361</v>
      </c>
      <c r="H114" s="12">
        <f t="shared" si="694"/>
        <v>0.54970760233918126</v>
      </c>
      <c r="I114" s="11">
        <v>15</v>
      </c>
      <c r="J114" s="12">
        <f t="shared" ref="J114:J119" si="735">I114/(G114+I114)</f>
        <v>3.9893617021276598E-2</v>
      </c>
      <c r="K114" s="13"/>
      <c r="L114" s="11"/>
      <c r="M114" s="11"/>
      <c r="N114" s="14"/>
      <c r="O114" s="10"/>
      <c r="P114" s="11">
        <v>3</v>
      </c>
      <c r="Q114" s="69">
        <f t="shared" ref="Q114:R119" si="736">Q113-O114</f>
        <v>680</v>
      </c>
      <c r="R114" s="69">
        <f t="shared" si="736"/>
        <v>58</v>
      </c>
      <c r="S114" s="11">
        <v>351</v>
      </c>
      <c r="T114" s="12">
        <f t="shared" si="695"/>
        <v>0.54264705882352937</v>
      </c>
      <c r="U114" s="11">
        <v>18</v>
      </c>
      <c r="V114" s="12">
        <f t="shared" si="696"/>
        <v>4.878048780487805E-2</v>
      </c>
      <c r="W114" s="13"/>
      <c r="X114" s="11"/>
      <c r="Y114" s="11"/>
      <c r="Z114" s="14"/>
      <c r="AA114" s="10">
        <v>2</v>
      </c>
      <c r="AB114" s="11">
        <v>1</v>
      </c>
      <c r="AC114" s="69">
        <f t="shared" ref="AC114:AD119" si="737">AC113-AA114</f>
        <v>146</v>
      </c>
      <c r="AD114" s="69">
        <f t="shared" si="737"/>
        <v>7</v>
      </c>
      <c r="AE114" s="11">
        <v>78</v>
      </c>
      <c r="AF114" s="12">
        <f t="shared" si="697"/>
        <v>0.56164383561643838</v>
      </c>
      <c r="AG114" s="11">
        <v>4</v>
      </c>
      <c r="AH114" s="12">
        <f t="shared" si="698"/>
        <v>4.878048780487805E-2</v>
      </c>
      <c r="AI114" s="13"/>
      <c r="AJ114" s="11"/>
      <c r="AK114" s="11"/>
      <c r="AL114" s="14"/>
      <c r="AM114" s="10"/>
      <c r="AN114" s="11">
        <v>3</v>
      </c>
      <c r="AO114" s="69">
        <f t="shared" ref="AO114:AP119" si="738">AO113-AM114</f>
        <v>697</v>
      </c>
      <c r="AP114" s="69">
        <f t="shared" si="738"/>
        <v>60</v>
      </c>
      <c r="AQ114" s="11">
        <v>342</v>
      </c>
      <c r="AR114" s="12">
        <f t="shared" si="699"/>
        <v>0.50789096126255384</v>
      </c>
      <c r="AS114" s="11">
        <v>12</v>
      </c>
      <c r="AT114" s="12">
        <f t="shared" si="700"/>
        <v>3.3898305084745763E-2</v>
      </c>
      <c r="AU114" s="13"/>
      <c r="AV114" s="11"/>
      <c r="AW114" s="11"/>
      <c r="AX114" s="14"/>
      <c r="AY114" s="10"/>
      <c r="AZ114" s="11">
        <v>3</v>
      </c>
      <c r="BA114" s="69">
        <f t="shared" ref="BA114:BB119" si="739">BA113-AY114</f>
        <v>699</v>
      </c>
      <c r="BB114" s="69">
        <f t="shared" si="739"/>
        <v>57</v>
      </c>
      <c r="BC114" s="11">
        <v>360</v>
      </c>
      <c r="BD114" s="12">
        <f t="shared" si="701"/>
        <v>0.52789699570815452</v>
      </c>
      <c r="BE114" s="11">
        <v>9</v>
      </c>
      <c r="BF114" s="12">
        <f t="shared" si="702"/>
        <v>2.4390243902439025E-2</v>
      </c>
      <c r="BG114" s="13"/>
      <c r="BH114" s="11"/>
      <c r="BI114" s="11"/>
      <c r="BJ114" s="14"/>
      <c r="BK114" s="10"/>
      <c r="BL114" s="11">
        <v>3</v>
      </c>
      <c r="BM114" s="69">
        <f t="shared" ref="BM114:BN119" si="740">BM113-BK114</f>
        <v>692</v>
      </c>
      <c r="BN114" s="69">
        <f t="shared" si="740"/>
        <v>60</v>
      </c>
      <c r="BO114" s="11">
        <v>372</v>
      </c>
      <c r="BP114" s="12">
        <f t="shared" si="703"/>
        <v>0.55057803468208089</v>
      </c>
      <c r="BQ114" s="11">
        <v>9</v>
      </c>
      <c r="BR114" s="12">
        <f t="shared" si="704"/>
        <v>2.3622047244094488E-2</v>
      </c>
      <c r="BS114" s="13"/>
      <c r="BT114" s="11"/>
      <c r="BU114" s="11"/>
      <c r="BV114" s="14"/>
      <c r="BW114" s="10"/>
      <c r="BX114" s="11"/>
      <c r="BY114" s="69">
        <f t="shared" ref="BY114:BZ119" si="741">BY113-BW114</f>
        <v>0</v>
      </c>
      <c r="BZ114" s="69">
        <f t="shared" si="741"/>
        <v>0</v>
      </c>
      <c r="CA114" s="11"/>
      <c r="CB114" s="12" t="e">
        <f t="shared" si="705"/>
        <v>#DIV/0!</v>
      </c>
      <c r="CC114" s="11"/>
      <c r="CD114" s="12" t="e">
        <f t="shared" si="706"/>
        <v>#DIV/0!</v>
      </c>
      <c r="CE114" s="13"/>
      <c r="CF114" s="11"/>
      <c r="CG114" s="11"/>
      <c r="CH114" s="14"/>
      <c r="CI114" s="10"/>
      <c r="CJ114" s="11"/>
      <c r="CK114" s="69">
        <f t="shared" ref="CK114:CL119" si="742">CK113-CI114</f>
        <v>0</v>
      </c>
      <c r="CL114" s="69">
        <f t="shared" si="742"/>
        <v>0</v>
      </c>
      <c r="CM114" s="11"/>
      <c r="CN114" s="12" t="e">
        <f t="shared" si="707"/>
        <v>#DIV/0!</v>
      </c>
      <c r="CO114" s="11"/>
      <c r="CP114" s="12" t="e">
        <f t="shared" si="708"/>
        <v>#DIV/0!</v>
      </c>
      <c r="CQ114" s="13"/>
      <c r="CR114" s="11"/>
      <c r="CS114" s="11"/>
      <c r="CT114" s="14"/>
      <c r="CU114" s="10"/>
      <c r="CV114" s="11"/>
      <c r="CW114" s="69">
        <f t="shared" ref="CW114:CX119" si="743">CW113-CU114</f>
        <v>0</v>
      </c>
      <c r="CX114" s="69">
        <f t="shared" si="743"/>
        <v>0</v>
      </c>
      <c r="CY114" s="11"/>
      <c r="CZ114" s="12" t="e">
        <f t="shared" si="709"/>
        <v>#DIV/0!</v>
      </c>
      <c r="DA114" s="11"/>
      <c r="DB114" s="12" t="e">
        <f t="shared" si="710"/>
        <v>#DIV/0!</v>
      </c>
      <c r="DC114" s="13"/>
      <c r="DD114" s="11"/>
      <c r="DE114" s="11"/>
      <c r="DF114" s="14"/>
      <c r="DG114" s="10"/>
      <c r="DH114" s="11"/>
      <c r="DI114" s="69">
        <f t="shared" ref="DI114:DJ119" si="744">DI113-DG114</f>
        <v>0</v>
      </c>
      <c r="DJ114" s="69">
        <f t="shared" si="744"/>
        <v>0</v>
      </c>
      <c r="DK114" s="11"/>
      <c r="DL114" s="12" t="e">
        <f t="shared" si="711"/>
        <v>#DIV/0!</v>
      </c>
      <c r="DM114" s="11"/>
      <c r="DN114" s="12" t="e">
        <f t="shared" si="712"/>
        <v>#DIV/0!</v>
      </c>
      <c r="DO114" s="13"/>
      <c r="DP114" s="11"/>
      <c r="DQ114" s="11"/>
      <c r="DR114" s="14"/>
      <c r="DS114" s="10"/>
      <c r="DT114" s="11"/>
      <c r="DU114" s="69">
        <f t="shared" ref="DU114:DV119" si="745">DU113-DS114</f>
        <v>0</v>
      </c>
      <c r="DV114" s="69">
        <f t="shared" si="745"/>
        <v>0</v>
      </c>
      <c r="DW114" s="11"/>
      <c r="DX114" s="12" t="e">
        <f t="shared" si="713"/>
        <v>#DIV/0!</v>
      </c>
      <c r="DY114" s="11"/>
      <c r="DZ114" s="12" t="e">
        <f t="shared" si="714"/>
        <v>#DIV/0!</v>
      </c>
      <c r="EA114" s="13"/>
      <c r="EB114" s="11"/>
      <c r="EC114" s="11"/>
      <c r="ED114" s="14"/>
      <c r="EE114" s="10"/>
      <c r="EF114" s="11"/>
      <c r="EG114" s="69">
        <f t="shared" ref="EG114:EH119" si="746">EG113-EE114</f>
        <v>0</v>
      </c>
      <c r="EH114" s="69">
        <f t="shared" si="746"/>
        <v>0</v>
      </c>
      <c r="EI114" s="11"/>
      <c r="EJ114" s="12" t="e">
        <f t="shared" si="715"/>
        <v>#DIV/0!</v>
      </c>
      <c r="EK114" s="11"/>
      <c r="EL114" s="12" t="e">
        <f t="shared" si="716"/>
        <v>#DIV/0!</v>
      </c>
      <c r="EM114" s="13"/>
      <c r="EN114" s="11"/>
      <c r="EO114" s="11"/>
      <c r="EP114" s="14"/>
      <c r="EQ114" s="10"/>
      <c r="ER114" s="11"/>
      <c r="ES114" s="69">
        <f t="shared" ref="ES114:ET119" si="747">ES113-EQ114</f>
        <v>0</v>
      </c>
      <c r="ET114" s="69">
        <f t="shared" si="747"/>
        <v>0</v>
      </c>
      <c r="EU114" s="11"/>
      <c r="EV114" s="12" t="e">
        <f t="shared" si="717"/>
        <v>#DIV/0!</v>
      </c>
      <c r="EW114" s="11"/>
      <c r="EX114" s="12" t="e">
        <f t="shared" si="718"/>
        <v>#DIV/0!</v>
      </c>
      <c r="EY114" s="13"/>
      <c r="EZ114" s="11"/>
      <c r="FA114" s="11"/>
      <c r="FB114" s="14"/>
      <c r="FC114" s="10"/>
      <c r="FD114" s="11"/>
      <c r="FE114" s="69">
        <f t="shared" ref="FE114:FF119" si="748">FE113-FC114</f>
        <v>0</v>
      </c>
      <c r="FF114" s="69">
        <f t="shared" si="748"/>
        <v>0</v>
      </c>
      <c r="FG114" s="11"/>
      <c r="FH114" s="12" t="e">
        <f t="shared" si="719"/>
        <v>#DIV/0!</v>
      </c>
      <c r="FI114" s="11"/>
      <c r="FJ114" s="12" t="e">
        <f t="shared" si="720"/>
        <v>#DIV/0!</v>
      </c>
      <c r="FK114" s="13"/>
      <c r="FL114" s="11"/>
      <c r="FM114" s="11"/>
      <c r="FN114" s="14"/>
      <c r="FO114" s="10"/>
      <c r="FP114" s="11"/>
      <c r="FQ114" s="69">
        <f t="shared" ref="FQ114:FR119" si="749">FQ113-FO114</f>
        <v>0</v>
      </c>
      <c r="FR114" s="69">
        <f t="shared" si="749"/>
        <v>0</v>
      </c>
      <c r="FS114" s="11"/>
      <c r="FT114" s="12" t="e">
        <f t="shared" si="721"/>
        <v>#DIV/0!</v>
      </c>
      <c r="FU114" s="11"/>
      <c r="FV114" s="12" t="e">
        <f t="shared" si="722"/>
        <v>#DIV/0!</v>
      </c>
      <c r="FW114" s="13"/>
      <c r="FX114" s="11"/>
      <c r="FY114" s="11"/>
      <c r="FZ114" s="14"/>
      <c r="GA114" s="10"/>
      <c r="GB114" s="11"/>
      <c r="GC114" s="69">
        <f t="shared" ref="GC114:GD119" si="750">GC113-GA114</f>
        <v>0</v>
      </c>
      <c r="GD114" s="69">
        <f t="shared" si="750"/>
        <v>0</v>
      </c>
      <c r="GE114" s="11"/>
      <c r="GF114" s="12" t="e">
        <f t="shared" si="723"/>
        <v>#DIV/0!</v>
      </c>
      <c r="GG114" s="11"/>
      <c r="GH114" s="12" t="e">
        <f t="shared" si="724"/>
        <v>#DIV/0!</v>
      </c>
      <c r="GI114" s="13"/>
      <c r="GJ114" s="11"/>
      <c r="GK114" s="11"/>
      <c r="GL114" s="14"/>
      <c r="GM114" s="10"/>
      <c r="GN114" s="11"/>
      <c r="GO114" s="69">
        <f t="shared" ref="GO114:GP119" si="751">GO113-GM114</f>
        <v>0</v>
      </c>
      <c r="GP114" s="69">
        <f t="shared" si="751"/>
        <v>0</v>
      </c>
      <c r="GQ114" s="11"/>
      <c r="GR114" s="12" t="e">
        <f t="shared" si="725"/>
        <v>#DIV/0!</v>
      </c>
      <c r="GS114" s="11"/>
      <c r="GT114" s="12" t="e">
        <f t="shared" si="726"/>
        <v>#DIV/0!</v>
      </c>
      <c r="GU114" s="13"/>
      <c r="GV114" s="11"/>
      <c r="GW114" s="11"/>
      <c r="GX114" s="14"/>
      <c r="GY114" s="10"/>
      <c r="GZ114" s="11"/>
      <c r="HA114" s="69">
        <f t="shared" ref="HA114:HB119" si="752">HA113-GY114</f>
        <v>0</v>
      </c>
      <c r="HB114" s="69">
        <f t="shared" si="752"/>
        <v>0</v>
      </c>
      <c r="HC114" s="11"/>
      <c r="HD114" s="12" t="e">
        <f t="shared" si="727"/>
        <v>#DIV/0!</v>
      </c>
      <c r="HE114" s="11"/>
      <c r="HF114" s="12" t="e">
        <f t="shared" si="728"/>
        <v>#DIV/0!</v>
      </c>
      <c r="HG114" s="13"/>
      <c r="HH114" s="11"/>
      <c r="HI114" s="11"/>
      <c r="HJ114" s="14"/>
      <c r="HK114" s="10">
        <f t="shared" si="729"/>
        <v>2</v>
      </c>
      <c r="HL114" s="11">
        <f t="shared" si="729"/>
        <v>16</v>
      </c>
      <c r="HM114" s="11">
        <f t="shared" si="729"/>
        <v>3598</v>
      </c>
      <c r="HN114" s="11">
        <f t="shared" si="729"/>
        <v>302</v>
      </c>
      <c r="HO114" s="11">
        <f t="shared" si="730"/>
        <v>1931</v>
      </c>
      <c r="HP114" s="95">
        <f t="shared" si="731"/>
        <v>0.53668704836020009</v>
      </c>
      <c r="HQ114" s="15">
        <f t="shared" si="732"/>
        <v>67</v>
      </c>
      <c r="HR114" s="12">
        <f t="shared" ref="HR114:HR120" si="753">+(HQ114/(HO114))</f>
        <v>3.4697048161574311E-2</v>
      </c>
      <c r="HS114" s="16">
        <v>66.8</v>
      </c>
      <c r="HT114" s="17">
        <v>1804</v>
      </c>
      <c r="HU114" s="16">
        <f t="shared" si="733"/>
        <v>93.423096841015024</v>
      </c>
      <c r="HV114" s="15"/>
      <c r="HW114" s="14"/>
    </row>
    <row r="115" spans="1:231" ht="18.75" x14ac:dyDescent="0.25">
      <c r="A115" s="374"/>
      <c r="B115" s="41">
        <f t="shared" si="411"/>
        <v>45027</v>
      </c>
      <c r="C115" s="10"/>
      <c r="D115" s="11"/>
      <c r="E115" s="69">
        <f t="shared" si="734"/>
        <v>684</v>
      </c>
      <c r="F115" s="69">
        <f t="shared" si="734"/>
        <v>60</v>
      </c>
      <c r="G115" s="11">
        <v>377</v>
      </c>
      <c r="H115" s="12">
        <f t="shared" si="694"/>
        <v>0.56578947368421051</v>
      </c>
      <c r="I115" s="11">
        <v>10</v>
      </c>
      <c r="J115" s="12">
        <f t="shared" si="735"/>
        <v>2.5839793281653745E-2</v>
      </c>
      <c r="K115" s="13"/>
      <c r="L115" s="11"/>
      <c r="M115" s="11"/>
      <c r="N115" s="14"/>
      <c r="O115" s="10">
        <v>1</v>
      </c>
      <c r="P115" s="11"/>
      <c r="Q115" s="69">
        <f t="shared" si="736"/>
        <v>679</v>
      </c>
      <c r="R115" s="69">
        <f t="shared" si="736"/>
        <v>58</v>
      </c>
      <c r="S115" s="11">
        <v>379</v>
      </c>
      <c r="T115" s="12">
        <f t="shared" si="695"/>
        <v>0.57437407952871866</v>
      </c>
      <c r="U115" s="11">
        <v>11</v>
      </c>
      <c r="V115" s="12">
        <f t="shared" si="696"/>
        <v>2.8205128205128206E-2</v>
      </c>
      <c r="W115" s="13"/>
      <c r="X115" s="11"/>
      <c r="Y115" s="11"/>
      <c r="Z115" s="14"/>
      <c r="AA115" s="10"/>
      <c r="AB115" s="11"/>
      <c r="AC115" s="69">
        <f t="shared" si="737"/>
        <v>146</v>
      </c>
      <c r="AD115" s="69">
        <f t="shared" si="737"/>
        <v>7</v>
      </c>
      <c r="AE115" s="11">
        <v>89</v>
      </c>
      <c r="AF115" s="12">
        <f t="shared" si="697"/>
        <v>0.63013698630136983</v>
      </c>
      <c r="AG115" s="11">
        <v>3</v>
      </c>
      <c r="AH115" s="12">
        <f t="shared" si="698"/>
        <v>3.2608695652173912E-2</v>
      </c>
      <c r="AI115" s="13"/>
      <c r="AJ115" s="11"/>
      <c r="AK115" s="11"/>
      <c r="AL115" s="14"/>
      <c r="AM115" s="10"/>
      <c r="AN115" s="11"/>
      <c r="AO115" s="69">
        <f t="shared" si="738"/>
        <v>697</v>
      </c>
      <c r="AP115" s="69">
        <f t="shared" si="738"/>
        <v>60</v>
      </c>
      <c r="AQ115" s="11">
        <v>362</v>
      </c>
      <c r="AR115" s="12">
        <f t="shared" si="699"/>
        <v>0.53371592539454804</v>
      </c>
      <c r="AS115" s="11">
        <v>10</v>
      </c>
      <c r="AT115" s="12">
        <f t="shared" si="700"/>
        <v>2.6881720430107527E-2</v>
      </c>
      <c r="AU115" s="13"/>
      <c r="AV115" s="11"/>
      <c r="AW115" s="11"/>
      <c r="AX115" s="14"/>
      <c r="AY115" s="10"/>
      <c r="AZ115" s="11"/>
      <c r="BA115" s="69">
        <f t="shared" si="739"/>
        <v>699</v>
      </c>
      <c r="BB115" s="69">
        <f t="shared" si="739"/>
        <v>57</v>
      </c>
      <c r="BC115" s="11">
        <v>358</v>
      </c>
      <c r="BD115" s="12">
        <f t="shared" si="701"/>
        <v>0.53505007153075823</v>
      </c>
      <c r="BE115" s="11">
        <v>16</v>
      </c>
      <c r="BF115" s="12">
        <f t="shared" si="702"/>
        <v>4.2780748663101602E-2</v>
      </c>
      <c r="BG115" s="13"/>
      <c r="BH115" s="11"/>
      <c r="BI115" s="11"/>
      <c r="BJ115" s="14"/>
      <c r="BK115" s="10"/>
      <c r="BL115" s="11"/>
      <c r="BM115" s="69">
        <f t="shared" si="740"/>
        <v>692</v>
      </c>
      <c r="BN115" s="69">
        <f t="shared" si="740"/>
        <v>60</v>
      </c>
      <c r="BO115" s="11">
        <v>396</v>
      </c>
      <c r="BP115" s="12">
        <f t="shared" si="703"/>
        <v>0.57947976878612717</v>
      </c>
      <c r="BQ115" s="11">
        <v>5</v>
      </c>
      <c r="BR115" s="12">
        <f t="shared" si="704"/>
        <v>1.2468827930174564E-2</v>
      </c>
      <c r="BS115" s="13"/>
      <c r="BT115" s="11"/>
      <c r="BU115" s="11"/>
      <c r="BV115" s="14"/>
      <c r="BW115" s="10"/>
      <c r="BX115" s="11"/>
      <c r="BY115" s="69">
        <f t="shared" si="741"/>
        <v>0</v>
      </c>
      <c r="BZ115" s="69">
        <f t="shared" si="741"/>
        <v>0</v>
      </c>
      <c r="CA115" s="11"/>
      <c r="CB115" s="12" t="e">
        <f t="shared" si="705"/>
        <v>#DIV/0!</v>
      </c>
      <c r="CC115" s="11"/>
      <c r="CD115" s="12" t="e">
        <f t="shared" si="706"/>
        <v>#DIV/0!</v>
      </c>
      <c r="CE115" s="13"/>
      <c r="CF115" s="11"/>
      <c r="CG115" s="11"/>
      <c r="CH115" s="14"/>
      <c r="CI115" s="10"/>
      <c r="CJ115" s="11"/>
      <c r="CK115" s="69">
        <f t="shared" si="742"/>
        <v>0</v>
      </c>
      <c r="CL115" s="69">
        <f t="shared" si="742"/>
        <v>0</v>
      </c>
      <c r="CM115" s="11"/>
      <c r="CN115" s="12" t="e">
        <f t="shared" si="707"/>
        <v>#DIV/0!</v>
      </c>
      <c r="CO115" s="11"/>
      <c r="CP115" s="12" t="e">
        <f t="shared" si="708"/>
        <v>#DIV/0!</v>
      </c>
      <c r="CQ115" s="13"/>
      <c r="CR115" s="11"/>
      <c r="CS115" s="11"/>
      <c r="CT115" s="14"/>
      <c r="CU115" s="10"/>
      <c r="CV115" s="11"/>
      <c r="CW115" s="69">
        <f t="shared" si="743"/>
        <v>0</v>
      </c>
      <c r="CX115" s="69">
        <f t="shared" si="743"/>
        <v>0</v>
      </c>
      <c r="CY115" s="11"/>
      <c r="CZ115" s="12" t="e">
        <f t="shared" si="709"/>
        <v>#DIV/0!</v>
      </c>
      <c r="DA115" s="11"/>
      <c r="DB115" s="12" t="e">
        <f t="shared" si="710"/>
        <v>#DIV/0!</v>
      </c>
      <c r="DC115" s="13"/>
      <c r="DD115" s="11"/>
      <c r="DE115" s="11"/>
      <c r="DF115" s="14"/>
      <c r="DG115" s="10"/>
      <c r="DH115" s="11"/>
      <c r="DI115" s="69">
        <f t="shared" si="744"/>
        <v>0</v>
      </c>
      <c r="DJ115" s="69">
        <f t="shared" si="744"/>
        <v>0</v>
      </c>
      <c r="DK115" s="11"/>
      <c r="DL115" s="12" t="e">
        <f t="shared" si="711"/>
        <v>#DIV/0!</v>
      </c>
      <c r="DM115" s="11"/>
      <c r="DN115" s="12" t="e">
        <f t="shared" si="712"/>
        <v>#DIV/0!</v>
      </c>
      <c r="DO115" s="13"/>
      <c r="DP115" s="11"/>
      <c r="DQ115" s="11"/>
      <c r="DR115" s="14"/>
      <c r="DS115" s="10"/>
      <c r="DT115" s="11"/>
      <c r="DU115" s="69">
        <f t="shared" si="745"/>
        <v>0</v>
      </c>
      <c r="DV115" s="69">
        <f t="shared" si="745"/>
        <v>0</v>
      </c>
      <c r="DW115" s="11"/>
      <c r="DX115" s="12" t="e">
        <f t="shared" si="713"/>
        <v>#DIV/0!</v>
      </c>
      <c r="DY115" s="11"/>
      <c r="DZ115" s="12" t="e">
        <f t="shared" si="714"/>
        <v>#DIV/0!</v>
      </c>
      <c r="EA115" s="13"/>
      <c r="EB115" s="11"/>
      <c r="EC115" s="11"/>
      <c r="ED115" s="14"/>
      <c r="EE115" s="10"/>
      <c r="EF115" s="11"/>
      <c r="EG115" s="69">
        <f t="shared" si="746"/>
        <v>0</v>
      </c>
      <c r="EH115" s="69">
        <f t="shared" si="746"/>
        <v>0</v>
      </c>
      <c r="EI115" s="11"/>
      <c r="EJ115" s="12" t="e">
        <f t="shared" si="715"/>
        <v>#DIV/0!</v>
      </c>
      <c r="EK115" s="11"/>
      <c r="EL115" s="12" t="e">
        <f t="shared" si="716"/>
        <v>#DIV/0!</v>
      </c>
      <c r="EM115" s="13"/>
      <c r="EN115" s="11"/>
      <c r="EO115" s="11"/>
      <c r="EP115" s="14"/>
      <c r="EQ115" s="10"/>
      <c r="ER115" s="11"/>
      <c r="ES115" s="69">
        <f t="shared" si="747"/>
        <v>0</v>
      </c>
      <c r="ET115" s="69">
        <f t="shared" si="747"/>
        <v>0</v>
      </c>
      <c r="EU115" s="11"/>
      <c r="EV115" s="12" t="e">
        <f t="shared" si="717"/>
        <v>#DIV/0!</v>
      </c>
      <c r="EW115" s="11"/>
      <c r="EX115" s="12" t="e">
        <f t="shared" si="718"/>
        <v>#DIV/0!</v>
      </c>
      <c r="EY115" s="13"/>
      <c r="EZ115" s="11"/>
      <c r="FA115" s="11"/>
      <c r="FB115" s="14"/>
      <c r="FC115" s="10"/>
      <c r="FD115" s="11"/>
      <c r="FE115" s="69">
        <f t="shared" si="748"/>
        <v>0</v>
      </c>
      <c r="FF115" s="69">
        <f t="shared" si="748"/>
        <v>0</v>
      </c>
      <c r="FG115" s="11"/>
      <c r="FH115" s="12" t="e">
        <f t="shared" si="719"/>
        <v>#DIV/0!</v>
      </c>
      <c r="FI115" s="11"/>
      <c r="FJ115" s="12" t="e">
        <f t="shared" si="720"/>
        <v>#DIV/0!</v>
      </c>
      <c r="FK115" s="13"/>
      <c r="FL115" s="11"/>
      <c r="FM115" s="11"/>
      <c r="FN115" s="14"/>
      <c r="FO115" s="10"/>
      <c r="FP115" s="11"/>
      <c r="FQ115" s="69">
        <f t="shared" si="749"/>
        <v>0</v>
      </c>
      <c r="FR115" s="69">
        <f t="shared" si="749"/>
        <v>0</v>
      </c>
      <c r="FS115" s="11"/>
      <c r="FT115" s="12" t="e">
        <f t="shared" si="721"/>
        <v>#DIV/0!</v>
      </c>
      <c r="FU115" s="11"/>
      <c r="FV115" s="12" t="e">
        <f t="shared" si="722"/>
        <v>#DIV/0!</v>
      </c>
      <c r="FW115" s="13"/>
      <c r="FX115" s="11"/>
      <c r="FY115" s="11"/>
      <c r="FZ115" s="14"/>
      <c r="GA115" s="10"/>
      <c r="GB115" s="11"/>
      <c r="GC115" s="69">
        <f t="shared" si="750"/>
        <v>0</v>
      </c>
      <c r="GD115" s="69">
        <f t="shared" si="750"/>
        <v>0</v>
      </c>
      <c r="GE115" s="11"/>
      <c r="GF115" s="12" t="e">
        <f t="shared" si="723"/>
        <v>#DIV/0!</v>
      </c>
      <c r="GG115" s="11"/>
      <c r="GH115" s="12" t="e">
        <f t="shared" si="724"/>
        <v>#DIV/0!</v>
      </c>
      <c r="GI115" s="13"/>
      <c r="GJ115" s="11"/>
      <c r="GK115" s="11"/>
      <c r="GL115" s="14"/>
      <c r="GM115" s="10"/>
      <c r="GN115" s="11"/>
      <c r="GO115" s="69">
        <f t="shared" si="751"/>
        <v>0</v>
      </c>
      <c r="GP115" s="69">
        <f t="shared" si="751"/>
        <v>0</v>
      </c>
      <c r="GQ115" s="11"/>
      <c r="GR115" s="12" t="e">
        <f t="shared" si="725"/>
        <v>#DIV/0!</v>
      </c>
      <c r="GS115" s="11"/>
      <c r="GT115" s="12" t="e">
        <f t="shared" si="726"/>
        <v>#DIV/0!</v>
      </c>
      <c r="GU115" s="13"/>
      <c r="GV115" s="11"/>
      <c r="GW115" s="11"/>
      <c r="GX115" s="14"/>
      <c r="GY115" s="10"/>
      <c r="GZ115" s="11"/>
      <c r="HA115" s="69">
        <f t="shared" si="752"/>
        <v>0</v>
      </c>
      <c r="HB115" s="69">
        <f t="shared" si="752"/>
        <v>0</v>
      </c>
      <c r="HC115" s="11"/>
      <c r="HD115" s="12" t="e">
        <f t="shared" si="727"/>
        <v>#DIV/0!</v>
      </c>
      <c r="HE115" s="11"/>
      <c r="HF115" s="12" t="e">
        <f t="shared" si="728"/>
        <v>#DIV/0!</v>
      </c>
      <c r="HG115" s="13"/>
      <c r="HH115" s="11"/>
      <c r="HI115" s="11"/>
      <c r="HJ115" s="14"/>
      <c r="HK115" s="10">
        <f t="shared" si="729"/>
        <v>1</v>
      </c>
      <c r="HL115" s="11">
        <f t="shared" si="729"/>
        <v>0</v>
      </c>
      <c r="HM115" s="11">
        <f t="shared" si="729"/>
        <v>3597</v>
      </c>
      <c r="HN115" s="11">
        <f t="shared" si="729"/>
        <v>302</v>
      </c>
      <c r="HO115" s="11">
        <f t="shared" si="730"/>
        <v>2016</v>
      </c>
      <c r="HP115" s="95">
        <f t="shared" si="731"/>
        <v>0.56046705587989987</v>
      </c>
      <c r="HQ115" s="15">
        <f t="shared" si="732"/>
        <v>55</v>
      </c>
      <c r="HR115" s="12">
        <f t="shared" si="753"/>
        <v>2.7281746031746032E-2</v>
      </c>
      <c r="HS115" s="16">
        <v>66.900000000000006</v>
      </c>
      <c r="HT115" s="17">
        <v>1878</v>
      </c>
      <c r="HU115" s="16">
        <f t="shared" si="733"/>
        <v>93.154761904761912</v>
      </c>
      <c r="HV115" s="15"/>
      <c r="HW115" s="14"/>
    </row>
    <row r="116" spans="1:231" ht="18.75" x14ac:dyDescent="0.25">
      <c r="A116" s="374"/>
      <c r="B116" s="41">
        <f t="shared" si="411"/>
        <v>45028</v>
      </c>
      <c r="C116" s="10"/>
      <c r="D116" s="11"/>
      <c r="E116" s="69">
        <v>634</v>
      </c>
      <c r="F116" s="69">
        <v>53</v>
      </c>
      <c r="G116" s="11">
        <v>360</v>
      </c>
      <c r="H116" s="12">
        <f t="shared" si="694"/>
        <v>0.59148264984227128</v>
      </c>
      <c r="I116" s="11">
        <v>15</v>
      </c>
      <c r="J116" s="12">
        <f t="shared" si="735"/>
        <v>0.04</v>
      </c>
      <c r="K116" s="11"/>
      <c r="L116" s="11"/>
      <c r="M116" s="18"/>
      <c r="N116" s="20"/>
      <c r="O116" s="10"/>
      <c r="P116" s="11"/>
      <c r="Q116" s="69">
        <v>634</v>
      </c>
      <c r="R116" s="69">
        <v>53</v>
      </c>
      <c r="S116" s="11">
        <v>364</v>
      </c>
      <c r="T116" s="12">
        <f t="shared" si="695"/>
        <v>0.58990536277602523</v>
      </c>
      <c r="U116" s="11">
        <v>10</v>
      </c>
      <c r="V116" s="12">
        <f t="shared" si="696"/>
        <v>2.6737967914438502E-2</v>
      </c>
      <c r="W116" s="11"/>
      <c r="X116" s="11"/>
      <c r="Y116" s="18"/>
      <c r="Z116" s="20"/>
      <c r="AA116" s="10"/>
      <c r="AB116" s="11"/>
      <c r="AC116" s="69">
        <v>196</v>
      </c>
      <c r="AD116" s="69">
        <v>16</v>
      </c>
      <c r="AE116" s="11">
        <v>79</v>
      </c>
      <c r="AF116" s="12">
        <f t="shared" si="697"/>
        <v>0.40816326530612246</v>
      </c>
      <c r="AG116" s="11">
        <v>1</v>
      </c>
      <c r="AH116" s="12">
        <f t="shared" si="698"/>
        <v>1.2500000000000001E-2</v>
      </c>
      <c r="AI116" s="11"/>
      <c r="AJ116" s="11"/>
      <c r="AK116" s="18"/>
      <c r="AL116" s="20"/>
      <c r="AM116" s="10">
        <v>1</v>
      </c>
      <c r="AN116" s="11"/>
      <c r="AO116" s="69">
        <f>711-AM116</f>
        <v>710</v>
      </c>
      <c r="AP116" s="69">
        <v>60</v>
      </c>
      <c r="AQ116" s="11">
        <v>355</v>
      </c>
      <c r="AR116" s="12">
        <f t="shared" si="699"/>
        <v>0.52394366197183095</v>
      </c>
      <c r="AS116" s="11">
        <v>17</v>
      </c>
      <c r="AT116" s="12">
        <f t="shared" si="700"/>
        <v>4.5698924731182797E-2</v>
      </c>
      <c r="AU116" s="11"/>
      <c r="AV116" s="11"/>
      <c r="AW116" s="18"/>
      <c r="AX116" s="20"/>
      <c r="AY116" s="10"/>
      <c r="AZ116" s="11"/>
      <c r="BA116" s="69">
        <v>711</v>
      </c>
      <c r="BB116" s="69">
        <v>60</v>
      </c>
      <c r="BC116" s="11">
        <v>377</v>
      </c>
      <c r="BD116" s="12">
        <f t="shared" si="701"/>
        <v>0.54711673699015473</v>
      </c>
      <c r="BE116" s="11">
        <v>12</v>
      </c>
      <c r="BF116" s="12">
        <f t="shared" si="702"/>
        <v>3.0848329048843187E-2</v>
      </c>
      <c r="BG116" s="11"/>
      <c r="BH116" s="11"/>
      <c r="BI116" s="18"/>
      <c r="BJ116" s="20"/>
      <c r="BK116" s="10"/>
      <c r="BL116" s="11"/>
      <c r="BM116" s="69">
        <v>711</v>
      </c>
      <c r="BN116" s="69">
        <v>60</v>
      </c>
      <c r="BO116" s="11">
        <v>364</v>
      </c>
      <c r="BP116" s="12">
        <f t="shared" si="703"/>
        <v>0.52039381153305209</v>
      </c>
      <c r="BQ116" s="11">
        <v>6</v>
      </c>
      <c r="BR116" s="12">
        <f t="shared" si="704"/>
        <v>1.6216216216216217E-2</v>
      </c>
      <c r="BS116" s="11"/>
      <c r="BT116" s="11"/>
      <c r="BU116" s="18"/>
      <c r="BV116" s="20"/>
      <c r="BW116" s="10"/>
      <c r="BX116" s="11"/>
      <c r="BY116" s="69">
        <f t="shared" si="741"/>
        <v>0</v>
      </c>
      <c r="BZ116" s="69">
        <f t="shared" si="741"/>
        <v>0</v>
      </c>
      <c r="CA116" s="11"/>
      <c r="CB116" s="12" t="e">
        <f t="shared" si="705"/>
        <v>#DIV/0!</v>
      </c>
      <c r="CC116" s="11"/>
      <c r="CD116" s="12" t="e">
        <f t="shared" si="706"/>
        <v>#DIV/0!</v>
      </c>
      <c r="CE116" s="11"/>
      <c r="CF116" s="11"/>
      <c r="CG116" s="18"/>
      <c r="CH116" s="20"/>
      <c r="CI116" s="10"/>
      <c r="CJ116" s="11"/>
      <c r="CK116" s="69">
        <f t="shared" si="742"/>
        <v>0</v>
      </c>
      <c r="CL116" s="69">
        <f t="shared" si="742"/>
        <v>0</v>
      </c>
      <c r="CM116" s="11"/>
      <c r="CN116" s="12" t="e">
        <f t="shared" si="707"/>
        <v>#DIV/0!</v>
      </c>
      <c r="CO116" s="11"/>
      <c r="CP116" s="12" t="e">
        <f t="shared" si="708"/>
        <v>#DIV/0!</v>
      </c>
      <c r="CQ116" s="11"/>
      <c r="CR116" s="11"/>
      <c r="CS116" s="18"/>
      <c r="CT116" s="20"/>
      <c r="CU116" s="10"/>
      <c r="CV116" s="11"/>
      <c r="CW116" s="69">
        <f t="shared" si="743"/>
        <v>0</v>
      </c>
      <c r="CX116" s="69">
        <f t="shared" si="743"/>
        <v>0</v>
      </c>
      <c r="CY116" s="11"/>
      <c r="CZ116" s="12" t="e">
        <f t="shared" si="709"/>
        <v>#DIV/0!</v>
      </c>
      <c r="DA116" s="11"/>
      <c r="DB116" s="12" t="e">
        <f t="shared" si="710"/>
        <v>#DIV/0!</v>
      </c>
      <c r="DC116" s="11"/>
      <c r="DD116" s="11"/>
      <c r="DE116" s="18"/>
      <c r="DF116" s="20"/>
      <c r="DG116" s="10"/>
      <c r="DH116" s="11"/>
      <c r="DI116" s="69">
        <f t="shared" si="744"/>
        <v>0</v>
      </c>
      <c r="DJ116" s="69">
        <f t="shared" si="744"/>
        <v>0</v>
      </c>
      <c r="DK116" s="11"/>
      <c r="DL116" s="12" t="e">
        <f t="shared" si="711"/>
        <v>#DIV/0!</v>
      </c>
      <c r="DM116" s="11"/>
      <c r="DN116" s="12" t="e">
        <f t="shared" si="712"/>
        <v>#DIV/0!</v>
      </c>
      <c r="DO116" s="11"/>
      <c r="DP116" s="11"/>
      <c r="DQ116" s="18"/>
      <c r="DR116" s="20"/>
      <c r="DS116" s="10"/>
      <c r="DT116" s="11"/>
      <c r="DU116" s="69">
        <f t="shared" si="745"/>
        <v>0</v>
      </c>
      <c r="DV116" s="69">
        <f t="shared" si="745"/>
        <v>0</v>
      </c>
      <c r="DW116" s="11"/>
      <c r="DX116" s="12" t="e">
        <f t="shared" si="713"/>
        <v>#DIV/0!</v>
      </c>
      <c r="DY116" s="11"/>
      <c r="DZ116" s="12" t="e">
        <f t="shared" si="714"/>
        <v>#DIV/0!</v>
      </c>
      <c r="EA116" s="11"/>
      <c r="EB116" s="11"/>
      <c r="EC116" s="18"/>
      <c r="ED116" s="20"/>
      <c r="EE116" s="10"/>
      <c r="EF116" s="11"/>
      <c r="EG116" s="69">
        <f t="shared" si="746"/>
        <v>0</v>
      </c>
      <c r="EH116" s="69">
        <f t="shared" si="746"/>
        <v>0</v>
      </c>
      <c r="EI116" s="11"/>
      <c r="EJ116" s="12" t="e">
        <f t="shared" si="715"/>
        <v>#DIV/0!</v>
      </c>
      <c r="EK116" s="11"/>
      <c r="EL116" s="12" t="e">
        <f t="shared" si="716"/>
        <v>#DIV/0!</v>
      </c>
      <c r="EM116" s="11"/>
      <c r="EN116" s="11"/>
      <c r="EO116" s="18"/>
      <c r="EP116" s="20"/>
      <c r="EQ116" s="10"/>
      <c r="ER116" s="11"/>
      <c r="ES116" s="69">
        <f t="shared" si="747"/>
        <v>0</v>
      </c>
      <c r="ET116" s="69">
        <f t="shared" si="747"/>
        <v>0</v>
      </c>
      <c r="EU116" s="11"/>
      <c r="EV116" s="12" t="e">
        <f t="shared" si="717"/>
        <v>#DIV/0!</v>
      </c>
      <c r="EW116" s="11"/>
      <c r="EX116" s="12" t="e">
        <f t="shared" si="718"/>
        <v>#DIV/0!</v>
      </c>
      <c r="EY116" s="11"/>
      <c r="EZ116" s="11"/>
      <c r="FA116" s="18"/>
      <c r="FB116" s="20"/>
      <c r="FC116" s="10"/>
      <c r="FD116" s="11"/>
      <c r="FE116" s="69">
        <f t="shared" si="748"/>
        <v>0</v>
      </c>
      <c r="FF116" s="69">
        <f t="shared" si="748"/>
        <v>0</v>
      </c>
      <c r="FG116" s="11"/>
      <c r="FH116" s="12" t="e">
        <f t="shared" si="719"/>
        <v>#DIV/0!</v>
      </c>
      <c r="FI116" s="11"/>
      <c r="FJ116" s="12" t="e">
        <f t="shared" si="720"/>
        <v>#DIV/0!</v>
      </c>
      <c r="FK116" s="11"/>
      <c r="FL116" s="11"/>
      <c r="FM116" s="18"/>
      <c r="FN116" s="20"/>
      <c r="FO116" s="10"/>
      <c r="FP116" s="11"/>
      <c r="FQ116" s="69">
        <f t="shared" si="749"/>
        <v>0</v>
      </c>
      <c r="FR116" s="69">
        <f t="shared" si="749"/>
        <v>0</v>
      </c>
      <c r="FS116" s="11"/>
      <c r="FT116" s="12" t="e">
        <f t="shared" si="721"/>
        <v>#DIV/0!</v>
      </c>
      <c r="FU116" s="11"/>
      <c r="FV116" s="12" t="e">
        <f t="shared" si="722"/>
        <v>#DIV/0!</v>
      </c>
      <c r="FW116" s="11"/>
      <c r="FX116" s="11"/>
      <c r="FY116" s="18"/>
      <c r="FZ116" s="20"/>
      <c r="GA116" s="10"/>
      <c r="GB116" s="11"/>
      <c r="GC116" s="69">
        <f t="shared" si="750"/>
        <v>0</v>
      </c>
      <c r="GD116" s="69">
        <f t="shared" si="750"/>
        <v>0</v>
      </c>
      <c r="GE116" s="11"/>
      <c r="GF116" s="12" t="e">
        <f t="shared" si="723"/>
        <v>#DIV/0!</v>
      </c>
      <c r="GG116" s="11"/>
      <c r="GH116" s="12" t="e">
        <f t="shared" si="724"/>
        <v>#DIV/0!</v>
      </c>
      <c r="GI116" s="11"/>
      <c r="GJ116" s="11"/>
      <c r="GK116" s="18"/>
      <c r="GL116" s="20"/>
      <c r="GM116" s="10"/>
      <c r="GN116" s="11"/>
      <c r="GO116" s="69">
        <f t="shared" si="751"/>
        <v>0</v>
      </c>
      <c r="GP116" s="69">
        <f t="shared" si="751"/>
        <v>0</v>
      </c>
      <c r="GQ116" s="11"/>
      <c r="GR116" s="12" t="e">
        <f t="shared" si="725"/>
        <v>#DIV/0!</v>
      </c>
      <c r="GS116" s="11"/>
      <c r="GT116" s="12" t="e">
        <f t="shared" si="726"/>
        <v>#DIV/0!</v>
      </c>
      <c r="GU116" s="11"/>
      <c r="GV116" s="11"/>
      <c r="GW116" s="18"/>
      <c r="GX116" s="20"/>
      <c r="GY116" s="10"/>
      <c r="GZ116" s="11"/>
      <c r="HA116" s="69">
        <f t="shared" si="752"/>
        <v>0</v>
      </c>
      <c r="HB116" s="69">
        <f t="shared" si="752"/>
        <v>0</v>
      </c>
      <c r="HC116" s="11"/>
      <c r="HD116" s="12" t="e">
        <f t="shared" si="727"/>
        <v>#DIV/0!</v>
      </c>
      <c r="HE116" s="11"/>
      <c r="HF116" s="12" t="e">
        <f t="shared" si="728"/>
        <v>#DIV/0!</v>
      </c>
      <c r="HG116" s="11"/>
      <c r="HH116" s="11"/>
      <c r="HI116" s="18"/>
      <c r="HJ116" s="20"/>
      <c r="HK116" s="10">
        <f t="shared" si="729"/>
        <v>1</v>
      </c>
      <c r="HL116" s="11">
        <f t="shared" si="729"/>
        <v>0</v>
      </c>
      <c r="HM116" s="11">
        <f t="shared" si="729"/>
        <v>3596</v>
      </c>
      <c r="HN116" s="11">
        <f t="shared" si="729"/>
        <v>302</v>
      </c>
      <c r="HO116" s="11">
        <f t="shared" si="730"/>
        <v>1960</v>
      </c>
      <c r="HP116" s="95">
        <f t="shared" si="731"/>
        <v>0.54505005561735265</v>
      </c>
      <c r="HQ116" s="15">
        <f t="shared" si="732"/>
        <v>61</v>
      </c>
      <c r="HR116" s="12">
        <f t="shared" si="753"/>
        <v>3.1122448979591835E-2</v>
      </c>
      <c r="HS116" s="16">
        <v>66.400000000000006</v>
      </c>
      <c r="HT116" s="17">
        <v>1831</v>
      </c>
      <c r="HU116" s="16">
        <f t="shared" si="733"/>
        <v>93.41836734693878</v>
      </c>
      <c r="HV116" s="18"/>
      <c r="HW116" s="20"/>
    </row>
    <row r="117" spans="1:231" ht="18.75" x14ac:dyDescent="0.25">
      <c r="A117" s="374"/>
      <c r="B117" s="41">
        <f t="shared" si="411"/>
        <v>45029</v>
      </c>
      <c r="C117" s="10"/>
      <c r="D117" s="11"/>
      <c r="E117" s="69">
        <f t="shared" si="734"/>
        <v>634</v>
      </c>
      <c r="F117" s="69">
        <f t="shared" si="734"/>
        <v>53</v>
      </c>
      <c r="G117" s="11">
        <v>346</v>
      </c>
      <c r="H117" s="12">
        <f t="shared" si="694"/>
        <v>0.5725552050473186</v>
      </c>
      <c r="I117" s="11">
        <v>17</v>
      </c>
      <c r="J117" s="12">
        <f t="shared" si="735"/>
        <v>4.6831955922865015E-2</v>
      </c>
      <c r="K117" s="13"/>
      <c r="L117" s="13"/>
      <c r="M117" s="25">
        <v>4005</v>
      </c>
      <c r="N117" s="38">
        <v>4400</v>
      </c>
      <c r="O117" s="10"/>
      <c r="P117" s="11"/>
      <c r="Q117" s="69">
        <f t="shared" si="736"/>
        <v>634</v>
      </c>
      <c r="R117" s="69">
        <f t="shared" si="736"/>
        <v>53</v>
      </c>
      <c r="S117" s="11">
        <v>349</v>
      </c>
      <c r="T117" s="12">
        <f t="shared" si="695"/>
        <v>0.582018927444795</v>
      </c>
      <c r="U117" s="11">
        <v>20</v>
      </c>
      <c r="V117" s="12">
        <f t="shared" si="696"/>
        <v>5.4200542005420058E-2</v>
      </c>
      <c r="W117" s="13"/>
      <c r="X117" s="13"/>
      <c r="Y117" s="25">
        <v>4005</v>
      </c>
      <c r="Z117" s="38">
        <v>4400</v>
      </c>
      <c r="AA117" s="10">
        <v>1</v>
      </c>
      <c r="AB117" s="11"/>
      <c r="AC117" s="69">
        <f t="shared" si="737"/>
        <v>195</v>
      </c>
      <c r="AD117" s="69">
        <f t="shared" si="737"/>
        <v>16</v>
      </c>
      <c r="AE117" s="11">
        <v>102</v>
      </c>
      <c r="AF117" s="12">
        <f t="shared" si="697"/>
        <v>0.55384615384615388</v>
      </c>
      <c r="AG117" s="11">
        <v>6</v>
      </c>
      <c r="AH117" s="12">
        <f t="shared" si="698"/>
        <v>5.5555555555555552E-2</v>
      </c>
      <c r="AI117" s="13"/>
      <c r="AJ117" s="13"/>
      <c r="AK117" s="25">
        <v>4005</v>
      </c>
      <c r="AL117" s="38">
        <v>4400</v>
      </c>
      <c r="AM117" s="10">
        <v>1</v>
      </c>
      <c r="AN117" s="11"/>
      <c r="AO117" s="69">
        <f t="shared" si="738"/>
        <v>709</v>
      </c>
      <c r="AP117" s="69">
        <f t="shared" si="738"/>
        <v>60</v>
      </c>
      <c r="AQ117" s="11">
        <v>345</v>
      </c>
      <c r="AR117" s="12">
        <f t="shared" si="699"/>
        <v>0.51904090267983072</v>
      </c>
      <c r="AS117" s="11">
        <v>23</v>
      </c>
      <c r="AT117" s="12">
        <f t="shared" si="700"/>
        <v>6.25E-2</v>
      </c>
      <c r="AU117" s="13"/>
      <c r="AV117" s="13"/>
      <c r="AW117" s="25">
        <v>4005</v>
      </c>
      <c r="AX117" s="38">
        <v>4400</v>
      </c>
      <c r="AY117" s="10"/>
      <c r="AZ117" s="11"/>
      <c r="BA117" s="69">
        <f t="shared" si="739"/>
        <v>711</v>
      </c>
      <c r="BB117" s="69">
        <f t="shared" si="739"/>
        <v>60</v>
      </c>
      <c r="BC117" s="11">
        <v>347</v>
      </c>
      <c r="BD117" s="12">
        <f t="shared" si="701"/>
        <v>0.51336146272855132</v>
      </c>
      <c r="BE117" s="11">
        <v>18</v>
      </c>
      <c r="BF117" s="12">
        <f t="shared" si="702"/>
        <v>4.9315068493150684E-2</v>
      </c>
      <c r="BG117" s="13"/>
      <c r="BH117" s="13"/>
      <c r="BI117" s="25">
        <v>4005</v>
      </c>
      <c r="BJ117" s="38">
        <v>4400</v>
      </c>
      <c r="BK117" s="10">
        <v>1</v>
      </c>
      <c r="BL117" s="11"/>
      <c r="BM117" s="69">
        <f t="shared" si="740"/>
        <v>710</v>
      </c>
      <c r="BN117" s="69">
        <f t="shared" si="740"/>
        <v>60</v>
      </c>
      <c r="BO117" s="11">
        <v>405</v>
      </c>
      <c r="BP117" s="12">
        <f t="shared" si="703"/>
        <v>0.59014084507042253</v>
      </c>
      <c r="BQ117" s="11">
        <v>14</v>
      </c>
      <c r="BR117" s="12">
        <f t="shared" si="704"/>
        <v>3.3412887828162291E-2</v>
      </c>
      <c r="BS117" s="13"/>
      <c r="BT117" s="13"/>
      <c r="BU117" s="25">
        <v>4005</v>
      </c>
      <c r="BV117" s="38">
        <v>4400</v>
      </c>
      <c r="BW117" s="10"/>
      <c r="BX117" s="11"/>
      <c r="BY117" s="69">
        <f t="shared" si="741"/>
        <v>0</v>
      </c>
      <c r="BZ117" s="69">
        <f t="shared" si="741"/>
        <v>0</v>
      </c>
      <c r="CA117" s="11"/>
      <c r="CB117" s="12" t="e">
        <f t="shared" si="705"/>
        <v>#DIV/0!</v>
      </c>
      <c r="CC117" s="11"/>
      <c r="CD117" s="12" t="e">
        <f t="shared" si="706"/>
        <v>#DIV/0!</v>
      </c>
      <c r="CE117" s="13"/>
      <c r="CF117" s="13"/>
      <c r="CG117" s="25"/>
      <c r="CH117" s="38"/>
      <c r="CI117" s="10"/>
      <c r="CJ117" s="11"/>
      <c r="CK117" s="69">
        <f t="shared" si="742"/>
        <v>0</v>
      </c>
      <c r="CL117" s="69">
        <f t="shared" si="742"/>
        <v>0</v>
      </c>
      <c r="CM117" s="11"/>
      <c r="CN117" s="12" t="e">
        <f t="shared" si="707"/>
        <v>#DIV/0!</v>
      </c>
      <c r="CO117" s="11"/>
      <c r="CP117" s="12" t="e">
        <f t="shared" si="708"/>
        <v>#DIV/0!</v>
      </c>
      <c r="CQ117" s="13"/>
      <c r="CR117" s="13"/>
      <c r="CS117" s="25"/>
      <c r="CT117" s="38"/>
      <c r="CU117" s="10"/>
      <c r="CV117" s="11"/>
      <c r="CW117" s="69">
        <f t="shared" si="743"/>
        <v>0</v>
      </c>
      <c r="CX117" s="69">
        <f t="shared" si="743"/>
        <v>0</v>
      </c>
      <c r="CY117" s="11"/>
      <c r="CZ117" s="12" t="e">
        <f t="shared" si="709"/>
        <v>#DIV/0!</v>
      </c>
      <c r="DA117" s="11"/>
      <c r="DB117" s="12" t="e">
        <f t="shared" si="710"/>
        <v>#DIV/0!</v>
      </c>
      <c r="DC117" s="13"/>
      <c r="DD117" s="13"/>
      <c r="DE117" s="25"/>
      <c r="DF117" s="38"/>
      <c r="DG117" s="10"/>
      <c r="DH117" s="11"/>
      <c r="DI117" s="69">
        <f t="shared" si="744"/>
        <v>0</v>
      </c>
      <c r="DJ117" s="69">
        <f t="shared" si="744"/>
        <v>0</v>
      </c>
      <c r="DK117" s="11"/>
      <c r="DL117" s="12" t="e">
        <f t="shared" si="711"/>
        <v>#DIV/0!</v>
      </c>
      <c r="DM117" s="11"/>
      <c r="DN117" s="12" t="e">
        <f t="shared" si="712"/>
        <v>#DIV/0!</v>
      </c>
      <c r="DO117" s="13"/>
      <c r="DP117" s="13"/>
      <c r="DQ117" s="25"/>
      <c r="DR117" s="38"/>
      <c r="DS117" s="10"/>
      <c r="DT117" s="11"/>
      <c r="DU117" s="69">
        <f t="shared" si="745"/>
        <v>0</v>
      </c>
      <c r="DV117" s="69">
        <f t="shared" si="745"/>
        <v>0</v>
      </c>
      <c r="DW117" s="11"/>
      <c r="DX117" s="12" t="e">
        <f t="shared" si="713"/>
        <v>#DIV/0!</v>
      </c>
      <c r="DY117" s="11"/>
      <c r="DZ117" s="12" t="e">
        <f t="shared" si="714"/>
        <v>#DIV/0!</v>
      </c>
      <c r="EA117" s="13"/>
      <c r="EB117" s="13"/>
      <c r="EC117" s="25"/>
      <c r="ED117" s="38"/>
      <c r="EE117" s="10"/>
      <c r="EF117" s="11"/>
      <c r="EG117" s="69">
        <f t="shared" si="746"/>
        <v>0</v>
      </c>
      <c r="EH117" s="69">
        <f t="shared" si="746"/>
        <v>0</v>
      </c>
      <c r="EI117" s="11"/>
      <c r="EJ117" s="12" t="e">
        <f t="shared" si="715"/>
        <v>#DIV/0!</v>
      </c>
      <c r="EK117" s="11"/>
      <c r="EL117" s="12" t="e">
        <f t="shared" si="716"/>
        <v>#DIV/0!</v>
      </c>
      <c r="EM117" s="13"/>
      <c r="EN117" s="13"/>
      <c r="EO117" s="25"/>
      <c r="EP117" s="38"/>
      <c r="EQ117" s="10"/>
      <c r="ER117" s="11"/>
      <c r="ES117" s="69">
        <f t="shared" si="747"/>
        <v>0</v>
      </c>
      <c r="ET117" s="69">
        <f t="shared" si="747"/>
        <v>0</v>
      </c>
      <c r="EU117" s="11"/>
      <c r="EV117" s="12" t="e">
        <f t="shared" si="717"/>
        <v>#DIV/0!</v>
      </c>
      <c r="EW117" s="11"/>
      <c r="EX117" s="12" t="e">
        <f t="shared" si="718"/>
        <v>#DIV/0!</v>
      </c>
      <c r="EY117" s="13"/>
      <c r="EZ117" s="13"/>
      <c r="FA117" s="25"/>
      <c r="FB117" s="38"/>
      <c r="FC117" s="10"/>
      <c r="FD117" s="11"/>
      <c r="FE117" s="69">
        <f t="shared" si="748"/>
        <v>0</v>
      </c>
      <c r="FF117" s="69">
        <f t="shared" si="748"/>
        <v>0</v>
      </c>
      <c r="FG117" s="11"/>
      <c r="FH117" s="12" t="e">
        <f t="shared" si="719"/>
        <v>#DIV/0!</v>
      </c>
      <c r="FI117" s="11"/>
      <c r="FJ117" s="12" t="e">
        <f t="shared" si="720"/>
        <v>#DIV/0!</v>
      </c>
      <c r="FK117" s="13"/>
      <c r="FL117" s="13"/>
      <c r="FM117" s="25"/>
      <c r="FN117" s="38"/>
      <c r="FO117" s="10"/>
      <c r="FP117" s="11"/>
      <c r="FQ117" s="69">
        <f t="shared" si="749"/>
        <v>0</v>
      </c>
      <c r="FR117" s="69">
        <f t="shared" si="749"/>
        <v>0</v>
      </c>
      <c r="FS117" s="11"/>
      <c r="FT117" s="12" t="e">
        <f t="shared" si="721"/>
        <v>#DIV/0!</v>
      </c>
      <c r="FU117" s="11"/>
      <c r="FV117" s="12" t="e">
        <f t="shared" si="722"/>
        <v>#DIV/0!</v>
      </c>
      <c r="FW117" s="13"/>
      <c r="FX117" s="13"/>
      <c r="FY117" s="25"/>
      <c r="FZ117" s="38"/>
      <c r="GA117" s="10"/>
      <c r="GB117" s="11"/>
      <c r="GC117" s="69">
        <f t="shared" si="750"/>
        <v>0</v>
      </c>
      <c r="GD117" s="69">
        <f t="shared" si="750"/>
        <v>0</v>
      </c>
      <c r="GE117" s="11"/>
      <c r="GF117" s="12" t="e">
        <f t="shared" si="723"/>
        <v>#DIV/0!</v>
      </c>
      <c r="GG117" s="11"/>
      <c r="GH117" s="12" t="e">
        <f t="shared" si="724"/>
        <v>#DIV/0!</v>
      </c>
      <c r="GI117" s="13"/>
      <c r="GJ117" s="13"/>
      <c r="GK117" s="25"/>
      <c r="GL117" s="38"/>
      <c r="GM117" s="10"/>
      <c r="GN117" s="11"/>
      <c r="GO117" s="69">
        <f t="shared" si="751"/>
        <v>0</v>
      </c>
      <c r="GP117" s="69">
        <f t="shared" si="751"/>
        <v>0</v>
      </c>
      <c r="GQ117" s="11"/>
      <c r="GR117" s="12" t="e">
        <f t="shared" si="725"/>
        <v>#DIV/0!</v>
      </c>
      <c r="GS117" s="11"/>
      <c r="GT117" s="12" t="e">
        <f t="shared" si="726"/>
        <v>#DIV/0!</v>
      </c>
      <c r="GU117" s="13"/>
      <c r="GV117" s="13"/>
      <c r="GW117" s="25"/>
      <c r="GX117" s="38"/>
      <c r="GY117" s="10"/>
      <c r="GZ117" s="11"/>
      <c r="HA117" s="69">
        <f t="shared" si="752"/>
        <v>0</v>
      </c>
      <c r="HB117" s="69">
        <f t="shared" si="752"/>
        <v>0</v>
      </c>
      <c r="HC117" s="11"/>
      <c r="HD117" s="12" t="e">
        <f t="shared" si="727"/>
        <v>#DIV/0!</v>
      </c>
      <c r="HE117" s="11"/>
      <c r="HF117" s="12" t="e">
        <f t="shared" si="728"/>
        <v>#DIV/0!</v>
      </c>
      <c r="HG117" s="13"/>
      <c r="HH117" s="13"/>
      <c r="HI117" s="25"/>
      <c r="HJ117" s="38"/>
      <c r="HK117" s="10">
        <f t="shared" si="729"/>
        <v>3</v>
      </c>
      <c r="HL117" s="11">
        <f t="shared" si="729"/>
        <v>0</v>
      </c>
      <c r="HM117" s="11">
        <f t="shared" si="729"/>
        <v>3593</v>
      </c>
      <c r="HN117" s="11">
        <f t="shared" si="729"/>
        <v>302</v>
      </c>
      <c r="HO117" s="11">
        <f t="shared" si="730"/>
        <v>1992</v>
      </c>
      <c r="HP117" s="95">
        <f t="shared" si="731"/>
        <v>0.55441135541330366</v>
      </c>
      <c r="HQ117" s="15">
        <f t="shared" si="732"/>
        <v>98</v>
      </c>
      <c r="HR117" s="12">
        <f t="shared" si="753"/>
        <v>4.9196787148594379E-2</v>
      </c>
      <c r="HS117" s="16">
        <v>67.2</v>
      </c>
      <c r="HT117" s="17">
        <v>1824</v>
      </c>
      <c r="HU117" s="16">
        <f t="shared" si="733"/>
        <v>91.566265060240966</v>
      </c>
      <c r="HV117" s="23">
        <v>4005</v>
      </c>
      <c r="HW117" s="22">
        <v>4400</v>
      </c>
    </row>
    <row r="118" spans="1:231" ht="18.75" x14ac:dyDescent="0.25">
      <c r="A118" s="374"/>
      <c r="B118" s="41">
        <f t="shared" si="411"/>
        <v>45030</v>
      </c>
      <c r="C118" s="10"/>
      <c r="D118" s="11"/>
      <c r="E118" s="69">
        <f t="shared" si="734"/>
        <v>634</v>
      </c>
      <c r="F118" s="69">
        <f t="shared" si="734"/>
        <v>53</v>
      </c>
      <c r="G118" s="11">
        <v>341</v>
      </c>
      <c r="H118" s="12">
        <f t="shared" si="694"/>
        <v>0.56151419558359617</v>
      </c>
      <c r="I118" s="11">
        <v>15</v>
      </c>
      <c r="J118" s="12">
        <f t="shared" si="735"/>
        <v>4.2134831460674156E-2</v>
      </c>
      <c r="K118" s="13"/>
      <c r="L118" s="11"/>
      <c r="M118" s="25">
        <v>4519.5</v>
      </c>
      <c r="N118" s="38">
        <v>4619.17</v>
      </c>
      <c r="O118" s="10">
        <v>1</v>
      </c>
      <c r="P118" s="11"/>
      <c r="Q118" s="69">
        <f t="shared" si="736"/>
        <v>633</v>
      </c>
      <c r="R118" s="69">
        <f t="shared" si="736"/>
        <v>53</v>
      </c>
      <c r="S118" s="11">
        <v>341</v>
      </c>
      <c r="T118" s="12">
        <f t="shared" si="695"/>
        <v>0.55608214849921012</v>
      </c>
      <c r="U118" s="11">
        <v>11</v>
      </c>
      <c r="V118" s="12">
        <f t="shared" si="696"/>
        <v>3.125E-2</v>
      </c>
      <c r="W118" s="13"/>
      <c r="X118" s="11"/>
      <c r="Y118" s="25">
        <v>4571.18</v>
      </c>
      <c r="Z118" s="38">
        <v>4786</v>
      </c>
      <c r="AA118" s="10"/>
      <c r="AB118" s="11"/>
      <c r="AC118" s="69">
        <f t="shared" si="737"/>
        <v>195</v>
      </c>
      <c r="AD118" s="69">
        <f t="shared" si="737"/>
        <v>16</v>
      </c>
      <c r="AE118" s="11">
        <v>96</v>
      </c>
      <c r="AF118" s="12">
        <f t="shared" si="697"/>
        <v>0.51282051282051277</v>
      </c>
      <c r="AG118" s="11">
        <v>4</v>
      </c>
      <c r="AH118" s="12">
        <f t="shared" si="698"/>
        <v>0.04</v>
      </c>
      <c r="AI118" s="13"/>
      <c r="AJ118" s="11"/>
      <c r="AK118" s="25">
        <v>4698.18</v>
      </c>
      <c r="AL118" s="38">
        <v>4348</v>
      </c>
      <c r="AM118" s="10"/>
      <c r="AN118" s="11"/>
      <c r="AO118" s="69">
        <f t="shared" si="738"/>
        <v>709</v>
      </c>
      <c r="AP118" s="69">
        <f t="shared" si="738"/>
        <v>60</v>
      </c>
      <c r="AQ118" s="11">
        <v>357</v>
      </c>
      <c r="AR118" s="12">
        <f t="shared" si="699"/>
        <v>0.52186177715091675</v>
      </c>
      <c r="AS118" s="11">
        <v>13</v>
      </c>
      <c r="AT118" s="12">
        <f t="shared" si="700"/>
        <v>3.5135135135135137E-2</v>
      </c>
      <c r="AU118" s="13"/>
      <c r="AV118" s="11"/>
      <c r="AW118" s="25">
        <v>4475.95</v>
      </c>
      <c r="AX118" s="38">
        <v>4848.33</v>
      </c>
      <c r="AY118" s="10">
        <v>1</v>
      </c>
      <c r="AZ118" s="11"/>
      <c r="BA118" s="69">
        <f t="shared" si="739"/>
        <v>710</v>
      </c>
      <c r="BB118" s="69">
        <f t="shared" si="739"/>
        <v>60</v>
      </c>
      <c r="BC118" s="11">
        <v>361</v>
      </c>
      <c r="BD118" s="12">
        <f t="shared" si="701"/>
        <v>0.53943661971830981</v>
      </c>
      <c r="BE118" s="11">
        <v>22</v>
      </c>
      <c r="BF118" s="12">
        <f t="shared" si="702"/>
        <v>5.7441253263707574E-2</v>
      </c>
      <c r="BG118" s="13"/>
      <c r="BH118" s="11"/>
      <c r="BI118" s="25">
        <v>4505</v>
      </c>
      <c r="BJ118" s="38">
        <v>4963.8500000000004</v>
      </c>
      <c r="BK118" s="10"/>
      <c r="BL118" s="11"/>
      <c r="BM118" s="69">
        <f t="shared" si="740"/>
        <v>710</v>
      </c>
      <c r="BN118" s="69">
        <f t="shared" si="740"/>
        <v>60</v>
      </c>
      <c r="BO118" s="11">
        <v>404</v>
      </c>
      <c r="BP118" s="12">
        <f t="shared" si="703"/>
        <v>0.58169014084507042</v>
      </c>
      <c r="BQ118" s="11">
        <v>9</v>
      </c>
      <c r="BR118" s="12">
        <f t="shared" si="704"/>
        <v>2.1791767554479417E-2</v>
      </c>
      <c r="BS118" s="13"/>
      <c r="BT118" s="11"/>
      <c r="BU118" s="25">
        <v>4564.87</v>
      </c>
      <c r="BV118" s="38">
        <v>5078</v>
      </c>
      <c r="BW118" s="10"/>
      <c r="BX118" s="11"/>
      <c r="BY118" s="69">
        <f t="shared" si="741"/>
        <v>0</v>
      </c>
      <c r="BZ118" s="69">
        <f t="shared" si="741"/>
        <v>0</v>
      </c>
      <c r="CA118" s="11"/>
      <c r="CB118" s="12" t="e">
        <f t="shared" si="705"/>
        <v>#DIV/0!</v>
      </c>
      <c r="CC118" s="11"/>
      <c r="CD118" s="12" t="e">
        <f t="shared" si="706"/>
        <v>#DIV/0!</v>
      </c>
      <c r="CE118" s="13"/>
      <c r="CF118" s="11"/>
      <c r="CG118" s="25"/>
      <c r="CH118" s="38"/>
      <c r="CI118" s="10"/>
      <c r="CJ118" s="11"/>
      <c r="CK118" s="69">
        <f t="shared" si="742"/>
        <v>0</v>
      </c>
      <c r="CL118" s="69">
        <f t="shared" si="742"/>
        <v>0</v>
      </c>
      <c r="CM118" s="11"/>
      <c r="CN118" s="12" t="e">
        <f t="shared" si="707"/>
        <v>#DIV/0!</v>
      </c>
      <c r="CO118" s="11"/>
      <c r="CP118" s="12" t="e">
        <f t="shared" si="708"/>
        <v>#DIV/0!</v>
      </c>
      <c r="CQ118" s="13"/>
      <c r="CR118" s="11"/>
      <c r="CS118" s="25"/>
      <c r="CT118" s="38"/>
      <c r="CU118" s="10"/>
      <c r="CV118" s="11"/>
      <c r="CW118" s="69">
        <f t="shared" si="743"/>
        <v>0</v>
      </c>
      <c r="CX118" s="69">
        <f t="shared" si="743"/>
        <v>0</v>
      </c>
      <c r="CY118" s="11"/>
      <c r="CZ118" s="12" t="e">
        <f t="shared" si="709"/>
        <v>#DIV/0!</v>
      </c>
      <c r="DA118" s="11"/>
      <c r="DB118" s="12" t="e">
        <f t="shared" si="710"/>
        <v>#DIV/0!</v>
      </c>
      <c r="DC118" s="13"/>
      <c r="DD118" s="11"/>
      <c r="DE118" s="25"/>
      <c r="DF118" s="38"/>
      <c r="DG118" s="10"/>
      <c r="DH118" s="11"/>
      <c r="DI118" s="69">
        <f t="shared" si="744"/>
        <v>0</v>
      </c>
      <c r="DJ118" s="69">
        <f t="shared" si="744"/>
        <v>0</v>
      </c>
      <c r="DK118" s="11"/>
      <c r="DL118" s="12" t="e">
        <f t="shared" si="711"/>
        <v>#DIV/0!</v>
      </c>
      <c r="DM118" s="11"/>
      <c r="DN118" s="12" t="e">
        <f t="shared" si="712"/>
        <v>#DIV/0!</v>
      </c>
      <c r="DO118" s="13"/>
      <c r="DP118" s="11"/>
      <c r="DQ118" s="25"/>
      <c r="DR118" s="38"/>
      <c r="DS118" s="10"/>
      <c r="DT118" s="11"/>
      <c r="DU118" s="69">
        <f t="shared" si="745"/>
        <v>0</v>
      </c>
      <c r="DV118" s="69">
        <f t="shared" si="745"/>
        <v>0</v>
      </c>
      <c r="DW118" s="11"/>
      <c r="DX118" s="12" t="e">
        <f t="shared" si="713"/>
        <v>#DIV/0!</v>
      </c>
      <c r="DY118" s="11"/>
      <c r="DZ118" s="12" t="e">
        <f t="shared" si="714"/>
        <v>#DIV/0!</v>
      </c>
      <c r="EA118" s="13"/>
      <c r="EB118" s="11"/>
      <c r="EC118" s="25"/>
      <c r="ED118" s="38"/>
      <c r="EE118" s="10"/>
      <c r="EF118" s="11"/>
      <c r="EG118" s="69">
        <f t="shared" si="746"/>
        <v>0</v>
      </c>
      <c r="EH118" s="69">
        <f t="shared" si="746"/>
        <v>0</v>
      </c>
      <c r="EI118" s="11"/>
      <c r="EJ118" s="12" t="e">
        <f t="shared" si="715"/>
        <v>#DIV/0!</v>
      </c>
      <c r="EK118" s="11"/>
      <c r="EL118" s="12" t="e">
        <f t="shared" si="716"/>
        <v>#DIV/0!</v>
      </c>
      <c r="EM118" s="13"/>
      <c r="EN118" s="11"/>
      <c r="EO118" s="25"/>
      <c r="EP118" s="38"/>
      <c r="EQ118" s="10"/>
      <c r="ER118" s="11"/>
      <c r="ES118" s="69">
        <f t="shared" si="747"/>
        <v>0</v>
      </c>
      <c r="ET118" s="69">
        <f t="shared" si="747"/>
        <v>0</v>
      </c>
      <c r="EU118" s="11"/>
      <c r="EV118" s="12" t="e">
        <f t="shared" si="717"/>
        <v>#DIV/0!</v>
      </c>
      <c r="EW118" s="11"/>
      <c r="EX118" s="12" t="e">
        <f t="shared" si="718"/>
        <v>#DIV/0!</v>
      </c>
      <c r="EY118" s="13"/>
      <c r="EZ118" s="11"/>
      <c r="FA118" s="25"/>
      <c r="FB118" s="38"/>
      <c r="FC118" s="10"/>
      <c r="FD118" s="11"/>
      <c r="FE118" s="69">
        <f t="shared" si="748"/>
        <v>0</v>
      </c>
      <c r="FF118" s="69">
        <f t="shared" si="748"/>
        <v>0</v>
      </c>
      <c r="FG118" s="11"/>
      <c r="FH118" s="12" t="e">
        <f t="shared" si="719"/>
        <v>#DIV/0!</v>
      </c>
      <c r="FI118" s="11"/>
      <c r="FJ118" s="12" t="e">
        <f t="shared" si="720"/>
        <v>#DIV/0!</v>
      </c>
      <c r="FK118" s="13"/>
      <c r="FL118" s="11"/>
      <c r="FM118" s="25"/>
      <c r="FN118" s="38"/>
      <c r="FO118" s="10"/>
      <c r="FP118" s="11"/>
      <c r="FQ118" s="69">
        <f t="shared" si="749"/>
        <v>0</v>
      </c>
      <c r="FR118" s="69">
        <f t="shared" si="749"/>
        <v>0</v>
      </c>
      <c r="FS118" s="11"/>
      <c r="FT118" s="12" t="e">
        <f t="shared" si="721"/>
        <v>#DIV/0!</v>
      </c>
      <c r="FU118" s="11"/>
      <c r="FV118" s="12" t="e">
        <f t="shared" si="722"/>
        <v>#DIV/0!</v>
      </c>
      <c r="FW118" s="13"/>
      <c r="FX118" s="11"/>
      <c r="FY118" s="25"/>
      <c r="FZ118" s="38"/>
      <c r="GA118" s="10"/>
      <c r="GB118" s="11"/>
      <c r="GC118" s="69">
        <f t="shared" si="750"/>
        <v>0</v>
      </c>
      <c r="GD118" s="69">
        <f t="shared" si="750"/>
        <v>0</v>
      </c>
      <c r="GE118" s="11"/>
      <c r="GF118" s="12" t="e">
        <f t="shared" si="723"/>
        <v>#DIV/0!</v>
      </c>
      <c r="GG118" s="11"/>
      <c r="GH118" s="12" t="e">
        <f t="shared" si="724"/>
        <v>#DIV/0!</v>
      </c>
      <c r="GI118" s="13"/>
      <c r="GJ118" s="11"/>
      <c r="GK118" s="25"/>
      <c r="GL118" s="38"/>
      <c r="GM118" s="10"/>
      <c r="GN118" s="11"/>
      <c r="GO118" s="69">
        <f t="shared" si="751"/>
        <v>0</v>
      </c>
      <c r="GP118" s="69">
        <f t="shared" si="751"/>
        <v>0</v>
      </c>
      <c r="GQ118" s="11"/>
      <c r="GR118" s="12" t="e">
        <f t="shared" si="725"/>
        <v>#DIV/0!</v>
      </c>
      <c r="GS118" s="11"/>
      <c r="GT118" s="12" t="e">
        <f t="shared" si="726"/>
        <v>#DIV/0!</v>
      </c>
      <c r="GU118" s="13"/>
      <c r="GV118" s="11"/>
      <c r="GW118" s="25"/>
      <c r="GX118" s="38"/>
      <c r="GY118" s="10"/>
      <c r="GZ118" s="11"/>
      <c r="HA118" s="69">
        <f t="shared" si="752"/>
        <v>0</v>
      </c>
      <c r="HB118" s="69">
        <f t="shared" si="752"/>
        <v>0</v>
      </c>
      <c r="HC118" s="11"/>
      <c r="HD118" s="12" t="e">
        <f t="shared" si="727"/>
        <v>#DIV/0!</v>
      </c>
      <c r="HE118" s="11"/>
      <c r="HF118" s="12" t="e">
        <f t="shared" si="728"/>
        <v>#DIV/0!</v>
      </c>
      <c r="HG118" s="13"/>
      <c r="HH118" s="11"/>
      <c r="HI118" s="25"/>
      <c r="HJ118" s="38"/>
      <c r="HK118" s="10">
        <f t="shared" si="729"/>
        <v>2</v>
      </c>
      <c r="HL118" s="11">
        <f t="shared" si="729"/>
        <v>0</v>
      </c>
      <c r="HM118" s="11">
        <f t="shared" si="729"/>
        <v>3591</v>
      </c>
      <c r="HN118" s="11">
        <f t="shared" si="729"/>
        <v>302</v>
      </c>
      <c r="HO118" s="11">
        <f t="shared" si="730"/>
        <v>1974</v>
      </c>
      <c r="HP118" s="95">
        <f t="shared" si="731"/>
        <v>0.54970760233918126</v>
      </c>
      <c r="HQ118" s="15">
        <f t="shared" si="732"/>
        <v>74</v>
      </c>
      <c r="HR118" s="12">
        <f t="shared" si="753"/>
        <v>3.7487335359675786E-2</v>
      </c>
      <c r="HS118" s="16">
        <v>66.8</v>
      </c>
      <c r="HT118" s="17">
        <v>1819</v>
      </c>
      <c r="HU118" s="16">
        <f t="shared" si="733"/>
        <v>92.147922998986829</v>
      </c>
      <c r="HV118" s="23">
        <v>4536.55</v>
      </c>
      <c r="HW118" s="22">
        <v>4814.84</v>
      </c>
    </row>
    <row r="119" spans="1:231" ht="18.75" x14ac:dyDescent="0.25">
      <c r="A119" s="374"/>
      <c r="B119" s="41">
        <f t="shared" si="411"/>
        <v>45031</v>
      </c>
      <c r="C119" s="10"/>
      <c r="D119" s="11"/>
      <c r="E119" s="69">
        <f>E118-C119</f>
        <v>634</v>
      </c>
      <c r="F119" s="69">
        <f>F118-D119</f>
        <v>53</v>
      </c>
      <c r="G119" s="11">
        <v>324</v>
      </c>
      <c r="H119" s="12">
        <f t="shared" si="694"/>
        <v>0.52523659305993686</v>
      </c>
      <c r="I119" s="11">
        <v>9</v>
      </c>
      <c r="J119" s="12">
        <f t="shared" si="735"/>
        <v>2.7027027027027029E-2</v>
      </c>
      <c r="K119" s="13"/>
      <c r="L119" s="11"/>
      <c r="M119" s="39">
        <v>87.5</v>
      </c>
      <c r="N119" s="43">
        <v>91.7</v>
      </c>
      <c r="O119" s="10">
        <v>1</v>
      </c>
      <c r="P119" s="11"/>
      <c r="Q119" s="69">
        <f t="shared" si="736"/>
        <v>632</v>
      </c>
      <c r="R119" s="69">
        <f t="shared" si="736"/>
        <v>53</v>
      </c>
      <c r="S119" s="11">
        <v>329</v>
      </c>
      <c r="T119" s="12">
        <f t="shared" si="695"/>
        <v>0.53955696202531644</v>
      </c>
      <c r="U119" s="11">
        <v>12</v>
      </c>
      <c r="V119" s="12">
        <f t="shared" si="696"/>
        <v>3.519061583577713E-2</v>
      </c>
      <c r="W119" s="13"/>
      <c r="X119" s="11"/>
      <c r="Y119" s="39">
        <v>91.18</v>
      </c>
      <c r="Z119" s="43">
        <v>100</v>
      </c>
      <c r="AA119" s="10"/>
      <c r="AB119" s="11"/>
      <c r="AC119" s="69">
        <f t="shared" si="737"/>
        <v>195</v>
      </c>
      <c r="AD119" s="69">
        <f t="shared" si="737"/>
        <v>16</v>
      </c>
      <c r="AE119" s="11">
        <v>93</v>
      </c>
      <c r="AF119" s="12">
        <f t="shared" si="697"/>
        <v>0.50769230769230766</v>
      </c>
      <c r="AG119" s="11">
        <v>6</v>
      </c>
      <c r="AH119" s="12">
        <f t="shared" si="698"/>
        <v>6.0606060606060608E-2</v>
      </c>
      <c r="AI119" s="13"/>
      <c r="AJ119" s="11"/>
      <c r="AK119" s="39">
        <v>81.8</v>
      </c>
      <c r="AL119" s="43">
        <v>100</v>
      </c>
      <c r="AM119" s="10"/>
      <c r="AN119" s="11"/>
      <c r="AO119" s="69">
        <f t="shared" si="738"/>
        <v>709</v>
      </c>
      <c r="AP119" s="69">
        <f t="shared" si="738"/>
        <v>60</v>
      </c>
      <c r="AQ119" s="11">
        <v>354</v>
      </c>
      <c r="AR119" s="12">
        <f t="shared" si="699"/>
        <v>0.52468265162200278</v>
      </c>
      <c r="AS119" s="11">
        <v>18</v>
      </c>
      <c r="AT119" s="12">
        <f t="shared" si="700"/>
        <v>4.8387096774193547E-2</v>
      </c>
      <c r="AU119" s="13"/>
      <c r="AV119" s="11"/>
      <c r="AW119" s="39">
        <v>86.5</v>
      </c>
      <c r="AX119" s="43">
        <v>100</v>
      </c>
      <c r="AY119" s="10"/>
      <c r="AZ119" s="11"/>
      <c r="BA119" s="69">
        <f t="shared" si="739"/>
        <v>710</v>
      </c>
      <c r="BB119" s="69">
        <f t="shared" si="739"/>
        <v>60</v>
      </c>
      <c r="BC119" s="11">
        <v>377</v>
      </c>
      <c r="BD119" s="12">
        <f t="shared" si="701"/>
        <v>0.55492957746478877</v>
      </c>
      <c r="BE119" s="11">
        <v>17</v>
      </c>
      <c r="BF119" s="12">
        <f t="shared" si="702"/>
        <v>4.3147208121827409E-2</v>
      </c>
      <c r="BG119" s="13"/>
      <c r="BH119" s="11"/>
      <c r="BI119" s="39">
        <v>88.89</v>
      </c>
      <c r="BJ119" s="43">
        <v>100</v>
      </c>
      <c r="BK119" s="10"/>
      <c r="BL119" s="11"/>
      <c r="BM119" s="69">
        <f t="shared" si="740"/>
        <v>710</v>
      </c>
      <c r="BN119" s="69">
        <f t="shared" si="740"/>
        <v>60</v>
      </c>
      <c r="BO119" s="11">
        <v>396</v>
      </c>
      <c r="BP119" s="12">
        <f t="shared" si="703"/>
        <v>0.56478873239436622</v>
      </c>
      <c r="BQ119" s="11">
        <v>5</v>
      </c>
      <c r="BR119" s="12">
        <f t="shared" si="704"/>
        <v>1.2468827930174564E-2</v>
      </c>
      <c r="BS119" s="13"/>
      <c r="BT119" s="11"/>
      <c r="BU119" s="39">
        <v>84.62</v>
      </c>
      <c r="BV119" s="43">
        <v>100</v>
      </c>
      <c r="BW119" s="10"/>
      <c r="BX119" s="11"/>
      <c r="BY119" s="69">
        <f t="shared" si="741"/>
        <v>0</v>
      </c>
      <c r="BZ119" s="69">
        <f t="shared" si="741"/>
        <v>0</v>
      </c>
      <c r="CA119" s="11"/>
      <c r="CB119" s="12" t="e">
        <f t="shared" si="705"/>
        <v>#DIV/0!</v>
      </c>
      <c r="CC119" s="11"/>
      <c r="CD119" s="12" t="e">
        <f t="shared" si="706"/>
        <v>#DIV/0!</v>
      </c>
      <c r="CE119" s="13"/>
      <c r="CF119" s="11"/>
      <c r="CG119" s="39"/>
      <c r="CH119" s="43"/>
      <c r="CI119" s="10"/>
      <c r="CJ119" s="11"/>
      <c r="CK119" s="69">
        <f t="shared" si="742"/>
        <v>0</v>
      </c>
      <c r="CL119" s="69">
        <f t="shared" si="742"/>
        <v>0</v>
      </c>
      <c r="CM119" s="11"/>
      <c r="CN119" s="12" t="e">
        <f t="shared" si="707"/>
        <v>#DIV/0!</v>
      </c>
      <c r="CO119" s="11"/>
      <c r="CP119" s="12" t="e">
        <f t="shared" si="708"/>
        <v>#DIV/0!</v>
      </c>
      <c r="CQ119" s="13"/>
      <c r="CR119" s="11"/>
      <c r="CS119" s="39"/>
      <c r="CT119" s="43"/>
      <c r="CU119" s="10"/>
      <c r="CV119" s="11"/>
      <c r="CW119" s="69">
        <f t="shared" si="743"/>
        <v>0</v>
      </c>
      <c r="CX119" s="69">
        <f t="shared" si="743"/>
        <v>0</v>
      </c>
      <c r="CY119" s="11"/>
      <c r="CZ119" s="12" t="e">
        <f t="shared" si="709"/>
        <v>#DIV/0!</v>
      </c>
      <c r="DA119" s="11"/>
      <c r="DB119" s="12" t="e">
        <f t="shared" si="710"/>
        <v>#DIV/0!</v>
      </c>
      <c r="DC119" s="13"/>
      <c r="DD119" s="11"/>
      <c r="DE119" s="39"/>
      <c r="DF119" s="43"/>
      <c r="DG119" s="10"/>
      <c r="DH119" s="11"/>
      <c r="DI119" s="69">
        <f t="shared" si="744"/>
        <v>0</v>
      </c>
      <c r="DJ119" s="69">
        <f t="shared" si="744"/>
        <v>0</v>
      </c>
      <c r="DK119" s="11"/>
      <c r="DL119" s="12" t="e">
        <f t="shared" si="711"/>
        <v>#DIV/0!</v>
      </c>
      <c r="DM119" s="11"/>
      <c r="DN119" s="12" t="e">
        <f t="shared" si="712"/>
        <v>#DIV/0!</v>
      </c>
      <c r="DO119" s="13"/>
      <c r="DP119" s="11"/>
      <c r="DQ119" s="39"/>
      <c r="DR119" s="43"/>
      <c r="DS119" s="10"/>
      <c r="DT119" s="11"/>
      <c r="DU119" s="69">
        <f t="shared" si="745"/>
        <v>0</v>
      </c>
      <c r="DV119" s="69">
        <f t="shared" si="745"/>
        <v>0</v>
      </c>
      <c r="DW119" s="11"/>
      <c r="DX119" s="12" t="e">
        <f t="shared" si="713"/>
        <v>#DIV/0!</v>
      </c>
      <c r="DY119" s="11"/>
      <c r="DZ119" s="12" t="e">
        <f t="shared" si="714"/>
        <v>#DIV/0!</v>
      </c>
      <c r="EA119" s="13"/>
      <c r="EB119" s="11"/>
      <c r="EC119" s="39"/>
      <c r="ED119" s="43"/>
      <c r="EE119" s="10"/>
      <c r="EF119" s="11"/>
      <c r="EG119" s="69">
        <f t="shared" si="746"/>
        <v>0</v>
      </c>
      <c r="EH119" s="69">
        <f t="shared" si="746"/>
        <v>0</v>
      </c>
      <c r="EI119" s="11"/>
      <c r="EJ119" s="12" t="e">
        <f t="shared" si="715"/>
        <v>#DIV/0!</v>
      </c>
      <c r="EK119" s="11"/>
      <c r="EL119" s="12" t="e">
        <f t="shared" si="716"/>
        <v>#DIV/0!</v>
      </c>
      <c r="EM119" s="13"/>
      <c r="EN119" s="11"/>
      <c r="EO119" s="39"/>
      <c r="EP119" s="43"/>
      <c r="EQ119" s="10"/>
      <c r="ER119" s="11"/>
      <c r="ES119" s="69">
        <f t="shared" si="747"/>
        <v>0</v>
      </c>
      <c r="ET119" s="69">
        <f t="shared" si="747"/>
        <v>0</v>
      </c>
      <c r="EU119" s="11"/>
      <c r="EV119" s="12" t="e">
        <f t="shared" si="717"/>
        <v>#DIV/0!</v>
      </c>
      <c r="EW119" s="11"/>
      <c r="EX119" s="12" t="e">
        <f t="shared" si="718"/>
        <v>#DIV/0!</v>
      </c>
      <c r="EY119" s="13"/>
      <c r="EZ119" s="11"/>
      <c r="FA119" s="39"/>
      <c r="FB119" s="43"/>
      <c r="FC119" s="10"/>
      <c r="FD119" s="11"/>
      <c r="FE119" s="69">
        <f t="shared" si="748"/>
        <v>0</v>
      </c>
      <c r="FF119" s="69">
        <f t="shared" si="748"/>
        <v>0</v>
      </c>
      <c r="FG119" s="11"/>
      <c r="FH119" s="12" t="e">
        <f t="shared" si="719"/>
        <v>#DIV/0!</v>
      </c>
      <c r="FI119" s="11"/>
      <c r="FJ119" s="12" t="e">
        <f t="shared" si="720"/>
        <v>#DIV/0!</v>
      </c>
      <c r="FK119" s="13"/>
      <c r="FL119" s="11"/>
      <c r="FM119" s="39"/>
      <c r="FN119" s="43"/>
      <c r="FO119" s="10"/>
      <c r="FP119" s="11"/>
      <c r="FQ119" s="69">
        <f t="shared" si="749"/>
        <v>0</v>
      </c>
      <c r="FR119" s="69">
        <f t="shared" si="749"/>
        <v>0</v>
      </c>
      <c r="FS119" s="11"/>
      <c r="FT119" s="12" t="e">
        <f t="shared" si="721"/>
        <v>#DIV/0!</v>
      </c>
      <c r="FU119" s="11"/>
      <c r="FV119" s="12" t="e">
        <f t="shared" si="722"/>
        <v>#DIV/0!</v>
      </c>
      <c r="FW119" s="13"/>
      <c r="FX119" s="11"/>
      <c r="FY119" s="39"/>
      <c r="FZ119" s="43"/>
      <c r="GA119" s="10"/>
      <c r="GB119" s="11"/>
      <c r="GC119" s="69">
        <f t="shared" si="750"/>
        <v>0</v>
      </c>
      <c r="GD119" s="69">
        <f t="shared" si="750"/>
        <v>0</v>
      </c>
      <c r="GE119" s="11"/>
      <c r="GF119" s="12" t="e">
        <f t="shared" si="723"/>
        <v>#DIV/0!</v>
      </c>
      <c r="GG119" s="11"/>
      <c r="GH119" s="12" t="e">
        <f t="shared" si="724"/>
        <v>#DIV/0!</v>
      </c>
      <c r="GI119" s="13"/>
      <c r="GJ119" s="11"/>
      <c r="GK119" s="39"/>
      <c r="GL119" s="43"/>
      <c r="GM119" s="10"/>
      <c r="GN119" s="11"/>
      <c r="GO119" s="69">
        <f t="shared" si="751"/>
        <v>0</v>
      </c>
      <c r="GP119" s="69">
        <f t="shared" si="751"/>
        <v>0</v>
      </c>
      <c r="GQ119" s="11"/>
      <c r="GR119" s="12" t="e">
        <f t="shared" si="725"/>
        <v>#DIV/0!</v>
      </c>
      <c r="GS119" s="11"/>
      <c r="GT119" s="12" t="e">
        <f t="shared" si="726"/>
        <v>#DIV/0!</v>
      </c>
      <c r="GU119" s="13"/>
      <c r="GV119" s="11"/>
      <c r="GW119" s="39"/>
      <c r="GX119" s="43"/>
      <c r="GY119" s="10"/>
      <c r="GZ119" s="11"/>
      <c r="HA119" s="69">
        <f t="shared" si="752"/>
        <v>0</v>
      </c>
      <c r="HB119" s="69">
        <f t="shared" si="752"/>
        <v>0</v>
      </c>
      <c r="HC119" s="11"/>
      <c r="HD119" s="12" t="e">
        <f t="shared" si="727"/>
        <v>#DIV/0!</v>
      </c>
      <c r="HE119" s="11"/>
      <c r="HF119" s="12" t="e">
        <f t="shared" si="728"/>
        <v>#DIV/0!</v>
      </c>
      <c r="HG119" s="13"/>
      <c r="HH119" s="11"/>
      <c r="HI119" s="39"/>
      <c r="HJ119" s="43"/>
      <c r="HK119" s="10">
        <f t="shared" si="729"/>
        <v>1</v>
      </c>
      <c r="HL119" s="11">
        <f t="shared" si="729"/>
        <v>0</v>
      </c>
      <c r="HM119" s="11">
        <f t="shared" si="729"/>
        <v>3590</v>
      </c>
      <c r="HN119" s="11">
        <f t="shared" si="729"/>
        <v>302</v>
      </c>
      <c r="HO119" s="11">
        <f t="shared" si="730"/>
        <v>1940</v>
      </c>
      <c r="HP119" s="95">
        <f t="shared" si="731"/>
        <v>0.54038997214484674</v>
      </c>
      <c r="HQ119" s="15">
        <f t="shared" si="732"/>
        <v>67</v>
      </c>
      <c r="HR119" s="12">
        <f t="shared" si="753"/>
        <v>3.4536082474226806E-2</v>
      </c>
      <c r="HS119" s="16">
        <v>67.099999999999994</v>
      </c>
      <c r="HT119" s="17">
        <v>1786</v>
      </c>
      <c r="HU119" s="16">
        <f t="shared" si="733"/>
        <v>92.061855670103085</v>
      </c>
      <c r="HV119" s="23">
        <v>87.31</v>
      </c>
      <c r="HW119" s="22">
        <v>85.48</v>
      </c>
    </row>
    <row r="120" spans="1:231" ht="19.5" thickBot="1" x14ac:dyDescent="0.3">
      <c r="A120" s="374"/>
      <c r="B120" s="42"/>
      <c r="C120" s="26">
        <f>SUM(C113:C119)</f>
        <v>0</v>
      </c>
      <c r="D120" s="27">
        <f>SUM(D113:D119)</f>
        <v>3</v>
      </c>
      <c r="E120" s="27"/>
      <c r="F120" s="27"/>
      <c r="G120" s="27">
        <f>SUM(G113:G119)</f>
        <v>2459</v>
      </c>
      <c r="H120" s="28">
        <f>((G120+I120)/7)/E119</f>
        <v>0.57435781883731418</v>
      </c>
      <c r="I120" s="27">
        <f>SUM(I113:I119)</f>
        <v>90</v>
      </c>
      <c r="J120" s="28">
        <f>(I120/(I120+G120))</f>
        <v>3.5307963907414676E-2</v>
      </c>
      <c r="K120" s="27"/>
      <c r="L120" s="27"/>
      <c r="M120" s="29">
        <f>M118/M117*100-100</f>
        <v>12.846441947565552</v>
      </c>
      <c r="N120" s="67">
        <f>N118/N117*100-100</f>
        <v>4.9811363636363808</v>
      </c>
      <c r="O120" s="26">
        <f>SUM(O113:O119)</f>
        <v>4</v>
      </c>
      <c r="P120" s="27">
        <f>SUM(P113:P119)</f>
        <v>3</v>
      </c>
      <c r="Q120" s="27"/>
      <c r="R120" s="27"/>
      <c r="S120" s="27">
        <f>SUM(S113:S119)</f>
        <v>2486</v>
      </c>
      <c r="T120" s="28">
        <f>((S120+U120)/7)/Q119</f>
        <v>0.58318264014466548</v>
      </c>
      <c r="U120" s="27">
        <f>SUM(U113:U119)</f>
        <v>94</v>
      </c>
      <c r="V120" s="28">
        <f>(U120/(U120+S120))</f>
        <v>3.6434108527131782E-2</v>
      </c>
      <c r="W120" s="27"/>
      <c r="X120" s="27"/>
      <c r="Y120" s="29">
        <f>Y118/Y117*100-100</f>
        <v>14.136828963795267</v>
      </c>
      <c r="Z120" s="67">
        <f>Z118/Z117*100-100</f>
        <v>8.7727272727272663</v>
      </c>
      <c r="AA120" s="26">
        <f>SUM(AA113:AA119)</f>
        <v>3</v>
      </c>
      <c r="AB120" s="27">
        <f>SUM(AB113:AB119)</f>
        <v>1</v>
      </c>
      <c r="AC120" s="27"/>
      <c r="AD120" s="27"/>
      <c r="AE120" s="27">
        <f>SUM(AE113:AE119)</f>
        <v>612</v>
      </c>
      <c r="AF120" s="28">
        <f>((AE120+AG120)/7)/AC119</f>
        <v>0.46886446886446886</v>
      </c>
      <c r="AG120" s="27">
        <f>SUM(AG113:AG119)</f>
        <v>28</v>
      </c>
      <c r="AH120" s="28">
        <f>(AG120/(AG120+AE120))</f>
        <v>4.3749999999999997E-2</v>
      </c>
      <c r="AI120" s="27"/>
      <c r="AJ120" s="27"/>
      <c r="AK120" s="29">
        <f>AK118/AK117*100-100</f>
        <v>17.307865168539323</v>
      </c>
      <c r="AL120" s="67">
        <f>AL118/AL117*100-100</f>
        <v>-1.181818181818187</v>
      </c>
      <c r="AM120" s="26">
        <f>SUM(AM113:AM119)</f>
        <v>2</v>
      </c>
      <c r="AN120" s="27">
        <f>SUM(AN113:AN119)</f>
        <v>3</v>
      </c>
      <c r="AO120" s="27"/>
      <c r="AP120" s="27"/>
      <c r="AQ120" s="27">
        <f>SUM(AQ113:AQ119)</f>
        <v>2474</v>
      </c>
      <c r="AR120" s="28">
        <f>((AQ120+AS120)/7)/AO119</f>
        <v>0.5192423937134798</v>
      </c>
      <c r="AS120" s="27">
        <f>SUM(AS113:AS119)</f>
        <v>103</v>
      </c>
      <c r="AT120" s="28">
        <f>(AS120/(AS120+AQ120))</f>
        <v>3.9968956150562666E-2</v>
      </c>
      <c r="AU120" s="27"/>
      <c r="AV120" s="27"/>
      <c r="AW120" s="29">
        <f>AW118/AW117*100-100</f>
        <v>11.759051186017473</v>
      </c>
      <c r="AX120" s="67">
        <f>AX118/AX117*100-100</f>
        <v>10.18931818181818</v>
      </c>
      <c r="AY120" s="26">
        <f>SUM(AY113:AY119)</f>
        <v>1</v>
      </c>
      <c r="AZ120" s="27">
        <f>SUM(AZ113:AZ119)</f>
        <v>4</v>
      </c>
      <c r="BA120" s="27"/>
      <c r="BB120" s="27"/>
      <c r="BC120" s="27">
        <f>SUM(BC113:BC119)</f>
        <v>2543</v>
      </c>
      <c r="BD120" s="28">
        <f>((BC120+BE120)/7)/BA119</f>
        <v>0.53199195171026159</v>
      </c>
      <c r="BE120" s="27">
        <f>SUM(BE113:BE119)</f>
        <v>101</v>
      </c>
      <c r="BF120" s="28">
        <f>(BE120/(BE120+BC120))</f>
        <v>3.8199697428139182E-2</v>
      </c>
      <c r="BG120" s="27"/>
      <c r="BH120" s="27"/>
      <c r="BI120" s="29">
        <f>BI118/BI117*100-100</f>
        <v>12.484394506866423</v>
      </c>
      <c r="BJ120" s="67">
        <f>BJ118/BJ117*100-100</f>
        <v>12.814772727272739</v>
      </c>
      <c r="BK120" s="26">
        <f>SUM(BK113:BK119)</f>
        <v>1</v>
      </c>
      <c r="BL120" s="27">
        <f>SUM(BL113:BL119)</f>
        <v>3</v>
      </c>
      <c r="BM120" s="27"/>
      <c r="BN120" s="27"/>
      <c r="BO120" s="27">
        <f>SUM(BO113:BO119)</f>
        <v>2708</v>
      </c>
      <c r="BP120" s="28">
        <f>((BO120+BQ120)/7)/BM119</f>
        <v>0.55613682092555328</v>
      </c>
      <c r="BQ120" s="27">
        <f>SUM(BQ113:BQ119)</f>
        <v>56</v>
      </c>
      <c r="BR120" s="28">
        <f>(BQ120/(BQ120+BO120))</f>
        <v>2.0260492040520984E-2</v>
      </c>
      <c r="BS120" s="27"/>
      <c r="BT120" s="27"/>
      <c r="BU120" s="29">
        <f>BU118/BU117*100-100</f>
        <v>13.979275905118598</v>
      </c>
      <c r="BV120" s="67">
        <f>BV118/BV117*100-100</f>
        <v>15.409090909090907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7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7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7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7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7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7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7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7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7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7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7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7" t="e">
        <f>HJ118/HJ117*100-100</f>
        <v>#DIV/0!</v>
      </c>
      <c r="HK120" s="26">
        <f t="shared" si="729"/>
        <v>11</v>
      </c>
      <c r="HL120" s="27">
        <f t="shared" si="729"/>
        <v>17</v>
      </c>
      <c r="HM120" s="27">
        <f t="shared" si="729"/>
        <v>0</v>
      </c>
      <c r="HN120" s="27">
        <f t="shared" si="729"/>
        <v>0</v>
      </c>
      <c r="HO120" s="27">
        <f t="shared" si="730"/>
        <v>13754</v>
      </c>
      <c r="HP120" s="96">
        <f>+((HO120)/HM119)/7</f>
        <v>0.54731396736967775</v>
      </c>
      <c r="HQ120" s="62">
        <f t="shared" si="732"/>
        <v>472</v>
      </c>
      <c r="HR120" s="52">
        <f t="shared" si="753"/>
        <v>3.4317289515777227E-2</v>
      </c>
      <c r="HS120" s="53">
        <f>SUM(HS113:HS119)/7</f>
        <v>66.842857142857142</v>
      </c>
      <c r="HT120" s="54">
        <f>SUM(HT113:HT119)</f>
        <v>12751</v>
      </c>
      <c r="HU120" s="53">
        <f>AVERAGE(HU113:HU119)</f>
        <v>92.710235940575004</v>
      </c>
      <c r="HV120" s="63">
        <f>HV118/HV117*100-100</f>
        <v>13.272159800249696</v>
      </c>
      <c r="HW120" s="67">
        <f>HW118/HW117*100-100</f>
        <v>9.4281818181818124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3.0547070258261596E-3</v>
      </c>
      <c r="HL121" s="66">
        <f>HL120/HN110</f>
        <v>5.329153605015674E-2</v>
      </c>
      <c r="HM121" s="45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373">
        <v>38</v>
      </c>
      <c r="B122" s="68">
        <f>B119+1</f>
        <v>45032</v>
      </c>
      <c r="C122" s="33"/>
      <c r="D122" s="34"/>
      <c r="E122" s="34">
        <f>E119-C122</f>
        <v>634</v>
      </c>
      <c r="F122" s="34">
        <f>F119-D122</f>
        <v>53</v>
      </c>
      <c r="G122" s="34">
        <v>347</v>
      </c>
      <c r="H122" s="35">
        <f t="shared" ref="H122:H128" si="754">((G122+I122)/E122)</f>
        <v>0.57097791798107256</v>
      </c>
      <c r="I122" s="34">
        <v>15</v>
      </c>
      <c r="J122" s="35">
        <f>I122/(G122+I122)</f>
        <v>4.1436464088397788E-2</v>
      </c>
      <c r="K122" s="36"/>
      <c r="L122" s="34"/>
      <c r="M122" s="34"/>
      <c r="N122" s="37"/>
      <c r="O122" s="33"/>
      <c r="P122" s="34"/>
      <c r="Q122" s="34">
        <f>Q119-O122</f>
        <v>632</v>
      </c>
      <c r="R122" s="34">
        <f>R119-P122</f>
        <v>53</v>
      </c>
      <c r="S122" s="34">
        <v>351</v>
      </c>
      <c r="T122" s="35">
        <f t="shared" ref="T122:T128" si="755">((S122+U122)/Q122)</f>
        <v>0.57120253164556967</v>
      </c>
      <c r="U122" s="34">
        <v>10</v>
      </c>
      <c r="V122" s="35">
        <f t="shared" ref="V122:V128" si="756">U122/(S122+U122)</f>
        <v>2.7700831024930747E-2</v>
      </c>
      <c r="W122" s="36"/>
      <c r="X122" s="34"/>
      <c r="Y122" s="34"/>
      <c r="Z122" s="37"/>
      <c r="AA122" s="33">
        <v>2</v>
      </c>
      <c r="AB122" s="34"/>
      <c r="AC122" s="34">
        <f>AC119-AA122</f>
        <v>193</v>
      </c>
      <c r="AD122" s="34">
        <f>AD119-AB122</f>
        <v>16</v>
      </c>
      <c r="AE122" s="34">
        <v>94</v>
      </c>
      <c r="AF122" s="35">
        <f t="shared" ref="AF122:AF128" si="757">((AE122+AG122)/AC122)</f>
        <v>0.51295336787564771</v>
      </c>
      <c r="AG122" s="34">
        <v>5</v>
      </c>
      <c r="AH122" s="35">
        <f t="shared" ref="AH122:AH128" si="758">AG122/(AE122+AG122)</f>
        <v>5.0505050505050504E-2</v>
      </c>
      <c r="AI122" s="36"/>
      <c r="AJ122" s="34"/>
      <c r="AK122" s="34"/>
      <c r="AL122" s="37"/>
      <c r="AM122" s="33"/>
      <c r="AN122" s="34"/>
      <c r="AO122" s="34">
        <f>AO119-AM122</f>
        <v>709</v>
      </c>
      <c r="AP122" s="34">
        <f>AP119-AN122</f>
        <v>60</v>
      </c>
      <c r="AQ122" s="34">
        <v>386</v>
      </c>
      <c r="AR122" s="35">
        <f t="shared" ref="AR122:AR128" si="759">((AQ122+AS122)/AO122)</f>
        <v>0.56276445698166433</v>
      </c>
      <c r="AS122" s="34">
        <v>13</v>
      </c>
      <c r="AT122" s="35">
        <f t="shared" ref="AT122:AT128" si="760">AS122/(AQ122+AS122)</f>
        <v>3.2581453634085211E-2</v>
      </c>
      <c r="AU122" s="36"/>
      <c r="AV122" s="34"/>
      <c r="AW122" s="34"/>
      <c r="AX122" s="37"/>
      <c r="AY122" s="33"/>
      <c r="AZ122" s="34"/>
      <c r="BA122" s="34">
        <f>BA119-AY122</f>
        <v>710</v>
      </c>
      <c r="BB122" s="34">
        <f>BB119-AZ122</f>
        <v>60</v>
      </c>
      <c r="BC122" s="34">
        <v>368</v>
      </c>
      <c r="BD122" s="35">
        <f t="shared" ref="BD122:BD128" si="761">((BC122+BE122)/BA122)</f>
        <v>0.53661971830985911</v>
      </c>
      <c r="BE122" s="34">
        <v>13</v>
      </c>
      <c r="BF122" s="35">
        <f t="shared" ref="BF122:BF128" si="762">BE122/(BC122+BE122)</f>
        <v>3.4120734908136482E-2</v>
      </c>
      <c r="BG122" s="36"/>
      <c r="BH122" s="34"/>
      <c r="BI122" s="34"/>
      <c r="BJ122" s="37"/>
      <c r="BK122" s="33"/>
      <c r="BL122" s="34"/>
      <c r="BM122" s="34">
        <f>BM119-BK122</f>
        <v>710</v>
      </c>
      <c r="BN122" s="34">
        <f>BN119-BL122</f>
        <v>60</v>
      </c>
      <c r="BO122" s="34">
        <v>417</v>
      </c>
      <c r="BP122" s="35">
        <f t="shared" ref="BP122:BP128" si="763">((BO122+BQ122)/BM122)</f>
        <v>0.6</v>
      </c>
      <c r="BQ122" s="34">
        <v>9</v>
      </c>
      <c r="BR122" s="35">
        <f t="shared" ref="BR122:BR128" si="764">BQ122/(BO122+BQ122)</f>
        <v>2.1126760563380281E-2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765">((CA122+CC122)/BY122)</f>
        <v>#DIV/0!</v>
      </c>
      <c r="CC122" s="34"/>
      <c r="CD122" s="35" t="e">
        <f t="shared" ref="CD122:CD128" si="766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767">((CM122+CO122)/CK122)</f>
        <v>#DIV/0!</v>
      </c>
      <c r="CO122" s="34"/>
      <c r="CP122" s="35" t="e">
        <f t="shared" ref="CP122:CP128" si="768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769">((CY122+DA122)/CW122)</f>
        <v>#DIV/0!</v>
      </c>
      <c r="DA122" s="34"/>
      <c r="DB122" s="35" t="e">
        <f t="shared" ref="DB122:DB128" si="770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771">((DK122+DM122)/DI122)</f>
        <v>#DIV/0!</v>
      </c>
      <c r="DM122" s="34"/>
      <c r="DN122" s="35" t="e">
        <f t="shared" ref="DN122:DN128" si="772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773">((DW122+DY122)/DU122)</f>
        <v>#DIV/0!</v>
      </c>
      <c r="DY122" s="34"/>
      <c r="DZ122" s="35" t="e">
        <f t="shared" ref="DZ122:DZ128" si="774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775">((EI122+EK122)/EG122)</f>
        <v>#DIV/0!</v>
      </c>
      <c r="EK122" s="34"/>
      <c r="EL122" s="35" t="e">
        <f t="shared" ref="EL122:EL128" si="776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777">((EU122+EW122)/ES122)</f>
        <v>#DIV/0!</v>
      </c>
      <c r="EW122" s="34"/>
      <c r="EX122" s="35" t="e">
        <f t="shared" ref="EX122:EX128" si="778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779">((FG122+FI122)/FE122)</f>
        <v>#DIV/0!</v>
      </c>
      <c r="FI122" s="34"/>
      <c r="FJ122" s="35" t="e">
        <f t="shared" ref="FJ122:FJ128" si="780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781">((FS122+FU122)/FQ122)</f>
        <v>#DIV/0!</v>
      </c>
      <c r="FU122" s="34"/>
      <c r="FV122" s="35" t="e">
        <f t="shared" ref="FV122:FV128" si="782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783">((GE122+GG122)/GC122)</f>
        <v>#DIV/0!</v>
      </c>
      <c r="GG122" s="34"/>
      <c r="GH122" s="35" t="e">
        <f t="shared" ref="GH122:GH128" si="784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785">((GQ122+GS122)/GO122)</f>
        <v>#DIV/0!</v>
      </c>
      <c r="GS122" s="34"/>
      <c r="GT122" s="35" t="e">
        <f t="shared" ref="GT122:GT128" si="786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787">((HC122+HE122)/HA122)</f>
        <v>#DIV/0!</v>
      </c>
      <c r="HE122" s="34"/>
      <c r="HF122" s="35" t="e">
        <f t="shared" ref="HF122:HF128" si="788">HE122/(HC122+HE122)</f>
        <v>#DIV/0!</v>
      </c>
      <c r="HG122" s="36"/>
      <c r="HH122" s="34"/>
      <c r="HI122" s="34"/>
      <c r="HJ122" s="37"/>
      <c r="HK122" s="33">
        <f t="shared" ref="HK122:HN129" si="789">+C122+O122+AA122+AM122+AY122+BK122+BW122+CI122+CU122+DG122+DS122+EE122+EQ122+FC122+FO122+GA122+GM122+GY122</f>
        <v>2</v>
      </c>
      <c r="HL122" s="34">
        <f t="shared" si="789"/>
        <v>0</v>
      </c>
      <c r="HM122" s="34">
        <f t="shared" si="789"/>
        <v>3588</v>
      </c>
      <c r="HN122" s="34">
        <f t="shared" si="789"/>
        <v>302</v>
      </c>
      <c r="HO122" s="34">
        <f t="shared" ref="HO122:HO129" si="790">+G122+S122+AE122+AQ122+BC122+BO122+CA122+CM122+CY122+DK122+DW122+EI122+EU122+FG122+FS122+GE122+GQ122+HC122+I122+U122+AG122+AS122+BE122+BQ122+CC122+CO122+DA122+DM122+DY122+EK122+EW122+FI122+FU122+GG122+GS122+HE122</f>
        <v>2028</v>
      </c>
      <c r="HP122" s="94">
        <f t="shared" ref="HP122:HP128" si="791">+(HO122)/HM122</f>
        <v>0.56521739130434778</v>
      </c>
      <c r="HQ122" s="48">
        <f t="shared" ref="HQ122:HQ129" si="792">+I122+U122+AG122+AS122+BE122+BQ122+CC122+CO122+DA122+DM122+DY122+EK122+EW122+FI122+FU122+GG122+GS122+HE122</f>
        <v>65</v>
      </c>
      <c r="HR122" s="35">
        <f>+(HQ122/(HO122))</f>
        <v>3.2051282051282048E-2</v>
      </c>
      <c r="HS122" s="49">
        <v>67.2</v>
      </c>
      <c r="HT122" s="50">
        <v>1893</v>
      </c>
      <c r="HU122" s="49">
        <f t="shared" ref="HU122:HU128" si="793">+HT122/HO122*100</f>
        <v>93.34319526627219</v>
      </c>
      <c r="HV122" s="48"/>
      <c r="HW122" s="37"/>
    </row>
    <row r="123" spans="1:231" ht="18.75" x14ac:dyDescent="0.25">
      <c r="A123" s="374"/>
      <c r="B123" s="41">
        <f t="shared" si="411"/>
        <v>45033</v>
      </c>
      <c r="C123" s="10"/>
      <c r="D123" s="11">
        <v>1</v>
      </c>
      <c r="E123" s="69">
        <f t="shared" ref="E123:F127" si="794">E122-C123</f>
        <v>634</v>
      </c>
      <c r="F123" s="69">
        <f t="shared" si="794"/>
        <v>52</v>
      </c>
      <c r="G123" s="11">
        <v>315</v>
      </c>
      <c r="H123" s="12">
        <f t="shared" si="754"/>
        <v>0.50315457413249209</v>
      </c>
      <c r="I123" s="11">
        <v>4</v>
      </c>
      <c r="J123" s="12">
        <f t="shared" ref="J123:J128" si="795">I123/(G123+I123)</f>
        <v>1.2539184952978056E-2</v>
      </c>
      <c r="K123" s="13"/>
      <c r="L123" s="11"/>
      <c r="M123" s="11"/>
      <c r="N123" s="14"/>
      <c r="O123" s="10"/>
      <c r="P123" s="11"/>
      <c r="Q123" s="69">
        <f t="shared" ref="Q123:R128" si="796">Q122-O123</f>
        <v>632</v>
      </c>
      <c r="R123" s="69">
        <f t="shared" si="796"/>
        <v>53</v>
      </c>
      <c r="S123" s="11">
        <v>328</v>
      </c>
      <c r="T123" s="12">
        <f t="shared" si="755"/>
        <v>0.54430379746835444</v>
      </c>
      <c r="U123" s="11">
        <v>16</v>
      </c>
      <c r="V123" s="12">
        <f t="shared" si="756"/>
        <v>4.6511627906976744E-2</v>
      </c>
      <c r="W123" s="13"/>
      <c r="X123" s="11"/>
      <c r="Y123" s="11"/>
      <c r="Z123" s="14"/>
      <c r="AA123" s="10"/>
      <c r="AB123" s="11"/>
      <c r="AC123" s="69">
        <f t="shared" ref="AC123:AD128" si="797">AC122-AA123</f>
        <v>193</v>
      </c>
      <c r="AD123" s="69">
        <f t="shared" si="797"/>
        <v>16</v>
      </c>
      <c r="AE123" s="11">
        <v>96</v>
      </c>
      <c r="AF123" s="12">
        <f t="shared" si="757"/>
        <v>0.50777202072538863</v>
      </c>
      <c r="AG123" s="11">
        <v>2</v>
      </c>
      <c r="AH123" s="12">
        <f t="shared" si="758"/>
        <v>2.0408163265306121E-2</v>
      </c>
      <c r="AI123" s="13"/>
      <c r="AJ123" s="11"/>
      <c r="AK123" s="11"/>
      <c r="AL123" s="14"/>
      <c r="AM123" s="10"/>
      <c r="AN123" s="11"/>
      <c r="AO123" s="69">
        <f t="shared" ref="AO123:AP128" si="798">AO122-AM123</f>
        <v>709</v>
      </c>
      <c r="AP123" s="69">
        <f t="shared" si="798"/>
        <v>60</v>
      </c>
      <c r="AQ123" s="11">
        <v>361</v>
      </c>
      <c r="AR123" s="12">
        <f t="shared" si="759"/>
        <v>0.5260930888575458</v>
      </c>
      <c r="AS123" s="11">
        <v>12</v>
      </c>
      <c r="AT123" s="12">
        <f t="shared" si="760"/>
        <v>3.2171581769436998E-2</v>
      </c>
      <c r="AU123" s="13"/>
      <c r="AV123" s="11"/>
      <c r="AW123" s="11"/>
      <c r="AX123" s="14"/>
      <c r="AY123" s="10">
        <v>1</v>
      </c>
      <c r="AZ123" s="11"/>
      <c r="BA123" s="69">
        <f t="shared" ref="BA123:BB128" si="799">BA122-AY123</f>
        <v>709</v>
      </c>
      <c r="BB123" s="69">
        <f t="shared" si="799"/>
        <v>60</v>
      </c>
      <c r="BC123" s="11">
        <v>352</v>
      </c>
      <c r="BD123" s="12">
        <f t="shared" si="761"/>
        <v>0.5176304654442877</v>
      </c>
      <c r="BE123" s="11">
        <v>15</v>
      </c>
      <c r="BF123" s="12">
        <f t="shared" si="762"/>
        <v>4.0871934604904632E-2</v>
      </c>
      <c r="BG123" s="13"/>
      <c r="BH123" s="11"/>
      <c r="BI123" s="11"/>
      <c r="BJ123" s="14"/>
      <c r="BK123" s="10">
        <v>1</v>
      </c>
      <c r="BL123" s="11"/>
      <c r="BM123" s="69">
        <f t="shared" ref="BM123:BN128" si="800">BM122-BK123</f>
        <v>709</v>
      </c>
      <c r="BN123" s="69">
        <f t="shared" si="800"/>
        <v>60</v>
      </c>
      <c r="BO123" s="11">
        <v>392</v>
      </c>
      <c r="BP123" s="12">
        <f t="shared" si="763"/>
        <v>0.56417489421720735</v>
      </c>
      <c r="BQ123" s="11">
        <v>8</v>
      </c>
      <c r="BR123" s="12">
        <f t="shared" si="764"/>
        <v>0.02</v>
      </c>
      <c r="BS123" s="13"/>
      <c r="BT123" s="11"/>
      <c r="BU123" s="11"/>
      <c r="BV123" s="14"/>
      <c r="BW123" s="10"/>
      <c r="BX123" s="11"/>
      <c r="BY123" s="69">
        <f t="shared" ref="BY123:BZ128" si="801">BY122-BW123</f>
        <v>0</v>
      </c>
      <c r="BZ123" s="69">
        <f t="shared" si="801"/>
        <v>0</v>
      </c>
      <c r="CA123" s="11"/>
      <c r="CB123" s="12" t="e">
        <f t="shared" si="765"/>
        <v>#DIV/0!</v>
      </c>
      <c r="CC123" s="11"/>
      <c r="CD123" s="12" t="e">
        <f t="shared" si="766"/>
        <v>#DIV/0!</v>
      </c>
      <c r="CE123" s="13"/>
      <c r="CF123" s="11"/>
      <c r="CG123" s="11"/>
      <c r="CH123" s="14"/>
      <c r="CI123" s="10"/>
      <c r="CJ123" s="11"/>
      <c r="CK123" s="69">
        <f t="shared" ref="CK123:CL128" si="802">CK122-CI123</f>
        <v>0</v>
      </c>
      <c r="CL123" s="69">
        <f t="shared" si="802"/>
        <v>0</v>
      </c>
      <c r="CM123" s="11"/>
      <c r="CN123" s="12" t="e">
        <f t="shared" si="767"/>
        <v>#DIV/0!</v>
      </c>
      <c r="CO123" s="11"/>
      <c r="CP123" s="12" t="e">
        <f t="shared" si="768"/>
        <v>#DIV/0!</v>
      </c>
      <c r="CQ123" s="13"/>
      <c r="CR123" s="11"/>
      <c r="CS123" s="11"/>
      <c r="CT123" s="14"/>
      <c r="CU123" s="10"/>
      <c r="CV123" s="11"/>
      <c r="CW123" s="69">
        <f t="shared" ref="CW123:CX128" si="803">CW122-CU123</f>
        <v>0</v>
      </c>
      <c r="CX123" s="69">
        <f t="shared" si="803"/>
        <v>0</v>
      </c>
      <c r="CY123" s="11"/>
      <c r="CZ123" s="12" t="e">
        <f t="shared" si="769"/>
        <v>#DIV/0!</v>
      </c>
      <c r="DA123" s="11"/>
      <c r="DB123" s="12" t="e">
        <f t="shared" si="770"/>
        <v>#DIV/0!</v>
      </c>
      <c r="DC123" s="13"/>
      <c r="DD123" s="11"/>
      <c r="DE123" s="11"/>
      <c r="DF123" s="14"/>
      <c r="DG123" s="10"/>
      <c r="DH123" s="11"/>
      <c r="DI123" s="69">
        <f t="shared" ref="DI123:DJ128" si="804">DI122-DG123</f>
        <v>0</v>
      </c>
      <c r="DJ123" s="69">
        <f t="shared" si="804"/>
        <v>0</v>
      </c>
      <c r="DK123" s="11"/>
      <c r="DL123" s="12" t="e">
        <f t="shared" si="771"/>
        <v>#DIV/0!</v>
      </c>
      <c r="DM123" s="11"/>
      <c r="DN123" s="12" t="e">
        <f t="shared" si="772"/>
        <v>#DIV/0!</v>
      </c>
      <c r="DO123" s="13"/>
      <c r="DP123" s="11"/>
      <c r="DQ123" s="11"/>
      <c r="DR123" s="14"/>
      <c r="DS123" s="10"/>
      <c r="DT123" s="11"/>
      <c r="DU123" s="69">
        <f t="shared" ref="DU123:DV128" si="805">DU122-DS123</f>
        <v>0</v>
      </c>
      <c r="DV123" s="69">
        <f t="shared" si="805"/>
        <v>0</v>
      </c>
      <c r="DW123" s="11"/>
      <c r="DX123" s="12" t="e">
        <f t="shared" si="773"/>
        <v>#DIV/0!</v>
      </c>
      <c r="DY123" s="11"/>
      <c r="DZ123" s="12" t="e">
        <f t="shared" si="774"/>
        <v>#DIV/0!</v>
      </c>
      <c r="EA123" s="13"/>
      <c r="EB123" s="11"/>
      <c r="EC123" s="11"/>
      <c r="ED123" s="14"/>
      <c r="EE123" s="10"/>
      <c r="EF123" s="11"/>
      <c r="EG123" s="69">
        <f t="shared" ref="EG123:EH128" si="806">EG122-EE123</f>
        <v>0</v>
      </c>
      <c r="EH123" s="69">
        <f t="shared" si="806"/>
        <v>0</v>
      </c>
      <c r="EI123" s="11"/>
      <c r="EJ123" s="12" t="e">
        <f t="shared" si="775"/>
        <v>#DIV/0!</v>
      </c>
      <c r="EK123" s="11"/>
      <c r="EL123" s="12" t="e">
        <f t="shared" si="776"/>
        <v>#DIV/0!</v>
      </c>
      <c r="EM123" s="13"/>
      <c r="EN123" s="11"/>
      <c r="EO123" s="11"/>
      <c r="EP123" s="14"/>
      <c r="EQ123" s="10"/>
      <c r="ER123" s="11"/>
      <c r="ES123" s="69">
        <f t="shared" ref="ES123:ET128" si="807">ES122-EQ123</f>
        <v>0</v>
      </c>
      <c r="ET123" s="69">
        <f t="shared" si="807"/>
        <v>0</v>
      </c>
      <c r="EU123" s="11"/>
      <c r="EV123" s="12" t="e">
        <f t="shared" si="777"/>
        <v>#DIV/0!</v>
      </c>
      <c r="EW123" s="11"/>
      <c r="EX123" s="12" t="e">
        <f t="shared" si="778"/>
        <v>#DIV/0!</v>
      </c>
      <c r="EY123" s="13"/>
      <c r="EZ123" s="11"/>
      <c r="FA123" s="11"/>
      <c r="FB123" s="14"/>
      <c r="FC123" s="10"/>
      <c r="FD123" s="11"/>
      <c r="FE123" s="69">
        <f t="shared" ref="FE123:FF128" si="808">FE122-FC123</f>
        <v>0</v>
      </c>
      <c r="FF123" s="69">
        <f t="shared" si="808"/>
        <v>0</v>
      </c>
      <c r="FG123" s="11"/>
      <c r="FH123" s="12" t="e">
        <f t="shared" si="779"/>
        <v>#DIV/0!</v>
      </c>
      <c r="FI123" s="11"/>
      <c r="FJ123" s="12" t="e">
        <f t="shared" si="780"/>
        <v>#DIV/0!</v>
      </c>
      <c r="FK123" s="13"/>
      <c r="FL123" s="11"/>
      <c r="FM123" s="11"/>
      <c r="FN123" s="14"/>
      <c r="FO123" s="10"/>
      <c r="FP123" s="11"/>
      <c r="FQ123" s="69">
        <f t="shared" ref="FQ123:FR128" si="809">FQ122-FO123</f>
        <v>0</v>
      </c>
      <c r="FR123" s="69">
        <f t="shared" si="809"/>
        <v>0</v>
      </c>
      <c r="FS123" s="11"/>
      <c r="FT123" s="12" t="e">
        <f t="shared" si="781"/>
        <v>#DIV/0!</v>
      </c>
      <c r="FU123" s="11"/>
      <c r="FV123" s="12" t="e">
        <f t="shared" si="782"/>
        <v>#DIV/0!</v>
      </c>
      <c r="FW123" s="13"/>
      <c r="FX123" s="11"/>
      <c r="FY123" s="11"/>
      <c r="FZ123" s="14"/>
      <c r="GA123" s="10"/>
      <c r="GB123" s="11"/>
      <c r="GC123" s="69">
        <f t="shared" ref="GC123:GD128" si="810">GC122-GA123</f>
        <v>0</v>
      </c>
      <c r="GD123" s="69">
        <f t="shared" si="810"/>
        <v>0</v>
      </c>
      <c r="GE123" s="11"/>
      <c r="GF123" s="12" t="e">
        <f t="shared" si="783"/>
        <v>#DIV/0!</v>
      </c>
      <c r="GG123" s="11"/>
      <c r="GH123" s="12" t="e">
        <f t="shared" si="784"/>
        <v>#DIV/0!</v>
      </c>
      <c r="GI123" s="13"/>
      <c r="GJ123" s="11"/>
      <c r="GK123" s="11"/>
      <c r="GL123" s="14"/>
      <c r="GM123" s="10"/>
      <c r="GN123" s="11"/>
      <c r="GO123" s="69">
        <f t="shared" ref="GO123:GP128" si="811">GO122-GM123</f>
        <v>0</v>
      </c>
      <c r="GP123" s="69">
        <f t="shared" si="811"/>
        <v>0</v>
      </c>
      <c r="GQ123" s="11"/>
      <c r="GR123" s="12" t="e">
        <f t="shared" si="785"/>
        <v>#DIV/0!</v>
      </c>
      <c r="GS123" s="11"/>
      <c r="GT123" s="12" t="e">
        <f t="shared" si="786"/>
        <v>#DIV/0!</v>
      </c>
      <c r="GU123" s="13"/>
      <c r="GV123" s="11"/>
      <c r="GW123" s="11"/>
      <c r="GX123" s="14"/>
      <c r="GY123" s="10"/>
      <c r="GZ123" s="11"/>
      <c r="HA123" s="69">
        <f t="shared" ref="HA123:HB128" si="812">HA122-GY123</f>
        <v>0</v>
      </c>
      <c r="HB123" s="69">
        <f t="shared" si="812"/>
        <v>0</v>
      </c>
      <c r="HC123" s="11"/>
      <c r="HD123" s="12" t="e">
        <f t="shared" si="787"/>
        <v>#DIV/0!</v>
      </c>
      <c r="HE123" s="11"/>
      <c r="HF123" s="12" t="e">
        <f t="shared" si="788"/>
        <v>#DIV/0!</v>
      </c>
      <c r="HG123" s="13"/>
      <c r="HH123" s="11"/>
      <c r="HI123" s="11"/>
      <c r="HJ123" s="14"/>
      <c r="HK123" s="10">
        <f t="shared" si="789"/>
        <v>2</v>
      </c>
      <c r="HL123" s="11">
        <f t="shared" si="789"/>
        <v>1</v>
      </c>
      <c r="HM123" s="11">
        <f t="shared" si="789"/>
        <v>3586</v>
      </c>
      <c r="HN123" s="11">
        <f t="shared" si="789"/>
        <v>301</v>
      </c>
      <c r="HO123" s="11">
        <f t="shared" si="790"/>
        <v>1901</v>
      </c>
      <c r="HP123" s="95">
        <f t="shared" si="791"/>
        <v>0.53011712214166207</v>
      </c>
      <c r="HQ123" s="15">
        <f t="shared" si="792"/>
        <v>57</v>
      </c>
      <c r="HR123" s="12">
        <f t="shared" ref="HR123:HR129" si="813">+(HQ123/(HO123))</f>
        <v>2.9984218832193581E-2</v>
      </c>
      <c r="HS123" s="16">
        <v>67.3</v>
      </c>
      <c r="HT123" s="17">
        <v>1784</v>
      </c>
      <c r="HU123" s="16">
        <f t="shared" si="793"/>
        <v>93.845344555497107</v>
      </c>
      <c r="HV123" s="15"/>
      <c r="HW123" s="14"/>
    </row>
    <row r="124" spans="1:231" ht="18.75" x14ac:dyDescent="0.25">
      <c r="A124" s="374"/>
      <c r="B124" s="41">
        <f t="shared" ref="B124:B187" si="814">+B123+1</f>
        <v>45034</v>
      </c>
      <c r="C124" s="10"/>
      <c r="D124" s="11"/>
      <c r="E124" s="69">
        <f t="shared" si="794"/>
        <v>634</v>
      </c>
      <c r="F124" s="69">
        <f t="shared" si="794"/>
        <v>52</v>
      </c>
      <c r="G124" s="11">
        <v>334</v>
      </c>
      <c r="H124" s="12">
        <f t="shared" si="754"/>
        <v>0.54416403785488954</v>
      </c>
      <c r="I124" s="11">
        <v>11</v>
      </c>
      <c r="J124" s="12">
        <f t="shared" si="795"/>
        <v>3.1884057971014491E-2</v>
      </c>
      <c r="K124" s="13"/>
      <c r="L124" s="11"/>
      <c r="M124" s="11"/>
      <c r="N124" s="14"/>
      <c r="O124" s="10"/>
      <c r="P124" s="11"/>
      <c r="Q124" s="69">
        <f t="shared" si="796"/>
        <v>632</v>
      </c>
      <c r="R124" s="69">
        <f t="shared" si="796"/>
        <v>53</v>
      </c>
      <c r="S124" s="11">
        <v>326</v>
      </c>
      <c r="T124" s="12">
        <f t="shared" si="755"/>
        <v>0.53481012658227844</v>
      </c>
      <c r="U124" s="11">
        <v>12</v>
      </c>
      <c r="V124" s="12">
        <f t="shared" si="756"/>
        <v>3.5502958579881658E-2</v>
      </c>
      <c r="W124" s="13"/>
      <c r="X124" s="11"/>
      <c r="Y124" s="11"/>
      <c r="Z124" s="14"/>
      <c r="AA124" s="10"/>
      <c r="AB124" s="11"/>
      <c r="AC124" s="69">
        <f t="shared" si="797"/>
        <v>193</v>
      </c>
      <c r="AD124" s="69">
        <f t="shared" si="797"/>
        <v>16</v>
      </c>
      <c r="AE124" s="11">
        <v>93</v>
      </c>
      <c r="AF124" s="12">
        <f t="shared" si="757"/>
        <v>0.51295336787564771</v>
      </c>
      <c r="AG124" s="11">
        <v>6</v>
      </c>
      <c r="AH124" s="12">
        <f t="shared" si="758"/>
        <v>6.0606060606060608E-2</v>
      </c>
      <c r="AI124" s="13"/>
      <c r="AJ124" s="11"/>
      <c r="AK124" s="11"/>
      <c r="AL124" s="14"/>
      <c r="AM124" s="10"/>
      <c r="AN124" s="11"/>
      <c r="AO124" s="69">
        <f t="shared" si="798"/>
        <v>709</v>
      </c>
      <c r="AP124" s="69">
        <f t="shared" si="798"/>
        <v>60</v>
      </c>
      <c r="AQ124" s="11">
        <v>352</v>
      </c>
      <c r="AR124" s="12">
        <f t="shared" si="759"/>
        <v>0.52327221438645977</v>
      </c>
      <c r="AS124" s="11">
        <v>19</v>
      </c>
      <c r="AT124" s="12">
        <f t="shared" si="760"/>
        <v>5.1212938005390833E-2</v>
      </c>
      <c r="AU124" s="13"/>
      <c r="AV124" s="11"/>
      <c r="AW124" s="11"/>
      <c r="AX124" s="14"/>
      <c r="AY124" s="10"/>
      <c r="AZ124" s="11"/>
      <c r="BA124" s="69">
        <f t="shared" si="799"/>
        <v>709</v>
      </c>
      <c r="BB124" s="69">
        <f t="shared" si="799"/>
        <v>60</v>
      </c>
      <c r="BC124" s="11">
        <v>370</v>
      </c>
      <c r="BD124" s="12">
        <f t="shared" si="761"/>
        <v>0.54019746121297607</v>
      </c>
      <c r="BE124" s="11">
        <v>13</v>
      </c>
      <c r="BF124" s="12">
        <f t="shared" si="762"/>
        <v>3.3942558746736295E-2</v>
      </c>
      <c r="BG124" s="13"/>
      <c r="BH124" s="11"/>
      <c r="BI124" s="11"/>
      <c r="BJ124" s="14"/>
      <c r="BK124" s="10"/>
      <c r="BL124" s="11"/>
      <c r="BM124" s="69">
        <f t="shared" si="800"/>
        <v>709</v>
      </c>
      <c r="BN124" s="69">
        <f t="shared" si="800"/>
        <v>60</v>
      </c>
      <c r="BO124" s="11">
        <v>392</v>
      </c>
      <c r="BP124" s="12">
        <f t="shared" si="763"/>
        <v>0.57827926657263751</v>
      </c>
      <c r="BQ124" s="11">
        <v>18</v>
      </c>
      <c r="BR124" s="12">
        <f t="shared" si="764"/>
        <v>4.3902439024390241E-2</v>
      </c>
      <c r="BS124" s="13"/>
      <c r="BT124" s="11"/>
      <c r="BU124" s="11"/>
      <c r="BV124" s="14"/>
      <c r="BW124" s="10"/>
      <c r="BX124" s="11"/>
      <c r="BY124" s="69">
        <f t="shared" si="801"/>
        <v>0</v>
      </c>
      <c r="BZ124" s="69">
        <f t="shared" si="801"/>
        <v>0</v>
      </c>
      <c r="CA124" s="11"/>
      <c r="CB124" s="12" t="e">
        <f t="shared" si="765"/>
        <v>#DIV/0!</v>
      </c>
      <c r="CC124" s="11"/>
      <c r="CD124" s="12" t="e">
        <f t="shared" si="766"/>
        <v>#DIV/0!</v>
      </c>
      <c r="CE124" s="13"/>
      <c r="CF124" s="11"/>
      <c r="CG124" s="11"/>
      <c r="CH124" s="14"/>
      <c r="CI124" s="10"/>
      <c r="CJ124" s="11"/>
      <c r="CK124" s="69">
        <f t="shared" si="802"/>
        <v>0</v>
      </c>
      <c r="CL124" s="69">
        <f t="shared" si="802"/>
        <v>0</v>
      </c>
      <c r="CM124" s="11"/>
      <c r="CN124" s="12" t="e">
        <f t="shared" si="767"/>
        <v>#DIV/0!</v>
      </c>
      <c r="CO124" s="11"/>
      <c r="CP124" s="12" t="e">
        <f t="shared" si="768"/>
        <v>#DIV/0!</v>
      </c>
      <c r="CQ124" s="13"/>
      <c r="CR124" s="11"/>
      <c r="CS124" s="11"/>
      <c r="CT124" s="14"/>
      <c r="CU124" s="10"/>
      <c r="CV124" s="11"/>
      <c r="CW124" s="69">
        <f t="shared" si="803"/>
        <v>0</v>
      </c>
      <c r="CX124" s="69">
        <f t="shared" si="803"/>
        <v>0</v>
      </c>
      <c r="CY124" s="11"/>
      <c r="CZ124" s="12" t="e">
        <f t="shared" si="769"/>
        <v>#DIV/0!</v>
      </c>
      <c r="DA124" s="11"/>
      <c r="DB124" s="12" t="e">
        <f t="shared" si="770"/>
        <v>#DIV/0!</v>
      </c>
      <c r="DC124" s="13"/>
      <c r="DD124" s="11"/>
      <c r="DE124" s="11"/>
      <c r="DF124" s="14"/>
      <c r="DG124" s="10"/>
      <c r="DH124" s="11"/>
      <c r="DI124" s="69">
        <f t="shared" si="804"/>
        <v>0</v>
      </c>
      <c r="DJ124" s="69">
        <f t="shared" si="804"/>
        <v>0</v>
      </c>
      <c r="DK124" s="11"/>
      <c r="DL124" s="12" t="e">
        <f t="shared" si="771"/>
        <v>#DIV/0!</v>
      </c>
      <c r="DM124" s="11"/>
      <c r="DN124" s="12" t="e">
        <f t="shared" si="772"/>
        <v>#DIV/0!</v>
      </c>
      <c r="DO124" s="13"/>
      <c r="DP124" s="11"/>
      <c r="DQ124" s="11"/>
      <c r="DR124" s="14"/>
      <c r="DS124" s="10"/>
      <c r="DT124" s="11"/>
      <c r="DU124" s="69">
        <f t="shared" si="805"/>
        <v>0</v>
      </c>
      <c r="DV124" s="69">
        <f t="shared" si="805"/>
        <v>0</v>
      </c>
      <c r="DW124" s="11"/>
      <c r="DX124" s="12" t="e">
        <f t="shared" si="773"/>
        <v>#DIV/0!</v>
      </c>
      <c r="DY124" s="11"/>
      <c r="DZ124" s="12" t="e">
        <f t="shared" si="774"/>
        <v>#DIV/0!</v>
      </c>
      <c r="EA124" s="13"/>
      <c r="EB124" s="11"/>
      <c r="EC124" s="11"/>
      <c r="ED124" s="14"/>
      <c r="EE124" s="10"/>
      <c r="EF124" s="11"/>
      <c r="EG124" s="69">
        <f t="shared" si="806"/>
        <v>0</v>
      </c>
      <c r="EH124" s="69">
        <f t="shared" si="806"/>
        <v>0</v>
      </c>
      <c r="EI124" s="11"/>
      <c r="EJ124" s="12" t="e">
        <f t="shared" si="775"/>
        <v>#DIV/0!</v>
      </c>
      <c r="EK124" s="11"/>
      <c r="EL124" s="12" t="e">
        <f t="shared" si="776"/>
        <v>#DIV/0!</v>
      </c>
      <c r="EM124" s="13"/>
      <c r="EN124" s="11"/>
      <c r="EO124" s="11"/>
      <c r="EP124" s="14"/>
      <c r="EQ124" s="10"/>
      <c r="ER124" s="11"/>
      <c r="ES124" s="69">
        <f t="shared" si="807"/>
        <v>0</v>
      </c>
      <c r="ET124" s="69">
        <f t="shared" si="807"/>
        <v>0</v>
      </c>
      <c r="EU124" s="11"/>
      <c r="EV124" s="12" t="e">
        <f t="shared" si="777"/>
        <v>#DIV/0!</v>
      </c>
      <c r="EW124" s="11"/>
      <c r="EX124" s="12" t="e">
        <f t="shared" si="778"/>
        <v>#DIV/0!</v>
      </c>
      <c r="EY124" s="13"/>
      <c r="EZ124" s="11"/>
      <c r="FA124" s="11"/>
      <c r="FB124" s="14"/>
      <c r="FC124" s="10"/>
      <c r="FD124" s="11"/>
      <c r="FE124" s="69">
        <f t="shared" si="808"/>
        <v>0</v>
      </c>
      <c r="FF124" s="69">
        <f t="shared" si="808"/>
        <v>0</v>
      </c>
      <c r="FG124" s="11"/>
      <c r="FH124" s="12" t="e">
        <f t="shared" si="779"/>
        <v>#DIV/0!</v>
      </c>
      <c r="FI124" s="11"/>
      <c r="FJ124" s="12" t="e">
        <f t="shared" si="780"/>
        <v>#DIV/0!</v>
      </c>
      <c r="FK124" s="13"/>
      <c r="FL124" s="11"/>
      <c r="FM124" s="11"/>
      <c r="FN124" s="14"/>
      <c r="FO124" s="10"/>
      <c r="FP124" s="11"/>
      <c r="FQ124" s="69">
        <f t="shared" si="809"/>
        <v>0</v>
      </c>
      <c r="FR124" s="69">
        <f t="shared" si="809"/>
        <v>0</v>
      </c>
      <c r="FS124" s="11"/>
      <c r="FT124" s="12" t="e">
        <f t="shared" si="781"/>
        <v>#DIV/0!</v>
      </c>
      <c r="FU124" s="11"/>
      <c r="FV124" s="12" t="e">
        <f t="shared" si="782"/>
        <v>#DIV/0!</v>
      </c>
      <c r="FW124" s="13"/>
      <c r="FX124" s="11"/>
      <c r="FY124" s="11"/>
      <c r="FZ124" s="14"/>
      <c r="GA124" s="10"/>
      <c r="GB124" s="11"/>
      <c r="GC124" s="69">
        <f t="shared" si="810"/>
        <v>0</v>
      </c>
      <c r="GD124" s="69">
        <f t="shared" si="810"/>
        <v>0</v>
      </c>
      <c r="GE124" s="11"/>
      <c r="GF124" s="12" t="e">
        <f t="shared" si="783"/>
        <v>#DIV/0!</v>
      </c>
      <c r="GG124" s="11"/>
      <c r="GH124" s="12" t="e">
        <f t="shared" si="784"/>
        <v>#DIV/0!</v>
      </c>
      <c r="GI124" s="13"/>
      <c r="GJ124" s="11"/>
      <c r="GK124" s="11"/>
      <c r="GL124" s="14"/>
      <c r="GM124" s="10"/>
      <c r="GN124" s="11"/>
      <c r="GO124" s="69">
        <f t="shared" si="811"/>
        <v>0</v>
      </c>
      <c r="GP124" s="69">
        <f t="shared" si="811"/>
        <v>0</v>
      </c>
      <c r="GQ124" s="11"/>
      <c r="GR124" s="12" t="e">
        <f t="shared" si="785"/>
        <v>#DIV/0!</v>
      </c>
      <c r="GS124" s="11"/>
      <c r="GT124" s="12" t="e">
        <f t="shared" si="786"/>
        <v>#DIV/0!</v>
      </c>
      <c r="GU124" s="13"/>
      <c r="GV124" s="11"/>
      <c r="GW124" s="11"/>
      <c r="GX124" s="14"/>
      <c r="GY124" s="10"/>
      <c r="GZ124" s="11"/>
      <c r="HA124" s="69">
        <f t="shared" si="812"/>
        <v>0</v>
      </c>
      <c r="HB124" s="69">
        <f t="shared" si="812"/>
        <v>0</v>
      </c>
      <c r="HC124" s="11"/>
      <c r="HD124" s="12" t="e">
        <f t="shared" si="787"/>
        <v>#DIV/0!</v>
      </c>
      <c r="HE124" s="11"/>
      <c r="HF124" s="12" t="e">
        <f t="shared" si="788"/>
        <v>#DIV/0!</v>
      </c>
      <c r="HG124" s="13"/>
      <c r="HH124" s="11"/>
      <c r="HI124" s="11"/>
      <c r="HJ124" s="14"/>
      <c r="HK124" s="10">
        <f t="shared" si="789"/>
        <v>0</v>
      </c>
      <c r="HL124" s="11">
        <f t="shared" si="789"/>
        <v>0</v>
      </c>
      <c r="HM124" s="11">
        <f t="shared" si="789"/>
        <v>3586</v>
      </c>
      <c r="HN124" s="11">
        <f t="shared" si="789"/>
        <v>301</v>
      </c>
      <c r="HO124" s="11">
        <f t="shared" si="790"/>
        <v>1946</v>
      </c>
      <c r="HP124" s="95">
        <f t="shared" si="791"/>
        <v>0.54266592303402117</v>
      </c>
      <c r="HQ124" s="15">
        <f t="shared" si="792"/>
        <v>79</v>
      </c>
      <c r="HR124" s="12">
        <f t="shared" si="813"/>
        <v>4.0596094552929084E-2</v>
      </c>
      <c r="HS124" s="16">
        <v>66.599999999999994</v>
      </c>
      <c r="HT124" s="17">
        <v>1817</v>
      </c>
      <c r="HU124" s="16">
        <f t="shared" si="793"/>
        <v>93.371017471736891</v>
      </c>
      <c r="HV124" s="15"/>
      <c r="HW124" s="14"/>
    </row>
    <row r="125" spans="1:231" ht="18.75" x14ac:dyDescent="0.25">
      <c r="A125" s="374"/>
      <c r="B125" s="41">
        <f t="shared" si="814"/>
        <v>45035</v>
      </c>
      <c r="C125" s="10">
        <v>1</v>
      </c>
      <c r="D125" s="11"/>
      <c r="E125" s="69">
        <f t="shared" si="794"/>
        <v>633</v>
      </c>
      <c r="F125" s="69">
        <f t="shared" si="794"/>
        <v>52</v>
      </c>
      <c r="G125" s="11">
        <v>317</v>
      </c>
      <c r="H125" s="12">
        <f t="shared" si="754"/>
        <v>0.54186413902053709</v>
      </c>
      <c r="I125" s="11">
        <v>26</v>
      </c>
      <c r="J125" s="12">
        <f t="shared" si="795"/>
        <v>7.5801749271137031E-2</v>
      </c>
      <c r="K125" s="11"/>
      <c r="L125" s="11"/>
      <c r="M125" s="18"/>
      <c r="N125" s="20"/>
      <c r="O125" s="10">
        <v>1</v>
      </c>
      <c r="P125" s="11"/>
      <c r="Q125" s="69">
        <f t="shared" si="796"/>
        <v>631</v>
      </c>
      <c r="R125" s="69">
        <f t="shared" si="796"/>
        <v>53</v>
      </c>
      <c r="S125" s="11">
        <v>300</v>
      </c>
      <c r="T125" s="12">
        <f t="shared" si="755"/>
        <v>0.50079239302694134</v>
      </c>
      <c r="U125" s="11">
        <v>16</v>
      </c>
      <c r="V125" s="12">
        <f t="shared" si="756"/>
        <v>5.0632911392405063E-2</v>
      </c>
      <c r="W125" s="11"/>
      <c r="X125" s="11"/>
      <c r="Y125" s="18"/>
      <c r="Z125" s="20"/>
      <c r="AA125" s="10"/>
      <c r="AB125" s="11"/>
      <c r="AC125" s="69">
        <f t="shared" si="797"/>
        <v>193</v>
      </c>
      <c r="AD125" s="69">
        <f t="shared" si="797"/>
        <v>16</v>
      </c>
      <c r="AE125" s="11">
        <v>104</v>
      </c>
      <c r="AF125" s="12">
        <f t="shared" si="757"/>
        <v>0.55958549222797926</v>
      </c>
      <c r="AG125" s="11">
        <v>4</v>
      </c>
      <c r="AH125" s="12">
        <f t="shared" si="758"/>
        <v>3.7037037037037035E-2</v>
      </c>
      <c r="AI125" s="11"/>
      <c r="AJ125" s="11"/>
      <c r="AK125" s="18"/>
      <c r="AL125" s="20"/>
      <c r="AM125" s="10"/>
      <c r="AN125" s="11"/>
      <c r="AO125" s="69">
        <f t="shared" si="798"/>
        <v>709</v>
      </c>
      <c r="AP125" s="69">
        <f t="shared" si="798"/>
        <v>60</v>
      </c>
      <c r="AQ125" s="11">
        <v>352</v>
      </c>
      <c r="AR125" s="12">
        <f t="shared" si="759"/>
        <v>0.5260930888575458</v>
      </c>
      <c r="AS125" s="11">
        <v>21</v>
      </c>
      <c r="AT125" s="12">
        <f t="shared" si="760"/>
        <v>5.6300268096514748E-2</v>
      </c>
      <c r="AU125" s="11"/>
      <c r="AV125" s="11"/>
      <c r="AW125" s="18"/>
      <c r="AX125" s="20"/>
      <c r="AY125" s="10"/>
      <c r="AZ125" s="11"/>
      <c r="BA125" s="69">
        <f t="shared" si="799"/>
        <v>709</v>
      </c>
      <c r="BB125" s="69">
        <f t="shared" si="799"/>
        <v>60</v>
      </c>
      <c r="BC125" s="11">
        <v>305</v>
      </c>
      <c r="BD125" s="12">
        <f t="shared" si="761"/>
        <v>0.4696755994358251</v>
      </c>
      <c r="BE125" s="11">
        <v>28</v>
      </c>
      <c r="BF125" s="12">
        <f t="shared" si="762"/>
        <v>8.408408408408409E-2</v>
      </c>
      <c r="BG125" s="11"/>
      <c r="BH125" s="11"/>
      <c r="BI125" s="18"/>
      <c r="BJ125" s="20"/>
      <c r="BK125" s="10"/>
      <c r="BL125" s="11"/>
      <c r="BM125" s="69">
        <f t="shared" si="800"/>
        <v>709</v>
      </c>
      <c r="BN125" s="69">
        <f t="shared" si="800"/>
        <v>60</v>
      </c>
      <c r="BO125" s="11">
        <v>325</v>
      </c>
      <c r="BP125" s="12">
        <f t="shared" si="763"/>
        <v>0.48660084626234135</v>
      </c>
      <c r="BQ125" s="11">
        <v>20</v>
      </c>
      <c r="BR125" s="12">
        <f t="shared" si="764"/>
        <v>5.7971014492753624E-2</v>
      </c>
      <c r="BS125" s="11"/>
      <c r="BT125" s="11"/>
      <c r="BU125" s="18"/>
      <c r="BV125" s="20"/>
      <c r="BW125" s="10"/>
      <c r="BX125" s="11"/>
      <c r="BY125" s="69">
        <f t="shared" si="801"/>
        <v>0</v>
      </c>
      <c r="BZ125" s="69">
        <f t="shared" si="801"/>
        <v>0</v>
      </c>
      <c r="CA125" s="11"/>
      <c r="CB125" s="12" t="e">
        <f t="shared" si="765"/>
        <v>#DIV/0!</v>
      </c>
      <c r="CC125" s="11"/>
      <c r="CD125" s="12" t="e">
        <f t="shared" si="766"/>
        <v>#DIV/0!</v>
      </c>
      <c r="CE125" s="11"/>
      <c r="CF125" s="11"/>
      <c r="CG125" s="18"/>
      <c r="CH125" s="20"/>
      <c r="CI125" s="10"/>
      <c r="CJ125" s="11"/>
      <c r="CK125" s="69">
        <f t="shared" si="802"/>
        <v>0</v>
      </c>
      <c r="CL125" s="69">
        <f t="shared" si="802"/>
        <v>0</v>
      </c>
      <c r="CM125" s="11"/>
      <c r="CN125" s="12" t="e">
        <f t="shared" si="767"/>
        <v>#DIV/0!</v>
      </c>
      <c r="CO125" s="11"/>
      <c r="CP125" s="12" t="e">
        <f t="shared" si="768"/>
        <v>#DIV/0!</v>
      </c>
      <c r="CQ125" s="11"/>
      <c r="CR125" s="11"/>
      <c r="CS125" s="18"/>
      <c r="CT125" s="20"/>
      <c r="CU125" s="10"/>
      <c r="CV125" s="11"/>
      <c r="CW125" s="69">
        <f t="shared" si="803"/>
        <v>0</v>
      </c>
      <c r="CX125" s="69">
        <f t="shared" si="803"/>
        <v>0</v>
      </c>
      <c r="CY125" s="11"/>
      <c r="CZ125" s="12" t="e">
        <f t="shared" si="769"/>
        <v>#DIV/0!</v>
      </c>
      <c r="DA125" s="11"/>
      <c r="DB125" s="12" t="e">
        <f t="shared" si="770"/>
        <v>#DIV/0!</v>
      </c>
      <c r="DC125" s="11"/>
      <c r="DD125" s="11"/>
      <c r="DE125" s="18"/>
      <c r="DF125" s="20"/>
      <c r="DG125" s="10"/>
      <c r="DH125" s="11"/>
      <c r="DI125" s="69">
        <f t="shared" si="804"/>
        <v>0</v>
      </c>
      <c r="DJ125" s="69">
        <f t="shared" si="804"/>
        <v>0</v>
      </c>
      <c r="DK125" s="11"/>
      <c r="DL125" s="12" t="e">
        <f t="shared" si="771"/>
        <v>#DIV/0!</v>
      </c>
      <c r="DM125" s="11"/>
      <c r="DN125" s="12" t="e">
        <f t="shared" si="772"/>
        <v>#DIV/0!</v>
      </c>
      <c r="DO125" s="11"/>
      <c r="DP125" s="11"/>
      <c r="DQ125" s="18"/>
      <c r="DR125" s="20"/>
      <c r="DS125" s="10"/>
      <c r="DT125" s="11"/>
      <c r="DU125" s="69">
        <f t="shared" si="805"/>
        <v>0</v>
      </c>
      <c r="DV125" s="69">
        <f t="shared" si="805"/>
        <v>0</v>
      </c>
      <c r="DW125" s="11"/>
      <c r="DX125" s="12" t="e">
        <f t="shared" si="773"/>
        <v>#DIV/0!</v>
      </c>
      <c r="DY125" s="11"/>
      <c r="DZ125" s="12" t="e">
        <f t="shared" si="774"/>
        <v>#DIV/0!</v>
      </c>
      <c r="EA125" s="11"/>
      <c r="EB125" s="11"/>
      <c r="EC125" s="18"/>
      <c r="ED125" s="20"/>
      <c r="EE125" s="10"/>
      <c r="EF125" s="11"/>
      <c r="EG125" s="69">
        <f t="shared" si="806"/>
        <v>0</v>
      </c>
      <c r="EH125" s="69">
        <f t="shared" si="806"/>
        <v>0</v>
      </c>
      <c r="EI125" s="11"/>
      <c r="EJ125" s="12" t="e">
        <f t="shared" si="775"/>
        <v>#DIV/0!</v>
      </c>
      <c r="EK125" s="11"/>
      <c r="EL125" s="12" t="e">
        <f t="shared" si="776"/>
        <v>#DIV/0!</v>
      </c>
      <c r="EM125" s="11"/>
      <c r="EN125" s="11"/>
      <c r="EO125" s="18"/>
      <c r="EP125" s="20"/>
      <c r="EQ125" s="10"/>
      <c r="ER125" s="11"/>
      <c r="ES125" s="69">
        <f t="shared" si="807"/>
        <v>0</v>
      </c>
      <c r="ET125" s="69">
        <f t="shared" si="807"/>
        <v>0</v>
      </c>
      <c r="EU125" s="11"/>
      <c r="EV125" s="12" t="e">
        <f t="shared" si="777"/>
        <v>#DIV/0!</v>
      </c>
      <c r="EW125" s="11"/>
      <c r="EX125" s="12" t="e">
        <f t="shared" si="778"/>
        <v>#DIV/0!</v>
      </c>
      <c r="EY125" s="11"/>
      <c r="EZ125" s="11"/>
      <c r="FA125" s="18"/>
      <c r="FB125" s="20"/>
      <c r="FC125" s="10"/>
      <c r="FD125" s="11"/>
      <c r="FE125" s="69">
        <f t="shared" si="808"/>
        <v>0</v>
      </c>
      <c r="FF125" s="69">
        <f t="shared" si="808"/>
        <v>0</v>
      </c>
      <c r="FG125" s="11"/>
      <c r="FH125" s="12" t="e">
        <f t="shared" si="779"/>
        <v>#DIV/0!</v>
      </c>
      <c r="FI125" s="11"/>
      <c r="FJ125" s="12" t="e">
        <f t="shared" si="780"/>
        <v>#DIV/0!</v>
      </c>
      <c r="FK125" s="11"/>
      <c r="FL125" s="11"/>
      <c r="FM125" s="18"/>
      <c r="FN125" s="20"/>
      <c r="FO125" s="10"/>
      <c r="FP125" s="11"/>
      <c r="FQ125" s="69">
        <f t="shared" si="809"/>
        <v>0</v>
      </c>
      <c r="FR125" s="69">
        <f t="shared" si="809"/>
        <v>0</v>
      </c>
      <c r="FS125" s="11"/>
      <c r="FT125" s="12" t="e">
        <f t="shared" si="781"/>
        <v>#DIV/0!</v>
      </c>
      <c r="FU125" s="11"/>
      <c r="FV125" s="12" t="e">
        <f t="shared" si="782"/>
        <v>#DIV/0!</v>
      </c>
      <c r="FW125" s="11"/>
      <c r="FX125" s="11"/>
      <c r="FY125" s="18"/>
      <c r="FZ125" s="20"/>
      <c r="GA125" s="10"/>
      <c r="GB125" s="11"/>
      <c r="GC125" s="69">
        <f t="shared" si="810"/>
        <v>0</v>
      </c>
      <c r="GD125" s="69">
        <f t="shared" si="810"/>
        <v>0</v>
      </c>
      <c r="GE125" s="11"/>
      <c r="GF125" s="12" t="e">
        <f t="shared" si="783"/>
        <v>#DIV/0!</v>
      </c>
      <c r="GG125" s="11"/>
      <c r="GH125" s="12" t="e">
        <f t="shared" si="784"/>
        <v>#DIV/0!</v>
      </c>
      <c r="GI125" s="11"/>
      <c r="GJ125" s="11"/>
      <c r="GK125" s="18"/>
      <c r="GL125" s="20"/>
      <c r="GM125" s="10"/>
      <c r="GN125" s="11"/>
      <c r="GO125" s="69">
        <f t="shared" si="811"/>
        <v>0</v>
      </c>
      <c r="GP125" s="69">
        <f t="shared" si="811"/>
        <v>0</v>
      </c>
      <c r="GQ125" s="11"/>
      <c r="GR125" s="12" t="e">
        <f t="shared" si="785"/>
        <v>#DIV/0!</v>
      </c>
      <c r="GS125" s="11"/>
      <c r="GT125" s="12" t="e">
        <f t="shared" si="786"/>
        <v>#DIV/0!</v>
      </c>
      <c r="GU125" s="11"/>
      <c r="GV125" s="11"/>
      <c r="GW125" s="18"/>
      <c r="GX125" s="20"/>
      <c r="GY125" s="10"/>
      <c r="GZ125" s="11"/>
      <c r="HA125" s="69">
        <f t="shared" si="812"/>
        <v>0</v>
      </c>
      <c r="HB125" s="69">
        <f t="shared" si="812"/>
        <v>0</v>
      </c>
      <c r="HC125" s="11"/>
      <c r="HD125" s="12" t="e">
        <f t="shared" si="787"/>
        <v>#DIV/0!</v>
      </c>
      <c r="HE125" s="11"/>
      <c r="HF125" s="12" t="e">
        <f t="shared" si="788"/>
        <v>#DIV/0!</v>
      </c>
      <c r="HG125" s="11"/>
      <c r="HH125" s="11"/>
      <c r="HI125" s="18"/>
      <c r="HJ125" s="20"/>
      <c r="HK125" s="10">
        <f t="shared" si="789"/>
        <v>2</v>
      </c>
      <c r="HL125" s="11">
        <f t="shared" si="789"/>
        <v>0</v>
      </c>
      <c r="HM125" s="11">
        <f t="shared" si="789"/>
        <v>3584</v>
      </c>
      <c r="HN125" s="11">
        <f t="shared" si="789"/>
        <v>301</v>
      </c>
      <c r="HO125" s="11">
        <f t="shared" si="790"/>
        <v>1818</v>
      </c>
      <c r="HP125" s="95">
        <f t="shared" si="791"/>
        <v>0.5072544642857143</v>
      </c>
      <c r="HQ125" s="15">
        <f t="shared" si="792"/>
        <v>115</v>
      </c>
      <c r="HR125" s="12">
        <f t="shared" si="813"/>
        <v>6.3256325632563254E-2</v>
      </c>
      <c r="HS125" s="16">
        <v>66.8</v>
      </c>
      <c r="HT125" s="17">
        <v>1640</v>
      </c>
      <c r="HU125" s="16">
        <f t="shared" si="793"/>
        <v>90.209020902090202</v>
      </c>
      <c r="HV125" s="18"/>
      <c r="HW125" s="20"/>
    </row>
    <row r="126" spans="1:231" ht="18.75" x14ac:dyDescent="0.25">
      <c r="A126" s="374"/>
      <c r="B126" s="41">
        <f t="shared" si="814"/>
        <v>45036</v>
      </c>
      <c r="C126" s="10">
        <v>1</v>
      </c>
      <c r="D126" s="11"/>
      <c r="E126" s="69">
        <f t="shared" si="794"/>
        <v>632</v>
      </c>
      <c r="F126" s="69">
        <f t="shared" si="794"/>
        <v>52</v>
      </c>
      <c r="G126" s="11">
        <v>334</v>
      </c>
      <c r="H126" s="12">
        <f t="shared" si="754"/>
        <v>0.54746835443037978</v>
      </c>
      <c r="I126" s="11">
        <v>12</v>
      </c>
      <c r="J126" s="12">
        <f t="shared" si="795"/>
        <v>3.4682080924855488E-2</v>
      </c>
      <c r="K126" s="13"/>
      <c r="L126" s="13"/>
      <c r="M126" s="25">
        <v>4025</v>
      </c>
      <c r="N126" s="38">
        <v>4420</v>
      </c>
      <c r="O126" s="10">
        <v>2</v>
      </c>
      <c r="P126" s="11"/>
      <c r="Q126" s="69">
        <f t="shared" si="796"/>
        <v>629</v>
      </c>
      <c r="R126" s="69">
        <f t="shared" si="796"/>
        <v>53</v>
      </c>
      <c r="S126" s="11">
        <v>340</v>
      </c>
      <c r="T126" s="12">
        <f t="shared" si="755"/>
        <v>0.55961844197138311</v>
      </c>
      <c r="U126" s="11">
        <v>12</v>
      </c>
      <c r="V126" s="12">
        <f t="shared" si="756"/>
        <v>3.4090909090909088E-2</v>
      </c>
      <c r="W126" s="13"/>
      <c r="X126" s="13"/>
      <c r="Y126" s="25">
        <v>4025</v>
      </c>
      <c r="Z126" s="38">
        <v>4420</v>
      </c>
      <c r="AA126" s="10"/>
      <c r="AB126" s="11"/>
      <c r="AC126" s="69">
        <f t="shared" si="797"/>
        <v>193</v>
      </c>
      <c r="AD126" s="69">
        <f t="shared" si="797"/>
        <v>16</v>
      </c>
      <c r="AE126" s="11">
        <v>92</v>
      </c>
      <c r="AF126" s="12">
        <f t="shared" si="757"/>
        <v>0.48704663212435234</v>
      </c>
      <c r="AG126" s="11">
        <v>2</v>
      </c>
      <c r="AH126" s="12">
        <f t="shared" si="758"/>
        <v>2.1276595744680851E-2</v>
      </c>
      <c r="AI126" s="13"/>
      <c r="AJ126" s="13"/>
      <c r="AK126" s="25">
        <v>4025</v>
      </c>
      <c r="AL126" s="38">
        <v>4420</v>
      </c>
      <c r="AM126" s="10">
        <v>1</v>
      </c>
      <c r="AN126" s="11"/>
      <c r="AO126" s="69">
        <f t="shared" si="798"/>
        <v>708</v>
      </c>
      <c r="AP126" s="69">
        <f t="shared" si="798"/>
        <v>60</v>
      </c>
      <c r="AQ126" s="11">
        <v>344</v>
      </c>
      <c r="AR126" s="12">
        <f t="shared" si="759"/>
        <v>0.51129943502824859</v>
      </c>
      <c r="AS126" s="11">
        <v>18</v>
      </c>
      <c r="AT126" s="12">
        <f t="shared" si="760"/>
        <v>4.9723756906077346E-2</v>
      </c>
      <c r="AU126" s="13"/>
      <c r="AV126" s="13"/>
      <c r="AW126" s="25">
        <v>4025</v>
      </c>
      <c r="AX126" s="38">
        <v>4420</v>
      </c>
      <c r="AY126" s="10">
        <v>1</v>
      </c>
      <c r="AZ126" s="11"/>
      <c r="BA126" s="69">
        <f t="shared" si="799"/>
        <v>708</v>
      </c>
      <c r="BB126" s="69">
        <f t="shared" si="799"/>
        <v>60</v>
      </c>
      <c r="BC126" s="11">
        <v>348</v>
      </c>
      <c r="BD126" s="12">
        <f t="shared" si="761"/>
        <v>0.5155367231638418</v>
      </c>
      <c r="BE126" s="11">
        <v>17</v>
      </c>
      <c r="BF126" s="12">
        <f t="shared" si="762"/>
        <v>4.6575342465753428E-2</v>
      </c>
      <c r="BG126" s="13"/>
      <c r="BH126" s="13"/>
      <c r="BI126" s="25">
        <v>4025</v>
      </c>
      <c r="BJ126" s="38">
        <v>4420</v>
      </c>
      <c r="BK126" s="10">
        <v>1</v>
      </c>
      <c r="BL126" s="11"/>
      <c r="BM126" s="69">
        <f t="shared" si="800"/>
        <v>708</v>
      </c>
      <c r="BN126" s="69">
        <f t="shared" si="800"/>
        <v>60</v>
      </c>
      <c r="BO126" s="11">
        <v>357</v>
      </c>
      <c r="BP126" s="12">
        <f t="shared" si="763"/>
        <v>0.52401129943502822</v>
      </c>
      <c r="BQ126" s="11">
        <v>14</v>
      </c>
      <c r="BR126" s="12">
        <f t="shared" si="764"/>
        <v>3.7735849056603772E-2</v>
      </c>
      <c r="BS126" s="13"/>
      <c r="BT126" s="13"/>
      <c r="BU126" s="25">
        <v>4025</v>
      </c>
      <c r="BV126" s="38">
        <v>4420</v>
      </c>
      <c r="BW126" s="10"/>
      <c r="BX126" s="11"/>
      <c r="BY126" s="69">
        <f t="shared" si="801"/>
        <v>0</v>
      </c>
      <c r="BZ126" s="69">
        <f t="shared" si="801"/>
        <v>0</v>
      </c>
      <c r="CA126" s="11"/>
      <c r="CB126" s="12" t="e">
        <f t="shared" si="765"/>
        <v>#DIV/0!</v>
      </c>
      <c r="CC126" s="11"/>
      <c r="CD126" s="12" t="e">
        <f t="shared" si="766"/>
        <v>#DIV/0!</v>
      </c>
      <c r="CE126" s="13"/>
      <c r="CF126" s="13"/>
      <c r="CG126" s="25"/>
      <c r="CH126" s="38"/>
      <c r="CI126" s="10"/>
      <c r="CJ126" s="11"/>
      <c r="CK126" s="69">
        <f t="shared" si="802"/>
        <v>0</v>
      </c>
      <c r="CL126" s="69">
        <f t="shared" si="802"/>
        <v>0</v>
      </c>
      <c r="CM126" s="11"/>
      <c r="CN126" s="12" t="e">
        <f t="shared" si="767"/>
        <v>#DIV/0!</v>
      </c>
      <c r="CO126" s="11"/>
      <c r="CP126" s="12" t="e">
        <f t="shared" si="768"/>
        <v>#DIV/0!</v>
      </c>
      <c r="CQ126" s="13"/>
      <c r="CR126" s="13"/>
      <c r="CS126" s="25"/>
      <c r="CT126" s="38"/>
      <c r="CU126" s="10"/>
      <c r="CV126" s="11"/>
      <c r="CW126" s="69">
        <f t="shared" si="803"/>
        <v>0</v>
      </c>
      <c r="CX126" s="69">
        <f t="shared" si="803"/>
        <v>0</v>
      </c>
      <c r="CY126" s="11"/>
      <c r="CZ126" s="12" t="e">
        <f t="shared" si="769"/>
        <v>#DIV/0!</v>
      </c>
      <c r="DA126" s="11"/>
      <c r="DB126" s="12" t="e">
        <f t="shared" si="770"/>
        <v>#DIV/0!</v>
      </c>
      <c r="DC126" s="13"/>
      <c r="DD126" s="13"/>
      <c r="DE126" s="25"/>
      <c r="DF126" s="38"/>
      <c r="DG126" s="10"/>
      <c r="DH126" s="11"/>
      <c r="DI126" s="69">
        <f t="shared" si="804"/>
        <v>0</v>
      </c>
      <c r="DJ126" s="69">
        <f t="shared" si="804"/>
        <v>0</v>
      </c>
      <c r="DK126" s="11"/>
      <c r="DL126" s="12" t="e">
        <f t="shared" si="771"/>
        <v>#DIV/0!</v>
      </c>
      <c r="DM126" s="11"/>
      <c r="DN126" s="12" t="e">
        <f t="shared" si="772"/>
        <v>#DIV/0!</v>
      </c>
      <c r="DO126" s="13"/>
      <c r="DP126" s="13"/>
      <c r="DQ126" s="25"/>
      <c r="DR126" s="38"/>
      <c r="DS126" s="10"/>
      <c r="DT126" s="11"/>
      <c r="DU126" s="69">
        <f t="shared" si="805"/>
        <v>0</v>
      </c>
      <c r="DV126" s="69">
        <f t="shared" si="805"/>
        <v>0</v>
      </c>
      <c r="DW126" s="11"/>
      <c r="DX126" s="12" t="e">
        <f t="shared" si="773"/>
        <v>#DIV/0!</v>
      </c>
      <c r="DY126" s="11"/>
      <c r="DZ126" s="12" t="e">
        <f t="shared" si="774"/>
        <v>#DIV/0!</v>
      </c>
      <c r="EA126" s="13"/>
      <c r="EB126" s="13"/>
      <c r="EC126" s="25"/>
      <c r="ED126" s="38"/>
      <c r="EE126" s="10"/>
      <c r="EF126" s="11"/>
      <c r="EG126" s="69">
        <f t="shared" si="806"/>
        <v>0</v>
      </c>
      <c r="EH126" s="69">
        <f t="shared" si="806"/>
        <v>0</v>
      </c>
      <c r="EI126" s="11"/>
      <c r="EJ126" s="12" t="e">
        <f t="shared" si="775"/>
        <v>#DIV/0!</v>
      </c>
      <c r="EK126" s="11"/>
      <c r="EL126" s="12" t="e">
        <f t="shared" si="776"/>
        <v>#DIV/0!</v>
      </c>
      <c r="EM126" s="13"/>
      <c r="EN126" s="13"/>
      <c r="EO126" s="25"/>
      <c r="EP126" s="38"/>
      <c r="EQ126" s="10"/>
      <c r="ER126" s="11"/>
      <c r="ES126" s="69">
        <f t="shared" si="807"/>
        <v>0</v>
      </c>
      <c r="ET126" s="69">
        <f t="shared" si="807"/>
        <v>0</v>
      </c>
      <c r="EU126" s="11"/>
      <c r="EV126" s="12" t="e">
        <f t="shared" si="777"/>
        <v>#DIV/0!</v>
      </c>
      <c r="EW126" s="11"/>
      <c r="EX126" s="12" t="e">
        <f t="shared" si="778"/>
        <v>#DIV/0!</v>
      </c>
      <c r="EY126" s="13"/>
      <c r="EZ126" s="13"/>
      <c r="FA126" s="25"/>
      <c r="FB126" s="38"/>
      <c r="FC126" s="10"/>
      <c r="FD126" s="11"/>
      <c r="FE126" s="69">
        <f t="shared" si="808"/>
        <v>0</v>
      </c>
      <c r="FF126" s="69">
        <f t="shared" si="808"/>
        <v>0</v>
      </c>
      <c r="FG126" s="11"/>
      <c r="FH126" s="12" t="e">
        <f t="shared" si="779"/>
        <v>#DIV/0!</v>
      </c>
      <c r="FI126" s="11"/>
      <c r="FJ126" s="12" t="e">
        <f t="shared" si="780"/>
        <v>#DIV/0!</v>
      </c>
      <c r="FK126" s="13"/>
      <c r="FL126" s="13"/>
      <c r="FM126" s="25"/>
      <c r="FN126" s="38"/>
      <c r="FO126" s="10"/>
      <c r="FP126" s="11"/>
      <c r="FQ126" s="69">
        <f t="shared" si="809"/>
        <v>0</v>
      </c>
      <c r="FR126" s="69">
        <f t="shared" si="809"/>
        <v>0</v>
      </c>
      <c r="FS126" s="11"/>
      <c r="FT126" s="12" t="e">
        <f t="shared" si="781"/>
        <v>#DIV/0!</v>
      </c>
      <c r="FU126" s="11"/>
      <c r="FV126" s="12" t="e">
        <f t="shared" si="782"/>
        <v>#DIV/0!</v>
      </c>
      <c r="FW126" s="13"/>
      <c r="FX126" s="13"/>
      <c r="FY126" s="25"/>
      <c r="FZ126" s="38"/>
      <c r="GA126" s="10"/>
      <c r="GB126" s="11"/>
      <c r="GC126" s="69">
        <f t="shared" si="810"/>
        <v>0</v>
      </c>
      <c r="GD126" s="69">
        <f t="shared" si="810"/>
        <v>0</v>
      </c>
      <c r="GE126" s="11"/>
      <c r="GF126" s="12" t="e">
        <f t="shared" si="783"/>
        <v>#DIV/0!</v>
      </c>
      <c r="GG126" s="11"/>
      <c r="GH126" s="12" t="e">
        <f t="shared" si="784"/>
        <v>#DIV/0!</v>
      </c>
      <c r="GI126" s="13"/>
      <c r="GJ126" s="13"/>
      <c r="GK126" s="25"/>
      <c r="GL126" s="38"/>
      <c r="GM126" s="10"/>
      <c r="GN126" s="11"/>
      <c r="GO126" s="69">
        <f t="shared" si="811"/>
        <v>0</v>
      </c>
      <c r="GP126" s="69">
        <f t="shared" si="811"/>
        <v>0</v>
      </c>
      <c r="GQ126" s="11"/>
      <c r="GR126" s="12" t="e">
        <f t="shared" si="785"/>
        <v>#DIV/0!</v>
      </c>
      <c r="GS126" s="11"/>
      <c r="GT126" s="12" t="e">
        <f t="shared" si="786"/>
        <v>#DIV/0!</v>
      </c>
      <c r="GU126" s="13"/>
      <c r="GV126" s="13"/>
      <c r="GW126" s="25"/>
      <c r="GX126" s="38"/>
      <c r="GY126" s="10"/>
      <c r="GZ126" s="11"/>
      <c r="HA126" s="69">
        <f t="shared" si="812"/>
        <v>0</v>
      </c>
      <c r="HB126" s="69">
        <f t="shared" si="812"/>
        <v>0</v>
      </c>
      <c r="HC126" s="11"/>
      <c r="HD126" s="12" t="e">
        <f t="shared" si="787"/>
        <v>#DIV/0!</v>
      </c>
      <c r="HE126" s="11"/>
      <c r="HF126" s="12" t="e">
        <f t="shared" si="788"/>
        <v>#DIV/0!</v>
      </c>
      <c r="HG126" s="13"/>
      <c r="HH126" s="13"/>
      <c r="HI126" s="25"/>
      <c r="HJ126" s="38"/>
      <c r="HK126" s="10">
        <f t="shared" si="789"/>
        <v>6</v>
      </c>
      <c r="HL126" s="11">
        <f t="shared" si="789"/>
        <v>0</v>
      </c>
      <c r="HM126" s="11">
        <f t="shared" si="789"/>
        <v>3578</v>
      </c>
      <c r="HN126" s="11">
        <f t="shared" si="789"/>
        <v>301</v>
      </c>
      <c r="HO126" s="11">
        <f t="shared" si="790"/>
        <v>1890</v>
      </c>
      <c r="HP126" s="95">
        <f t="shared" si="791"/>
        <v>0.52822806036892123</v>
      </c>
      <c r="HQ126" s="15">
        <f t="shared" si="792"/>
        <v>75</v>
      </c>
      <c r="HR126" s="12">
        <f t="shared" si="813"/>
        <v>3.968253968253968E-2</v>
      </c>
      <c r="HS126" s="16">
        <v>67.099999999999994</v>
      </c>
      <c r="HT126" s="17">
        <v>1739</v>
      </c>
      <c r="HU126" s="16">
        <f t="shared" si="793"/>
        <v>92.010582010582013</v>
      </c>
      <c r="HV126" s="23">
        <v>4025</v>
      </c>
      <c r="HW126" s="22">
        <v>4420</v>
      </c>
    </row>
    <row r="127" spans="1:231" ht="18.75" x14ac:dyDescent="0.25">
      <c r="A127" s="374"/>
      <c r="B127" s="41">
        <f t="shared" si="814"/>
        <v>45037</v>
      </c>
      <c r="C127" s="10"/>
      <c r="D127" s="11"/>
      <c r="E127" s="69">
        <f t="shared" si="794"/>
        <v>632</v>
      </c>
      <c r="F127" s="69">
        <f t="shared" si="794"/>
        <v>52</v>
      </c>
      <c r="G127" s="11">
        <v>299</v>
      </c>
      <c r="H127" s="12">
        <f t="shared" si="754"/>
        <v>0.49683544303797467</v>
      </c>
      <c r="I127" s="11">
        <v>15</v>
      </c>
      <c r="J127" s="12">
        <f t="shared" si="795"/>
        <v>4.7770700636942678E-2</v>
      </c>
      <c r="K127" s="13"/>
      <c r="L127" s="11"/>
      <c r="M127" s="25">
        <v>4627.7777777777774</v>
      </c>
      <c r="N127" s="38">
        <v>4560</v>
      </c>
      <c r="O127" s="10"/>
      <c r="P127" s="11"/>
      <c r="Q127" s="69">
        <f t="shared" si="796"/>
        <v>629</v>
      </c>
      <c r="R127" s="69">
        <f t="shared" si="796"/>
        <v>53</v>
      </c>
      <c r="S127" s="11">
        <v>300</v>
      </c>
      <c r="T127" s="12">
        <f t="shared" si="755"/>
        <v>0.51510333863275037</v>
      </c>
      <c r="U127" s="11">
        <v>24</v>
      </c>
      <c r="V127" s="12">
        <f t="shared" si="756"/>
        <v>7.407407407407407E-2</v>
      </c>
      <c r="W127" s="13"/>
      <c r="X127" s="11"/>
      <c r="Y127" s="25">
        <v>4654.3243243243242</v>
      </c>
      <c r="Z127" s="38">
        <v>4664.166666666667</v>
      </c>
      <c r="AA127" s="10"/>
      <c r="AB127" s="11"/>
      <c r="AC127" s="69">
        <f t="shared" si="797"/>
        <v>193</v>
      </c>
      <c r="AD127" s="69">
        <f t="shared" si="797"/>
        <v>16</v>
      </c>
      <c r="AE127" s="11">
        <v>87</v>
      </c>
      <c r="AF127" s="12">
        <f t="shared" si="757"/>
        <v>0.47150259067357514</v>
      </c>
      <c r="AG127" s="11">
        <v>4</v>
      </c>
      <c r="AH127" s="12">
        <f t="shared" si="758"/>
        <v>4.3956043956043959E-2</v>
      </c>
      <c r="AI127" s="13"/>
      <c r="AJ127" s="11"/>
      <c r="AK127" s="25">
        <v>4630</v>
      </c>
      <c r="AL127" s="38">
        <v>4486</v>
      </c>
      <c r="AM127" s="10"/>
      <c r="AN127" s="11"/>
      <c r="AO127" s="69">
        <f t="shared" si="798"/>
        <v>708</v>
      </c>
      <c r="AP127" s="69">
        <f t="shared" si="798"/>
        <v>60</v>
      </c>
      <c r="AQ127" s="11">
        <v>360</v>
      </c>
      <c r="AR127" s="12">
        <f t="shared" si="759"/>
        <v>0.54096045197740117</v>
      </c>
      <c r="AS127" s="11">
        <v>23</v>
      </c>
      <c r="AT127" s="12">
        <f t="shared" si="760"/>
        <v>6.0052219321148827E-2</v>
      </c>
      <c r="AU127" s="13"/>
      <c r="AV127" s="11"/>
      <c r="AW127" s="25">
        <v>4626.5625</v>
      </c>
      <c r="AX127" s="38">
        <v>4669.090909090909</v>
      </c>
      <c r="AY127" s="10">
        <v>1</v>
      </c>
      <c r="AZ127" s="11"/>
      <c r="BA127" s="69">
        <f t="shared" si="799"/>
        <v>707</v>
      </c>
      <c r="BB127" s="69">
        <f t="shared" si="799"/>
        <v>60</v>
      </c>
      <c r="BC127" s="11">
        <v>340</v>
      </c>
      <c r="BD127" s="12">
        <f t="shared" si="761"/>
        <v>0.51202263083451205</v>
      </c>
      <c r="BE127" s="11">
        <v>22</v>
      </c>
      <c r="BF127" s="12">
        <f t="shared" si="762"/>
        <v>6.0773480662983423E-2</v>
      </c>
      <c r="BG127" s="13"/>
      <c r="BH127" s="11"/>
      <c r="BI127" s="25">
        <v>4569.393939393939</v>
      </c>
      <c r="BJ127" s="38">
        <v>4960.833333333333</v>
      </c>
      <c r="BK127" s="10"/>
      <c r="BL127" s="11"/>
      <c r="BM127" s="69">
        <f t="shared" si="800"/>
        <v>708</v>
      </c>
      <c r="BN127" s="69">
        <f t="shared" si="800"/>
        <v>60</v>
      </c>
      <c r="BO127" s="11">
        <v>357</v>
      </c>
      <c r="BP127" s="12">
        <f t="shared" si="763"/>
        <v>0.53248587570621464</v>
      </c>
      <c r="BQ127" s="11">
        <v>20</v>
      </c>
      <c r="BR127" s="12">
        <f t="shared" si="764"/>
        <v>5.3050397877984087E-2</v>
      </c>
      <c r="BS127" s="13"/>
      <c r="BT127" s="11"/>
      <c r="BU127" s="25">
        <v>4566.9444444444443</v>
      </c>
      <c r="BV127" s="38">
        <v>4867.5</v>
      </c>
      <c r="BW127" s="10"/>
      <c r="BX127" s="11"/>
      <c r="BY127" s="69">
        <f t="shared" si="801"/>
        <v>0</v>
      </c>
      <c r="BZ127" s="69">
        <f t="shared" si="801"/>
        <v>0</v>
      </c>
      <c r="CA127" s="11"/>
      <c r="CB127" s="12" t="e">
        <f t="shared" si="765"/>
        <v>#DIV/0!</v>
      </c>
      <c r="CC127" s="11"/>
      <c r="CD127" s="12" t="e">
        <f t="shared" si="766"/>
        <v>#DIV/0!</v>
      </c>
      <c r="CE127" s="13"/>
      <c r="CF127" s="11"/>
      <c r="CG127" s="25"/>
      <c r="CH127" s="38"/>
      <c r="CI127" s="10"/>
      <c r="CJ127" s="11"/>
      <c r="CK127" s="69">
        <f t="shared" si="802"/>
        <v>0</v>
      </c>
      <c r="CL127" s="69">
        <f t="shared" si="802"/>
        <v>0</v>
      </c>
      <c r="CM127" s="11"/>
      <c r="CN127" s="12" t="e">
        <f t="shared" si="767"/>
        <v>#DIV/0!</v>
      </c>
      <c r="CO127" s="11"/>
      <c r="CP127" s="12" t="e">
        <f t="shared" si="768"/>
        <v>#DIV/0!</v>
      </c>
      <c r="CQ127" s="13"/>
      <c r="CR127" s="11"/>
      <c r="CS127" s="25"/>
      <c r="CT127" s="38"/>
      <c r="CU127" s="10"/>
      <c r="CV127" s="11"/>
      <c r="CW127" s="69">
        <f t="shared" si="803"/>
        <v>0</v>
      </c>
      <c r="CX127" s="69">
        <f t="shared" si="803"/>
        <v>0</v>
      </c>
      <c r="CY127" s="11"/>
      <c r="CZ127" s="12" t="e">
        <f t="shared" si="769"/>
        <v>#DIV/0!</v>
      </c>
      <c r="DA127" s="11"/>
      <c r="DB127" s="12" t="e">
        <f t="shared" si="770"/>
        <v>#DIV/0!</v>
      </c>
      <c r="DC127" s="13"/>
      <c r="DD127" s="11"/>
      <c r="DE127" s="25"/>
      <c r="DF127" s="38"/>
      <c r="DG127" s="10"/>
      <c r="DH127" s="11"/>
      <c r="DI127" s="69">
        <f t="shared" si="804"/>
        <v>0</v>
      </c>
      <c r="DJ127" s="69">
        <f t="shared" si="804"/>
        <v>0</v>
      </c>
      <c r="DK127" s="11"/>
      <c r="DL127" s="12" t="e">
        <f t="shared" si="771"/>
        <v>#DIV/0!</v>
      </c>
      <c r="DM127" s="11"/>
      <c r="DN127" s="12" t="e">
        <f t="shared" si="772"/>
        <v>#DIV/0!</v>
      </c>
      <c r="DO127" s="13"/>
      <c r="DP127" s="11"/>
      <c r="DQ127" s="25"/>
      <c r="DR127" s="38"/>
      <c r="DS127" s="10"/>
      <c r="DT127" s="11"/>
      <c r="DU127" s="69">
        <f t="shared" si="805"/>
        <v>0</v>
      </c>
      <c r="DV127" s="69">
        <f t="shared" si="805"/>
        <v>0</v>
      </c>
      <c r="DW127" s="11"/>
      <c r="DX127" s="12" t="e">
        <f t="shared" si="773"/>
        <v>#DIV/0!</v>
      </c>
      <c r="DY127" s="11"/>
      <c r="DZ127" s="12" t="e">
        <f t="shared" si="774"/>
        <v>#DIV/0!</v>
      </c>
      <c r="EA127" s="13"/>
      <c r="EB127" s="11"/>
      <c r="EC127" s="25"/>
      <c r="ED127" s="38"/>
      <c r="EE127" s="10"/>
      <c r="EF127" s="11"/>
      <c r="EG127" s="69">
        <f t="shared" si="806"/>
        <v>0</v>
      </c>
      <c r="EH127" s="69">
        <f t="shared" si="806"/>
        <v>0</v>
      </c>
      <c r="EI127" s="11"/>
      <c r="EJ127" s="12" t="e">
        <f t="shared" si="775"/>
        <v>#DIV/0!</v>
      </c>
      <c r="EK127" s="11"/>
      <c r="EL127" s="12" t="e">
        <f t="shared" si="776"/>
        <v>#DIV/0!</v>
      </c>
      <c r="EM127" s="13"/>
      <c r="EN127" s="11"/>
      <c r="EO127" s="25"/>
      <c r="EP127" s="38"/>
      <c r="EQ127" s="10"/>
      <c r="ER127" s="11"/>
      <c r="ES127" s="69">
        <f t="shared" si="807"/>
        <v>0</v>
      </c>
      <c r="ET127" s="69">
        <f t="shared" si="807"/>
        <v>0</v>
      </c>
      <c r="EU127" s="11"/>
      <c r="EV127" s="12" t="e">
        <f t="shared" si="777"/>
        <v>#DIV/0!</v>
      </c>
      <c r="EW127" s="11"/>
      <c r="EX127" s="12" t="e">
        <f t="shared" si="778"/>
        <v>#DIV/0!</v>
      </c>
      <c r="EY127" s="13"/>
      <c r="EZ127" s="11"/>
      <c r="FA127" s="25"/>
      <c r="FB127" s="38"/>
      <c r="FC127" s="10"/>
      <c r="FD127" s="11"/>
      <c r="FE127" s="69">
        <f t="shared" si="808"/>
        <v>0</v>
      </c>
      <c r="FF127" s="69">
        <f t="shared" si="808"/>
        <v>0</v>
      </c>
      <c r="FG127" s="11"/>
      <c r="FH127" s="12" t="e">
        <f t="shared" si="779"/>
        <v>#DIV/0!</v>
      </c>
      <c r="FI127" s="11"/>
      <c r="FJ127" s="12" t="e">
        <f t="shared" si="780"/>
        <v>#DIV/0!</v>
      </c>
      <c r="FK127" s="13"/>
      <c r="FL127" s="11"/>
      <c r="FM127" s="25"/>
      <c r="FN127" s="38"/>
      <c r="FO127" s="10"/>
      <c r="FP127" s="11"/>
      <c r="FQ127" s="69">
        <f t="shared" si="809"/>
        <v>0</v>
      </c>
      <c r="FR127" s="69">
        <f t="shared" si="809"/>
        <v>0</v>
      </c>
      <c r="FS127" s="11"/>
      <c r="FT127" s="12" t="e">
        <f t="shared" si="781"/>
        <v>#DIV/0!</v>
      </c>
      <c r="FU127" s="11"/>
      <c r="FV127" s="12" t="e">
        <f t="shared" si="782"/>
        <v>#DIV/0!</v>
      </c>
      <c r="FW127" s="13"/>
      <c r="FX127" s="11"/>
      <c r="FY127" s="25"/>
      <c r="FZ127" s="38"/>
      <c r="GA127" s="10"/>
      <c r="GB127" s="11"/>
      <c r="GC127" s="69">
        <f t="shared" si="810"/>
        <v>0</v>
      </c>
      <c r="GD127" s="69">
        <f t="shared" si="810"/>
        <v>0</v>
      </c>
      <c r="GE127" s="11"/>
      <c r="GF127" s="12" t="e">
        <f t="shared" si="783"/>
        <v>#DIV/0!</v>
      </c>
      <c r="GG127" s="11"/>
      <c r="GH127" s="12" t="e">
        <f t="shared" si="784"/>
        <v>#DIV/0!</v>
      </c>
      <c r="GI127" s="13"/>
      <c r="GJ127" s="11"/>
      <c r="GK127" s="25"/>
      <c r="GL127" s="38"/>
      <c r="GM127" s="10"/>
      <c r="GN127" s="11"/>
      <c r="GO127" s="69">
        <f t="shared" si="811"/>
        <v>0</v>
      </c>
      <c r="GP127" s="69">
        <f t="shared" si="811"/>
        <v>0</v>
      </c>
      <c r="GQ127" s="11"/>
      <c r="GR127" s="12" t="e">
        <f t="shared" si="785"/>
        <v>#DIV/0!</v>
      </c>
      <c r="GS127" s="11"/>
      <c r="GT127" s="12" t="e">
        <f t="shared" si="786"/>
        <v>#DIV/0!</v>
      </c>
      <c r="GU127" s="13"/>
      <c r="GV127" s="11"/>
      <c r="GW127" s="25"/>
      <c r="GX127" s="38"/>
      <c r="GY127" s="10"/>
      <c r="GZ127" s="11"/>
      <c r="HA127" s="69">
        <f t="shared" si="812"/>
        <v>0</v>
      </c>
      <c r="HB127" s="69">
        <f t="shared" si="812"/>
        <v>0</v>
      </c>
      <c r="HC127" s="11"/>
      <c r="HD127" s="12" t="e">
        <f t="shared" si="787"/>
        <v>#DIV/0!</v>
      </c>
      <c r="HE127" s="11"/>
      <c r="HF127" s="12" t="e">
        <f t="shared" si="788"/>
        <v>#DIV/0!</v>
      </c>
      <c r="HG127" s="13"/>
      <c r="HH127" s="11"/>
      <c r="HI127" s="25"/>
      <c r="HJ127" s="38"/>
      <c r="HK127" s="10">
        <f t="shared" si="789"/>
        <v>1</v>
      </c>
      <c r="HL127" s="11">
        <f t="shared" si="789"/>
        <v>0</v>
      </c>
      <c r="HM127" s="11">
        <f t="shared" si="789"/>
        <v>3577</v>
      </c>
      <c r="HN127" s="11">
        <f t="shared" si="789"/>
        <v>301</v>
      </c>
      <c r="HO127" s="11">
        <f t="shared" si="790"/>
        <v>1851</v>
      </c>
      <c r="HP127" s="95">
        <f t="shared" si="791"/>
        <v>0.5174727425216662</v>
      </c>
      <c r="HQ127" s="15">
        <f t="shared" si="792"/>
        <v>108</v>
      </c>
      <c r="HR127" s="12">
        <f t="shared" si="813"/>
        <v>5.834683954619125E-2</v>
      </c>
      <c r="HS127" s="16">
        <v>67</v>
      </c>
      <c r="HT127" s="17">
        <v>1695</v>
      </c>
      <c r="HU127" s="16">
        <f t="shared" si="793"/>
        <v>91.572123176661265</v>
      </c>
      <c r="HV127" s="23">
        <v>4610.652173913043</v>
      </c>
      <c r="HW127" s="22">
        <v>4727.936507936508</v>
      </c>
    </row>
    <row r="128" spans="1:231" ht="18.75" x14ac:dyDescent="0.25">
      <c r="A128" s="374"/>
      <c r="B128" s="41">
        <f t="shared" si="814"/>
        <v>45038</v>
      </c>
      <c r="C128" s="10"/>
      <c r="D128" s="11"/>
      <c r="E128" s="69">
        <f>E127-C128</f>
        <v>632</v>
      </c>
      <c r="F128" s="69">
        <f>F127-D128</f>
        <v>52</v>
      </c>
      <c r="G128" s="11">
        <v>335</v>
      </c>
      <c r="H128" s="12">
        <f t="shared" si="754"/>
        <v>0.55696202531645567</v>
      </c>
      <c r="I128" s="11">
        <v>17</v>
      </c>
      <c r="J128" s="12">
        <f t="shared" si="795"/>
        <v>4.8295454545454544E-2</v>
      </c>
      <c r="K128" s="13"/>
      <c r="L128" s="11"/>
      <c r="M128" s="39">
        <v>91.666666666666671</v>
      </c>
      <c r="N128" s="43">
        <v>100</v>
      </c>
      <c r="O128" s="10"/>
      <c r="P128" s="11"/>
      <c r="Q128" s="69">
        <f t="shared" si="796"/>
        <v>629</v>
      </c>
      <c r="R128" s="69">
        <f t="shared" si="796"/>
        <v>53</v>
      </c>
      <c r="S128" s="11">
        <v>303</v>
      </c>
      <c r="T128" s="12">
        <f t="shared" si="755"/>
        <v>0.50238473767885528</v>
      </c>
      <c r="U128" s="11">
        <v>13</v>
      </c>
      <c r="V128" s="12">
        <f t="shared" si="756"/>
        <v>4.1139240506329111E-2</v>
      </c>
      <c r="W128" s="13"/>
      <c r="X128" s="11"/>
      <c r="Y128" s="39">
        <v>75.675675675675677</v>
      </c>
      <c r="Z128" s="43">
        <v>100</v>
      </c>
      <c r="AA128" s="10"/>
      <c r="AB128" s="11">
        <v>1</v>
      </c>
      <c r="AC128" s="69">
        <f t="shared" si="797"/>
        <v>193</v>
      </c>
      <c r="AD128" s="69">
        <f t="shared" si="797"/>
        <v>15</v>
      </c>
      <c r="AE128" s="11">
        <v>77</v>
      </c>
      <c r="AF128" s="12">
        <f t="shared" si="757"/>
        <v>0.41450777202072536</v>
      </c>
      <c r="AG128" s="11">
        <v>3</v>
      </c>
      <c r="AH128" s="12">
        <f t="shared" si="758"/>
        <v>3.7499999999999999E-2</v>
      </c>
      <c r="AI128" s="13"/>
      <c r="AJ128" s="11"/>
      <c r="AK128" s="39">
        <v>80</v>
      </c>
      <c r="AL128" s="43">
        <v>80</v>
      </c>
      <c r="AM128" s="10"/>
      <c r="AN128" s="11"/>
      <c r="AO128" s="69">
        <f t="shared" si="798"/>
        <v>708</v>
      </c>
      <c r="AP128" s="69">
        <f t="shared" si="798"/>
        <v>60</v>
      </c>
      <c r="AQ128" s="11">
        <v>363</v>
      </c>
      <c r="AR128" s="12">
        <f t="shared" si="759"/>
        <v>0.52824858757062143</v>
      </c>
      <c r="AS128" s="11">
        <v>11</v>
      </c>
      <c r="AT128" s="12">
        <f t="shared" si="760"/>
        <v>2.9411764705882353E-2</v>
      </c>
      <c r="AU128" s="13"/>
      <c r="AV128" s="11"/>
      <c r="AW128" s="39">
        <v>96.875</v>
      </c>
      <c r="AX128" s="43">
        <v>100</v>
      </c>
      <c r="AY128" s="10"/>
      <c r="AZ128" s="11"/>
      <c r="BA128" s="69">
        <f t="shared" si="799"/>
        <v>707</v>
      </c>
      <c r="BB128" s="69">
        <f t="shared" si="799"/>
        <v>60</v>
      </c>
      <c r="BC128" s="11">
        <v>380</v>
      </c>
      <c r="BD128" s="12">
        <f t="shared" si="761"/>
        <v>0.56011315417256013</v>
      </c>
      <c r="BE128" s="11">
        <v>16</v>
      </c>
      <c r="BF128" s="12">
        <f t="shared" si="762"/>
        <v>4.0404040404040407E-2</v>
      </c>
      <c r="BG128" s="13"/>
      <c r="BH128" s="11"/>
      <c r="BI128" s="39">
        <v>90.909090909090907</v>
      </c>
      <c r="BJ128" s="43">
        <v>91.666666666666671</v>
      </c>
      <c r="BK128" s="10"/>
      <c r="BL128" s="11"/>
      <c r="BM128" s="69">
        <f t="shared" si="800"/>
        <v>708</v>
      </c>
      <c r="BN128" s="69">
        <f t="shared" si="800"/>
        <v>60</v>
      </c>
      <c r="BO128" s="11">
        <v>355</v>
      </c>
      <c r="BP128" s="12">
        <f t="shared" si="763"/>
        <v>0.51694915254237284</v>
      </c>
      <c r="BQ128" s="11">
        <v>11</v>
      </c>
      <c r="BR128" s="12">
        <f t="shared" si="764"/>
        <v>3.0054644808743168E-2</v>
      </c>
      <c r="BS128" s="13"/>
      <c r="BT128" s="11"/>
      <c r="BU128" s="39">
        <v>86.111111111111114</v>
      </c>
      <c r="BV128" s="43">
        <v>100</v>
      </c>
      <c r="BW128" s="10"/>
      <c r="BX128" s="11"/>
      <c r="BY128" s="69">
        <f t="shared" si="801"/>
        <v>0</v>
      </c>
      <c r="BZ128" s="69">
        <f t="shared" si="801"/>
        <v>0</v>
      </c>
      <c r="CA128" s="11"/>
      <c r="CB128" s="12" t="e">
        <f t="shared" si="765"/>
        <v>#DIV/0!</v>
      </c>
      <c r="CC128" s="11"/>
      <c r="CD128" s="12" t="e">
        <f t="shared" si="766"/>
        <v>#DIV/0!</v>
      </c>
      <c r="CE128" s="13"/>
      <c r="CF128" s="11"/>
      <c r="CG128" s="39"/>
      <c r="CH128" s="43"/>
      <c r="CI128" s="10"/>
      <c r="CJ128" s="11"/>
      <c r="CK128" s="69">
        <f t="shared" si="802"/>
        <v>0</v>
      </c>
      <c r="CL128" s="69">
        <f t="shared" si="802"/>
        <v>0</v>
      </c>
      <c r="CM128" s="11"/>
      <c r="CN128" s="12" t="e">
        <f t="shared" si="767"/>
        <v>#DIV/0!</v>
      </c>
      <c r="CO128" s="11"/>
      <c r="CP128" s="12" t="e">
        <f t="shared" si="768"/>
        <v>#DIV/0!</v>
      </c>
      <c r="CQ128" s="13"/>
      <c r="CR128" s="11"/>
      <c r="CS128" s="39"/>
      <c r="CT128" s="43"/>
      <c r="CU128" s="10"/>
      <c r="CV128" s="11"/>
      <c r="CW128" s="69">
        <f t="shared" si="803"/>
        <v>0</v>
      </c>
      <c r="CX128" s="69">
        <f t="shared" si="803"/>
        <v>0</v>
      </c>
      <c r="CY128" s="11"/>
      <c r="CZ128" s="12" t="e">
        <f t="shared" si="769"/>
        <v>#DIV/0!</v>
      </c>
      <c r="DA128" s="11"/>
      <c r="DB128" s="12" t="e">
        <f t="shared" si="770"/>
        <v>#DIV/0!</v>
      </c>
      <c r="DC128" s="13"/>
      <c r="DD128" s="11"/>
      <c r="DE128" s="39"/>
      <c r="DF128" s="43"/>
      <c r="DG128" s="10"/>
      <c r="DH128" s="11"/>
      <c r="DI128" s="69">
        <f t="shared" si="804"/>
        <v>0</v>
      </c>
      <c r="DJ128" s="69">
        <f t="shared" si="804"/>
        <v>0</v>
      </c>
      <c r="DK128" s="11"/>
      <c r="DL128" s="12" t="e">
        <f t="shared" si="771"/>
        <v>#DIV/0!</v>
      </c>
      <c r="DM128" s="11"/>
      <c r="DN128" s="12" t="e">
        <f t="shared" si="772"/>
        <v>#DIV/0!</v>
      </c>
      <c r="DO128" s="13"/>
      <c r="DP128" s="11"/>
      <c r="DQ128" s="39"/>
      <c r="DR128" s="43"/>
      <c r="DS128" s="10"/>
      <c r="DT128" s="11"/>
      <c r="DU128" s="69">
        <f t="shared" si="805"/>
        <v>0</v>
      </c>
      <c r="DV128" s="69">
        <f t="shared" si="805"/>
        <v>0</v>
      </c>
      <c r="DW128" s="11"/>
      <c r="DX128" s="12" t="e">
        <f t="shared" si="773"/>
        <v>#DIV/0!</v>
      </c>
      <c r="DY128" s="11"/>
      <c r="DZ128" s="12" t="e">
        <f t="shared" si="774"/>
        <v>#DIV/0!</v>
      </c>
      <c r="EA128" s="13"/>
      <c r="EB128" s="11"/>
      <c r="EC128" s="39"/>
      <c r="ED128" s="43"/>
      <c r="EE128" s="10"/>
      <c r="EF128" s="11"/>
      <c r="EG128" s="69">
        <f t="shared" si="806"/>
        <v>0</v>
      </c>
      <c r="EH128" s="69">
        <f t="shared" si="806"/>
        <v>0</v>
      </c>
      <c r="EI128" s="11"/>
      <c r="EJ128" s="12" t="e">
        <f t="shared" si="775"/>
        <v>#DIV/0!</v>
      </c>
      <c r="EK128" s="11"/>
      <c r="EL128" s="12" t="e">
        <f t="shared" si="776"/>
        <v>#DIV/0!</v>
      </c>
      <c r="EM128" s="13"/>
      <c r="EN128" s="11"/>
      <c r="EO128" s="39"/>
      <c r="EP128" s="43"/>
      <c r="EQ128" s="10"/>
      <c r="ER128" s="11"/>
      <c r="ES128" s="69">
        <f t="shared" si="807"/>
        <v>0</v>
      </c>
      <c r="ET128" s="69">
        <f t="shared" si="807"/>
        <v>0</v>
      </c>
      <c r="EU128" s="11"/>
      <c r="EV128" s="12" t="e">
        <f t="shared" si="777"/>
        <v>#DIV/0!</v>
      </c>
      <c r="EW128" s="11"/>
      <c r="EX128" s="12" t="e">
        <f t="shared" si="778"/>
        <v>#DIV/0!</v>
      </c>
      <c r="EY128" s="13"/>
      <c r="EZ128" s="11"/>
      <c r="FA128" s="39"/>
      <c r="FB128" s="43"/>
      <c r="FC128" s="10"/>
      <c r="FD128" s="11"/>
      <c r="FE128" s="69">
        <f t="shared" si="808"/>
        <v>0</v>
      </c>
      <c r="FF128" s="69">
        <f t="shared" si="808"/>
        <v>0</v>
      </c>
      <c r="FG128" s="11"/>
      <c r="FH128" s="12" t="e">
        <f t="shared" si="779"/>
        <v>#DIV/0!</v>
      </c>
      <c r="FI128" s="11"/>
      <c r="FJ128" s="12" t="e">
        <f t="shared" si="780"/>
        <v>#DIV/0!</v>
      </c>
      <c r="FK128" s="13"/>
      <c r="FL128" s="11"/>
      <c r="FM128" s="39"/>
      <c r="FN128" s="43"/>
      <c r="FO128" s="10"/>
      <c r="FP128" s="11"/>
      <c r="FQ128" s="69">
        <f t="shared" si="809"/>
        <v>0</v>
      </c>
      <c r="FR128" s="69">
        <f t="shared" si="809"/>
        <v>0</v>
      </c>
      <c r="FS128" s="11"/>
      <c r="FT128" s="12" t="e">
        <f t="shared" si="781"/>
        <v>#DIV/0!</v>
      </c>
      <c r="FU128" s="11"/>
      <c r="FV128" s="12" t="e">
        <f t="shared" si="782"/>
        <v>#DIV/0!</v>
      </c>
      <c r="FW128" s="13"/>
      <c r="FX128" s="11"/>
      <c r="FY128" s="39"/>
      <c r="FZ128" s="43"/>
      <c r="GA128" s="10"/>
      <c r="GB128" s="11"/>
      <c r="GC128" s="69">
        <f t="shared" si="810"/>
        <v>0</v>
      </c>
      <c r="GD128" s="69">
        <f t="shared" si="810"/>
        <v>0</v>
      </c>
      <c r="GE128" s="11"/>
      <c r="GF128" s="12" t="e">
        <f t="shared" si="783"/>
        <v>#DIV/0!</v>
      </c>
      <c r="GG128" s="11"/>
      <c r="GH128" s="12" t="e">
        <f t="shared" si="784"/>
        <v>#DIV/0!</v>
      </c>
      <c r="GI128" s="13"/>
      <c r="GJ128" s="11"/>
      <c r="GK128" s="39"/>
      <c r="GL128" s="43"/>
      <c r="GM128" s="10"/>
      <c r="GN128" s="11"/>
      <c r="GO128" s="69">
        <f t="shared" si="811"/>
        <v>0</v>
      </c>
      <c r="GP128" s="69">
        <f t="shared" si="811"/>
        <v>0</v>
      </c>
      <c r="GQ128" s="11"/>
      <c r="GR128" s="12" t="e">
        <f t="shared" si="785"/>
        <v>#DIV/0!</v>
      </c>
      <c r="GS128" s="11"/>
      <c r="GT128" s="12" t="e">
        <f t="shared" si="786"/>
        <v>#DIV/0!</v>
      </c>
      <c r="GU128" s="13"/>
      <c r="GV128" s="11"/>
      <c r="GW128" s="39"/>
      <c r="GX128" s="43"/>
      <c r="GY128" s="10"/>
      <c r="GZ128" s="11"/>
      <c r="HA128" s="69">
        <f t="shared" si="812"/>
        <v>0</v>
      </c>
      <c r="HB128" s="69">
        <f t="shared" si="812"/>
        <v>0</v>
      </c>
      <c r="HC128" s="11"/>
      <c r="HD128" s="12" t="e">
        <f t="shared" si="787"/>
        <v>#DIV/0!</v>
      </c>
      <c r="HE128" s="11"/>
      <c r="HF128" s="12" t="e">
        <f t="shared" si="788"/>
        <v>#DIV/0!</v>
      </c>
      <c r="HG128" s="13"/>
      <c r="HH128" s="11"/>
      <c r="HI128" s="39"/>
      <c r="HJ128" s="43"/>
      <c r="HK128" s="10">
        <f t="shared" si="789"/>
        <v>0</v>
      </c>
      <c r="HL128" s="11">
        <f t="shared" si="789"/>
        <v>1</v>
      </c>
      <c r="HM128" s="11">
        <f t="shared" si="789"/>
        <v>3577</v>
      </c>
      <c r="HN128" s="11">
        <f t="shared" si="789"/>
        <v>300</v>
      </c>
      <c r="HO128" s="11">
        <f t="shared" si="790"/>
        <v>1884</v>
      </c>
      <c r="HP128" s="95">
        <f t="shared" si="791"/>
        <v>0.52669835057310599</v>
      </c>
      <c r="HQ128" s="15">
        <f t="shared" si="792"/>
        <v>71</v>
      </c>
      <c r="HR128" s="12">
        <f t="shared" si="813"/>
        <v>3.7685774946921442E-2</v>
      </c>
      <c r="HS128" s="16">
        <v>67.099999999999994</v>
      </c>
      <c r="HT128" s="17">
        <v>1751</v>
      </c>
      <c r="HU128" s="16">
        <f t="shared" si="793"/>
        <v>92.940552016985137</v>
      </c>
      <c r="HV128" s="23">
        <v>87.5</v>
      </c>
      <c r="HW128" s="22">
        <v>88.888888888888886</v>
      </c>
    </row>
    <row r="129" spans="1:231" ht="19.5" thickBot="1" x14ac:dyDescent="0.3">
      <c r="A129" s="374"/>
      <c r="B129" s="42"/>
      <c r="C129" s="26">
        <f>SUM(C122:C128)</f>
        <v>2</v>
      </c>
      <c r="D129" s="27">
        <f>SUM(D122:D128)</f>
        <v>1</v>
      </c>
      <c r="E129" s="27"/>
      <c r="F129" s="27"/>
      <c r="G129" s="27">
        <f>SUM(G122:G128)</f>
        <v>2281</v>
      </c>
      <c r="H129" s="28">
        <f>((G129+I129)/7)/E128</f>
        <v>0.53820072332730562</v>
      </c>
      <c r="I129" s="27">
        <f>SUM(I122:I128)</f>
        <v>100</v>
      </c>
      <c r="J129" s="28">
        <f>(I129/(I129+G129))</f>
        <v>4.1999160016799666E-2</v>
      </c>
      <c r="K129" s="27"/>
      <c r="L129" s="27"/>
      <c r="M129" s="29">
        <f>M127/M126*100-100</f>
        <v>14.975845410628025</v>
      </c>
      <c r="N129" s="67">
        <f>N127/N126*100-100</f>
        <v>3.1674208144796552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2248</v>
      </c>
      <c r="T129" s="28">
        <f>((S129+U129)/7)/Q128</f>
        <v>0.53395412218941629</v>
      </c>
      <c r="U129" s="27">
        <f>SUM(U122:U128)</f>
        <v>103</v>
      </c>
      <c r="V129" s="28">
        <f>(U129/(U129+S129))</f>
        <v>4.3811144193960018E-2</v>
      </c>
      <c r="W129" s="27"/>
      <c r="X129" s="27"/>
      <c r="Y129" s="29">
        <f>Y127/Y126*100-100</f>
        <v>15.635386939734758</v>
      </c>
      <c r="Z129" s="67">
        <f>Z127/Z126*100-100</f>
        <v>5.5241327300150829</v>
      </c>
      <c r="AA129" s="26">
        <f>SUM(AA122:AA128)</f>
        <v>2</v>
      </c>
      <c r="AB129" s="27">
        <f>SUM(AB122:AB128)</f>
        <v>1</v>
      </c>
      <c r="AC129" s="27"/>
      <c r="AD129" s="27"/>
      <c r="AE129" s="27">
        <f>SUM(AE122:AE128)</f>
        <v>643</v>
      </c>
      <c r="AF129" s="28">
        <f>((AE129+AG129)/7)/AC128</f>
        <v>0.4951887490747594</v>
      </c>
      <c r="AG129" s="27">
        <f>SUM(AG122:AG128)</f>
        <v>26</v>
      </c>
      <c r="AH129" s="28">
        <f>(AG129/(AG129+AE129))</f>
        <v>3.8863976083707022E-2</v>
      </c>
      <c r="AI129" s="27"/>
      <c r="AJ129" s="27"/>
      <c r="AK129" s="29">
        <f>AK127/AK126*100-100</f>
        <v>15.031055900621126</v>
      </c>
      <c r="AL129" s="67">
        <f>AL127/AL126*100-100</f>
        <v>1.4932126696832597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2518</v>
      </c>
      <c r="AR129" s="28">
        <f>((AQ129+AS129)/7)/AO128</f>
        <v>0.53167877320419699</v>
      </c>
      <c r="AS129" s="27">
        <f>SUM(AS122:AS128)</f>
        <v>117</v>
      </c>
      <c r="AT129" s="28">
        <f>(AS129/(AS129+AQ129))</f>
        <v>4.4402277039848198E-2</v>
      </c>
      <c r="AU129" s="27"/>
      <c r="AV129" s="27"/>
      <c r="AW129" s="29">
        <f>AW127/AW126*100-100</f>
        <v>14.945652173913032</v>
      </c>
      <c r="AX129" s="67">
        <f>AX127/AX126*100-100</f>
        <v>5.6355409296585606</v>
      </c>
      <c r="AY129" s="26">
        <f>SUM(AY122:AY128)</f>
        <v>3</v>
      </c>
      <c r="AZ129" s="27">
        <f>SUM(AZ122:AZ128)</f>
        <v>0</v>
      </c>
      <c r="BA129" s="27"/>
      <c r="BB129" s="27"/>
      <c r="BC129" s="27">
        <f>SUM(BC122:BC128)</f>
        <v>2463</v>
      </c>
      <c r="BD129" s="28">
        <f>((BC129+BE129)/7)/BA128</f>
        <v>0.52273186502323699</v>
      </c>
      <c r="BE129" s="27">
        <f>SUM(BE122:BE128)</f>
        <v>124</v>
      </c>
      <c r="BF129" s="28">
        <f>(BE129/(BE129+BC129))</f>
        <v>4.793196752995748E-2</v>
      </c>
      <c r="BG129" s="27"/>
      <c r="BH129" s="27"/>
      <c r="BI129" s="29">
        <f>BI127/BI126*100-100</f>
        <v>13.525315264445695</v>
      </c>
      <c r="BJ129" s="67">
        <f>BJ127/BJ126*100-100</f>
        <v>12.236048265460028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2595</v>
      </c>
      <c r="BP129" s="28">
        <f>((BO129+BQ129)/7)/BM128</f>
        <v>0.54378531073446323</v>
      </c>
      <c r="BQ129" s="27">
        <f>SUM(BQ122:BQ128)</f>
        <v>100</v>
      </c>
      <c r="BR129" s="28">
        <f>(BQ129/(BQ129+BO129))</f>
        <v>3.7105751391465679E-2</v>
      </c>
      <c r="BS129" s="27"/>
      <c r="BT129" s="27"/>
      <c r="BU129" s="29">
        <f>BU127/BU126*100-100</f>
        <v>13.464458247066943</v>
      </c>
      <c r="BV129" s="67">
        <f>BV127/BV126*100-100</f>
        <v>10.124434389140276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7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7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7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7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7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7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7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7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7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7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7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7" t="e">
        <f>HJ127/HJ126*100-100</f>
        <v>#DIV/0!</v>
      </c>
      <c r="HK129" s="26">
        <f t="shared" si="789"/>
        <v>13</v>
      </c>
      <c r="HL129" s="27">
        <f t="shared" si="789"/>
        <v>2</v>
      </c>
      <c r="HM129" s="27">
        <f t="shared" si="789"/>
        <v>0</v>
      </c>
      <c r="HN129" s="27">
        <f t="shared" si="789"/>
        <v>0</v>
      </c>
      <c r="HO129" s="27">
        <f t="shared" si="790"/>
        <v>13318</v>
      </c>
      <c r="HP129" s="96">
        <f>+((HO129)/HM128)/7</f>
        <v>0.53189025120811528</v>
      </c>
      <c r="HQ129" s="62">
        <f t="shared" si="792"/>
        <v>570</v>
      </c>
      <c r="HR129" s="52">
        <f t="shared" si="813"/>
        <v>4.279921910196726E-2</v>
      </c>
      <c r="HS129" s="53">
        <f>SUM(HS122:HS128)/7</f>
        <v>67.01428571428572</v>
      </c>
      <c r="HT129" s="54">
        <f>SUM(HT122:HT128)</f>
        <v>12319</v>
      </c>
      <c r="HU129" s="53">
        <f>AVERAGE(HU122:HU128)</f>
        <v>92.470262199974982</v>
      </c>
      <c r="HV129" s="63">
        <f>HV127/HV126*100-100</f>
        <v>14.550364569268154</v>
      </c>
      <c r="HW129" s="67">
        <f>HW127/HW126*100-100</f>
        <v>6.9668893198305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3.6211699164345403E-3</v>
      </c>
      <c r="HL130" s="66">
        <f>HL129/HN119</f>
        <v>6.6225165562913907E-3</v>
      </c>
      <c r="HM130" s="45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373">
        <v>39</v>
      </c>
      <c r="B131" s="68">
        <f>B128+1</f>
        <v>45039</v>
      </c>
      <c r="C131" s="33"/>
      <c r="D131" s="34"/>
      <c r="E131" s="34">
        <f>E128-C131</f>
        <v>632</v>
      </c>
      <c r="F131" s="34">
        <f>F128-D131</f>
        <v>52</v>
      </c>
      <c r="G131" s="34">
        <v>336</v>
      </c>
      <c r="H131" s="35">
        <f t="shared" ref="H131:H137" si="815">((G131+I131)/E131)</f>
        <v>0.56170886075949367</v>
      </c>
      <c r="I131" s="34">
        <v>19</v>
      </c>
      <c r="J131" s="35">
        <f>I131/(G131+I131)</f>
        <v>5.3521126760563378E-2</v>
      </c>
      <c r="K131" s="36"/>
      <c r="L131" s="34"/>
      <c r="M131" s="34"/>
      <c r="N131" s="37"/>
      <c r="O131" s="33"/>
      <c r="P131" s="34"/>
      <c r="Q131" s="34">
        <f>Q128-O131</f>
        <v>629</v>
      </c>
      <c r="R131" s="34">
        <f>R128-P131</f>
        <v>53</v>
      </c>
      <c r="S131" s="34">
        <v>331</v>
      </c>
      <c r="T131" s="35">
        <f t="shared" ref="T131:T137" si="816">((S131+U131)/Q131)</f>
        <v>0.55166931637519878</v>
      </c>
      <c r="U131" s="34">
        <v>16</v>
      </c>
      <c r="V131" s="35">
        <f t="shared" ref="V131:V137" si="817">U131/(S131+U131)</f>
        <v>4.6109510086455328E-2</v>
      </c>
      <c r="W131" s="36"/>
      <c r="X131" s="34"/>
      <c r="Y131" s="34"/>
      <c r="Z131" s="37"/>
      <c r="AA131" s="33"/>
      <c r="AB131" s="34"/>
      <c r="AC131" s="34">
        <f>AC128-AA131</f>
        <v>193</v>
      </c>
      <c r="AD131" s="34">
        <f>AD128-AB131</f>
        <v>15</v>
      </c>
      <c r="AE131" s="34">
        <v>96</v>
      </c>
      <c r="AF131" s="35">
        <f t="shared" ref="AF131:AF137" si="818">((AE131+AG131)/AC131)</f>
        <v>0.51813471502590669</v>
      </c>
      <c r="AG131" s="34">
        <v>4</v>
      </c>
      <c r="AH131" s="35">
        <f t="shared" ref="AH131:AH137" si="819">AG131/(AE131+AG131)</f>
        <v>0.04</v>
      </c>
      <c r="AI131" s="36"/>
      <c r="AJ131" s="34"/>
      <c r="AK131" s="34"/>
      <c r="AL131" s="37"/>
      <c r="AM131" s="33"/>
      <c r="AN131" s="34"/>
      <c r="AO131" s="34">
        <f>AO128-AM131</f>
        <v>708</v>
      </c>
      <c r="AP131" s="34">
        <f>AP128-AN131</f>
        <v>60</v>
      </c>
      <c r="AQ131" s="34">
        <v>345</v>
      </c>
      <c r="AR131" s="35">
        <f t="shared" ref="AR131:AR137" si="820">((AQ131+AS131)/AO131)</f>
        <v>0.51129943502824859</v>
      </c>
      <c r="AS131" s="34">
        <v>17</v>
      </c>
      <c r="AT131" s="35">
        <f t="shared" ref="AT131:AT137" si="821">AS131/(AQ131+AS131)</f>
        <v>4.6961325966850827E-2</v>
      </c>
      <c r="AU131" s="36"/>
      <c r="AV131" s="34"/>
      <c r="AW131" s="34"/>
      <c r="AX131" s="37"/>
      <c r="AY131" s="33">
        <v>1</v>
      </c>
      <c r="AZ131" s="34"/>
      <c r="BA131" s="34">
        <f>BA128-AY131</f>
        <v>706</v>
      </c>
      <c r="BB131" s="34">
        <f>BB128-AZ131</f>
        <v>60</v>
      </c>
      <c r="BC131" s="34">
        <v>346</v>
      </c>
      <c r="BD131" s="35">
        <f t="shared" ref="BD131:BD137" si="822">((BC131+BE131)/BA131)</f>
        <v>0.51699716713881017</v>
      </c>
      <c r="BE131" s="34">
        <v>19</v>
      </c>
      <c r="BF131" s="35">
        <f t="shared" ref="BF131:BF137" si="823">BE131/(BC131+BE131)</f>
        <v>5.2054794520547946E-2</v>
      </c>
      <c r="BG131" s="36"/>
      <c r="BH131" s="34"/>
      <c r="BI131" s="34"/>
      <c r="BJ131" s="37"/>
      <c r="BK131" s="33"/>
      <c r="BL131" s="34"/>
      <c r="BM131" s="34">
        <f>BM128-BK131</f>
        <v>708</v>
      </c>
      <c r="BN131" s="34">
        <f>BN128-BL131</f>
        <v>60</v>
      </c>
      <c r="BO131" s="34">
        <v>367</v>
      </c>
      <c r="BP131" s="35">
        <f t="shared" ref="BP131:BP137" si="824">((BO131+BQ131)/BM131)</f>
        <v>0.52542372881355937</v>
      </c>
      <c r="BQ131" s="34">
        <v>5</v>
      </c>
      <c r="BR131" s="35">
        <f t="shared" ref="BR131:BR137" si="825">BQ131/(BO131+BQ131)</f>
        <v>1.3440860215053764E-2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826">((CA131+CC131)/BY131)</f>
        <v>#DIV/0!</v>
      </c>
      <c r="CC131" s="34"/>
      <c r="CD131" s="35" t="e">
        <f t="shared" ref="CD131:CD137" si="827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828">((CM131+CO131)/CK131)</f>
        <v>#DIV/0!</v>
      </c>
      <c r="CO131" s="34"/>
      <c r="CP131" s="35" t="e">
        <f t="shared" ref="CP131:CP137" si="829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830">((CY131+DA131)/CW131)</f>
        <v>#DIV/0!</v>
      </c>
      <c r="DA131" s="34"/>
      <c r="DB131" s="35" t="e">
        <f t="shared" ref="DB131:DB137" si="831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832">((DK131+DM131)/DI131)</f>
        <v>#DIV/0!</v>
      </c>
      <c r="DM131" s="34"/>
      <c r="DN131" s="35" t="e">
        <f t="shared" ref="DN131:DN137" si="833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834">((DW131+DY131)/DU131)</f>
        <v>#DIV/0!</v>
      </c>
      <c r="DY131" s="34"/>
      <c r="DZ131" s="35" t="e">
        <f t="shared" ref="DZ131:DZ137" si="835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836">((EI131+EK131)/EG131)</f>
        <v>#DIV/0!</v>
      </c>
      <c r="EK131" s="34"/>
      <c r="EL131" s="35" t="e">
        <f t="shared" ref="EL131:EL137" si="837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838">((EU131+EW131)/ES131)</f>
        <v>#DIV/0!</v>
      </c>
      <c r="EW131" s="34"/>
      <c r="EX131" s="35" t="e">
        <f t="shared" ref="EX131:EX137" si="839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840">((FG131+FI131)/FE131)</f>
        <v>#DIV/0!</v>
      </c>
      <c r="FI131" s="34"/>
      <c r="FJ131" s="35" t="e">
        <f t="shared" ref="FJ131:FJ137" si="841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842">((FS131+FU131)/FQ131)</f>
        <v>#DIV/0!</v>
      </c>
      <c r="FU131" s="34"/>
      <c r="FV131" s="35" t="e">
        <f t="shared" ref="FV131:FV137" si="843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844">((GE131+GG131)/GC131)</f>
        <v>#DIV/0!</v>
      </c>
      <c r="GG131" s="34"/>
      <c r="GH131" s="35" t="e">
        <f t="shared" ref="GH131:GH137" si="845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846">((GQ131+GS131)/GO131)</f>
        <v>#DIV/0!</v>
      </c>
      <c r="GS131" s="34"/>
      <c r="GT131" s="35" t="e">
        <f t="shared" ref="GT131:GT137" si="847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848">((HC131+HE131)/HA131)</f>
        <v>#DIV/0!</v>
      </c>
      <c r="HE131" s="34"/>
      <c r="HF131" s="35" t="e">
        <f t="shared" ref="HF131:HF137" si="849">HE131/(HC131+HE131)</f>
        <v>#DIV/0!</v>
      </c>
      <c r="HG131" s="36"/>
      <c r="HH131" s="34"/>
      <c r="HI131" s="34"/>
      <c r="HJ131" s="37"/>
      <c r="HK131" s="33">
        <f t="shared" ref="HK131:HN138" si="850">+C131+O131+AA131+AM131+AY131+BK131+BW131+CI131+CU131+DG131+DS131+EE131+EQ131+FC131+FO131+GA131+GM131+GY131</f>
        <v>1</v>
      </c>
      <c r="HL131" s="34">
        <f t="shared" si="850"/>
        <v>0</v>
      </c>
      <c r="HM131" s="34">
        <f t="shared" si="850"/>
        <v>3576</v>
      </c>
      <c r="HN131" s="34">
        <f t="shared" si="850"/>
        <v>300</v>
      </c>
      <c r="HO131" s="34">
        <f t="shared" ref="HO131:HO138" si="851">+G131+S131+AE131+AQ131+BC131+BO131+CA131+CM131+CY131+DK131+DW131+EI131+EU131+FG131+FS131+GE131+GQ131+HC131+I131+U131+AG131+AS131+BE131+BQ131+CC131+CO131+DA131+DM131+DY131+EK131+EW131+FI131+FU131+GG131+GS131+HE131</f>
        <v>1901</v>
      </c>
      <c r="HP131" s="94">
        <f t="shared" ref="HP131:HP137" si="852">+(HO131)/HM131</f>
        <v>0.53159955257270697</v>
      </c>
      <c r="HQ131" s="48">
        <f t="shared" ref="HQ131:HQ138" si="853">+I131+U131+AG131+AS131+BE131+BQ131+CC131+CO131+DA131+DM131+DY131+EK131+EW131+FI131+FU131+GG131+GS131+HE131</f>
        <v>80</v>
      </c>
      <c r="HR131" s="35">
        <f>+(HQ131/(HO131))</f>
        <v>4.2083114150447132E-2</v>
      </c>
      <c r="HS131" s="49">
        <v>67.7</v>
      </c>
      <c r="HT131" s="50">
        <v>1756</v>
      </c>
      <c r="HU131" s="49">
        <f t="shared" ref="HU131:HU137" si="854">+HT131/HO131*100</f>
        <v>92.372435560231452</v>
      </c>
      <c r="HV131" s="48"/>
      <c r="HW131" s="37"/>
    </row>
    <row r="132" spans="1:231" ht="18.75" x14ac:dyDescent="0.25">
      <c r="A132" s="374"/>
      <c r="B132" s="41">
        <f t="shared" si="814"/>
        <v>45040</v>
      </c>
      <c r="C132" s="10"/>
      <c r="D132" s="11"/>
      <c r="E132" s="69">
        <f t="shared" ref="E132:F136" si="855">E131-C132</f>
        <v>632</v>
      </c>
      <c r="F132" s="69">
        <f t="shared" si="855"/>
        <v>52</v>
      </c>
      <c r="G132" s="11">
        <v>304</v>
      </c>
      <c r="H132" s="12">
        <f t="shared" si="815"/>
        <v>0.509493670886076</v>
      </c>
      <c r="I132" s="11">
        <v>18</v>
      </c>
      <c r="J132" s="12">
        <f t="shared" ref="J132:J137" si="856">I132/(G132+I132)</f>
        <v>5.5900621118012424E-2</v>
      </c>
      <c r="K132" s="13"/>
      <c r="L132" s="11"/>
      <c r="M132" s="11"/>
      <c r="N132" s="14"/>
      <c r="O132" s="10"/>
      <c r="P132" s="11"/>
      <c r="Q132" s="69">
        <f t="shared" ref="Q132:R137" si="857">Q131-O132</f>
        <v>629</v>
      </c>
      <c r="R132" s="69">
        <f t="shared" si="857"/>
        <v>53</v>
      </c>
      <c r="S132" s="11">
        <v>286</v>
      </c>
      <c r="T132" s="12">
        <f t="shared" si="816"/>
        <v>0.4753577106518283</v>
      </c>
      <c r="U132" s="11">
        <v>13</v>
      </c>
      <c r="V132" s="12">
        <f t="shared" si="817"/>
        <v>4.3478260869565216E-2</v>
      </c>
      <c r="W132" s="13"/>
      <c r="X132" s="11"/>
      <c r="Y132" s="11"/>
      <c r="Z132" s="14"/>
      <c r="AA132" s="10"/>
      <c r="AB132" s="11"/>
      <c r="AC132" s="69">
        <f t="shared" ref="AC132:AD137" si="858">AC131-AA132</f>
        <v>193</v>
      </c>
      <c r="AD132" s="69">
        <f t="shared" si="858"/>
        <v>15</v>
      </c>
      <c r="AE132" s="11">
        <v>79</v>
      </c>
      <c r="AF132" s="12">
        <f t="shared" si="818"/>
        <v>0.43523316062176165</v>
      </c>
      <c r="AG132" s="11">
        <v>5</v>
      </c>
      <c r="AH132" s="12">
        <f t="shared" si="819"/>
        <v>5.9523809523809521E-2</v>
      </c>
      <c r="AI132" s="13"/>
      <c r="AJ132" s="11"/>
      <c r="AK132" s="11"/>
      <c r="AL132" s="14"/>
      <c r="AM132" s="10"/>
      <c r="AN132" s="11"/>
      <c r="AO132" s="69">
        <f t="shared" ref="AO132:AP137" si="859">AO131-AM132</f>
        <v>708</v>
      </c>
      <c r="AP132" s="69">
        <f t="shared" si="859"/>
        <v>60</v>
      </c>
      <c r="AQ132" s="11">
        <v>321</v>
      </c>
      <c r="AR132" s="12">
        <f t="shared" si="820"/>
        <v>0.4788135593220339</v>
      </c>
      <c r="AS132" s="11">
        <v>18</v>
      </c>
      <c r="AT132" s="12">
        <f t="shared" si="821"/>
        <v>5.3097345132743362E-2</v>
      </c>
      <c r="AU132" s="13"/>
      <c r="AV132" s="11"/>
      <c r="AW132" s="11"/>
      <c r="AX132" s="14"/>
      <c r="AY132" s="10">
        <v>1</v>
      </c>
      <c r="AZ132" s="11"/>
      <c r="BA132" s="69">
        <f t="shared" ref="BA132:BB137" si="860">BA131-AY132</f>
        <v>705</v>
      </c>
      <c r="BB132" s="69">
        <f t="shared" si="860"/>
        <v>60</v>
      </c>
      <c r="BC132" s="11">
        <v>343</v>
      </c>
      <c r="BD132" s="12">
        <f t="shared" si="822"/>
        <v>0.50921985815602833</v>
      </c>
      <c r="BE132" s="11">
        <v>16</v>
      </c>
      <c r="BF132" s="12">
        <f t="shared" si="823"/>
        <v>4.456824512534819E-2</v>
      </c>
      <c r="BG132" s="13"/>
      <c r="BH132" s="11"/>
      <c r="BI132" s="11"/>
      <c r="BJ132" s="14"/>
      <c r="BK132" s="10"/>
      <c r="BL132" s="11"/>
      <c r="BM132" s="69">
        <f t="shared" ref="BM132:BN137" si="861">BM131-BK132</f>
        <v>708</v>
      </c>
      <c r="BN132" s="69">
        <f t="shared" si="861"/>
        <v>60</v>
      </c>
      <c r="BO132" s="11">
        <v>331</v>
      </c>
      <c r="BP132" s="12">
        <f t="shared" si="824"/>
        <v>0.48587570621468928</v>
      </c>
      <c r="BQ132" s="11">
        <v>13</v>
      </c>
      <c r="BR132" s="12">
        <f t="shared" si="825"/>
        <v>3.7790697674418602E-2</v>
      </c>
      <c r="BS132" s="13"/>
      <c r="BT132" s="11"/>
      <c r="BU132" s="11"/>
      <c r="BV132" s="14"/>
      <c r="BW132" s="10"/>
      <c r="BX132" s="11"/>
      <c r="BY132" s="69">
        <f t="shared" ref="BY132:BZ137" si="862">BY131-BW132</f>
        <v>0</v>
      </c>
      <c r="BZ132" s="69">
        <f t="shared" si="862"/>
        <v>0</v>
      </c>
      <c r="CA132" s="11"/>
      <c r="CB132" s="12" t="e">
        <f t="shared" si="826"/>
        <v>#DIV/0!</v>
      </c>
      <c r="CC132" s="11"/>
      <c r="CD132" s="12" t="e">
        <f t="shared" si="827"/>
        <v>#DIV/0!</v>
      </c>
      <c r="CE132" s="13"/>
      <c r="CF132" s="11"/>
      <c r="CG132" s="11"/>
      <c r="CH132" s="14"/>
      <c r="CI132" s="10"/>
      <c r="CJ132" s="11"/>
      <c r="CK132" s="69">
        <f t="shared" ref="CK132:CL137" si="863">CK131-CI132</f>
        <v>0</v>
      </c>
      <c r="CL132" s="69">
        <f t="shared" si="863"/>
        <v>0</v>
      </c>
      <c r="CM132" s="11"/>
      <c r="CN132" s="12" t="e">
        <f t="shared" si="828"/>
        <v>#DIV/0!</v>
      </c>
      <c r="CO132" s="11"/>
      <c r="CP132" s="12" t="e">
        <f t="shared" si="829"/>
        <v>#DIV/0!</v>
      </c>
      <c r="CQ132" s="13"/>
      <c r="CR132" s="11"/>
      <c r="CS132" s="11"/>
      <c r="CT132" s="14"/>
      <c r="CU132" s="10"/>
      <c r="CV132" s="11"/>
      <c r="CW132" s="69">
        <f t="shared" ref="CW132:CX137" si="864">CW131-CU132</f>
        <v>0</v>
      </c>
      <c r="CX132" s="69">
        <f t="shared" si="864"/>
        <v>0</v>
      </c>
      <c r="CY132" s="11"/>
      <c r="CZ132" s="12" t="e">
        <f t="shared" si="830"/>
        <v>#DIV/0!</v>
      </c>
      <c r="DA132" s="11"/>
      <c r="DB132" s="12" t="e">
        <f t="shared" si="831"/>
        <v>#DIV/0!</v>
      </c>
      <c r="DC132" s="13"/>
      <c r="DD132" s="11"/>
      <c r="DE132" s="11"/>
      <c r="DF132" s="14"/>
      <c r="DG132" s="10"/>
      <c r="DH132" s="11"/>
      <c r="DI132" s="69">
        <f t="shared" ref="DI132:DJ137" si="865">DI131-DG132</f>
        <v>0</v>
      </c>
      <c r="DJ132" s="69">
        <f t="shared" si="865"/>
        <v>0</v>
      </c>
      <c r="DK132" s="11"/>
      <c r="DL132" s="12" t="e">
        <f t="shared" si="832"/>
        <v>#DIV/0!</v>
      </c>
      <c r="DM132" s="11"/>
      <c r="DN132" s="12" t="e">
        <f t="shared" si="833"/>
        <v>#DIV/0!</v>
      </c>
      <c r="DO132" s="13"/>
      <c r="DP132" s="11"/>
      <c r="DQ132" s="11"/>
      <c r="DR132" s="14"/>
      <c r="DS132" s="10"/>
      <c r="DT132" s="11"/>
      <c r="DU132" s="69">
        <f t="shared" ref="DU132:DV137" si="866">DU131-DS132</f>
        <v>0</v>
      </c>
      <c r="DV132" s="69">
        <f t="shared" si="866"/>
        <v>0</v>
      </c>
      <c r="DW132" s="11"/>
      <c r="DX132" s="12" t="e">
        <f t="shared" si="834"/>
        <v>#DIV/0!</v>
      </c>
      <c r="DY132" s="11"/>
      <c r="DZ132" s="12" t="e">
        <f t="shared" si="835"/>
        <v>#DIV/0!</v>
      </c>
      <c r="EA132" s="13"/>
      <c r="EB132" s="11"/>
      <c r="EC132" s="11"/>
      <c r="ED132" s="14"/>
      <c r="EE132" s="10"/>
      <c r="EF132" s="11"/>
      <c r="EG132" s="69">
        <f t="shared" ref="EG132:EH137" si="867">EG131-EE132</f>
        <v>0</v>
      </c>
      <c r="EH132" s="69">
        <f t="shared" si="867"/>
        <v>0</v>
      </c>
      <c r="EI132" s="11"/>
      <c r="EJ132" s="12" t="e">
        <f t="shared" si="836"/>
        <v>#DIV/0!</v>
      </c>
      <c r="EK132" s="11"/>
      <c r="EL132" s="12" t="e">
        <f t="shared" si="837"/>
        <v>#DIV/0!</v>
      </c>
      <c r="EM132" s="13"/>
      <c r="EN132" s="11"/>
      <c r="EO132" s="11"/>
      <c r="EP132" s="14"/>
      <c r="EQ132" s="10"/>
      <c r="ER132" s="11"/>
      <c r="ES132" s="69">
        <f t="shared" ref="ES132:ET137" si="868">ES131-EQ132</f>
        <v>0</v>
      </c>
      <c r="ET132" s="69">
        <f t="shared" si="868"/>
        <v>0</v>
      </c>
      <c r="EU132" s="11"/>
      <c r="EV132" s="12" t="e">
        <f t="shared" si="838"/>
        <v>#DIV/0!</v>
      </c>
      <c r="EW132" s="11"/>
      <c r="EX132" s="12" t="e">
        <f t="shared" si="839"/>
        <v>#DIV/0!</v>
      </c>
      <c r="EY132" s="13"/>
      <c r="EZ132" s="11"/>
      <c r="FA132" s="11"/>
      <c r="FB132" s="14"/>
      <c r="FC132" s="10"/>
      <c r="FD132" s="11"/>
      <c r="FE132" s="69">
        <f t="shared" ref="FE132:FF137" si="869">FE131-FC132</f>
        <v>0</v>
      </c>
      <c r="FF132" s="69">
        <f t="shared" si="869"/>
        <v>0</v>
      </c>
      <c r="FG132" s="11"/>
      <c r="FH132" s="12" t="e">
        <f t="shared" si="840"/>
        <v>#DIV/0!</v>
      </c>
      <c r="FI132" s="11"/>
      <c r="FJ132" s="12" t="e">
        <f t="shared" si="841"/>
        <v>#DIV/0!</v>
      </c>
      <c r="FK132" s="13"/>
      <c r="FL132" s="11"/>
      <c r="FM132" s="11"/>
      <c r="FN132" s="14"/>
      <c r="FO132" s="10"/>
      <c r="FP132" s="11"/>
      <c r="FQ132" s="69">
        <f t="shared" ref="FQ132:FR137" si="870">FQ131-FO132</f>
        <v>0</v>
      </c>
      <c r="FR132" s="69">
        <f t="shared" si="870"/>
        <v>0</v>
      </c>
      <c r="FS132" s="11"/>
      <c r="FT132" s="12" t="e">
        <f t="shared" si="842"/>
        <v>#DIV/0!</v>
      </c>
      <c r="FU132" s="11"/>
      <c r="FV132" s="12" t="e">
        <f t="shared" si="843"/>
        <v>#DIV/0!</v>
      </c>
      <c r="FW132" s="13"/>
      <c r="FX132" s="11"/>
      <c r="FY132" s="11"/>
      <c r="FZ132" s="14"/>
      <c r="GA132" s="10"/>
      <c r="GB132" s="11"/>
      <c r="GC132" s="69">
        <f t="shared" ref="GC132:GD137" si="871">GC131-GA132</f>
        <v>0</v>
      </c>
      <c r="GD132" s="69">
        <f t="shared" si="871"/>
        <v>0</v>
      </c>
      <c r="GE132" s="11"/>
      <c r="GF132" s="12" t="e">
        <f t="shared" si="844"/>
        <v>#DIV/0!</v>
      </c>
      <c r="GG132" s="11"/>
      <c r="GH132" s="12" t="e">
        <f t="shared" si="845"/>
        <v>#DIV/0!</v>
      </c>
      <c r="GI132" s="13"/>
      <c r="GJ132" s="11"/>
      <c r="GK132" s="11"/>
      <c r="GL132" s="14"/>
      <c r="GM132" s="10"/>
      <c r="GN132" s="11"/>
      <c r="GO132" s="69">
        <f t="shared" ref="GO132:GP137" si="872">GO131-GM132</f>
        <v>0</v>
      </c>
      <c r="GP132" s="69">
        <f t="shared" si="872"/>
        <v>0</v>
      </c>
      <c r="GQ132" s="11"/>
      <c r="GR132" s="12" t="e">
        <f t="shared" si="846"/>
        <v>#DIV/0!</v>
      </c>
      <c r="GS132" s="11"/>
      <c r="GT132" s="12" t="e">
        <f t="shared" si="847"/>
        <v>#DIV/0!</v>
      </c>
      <c r="GU132" s="13"/>
      <c r="GV132" s="11"/>
      <c r="GW132" s="11"/>
      <c r="GX132" s="14"/>
      <c r="GY132" s="10"/>
      <c r="GZ132" s="11"/>
      <c r="HA132" s="69">
        <f t="shared" ref="HA132:HB137" si="873">HA131-GY132</f>
        <v>0</v>
      </c>
      <c r="HB132" s="69">
        <f t="shared" si="873"/>
        <v>0</v>
      </c>
      <c r="HC132" s="11"/>
      <c r="HD132" s="12" t="e">
        <f t="shared" si="848"/>
        <v>#DIV/0!</v>
      </c>
      <c r="HE132" s="11"/>
      <c r="HF132" s="12" t="e">
        <f t="shared" si="849"/>
        <v>#DIV/0!</v>
      </c>
      <c r="HG132" s="13"/>
      <c r="HH132" s="11"/>
      <c r="HI132" s="11"/>
      <c r="HJ132" s="14"/>
      <c r="HK132" s="10">
        <f t="shared" si="850"/>
        <v>1</v>
      </c>
      <c r="HL132" s="11">
        <f t="shared" si="850"/>
        <v>0</v>
      </c>
      <c r="HM132" s="11">
        <f t="shared" si="850"/>
        <v>3575</v>
      </c>
      <c r="HN132" s="11">
        <f t="shared" si="850"/>
        <v>300</v>
      </c>
      <c r="HO132" s="11">
        <f t="shared" si="851"/>
        <v>1747</v>
      </c>
      <c r="HP132" s="95">
        <f t="shared" si="852"/>
        <v>0.48867132867132868</v>
      </c>
      <c r="HQ132" s="15">
        <f t="shared" si="853"/>
        <v>83</v>
      </c>
      <c r="HR132" s="12">
        <f t="shared" ref="HR132:HR138" si="874">+(HQ132/(HO132))</f>
        <v>4.751001717229536E-2</v>
      </c>
      <c r="HS132" s="16">
        <v>68.599999999999994</v>
      </c>
      <c r="HT132" s="17">
        <v>1610</v>
      </c>
      <c r="HU132" s="16">
        <f t="shared" si="854"/>
        <v>92.157985117344026</v>
      </c>
      <c r="HV132" s="15"/>
      <c r="HW132" s="14"/>
    </row>
    <row r="133" spans="1:231" ht="18.75" x14ac:dyDescent="0.25">
      <c r="A133" s="374"/>
      <c r="B133" s="41">
        <f t="shared" si="814"/>
        <v>45041</v>
      </c>
      <c r="C133" s="10"/>
      <c r="D133" s="11"/>
      <c r="E133" s="69">
        <f t="shared" si="855"/>
        <v>632</v>
      </c>
      <c r="F133" s="69">
        <f t="shared" si="855"/>
        <v>52</v>
      </c>
      <c r="G133" s="11">
        <v>335</v>
      </c>
      <c r="H133" s="12">
        <f t="shared" si="815"/>
        <v>0.55696202531645567</v>
      </c>
      <c r="I133" s="11">
        <v>17</v>
      </c>
      <c r="J133" s="12">
        <f t="shared" si="856"/>
        <v>4.8295454545454544E-2</v>
      </c>
      <c r="K133" s="13"/>
      <c r="L133" s="11"/>
      <c r="M133" s="11"/>
      <c r="N133" s="14"/>
      <c r="O133" s="10"/>
      <c r="P133" s="11"/>
      <c r="Q133" s="69">
        <f t="shared" si="857"/>
        <v>629</v>
      </c>
      <c r="R133" s="69">
        <f t="shared" si="857"/>
        <v>53</v>
      </c>
      <c r="S133" s="11">
        <v>342</v>
      </c>
      <c r="T133" s="12">
        <f t="shared" si="816"/>
        <v>0.56915739268680443</v>
      </c>
      <c r="U133" s="11">
        <v>16</v>
      </c>
      <c r="V133" s="12">
        <f t="shared" si="817"/>
        <v>4.4692737430167599E-2</v>
      </c>
      <c r="W133" s="13"/>
      <c r="X133" s="11"/>
      <c r="Y133" s="11"/>
      <c r="Z133" s="14"/>
      <c r="AA133" s="10"/>
      <c r="AB133" s="11"/>
      <c r="AC133" s="69">
        <f t="shared" si="858"/>
        <v>193</v>
      </c>
      <c r="AD133" s="69">
        <f t="shared" si="858"/>
        <v>15</v>
      </c>
      <c r="AE133" s="11">
        <v>92</v>
      </c>
      <c r="AF133" s="12">
        <f t="shared" si="818"/>
        <v>0.49740932642487046</v>
      </c>
      <c r="AG133" s="11">
        <v>4</v>
      </c>
      <c r="AH133" s="12">
        <f t="shared" si="819"/>
        <v>4.1666666666666664E-2</v>
      </c>
      <c r="AI133" s="13"/>
      <c r="AJ133" s="11"/>
      <c r="AK133" s="11"/>
      <c r="AL133" s="14"/>
      <c r="AM133" s="10">
        <v>1</v>
      </c>
      <c r="AN133" s="11"/>
      <c r="AO133" s="69">
        <f t="shared" si="859"/>
        <v>707</v>
      </c>
      <c r="AP133" s="69">
        <f t="shared" si="859"/>
        <v>60</v>
      </c>
      <c r="AQ133" s="11">
        <v>362</v>
      </c>
      <c r="AR133" s="12">
        <f t="shared" si="820"/>
        <v>0.54314002828854313</v>
      </c>
      <c r="AS133" s="11">
        <v>22</v>
      </c>
      <c r="AT133" s="12">
        <f t="shared" si="821"/>
        <v>5.7291666666666664E-2</v>
      </c>
      <c r="AU133" s="13"/>
      <c r="AV133" s="11"/>
      <c r="AW133" s="11"/>
      <c r="AX133" s="14"/>
      <c r="AY133" s="10"/>
      <c r="AZ133" s="11"/>
      <c r="BA133" s="69">
        <f t="shared" si="860"/>
        <v>705</v>
      </c>
      <c r="BB133" s="69">
        <f t="shared" si="860"/>
        <v>60</v>
      </c>
      <c r="BC133" s="11">
        <v>369</v>
      </c>
      <c r="BD133" s="12">
        <f t="shared" si="822"/>
        <v>0.5446808510638298</v>
      </c>
      <c r="BE133" s="11">
        <v>15</v>
      </c>
      <c r="BF133" s="12">
        <f t="shared" si="823"/>
        <v>3.90625E-2</v>
      </c>
      <c r="BG133" s="13"/>
      <c r="BH133" s="11"/>
      <c r="BI133" s="11"/>
      <c r="BJ133" s="14"/>
      <c r="BK133" s="10"/>
      <c r="BL133" s="11"/>
      <c r="BM133" s="69">
        <f t="shared" si="861"/>
        <v>708</v>
      </c>
      <c r="BN133" s="69">
        <f t="shared" si="861"/>
        <v>60</v>
      </c>
      <c r="BO133" s="11">
        <v>354</v>
      </c>
      <c r="BP133" s="12">
        <f t="shared" si="824"/>
        <v>0.51836158192090398</v>
      </c>
      <c r="BQ133" s="11">
        <v>13</v>
      </c>
      <c r="BR133" s="12">
        <f t="shared" si="825"/>
        <v>3.5422343324250684E-2</v>
      </c>
      <c r="BS133" s="13"/>
      <c r="BT133" s="11"/>
      <c r="BU133" s="11"/>
      <c r="BV133" s="14"/>
      <c r="BW133" s="10"/>
      <c r="BX133" s="11"/>
      <c r="BY133" s="69">
        <f t="shared" si="862"/>
        <v>0</v>
      </c>
      <c r="BZ133" s="69">
        <f t="shared" si="862"/>
        <v>0</v>
      </c>
      <c r="CA133" s="11"/>
      <c r="CB133" s="12" t="e">
        <f t="shared" si="826"/>
        <v>#DIV/0!</v>
      </c>
      <c r="CC133" s="11"/>
      <c r="CD133" s="12" t="e">
        <f t="shared" si="827"/>
        <v>#DIV/0!</v>
      </c>
      <c r="CE133" s="13"/>
      <c r="CF133" s="11"/>
      <c r="CG133" s="11"/>
      <c r="CH133" s="14"/>
      <c r="CI133" s="10"/>
      <c r="CJ133" s="11"/>
      <c r="CK133" s="69">
        <f t="shared" si="863"/>
        <v>0</v>
      </c>
      <c r="CL133" s="69">
        <f t="shared" si="863"/>
        <v>0</v>
      </c>
      <c r="CM133" s="11"/>
      <c r="CN133" s="12" t="e">
        <f t="shared" si="828"/>
        <v>#DIV/0!</v>
      </c>
      <c r="CO133" s="11"/>
      <c r="CP133" s="12" t="e">
        <f t="shared" si="829"/>
        <v>#DIV/0!</v>
      </c>
      <c r="CQ133" s="13"/>
      <c r="CR133" s="11"/>
      <c r="CS133" s="11"/>
      <c r="CT133" s="14"/>
      <c r="CU133" s="10"/>
      <c r="CV133" s="11"/>
      <c r="CW133" s="69">
        <f t="shared" si="864"/>
        <v>0</v>
      </c>
      <c r="CX133" s="69">
        <f t="shared" si="864"/>
        <v>0</v>
      </c>
      <c r="CY133" s="11"/>
      <c r="CZ133" s="12" t="e">
        <f t="shared" si="830"/>
        <v>#DIV/0!</v>
      </c>
      <c r="DA133" s="11"/>
      <c r="DB133" s="12" t="e">
        <f t="shared" si="831"/>
        <v>#DIV/0!</v>
      </c>
      <c r="DC133" s="13"/>
      <c r="DD133" s="11"/>
      <c r="DE133" s="11"/>
      <c r="DF133" s="14"/>
      <c r="DG133" s="10"/>
      <c r="DH133" s="11"/>
      <c r="DI133" s="69">
        <f t="shared" si="865"/>
        <v>0</v>
      </c>
      <c r="DJ133" s="69">
        <f t="shared" si="865"/>
        <v>0</v>
      </c>
      <c r="DK133" s="11"/>
      <c r="DL133" s="12" t="e">
        <f t="shared" si="832"/>
        <v>#DIV/0!</v>
      </c>
      <c r="DM133" s="11"/>
      <c r="DN133" s="12" t="e">
        <f t="shared" si="833"/>
        <v>#DIV/0!</v>
      </c>
      <c r="DO133" s="13"/>
      <c r="DP133" s="11"/>
      <c r="DQ133" s="11"/>
      <c r="DR133" s="14"/>
      <c r="DS133" s="10"/>
      <c r="DT133" s="11"/>
      <c r="DU133" s="69">
        <f t="shared" si="866"/>
        <v>0</v>
      </c>
      <c r="DV133" s="69">
        <f t="shared" si="866"/>
        <v>0</v>
      </c>
      <c r="DW133" s="11"/>
      <c r="DX133" s="12" t="e">
        <f t="shared" si="834"/>
        <v>#DIV/0!</v>
      </c>
      <c r="DY133" s="11"/>
      <c r="DZ133" s="12" t="e">
        <f t="shared" si="835"/>
        <v>#DIV/0!</v>
      </c>
      <c r="EA133" s="13"/>
      <c r="EB133" s="11"/>
      <c r="EC133" s="11"/>
      <c r="ED133" s="14"/>
      <c r="EE133" s="10"/>
      <c r="EF133" s="11"/>
      <c r="EG133" s="69">
        <f t="shared" si="867"/>
        <v>0</v>
      </c>
      <c r="EH133" s="69">
        <f t="shared" si="867"/>
        <v>0</v>
      </c>
      <c r="EI133" s="11"/>
      <c r="EJ133" s="12" t="e">
        <f t="shared" si="836"/>
        <v>#DIV/0!</v>
      </c>
      <c r="EK133" s="11"/>
      <c r="EL133" s="12" t="e">
        <f t="shared" si="837"/>
        <v>#DIV/0!</v>
      </c>
      <c r="EM133" s="13"/>
      <c r="EN133" s="11"/>
      <c r="EO133" s="11"/>
      <c r="EP133" s="14"/>
      <c r="EQ133" s="10"/>
      <c r="ER133" s="11"/>
      <c r="ES133" s="69">
        <f t="shared" si="868"/>
        <v>0</v>
      </c>
      <c r="ET133" s="69">
        <f t="shared" si="868"/>
        <v>0</v>
      </c>
      <c r="EU133" s="11"/>
      <c r="EV133" s="12" t="e">
        <f t="shared" si="838"/>
        <v>#DIV/0!</v>
      </c>
      <c r="EW133" s="11"/>
      <c r="EX133" s="12" t="e">
        <f t="shared" si="839"/>
        <v>#DIV/0!</v>
      </c>
      <c r="EY133" s="13"/>
      <c r="EZ133" s="11"/>
      <c r="FA133" s="11"/>
      <c r="FB133" s="14"/>
      <c r="FC133" s="10"/>
      <c r="FD133" s="11"/>
      <c r="FE133" s="69">
        <f t="shared" si="869"/>
        <v>0</v>
      </c>
      <c r="FF133" s="69">
        <f t="shared" si="869"/>
        <v>0</v>
      </c>
      <c r="FG133" s="11"/>
      <c r="FH133" s="12" t="e">
        <f t="shared" si="840"/>
        <v>#DIV/0!</v>
      </c>
      <c r="FI133" s="11"/>
      <c r="FJ133" s="12" t="e">
        <f t="shared" si="841"/>
        <v>#DIV/0!</v>
      </c>
      <c r="FK133" s="13"/>
      <c r="FL133" s="11"/>
      <c r="FM133" s="11"/>
      <c r="FN133" s="14"/>
      <c r="FO133" s="10"/>
      <c r="FP133" s="11"/>
      <c r="FQ133" s="69">
        <f t="shared" si="870"/>
        <v>0</v>
      </c>
      <c r="FR133" s="69">
        <f t="shared" si="870"/>
        <v>0</v>
      </c>
      <c r="FS133" s="11"/>
      <c r="FT133" s="12" t="e">
        <f t="shared" si="842"/>
        <v>#DIV/0!</v>
      </c>
      <c r="FU133" s="11"/>
      <c r="FV133" s="12" t="e">
        <f t="shared" si="843"/>
        <v>#DIV/0!</v>
      </c>
      <c r="FW133" s="13"/>
      <c r="FX133" s="11"/>
      <c r="FY133" s="11"/>
      <c r="FZ133" s="14"/>
      <c r="GA133" s="10"/>
      <c r="GB133" s="11"/>
      <c r="GC133" s="69">
        <f t="shared" si="871"/>
        <v>0</v>
      </c>
      <c r="GD133" s="69">
        <f t="shared" si="871"/>
        <v>0</v>
      </c>
      <c r="GE133" s="11"/>
      <c r="GF133" s="12" t="e">
        <f t="shared" si="844"/>
        <v>#DIV/0!</v>
      </c>
      <c r="GG133" s="11"/>
      <c r="GH133" s="12" t="e">
        <f t="shared" si="845"/>
        <v>#DIV/0!</v>
      </c>
      <c r="GI133" s="13"/>
      <c r="GJ133" s="11"/>
      <c r="GK133" s="11"/>
      <c r="GL133" s="14"/>
      <c r="GM133" s="10"/>
      <c r="GN133" s="11"/>
      <c r="GO133" s="69">
        <f t="shared" si="872"/>
        <v>0</v>
      </c>
      <c r="GP133" s="69">
        <f t="shared" si="872"/>
        <v>0</v>
      </c>
      <c r="GQ133" s="11"/>
      <c r="GR133" s="12" t="e">
        <f t="shared" si="846"/>
        <v>#DIV/0!</v>
      </c>
      <c r="GS133" s="11"/>
      <c r="GT133" s="12" t="e">
        <f t="shared" si="847"/>
        <v>#DIV/0!</v>
      </c>
      <c r="GU133" s="13"/>
      <c r="GV133" s="11"/>
      <c r="GW133" s="11"/>
      <c r="GX133" s="14"/>
      <c r="GY133" s="10"/>
      <c r="GZ133" s="11"/>
      <c r="HA133" s="69">
        <f t="shared" si="873"/>
        <v>0</v>
      </c>
      <c r="HB133" s="69">
        <f t="shared" si="873"/>
        <v>0</v>
      </c>
      <c r="HC133" s="11"/>
      <c r="HD133" s="12" t="e">
        <f t="shared" si="848"/>
        <v>#DIV/0!</v>
      </c>
      <c r="HE133" s="11"/>
      <c r="HF133" s="12" t="e">
        <f t="shared" si="849"/>
        <v>#DIV/0!</v>
      </c>
      <c r="HG133" s="13"/>
      <c r="HH133" s="11"/>
      <c r="HI133" s="11"/>
      <c r="HJ133" s="14"/>
      <c r="HK133" s="10">
        <f t="shared" si="850"/>
        <v>1</v>
      </c>
      <c r="HL133" s="11">
        <f t="shared" si="850"/>
        <v>0</v>
      </c>
      <c r="HM133" s="11">
        <f t="shared" si="850"/>
        <v>3574</v>
      </c>
      <c r="HN133" s="11">
        <f t="shared" si="850"/>
        <v>300</v>
      </c>
      <c r="HO133" s="11">
        <f t="shared" si="851"/>
        <v>1941</v>
      </c>
      <c r="HP133" s="95">
        <f t="shared" si="852"/>
        <v>0.54308897593732508</v>
      </c>
      <c r="HQ133" s="15">
        <f t="shared" si="853"/>
        <v>87</v>
      </c>
      <c r="HR133" s="12">
        <f t="shared" si="874"/>
        <v>4.482225656877898E-2</v>
      </c>
      <c r="HS133" s="16">
        <v>68.3</v>
      </c>
      <c r="HT133" s="17">
        <v>1780</v>
      </c>
      <c r="HU133" s="16">
        <f t="shared" si="854"/>
        <v>91.705306543019063</v>
      </c>
      <c r="HV133" s="15"/>
      <c r="HW133" s="14"/>
    </row>
    <row r="134" spans="1:231" ht="18.75" x14ac:dyDescent="0.25">
      <c r="A134" s="374"/>
      <c r="B134" s="41">
        <f t="shared" si="814"/>
        <v>45042</v>
      </c>
      <c r="C134" s="10">
        <v>1</v>
      </c>
      <c r="D134" s="11"/>
      <c r="E134" s="69">
        <f t="shared" si="855"/>
        <v>631</v>
      </c>
      <c r="F134" s="69">
        <f t="shared" si="855"/>
        <v>52</v>
      </c>
      <c r="G134" s="11">
        <v>316</v>
      </c>
      <c r="H134" s="12">
        <f t="shared" si="815"/>
        <v>0.53090332805071316</v>
      </c>
      <c r="I134" s="11">
        <v>19</v>
      </c>
      <c r="J134" s="12">
        <f t="shared" si="856"/>
        <v>5.6716417910447764E-2</v>
      </c>
      <c r="K134" s="11"/>
      <c r="L134" s="11"/>
      <c r="M134" s="18"/>
      <c r="N134" s="20"/>
      <c r="O134" s="10"/>
      <c r="P134" s="11"/>
      <c r="Q134" s="69">
        <f t="shared" si="857"/>
        <v>629</v>
      </c>
      <c r="R134" s="69">
        <f t="shared" si="857"/>
        <v>53</v>
      </c>
      <c r="S134" s="11">
        <v>312</v>
      </c>
      <c r="T134" s="12">
        <f t="shared" si="816"/>
        <v>0.52623211446740858</v>
      </c>
      <c r="U134" s="11">
        <v>19</v>
      </c>
      <c r="V134" s="12">
        <f t="shared" si="817"/>
        <v>5.7401812688821753E-2</v>
      </c>
      <c r="W134" s="11"/>
      <c r="X134" s="11"/>
      <c r="Y134" s="18"/>
      <c r="Z134" s="20"/>
      <c r="AA134" s="10"/>
      <c r="AB134" s="11"/>
      <c r="AC134" s="69">
        <f t="shared" si="858"/>
        <v>193</v>
      </c>
      <c r="AD134" s="69">
        <f t="shared" si="858"/>
        <v>15</v>
      </c>
      <c r="AE134" s="11">
        <v>83</v>
      </c>
      <c r="AF134" s="12">
        <f t="shared" si="818"/>
        <v>0.45077720207253885</v>
      </c>
      <c r="AG134" s="11">
        <v>4</v>
      </c>
      <c r="AH134" s="12">
        <f t="shared" si="819"/>
        <v>4.5977011494252873E-2</v>
      </c>
      <c r="AI134" s="11"/>
      <c r="AJ134" s="11"/>
      <c r="AK134" s="18"/>
      <c r="AL134" s="20"/>
      <c r="AM134" s="10"/>
      <c r="AN134" s="11"/>
      <c r="AO134" s="69">
        <f t="shared" si="859"/>
        <v>707</v>
      </c>
      <c r="AP134" s="69">
        <f t="shared" si="859"/>
        <v>60</v>
      </c>
      <c r="AQ134" s="11">
        <v>342</v>
      </c>
      <c r="AR134" s="12">
        <f t="shared" si="820"/>
        <v>0.50212164073550214</v>
      </c>
      <c r="AS134" s="11">
        <v>13</v>
      </c>
      <c r="AT134" s="12">
        <f t="shared" si="821"/>
        <v>3.6619718309859155E-2</v>
      </c>
      <c r="AU134" s="11"/>
      <c r="AV134" s="11"/>
      <c r="AW134" s="18"/>
      <c r="AX134" s="20"/>
      <c r="AY134" s="10"/>
      <c r="AZ134" s="11"/>
      <c r="BA134" s="69">
        <f t="shared" si="860"/>
        <v>705</v>
      </c>
      <c r="BB134" s="69">
        <f t="shared" si="860"/>
        <v>60</v>
      </c>
      <c r="BC134" s="11">
        <v>342</v>
      </c>
      <c r="BD134" s="12">
        <f t="shared" si="822"/>
        <v>0.50638297872340421</v>
      </c>
      <c r="BE134" s="11">
        <v>15</v>
      </c>
      <c r="BF134" s="12">
        <f t="shared" si="823"/>
        <v>4.2016806722689079E-2</v>
      </c>
      <c r="BG134" s="11"/>
      <c r="BH134" s="11"/>
      <c r="BI134" s="18"/>
      <c r="BJ134" s="20"/>
      <c r="BK134" s="10">
        <v>1</v>
      </c>
      <c r="BL134" s="11"/>
      <c r="BM134" s="69">
        <f t="shared" si="861"/>
        <v>707</v>
      </c>
      <c r="BN134" s="69">
        <f t="shared" si="861"/>
        <v>60</v>
      </c>
      <c r="BO134" s="11">
        <v>347</v>
      </c>
      <c r="BP134" s="12">
        <f t="shared" si="824"/>
        <v>0.50777934936350777</v>
      </c>
      <c r="BQ134" s="11">
        <v>12</v>
      </c>
      <c r="BR134" s="12">
        <f t="shared" si="825"/>
        <v>3.3426183844011144E-2</v>
      </c>
      <c r="BS134" s="11"/>
      <c r="BT134" s="11"/>
      <c r="BU134" s="18"/>
      <c r="BV134" s="20"/>
      <c r="BW134" s="10"/>
      <c r="BX134" s="11"/>
      <c r="BY134" s="69">
        <f t="shared" si="862"/>
        <v>0</v>
      </c>
      <c r="BZ134" s="69">
        <f t="shared" si="862"/>
        <v>0</v>
      </c>
      <c r="CA134" s="11"/>
      <c r="CB134" s="12" t="e">
        <f t="shared" si="826"/>
        <v>#DIV/0!</v>
      </c>
      <c r="CC134" s="11"/>
      <c r="CD134" s="12" t="e">
        <f t="shared" si="827"/>
        <v>#DIV/0!</v>
      </c>
      <c r="CE134" s="11"/>
      <c r="CF134" s="11"/>
      <c r="CG134" s="18"/>
      <c r="CH134" s="20"/>
      <c r="CI134" s="10"/>
      <c r="CJ134" s="11"/>
      <c r="CK134" s="69">
        <f t="shared" si="863"/>
        <v>0</v>
      </c>
      <c r="CL134" s="69">
        <f t="shared" si="863"/>
        <v>0</v>
      </c>
      <c r="CM134" s="11"/>
      <c r="CN134" s="12" t="e">
        <f t="shared" si="828"/>
        <v>#DIV/0!</v>
      </c>
      <c r="CO134" s="11"/>
      <c r="CP134" s="12" t="e">
        <f t="shared" si="829"/>
        <v>#DIV/0!</v>
      </c>
      <c r="CQ134" s="11"/>
      <c r="CR134" s="11"/>
      <c r="CS134" s="18"/>
      <c r="CT134" s="20"/>
      <c r="CU134" s="10"/>
      <c r="CV134" s="11"/>
      <c r="CW134" s="69">
        <f t="shared" si="864"/>
        <v>0</v>
      </c>
      <c r="CX134" s="69">
        <f t="shared" si="864"/>
        <v>0</v>
      </c>
      <c r="CY134" s="11"/>
      <c r="CZ134" s="12" t="e">
        <f t="shared" si="830"/>
        <v>#DIV/0!</v>
      </c>
      <c r="DA134" s="11"/>
      <c r="DB134" s="12" t="e">
        <f t="shared" si="831"/>
        <v>#DIV/0!</v>
      </c>
      <c r="DC134" s="11"/>
      <c r="DD134" s="11"/>
      <c r="DE134" s="18"/>
      <c r="DF134" s="20"/>
      <c r="DG134" s="10"/>
      <c r="DH134" s="11"/>
      <c r="DI134" s="69">
        <f t="shared" si="865"/>
        <v>0</v>
      </c>
      <c r="DJ134" s="69">
        <f t="shared" si="865"/>
        <v>0</v>
      </c>
      <c r="DK134" s="11"/>
      <c r="DL134" s="12" t="e">
        <f t="shared" si="832"/>
        <v>#DIV/0!</v>
      </c>
      <c r="DM134" s="11"/>
      <c r="DN134" s="12" t="e">
        <f t="shared" si="833"/>
        <v>#DIV/0!</v>
      </c>
      <c r="DO134" s="11"/>
      <c r="DP134" s="11"/>
      <c r="DQ134" s="18"/>
      <c r="DR134" s="20"/>
      <c r="DS134" s="10"/>
      <c r="DT134" s="11"/>
      <c r="DU134" s="69">
        <f t="shared" si="866"/>
        <v>0</v>
      </c>
      <c r="DV134" s="69">
        <f t="shared" si="866"/>
        <v>0</v>
      </c>
      <c r="DW134" s="11"/>
      <c r="DX134" s="12" t="e">
        <f t="shared" si="834"/>
        <v>#DIV/0!</v>
      </c>
      <c r="DY134" s="11"/>
      <c r="DZ134" s="12" t="e">
        <f t="shared" si="835"/>
        <v>#DIV/0!</v>
      </c>
      <c r="EA134" s="11"/>
      <c r="EB134" s="11"/>
      <c r="EC134" s="18"/>
      <c r="ED134" s="20"/>
      <c r="EE134" s="10"/>
      <c r="EF134" s="11"/>
      <c r="EG134" s="69">
        <f t="shared" si="867"/>
        <v>0</v>
      </c>
      <c r="EH134" s="69">
        <f t="shared" si="867"/>
        <v>0</v>
      </c>
      <c r="EI134" s="11"/>
      <c r="EJ134" s="12" t="e">
        <f t="shared" si="836"/>
        <v>#DIV/0!</v>
      </c>
      <c r="EK134" s="11"/>
      <c r="EL134" s="12" t="e">
        <f t="shared" si="837"/>
        <v>#DIV/0!</v>
      </c>
      <c r="EM134" s="11"/>
      <c r="EN134" s="11"/>
      <c r="EO134" s="18"/>
      <c r="EP134" s="20"/>
      <c r="EQ134" s="10"/>
      <c r="ER134" s="11"/>
      <c r="ES134" s="69">
        <f t="shared" si="868"/>
        <v>0</v>
      </c>
      <c r="ET134" s="69">
        <f t="shared" si="868"/>
        <v>0</v>
      </c>
      <c r="EU134" s="11"/>
      <c r="EV134" s="12" t="e">
        <f t="shared" si="838"/>
        <v>#DIV/0!</v>
      </c>
      <c r="EW134" s="11"/>
      <c r="EX134" s="12" t="e">
        <f t="shared" si="839"/>
        <v>#DIV/0!</v>
      </c>
      <c r="EY134" s="11"/>
      <c r="EZ134" s="11"/>
      <c r="FA134" s="18"/>
      <c r="FB134" s="20"/>
      <c r="FC134" s="10"/>
      <c r="FD134" s="11"/>
      <c r="FE134" s="69">
        <f t="shared" si="869"/>
        <v>0</v>
      </c>
      <c r="FF134" s="69">
        <f t="shared" si="869"/>
        <v>0</v>
      </c>
      <c r="FG134" s="11"/>
      <c r="FH134" s="12" t="e">
        <f t="shared" si="840"/>
        <v>#DIV/0!</v>
      </c>
      <c r="FI134" s="11"/>
      <c r="FJ134" s="12" t="e">
        <f t="shared" si="841"/>
        <v>#DIV/0!</v>
      </c>
      <c r="FK134" s="11"/>
      <c r="FL134" s="11"/>
      <c r="FM134" s="18"/>
      <c r="FN134" s="20"/>
      <c r="FO134" s="10"/>
      <c r="FP134" s="11"/>
      <c r="FQ134" s="69">
        <f t="shared" si="870"/>
        <v>0</v>
      </c>
      <c r="FR134" s="69">
        <f t="shared" si="870"/>
        <v>0</v>
      </c>
      <c r="FS134" s="11"/>
      <c r="FT134" s="12" t="e">
        <f t="shared" si="842"/>
        <v>#DIV/0!</v>
      </c>
      <c r="FU134" s="11"/>
      <c r="FV134" s="12" t="e">
        <f t="shared" si="843"/>
        <v>#DIV/0!</v>
      </c>
      <c r="FW134" s="11"/>
      <c r="FX134" s="11"/>
      <c r="FY134" s="18"/>
      <c r="FZ134" s="20"/>
      <c r="GA134" s="10"/>
      <c r="GB134" s="11"/>
      <c r="GC134" s="69">
        <f t="shared" si="871"/>
        <v>0</v>
      </c>
      <c r="GD134" s="69">
        <f t="shared" si="871"/>
        <v>0</v>
      </c>
      <c r="GE134" s="11"/>
      <c r="GF134" s="12" t="e">
        <f t="shared" si="844"/>
        <v>#DIV/0!</v>
      </c>
      <c r="GG134" s="11"/>
      <c r="GH134" s="12" t="e">
        <f t="shared" si="845"/>
        <v>#DIV/0!</v>
      </c>
      <c r="GI134" s="11"/>
      <c r="GJ134" s="11"/>
      <c r="GK134" s="18"/>
      <c r="GL134" s="20"/>
      <c r="GM134" s="10"/>
      <c r="GN134" s="11"/>
      <c r="GO134" s="69">
        <f t="shared" si="872"/>
        <v>0</v>
      </c>
      <c r="GP134" s="69">
        <f t="shared" si="872"/>
        <v>0</v>
      </c>
      <c r="GQ134" s="11"/>
      <c r="GR134" s="12" t="e">
        <f t="shared" si="846"/>
        <v>#DIV/0!</v>
      </c>
      <c r="GS134" s="11"/>
      <c r="GT134" s="12" t="e">
        <f t="shared" si="847"/>
        <v>#DIV/0!</v>
      </c>
      <c r="GU134" s="11"/>
      <c r="GV134" s="11"/>
      <c r="GW134" s="18"/>
      <c r="GX134" s="20"/>
      <c r="GY134" s="10"/>
      <c r="GZ134" s="11"/>
      <c r="HA134" s="69">
        <f t="shared" si="873"/>
        <v>0</v>
      </c>
      <c r="HB134" s="69">
        <f t="shared" si="873"/>
        <v>0</v>
      </c>
      <c r="HC134" s="11"/>
      <c r="HD134" s="12" t="e">
        <f t="shared" si="848"/>
        <v>#DIV/0!</v>
      </c>
      <c r="HE134" s="11"/>
      <c r="HF134" s="12" t="e">
        <f t="shared" si="849"/>
        <v>#DIV/0!</v>
      </c>
      <c r="HG134" s="11"/>
      <c r="HH134" s="11"/>
      <c r="HI134" s="18"/>
      <c r="HJ134" s="20"/>
      <c r="HK134" s="10">
        <f t="shared" si="850"/>
        <v>2</v>
      </c>
      <c r="HL134" s="11">
        <f t="shared" si="850"/>
        <v>0</v>
      </c>
      <c r="HM134" s="11">
        <f t="shared" si="850"/>
        <v>3572</v>
      </c>
      <c r="HN134" s="11">
        <f t="shared" si="850"/>
        <v>300</v>
      </c>
      <c r="HO134" s="11">
        <f t="shared" si="851"/>
        <v>1824</v>
      </c>
      <c r="HP134" s="95">
        <f t="shared" si="852"/>
        <v>0.51063829787234039</v>
      </c>
      <c r="HQ134" s="15">
        <f t="shared" si="853"/>
        <v>82</v>
      </c>
      <c r="HR134" s="12">
        <f t="shared" si="874"/>
        <v>4.4956140350877194E-2</v>
      </c>
      <c r="HS134" s="16">
        <v>68.400000000000006</v>
      </c>
      <c r="HT134" s="17">
        <v>1681</v>
      </c>
      <c r="HU134" s="16">
        <f t="shared" si="854"/>
        <v>92.160087719298247</v>
      </c>
      <c r="HV134" s="18"/>
      <c r="HW134" s="20"/>
    </row>
    <row r="135" spans="1:231" ht="18.75" x14ac:dyDescent="0.25">
      <c r="A135" s="374"/>
      <c r="B135" s="41">
        <f t="shared" si="814"/>
        <v>45043</v>
      </c>
      <c r="C135" s="10"/>
      <c r="D135" s="11"/>
      <c r="E135" s="69">
        <f t="shared" si="855"/>
        <v>631</v>
      </c>
      <c r="F135" s="69">
        <f t="shared" si="855"/>
        <v>52</v>
      </c>
      <c r="G135" s="11">
        <v>340</v>
      </c>
      <c r="H135" s="12">
        <f t="shared" si="815"/>
        <v>0.55625990491283672</v>
      </c>
      <c r="I135" s="11">
        <v>11</v>
      </c>
      <c r="J135" s="12">
        <f t="shared" si="856"/>
        <v>3.1339031339031341E-2</v>
      </c>
      <c r="K135" s="13"/>
      <c r="L135" s="13"/>
      <c r="M135" s="25">
        <v>4045</v>
      </c>
      <c r="N135" s="38">
        <v>4440</v>
      </c>
      <c r="O135" s="10"/>
      <c r="P135" s="11"/>
      <c r="Q135" s="69">
        <f t="shared" si="857"/>
        <v>629</v>
      </c>
      <c r="R135" s="69">
        <f t="shared" si="857"/>
        <v>53</v>
      </c>
      <c r="S135" s="11">
        <v>352</v>
      </c>
      <c r="T135" s="12">
        <f t="shared" si="816"/>
        <v>0.57869634340222575</v>
      </c>
      <c r="U135" s="11">
        <v>12</v>
      </c>
      <c r="V135" s="12">
        <f t="shared" si="817"/>
        <v>3.2967032967032968E-2</v>
      </c>
      <c r="W135" s="13"/>
      <c r="X135" s="13"/>
      <c r="Y135" s="25">
        <v>4045</v>
      </c>
      <c r="Z135" s="38">
        <v>4440</v>
      </c>
      <c r="AA135" s="10">
        <v>1</v>
      </c>
      <c r="AB135" s="11"/>
      <c r="AC135" s="69">
        <f t="shared" si="858"/>
        <v>192</v>
      </c>
      <c r="AD135" s="69">
        <f t="shared" si="858"/>
        <v>15</v>
      </c>
      <c r="AE135" s="11">
        <v>91</v>
      </c>
      <c r="AF135" s="12">
        <f t="shared" si="818"/>
        <v>0.49479166666666669</v>
      </c>
      <c r="AG135" s="11">
        <v>4</v>
      </c>
      <c r="AH135" s="12">
        <f t="shared" si="819"/>
        <v>4.2105263157894736E-2</v>
      </c>
      <c r="AI135" s="13"/>
      <c r="AJ135" s="13"/>
      <c r="AK135" s="25">
        <v>4045</v>
      </c>
      <c r="AL135" s="38">
        <v>4440</v>
      </c>
      <c r="AM135" s="10">
        <v>1</v>
      </c>
      <c r="AN135" s="11"/>
      <c r="AO135" s="69">
        <f t="shared" si="859"/>
        <v>706</v>
      </c>
      <c r="AP135" s="69">
        <f t="shared" si="859"/>
        <v>60</v>
      </c>
      <c r="AQ135" s="11">
        <v>351</v>
      </c>
      <c r="AR135" s="12">
        <f t="shared" si="820"/>
        <v>0.52407932011331448</v>
      </c>
      <c r="AS135" s="11">
        <v>19</v>
      </c>
      <c r="AT135" s="12">
        <f t="shared" si="821"/>
        <v>5.1351351351351354E-2</v>
      </c>
      <c r="AU135" s="13"/>
      <c r="AV135" s="13"/>
      <c r="AW135" s="25">
        <v>4045</v>
      </c>
      <c r="AX135" s="38">
        <v>4440</v>
      </c>
      <c r="AY135" s="10">
        <v>1</v>
      </c>
      <c r="AZ135" s="11"/>
      <c r="BA135" s="69">
        <f t="shared" si="860"/>
        <v>704</v>
      </c>
      <c r="BB135" s="69">
        <f t="shared" si="860"/>
        <v>60</v>
      </c>
      <c r="BC135" s="11">
        <v>359</v>
      </c>
      <c r="BD135" s="12">
        <f t="shared" si="822"/>
        <v>0.53267045454545459</v>
      </c>
      <c r="BE135" s="11">
        <v>16</v>
      </c>
      <c r="BF135" s="12">
        <f t="shared" si="823"/>
        <v>4.2666666666666665E-2</v>
      </c>
      <c r="BG135" s="13"/>
      <c r="BH135" s="13"/>
      <c r="BI135" s="25">
        <v>4045</v>
      </c>
      <c r="BJ135" s="38">
        <v>4440</v>
      </c>
      <c r="BK135" s="10">
        <v>1</v>
      </c>
      <c r="BL135" s="11"/>
      <c r="BM135" s="69">
        <f t="shared" si="861"/>
        <v>706</v>
      </c>
      <c r="BN135" s="69">
        <f t="shared" si="861"/>
        <v>60</v>
      </c>
      <c r="BO135" s="11">
        <v>378</v>
      </c>
      <c r="BP135" s="12">
        <f t="shared" si="824"/>
        <v>0.55524079320113318</v>
      </c>
      <c r="BQ135" s="11">
        <v>14</v>
      </c>
      <c r="BR135" s="12">
        <f t="shared" si="825"/>
        <v>3.5714285714285712E-2</v>
      </c>
      <c r="BS135" s="13"/>
      <c r="BT135" s="13"/>
      <c r="BU135" s="25">
        <v>4045</v>
      </c>
      <c r="BV135" s="38">
        <v>4440</v>
      </c>
      <c r="BW135" s="10"/>
      <c r="BX135" s="11"/>
      <c r="BY135" s="69">
        <f t="shared" si="862"/>
        <v>0</v>
      </c>
      <c r="BZ135" s="69">
        <f t="shared" si="862"/>
        <v>0</v>
      </c>
      <c r="CA135" s="11"/>
      <c r="CB135" s="12" t="e">
        <f t="shared" si="826"/>
        <v>#DIV/0!</v>
      </c>
      <c r="CC135" s="11"/>
      <c r="CD135" s="12" t="e">
        <f t="shared" si="827"/>
        <v>#DIV/0!</v>
      </c>
      <c r="CE135" s="13"/>
      <c r="CF135" s="13"/>
      <c r="CG135" s="25"/>
      <c r="CH135" s="38"/>
      <c r="CI135" s="10"/>
      <c r="CJ135" s="11"/>
      <c r="CK135" s="69">
        <f t="shared" si="863"/>
        <v>0</v>
      </c>
      <c r="CL135" s="69">
        <f t="shared" si="863"/>
        <v>0</v>
      </c>
      <c r="CM135" s="11"/>
      <c r="CN135" s="12" t="e">
        <f t="shared" si="828"/>
        <v>#DIV/0!</v>
      </c>
      <c r="CO135" s="11"/>
      <c r="CP135" s="12" t="e">
        <f t="shared" si="829"/>
        <v>#DIV/0!</v>
      </c>
      <c r="CQ135" s="13"/>
      <c r="CR135" s="13"/>
      <c r="CS135" s="25"/>
      <c r="CT135" s="38"/>
      <c r="CU135" s="10"/>
      <c r="CV135" s="11"/>
      <c r="CW135" s="69">
        <f t="shared" si="864"/>
        <v>0</v>
      </c>
      <c r="CX135" s="69">
        <f t="shared" si="864"/>
        <v>0</v>
      </c>
      <c r="CY135" s="11"/>
      <c r="CZ135" s="12" t="e">
        <f t="shared" si="830"/>
        <v>#DIV/0!</v>
      </c>
      <c r="DA135" s="11"/>
      <c r="DB135" s="12" t="e">
        <f t="shared" si="831"/>
        <v>#DIV/0!</v>
      </c>
      <c r="DC135" s="13"/>
      <c r="DD135" s="13"/>
      <c r="DE135" s="25"/>
      <c r="DF135" s="38"/>
      <c r="DG135" s="10"/>
      <c r="DH135" s="11"/>
      <c r="DI135" s="69">
        <f t="shared" si="865"/>
        <v>0</v>
      </c>
      <c r="DJ135" s="69">
        <f t="shared" si="865"/>
        <v>0</v>
      </c>
      <c r="DK135" s="11"/>
      <c r="DL135" s="12" t="e">
        <f t="shared" si="832"/>
        <v>#DIV/0!</v>
      </c>
      <c r="DM135" s="11"/>
      <c r="DN135" s="12" t="e">
        <f t="shared" si="833"/>
        <v>#DIV/0!</v>
      </c>
      <c r="DO135" s="13"/>
      <c r="DP135" s="13"/>
      <c r="DQ135" s="25"/>
      <c r="DR135" s="38"/>
      <c r="DS135" s="10"/>
      <c r="DT135" s="11"/>
      <c r="DU135" s="69">
        <f t="shared" si="866"/>
        <v>0</v>
      </c>
      <c r="DV135" s="69">
        <f t="shared" si="866"/>
        <v>0</v>
      </c>
      <c r="DW135" s="11"/>
      <c r="DX135" s="12" t="e">
        <f t="shared" si="834"/>
        <v>#DIV/0!</v>
      </c>
      <c r="DY135" s="11"/>
      <c r="DZ135" s="12" t="e">
        <f t="shared" si="835"/>
        <v>#DIV/0!</v>
      </c>
      <c r="EA135" s="13"/>
      <c r="EB135" s="13"/>
      <c r="EC135" s="25"/>
      <c r="ED135" s="38"/>
      <c r="EE135" s="10"/>
      <c r="EF135" s="11"/>
      <c r="EG135" s="69">
        <f t="shared" si="867"/>
        <v>0</v>
      </c>
      <c r="EH135" s="69">
        <f t="shared" si="867"/>
        <v>0</v>
      </c>
      <c r="EI135" s="11"/>
      <c r="EJ135" s="12" t="e">
        <f t="shared" si="836"/>
        <v>#DIV/0!</v>
      </c>
      <c r="EK135" s="11"/>
      <c r="EL135" s="12" t="e">
        <f t="shared" si="837"/>
        <v>#DIV/0!</v>
      </c>
      <c r="EM135" s="13"/>
      <c r="EN135" s="13"/>
      <c r="EO135" s="25"/>
      <c r="EP135" s="38"/>
      <c r="EQ135" s="10"/>
      <c r="ER135" s="11"/>
      <c r="ES135" s="69">
        <f t="shared" si="868"/>
        <v>0</v>
      </c>
      <c r="ET135" s="69">
        <f t="shared" si="868"/>
        <v>0</v>
      </c>
      <c r="EU135" s="11"/>
      <c r="EV135" s="12" t="e">
        <f t="shared" si="838"/>
        <v>#DIV/0!</v>
      </c>
      <c r="EW135" s="11"/>
      <c r="EX135" s="12" t="e">
        <f t="shared" si="839"/>
        <v>#DIV/0!</v>
      </c>
      <c r="EY135" s="13"/>
      <c r="EZ135" s="13"/>
      <c r="FA135" s="25"/>
      <c r="FB135" s="38"/>
      <c r="FC135" s="10"/>
      <c r="FD135" s="11"/>
      <c r="FE135" s="69">
        <f t="shared" si="869"/>
        <v>0</v>
      </c>
      <c r="FF135" s="69">
        <f t="shared" si="869"/>
        <v>0</v>
      </c>
      <c r="FG135" s="11"/>
      <c r="FH135" s="12" t="e">
        <f t="shared" si="840"/>
        <v>#DIV/0!</v>
      </c>
      <c r="FI135" s="11"/>
      <c r="FJ135" s="12" t="e">
        <f t="shared" si="841"/>
        <v>#DIV/0!</v>
      </c>
      <c r="FK135" s="13"/>
      <c r="FL135" s="13"/>
      <c r="FM135" s="25"/>
      <c r="FN135" s="38"/>
      <c r="FO135" s="10"/>
      <c r="FP135" s="11"/>
      <c r="FQ135" s="69">
        <f t="shared" si="870"/>
        <v>0</v>
      </c>
      <c r="FR135" s="69">
        <f t="shared" si="870"/>
        <v>0</v>
      </c>
      <c r="FS135" s="11"/>
      <c r="FT135" s="12" t="e">
        <f t="shared" si="842"/>
        <v>#DIV/0!</v>
      </c>
      <c r="FU135" s="11"/>
      <c r="FV135" s="12" t="e">
        <f t="shared" si="843"/>
        <v>#DIV/0!</v>
      </c>
      <c r="FW135" s="13"/>
      <c r="FX135" s="13"/>
      <c r="FY135" s="25"/>
      <c r="FZ135" s="38"/>
      <c r="GA135" s="10"/>
      <c r="GB135" s="11"/>
      <c r="GC135" s="69">
        <f t="shared" si="871"/>
        <v>0</v>
      </c>
      <c r="GD135" s="69">
        <f t="shared" si="871"/>
        <v>0</v>
      </c>
      <c r="GE135" s="11"/>
      <c r="GF135" s="12" t="e">
        <f t="shared" si="844"/>
        <v>#DIV/0!</v>
      </c>
      <c r="GG135" s="11"/>
      <c r="GH135" s="12" t="e">
        <f t="shared" si="845"/>
        <v>#DIV/0!</v>
      </c>
      <c r="GI135" s="13"/>
      <c r="GJ135" s="13"/>
      <c r="GK135" s="25"/>
      <c r="GL135" s="38"/>
      <c r="GM135" s="10"/>
      <c r="GN135" s="11"/>
      <c r="GO135" s="69">
        <f t="shared" si="872"/>
        <v>0</v>
      </c>
      <c r="GP135" s="69">
        <f t="shared" si="872"/>
        <v>0</v>
      </c>
      <c r="GQ135" s="11"/>
      <c r="GR135" s="12" t="e">
        <f t="shared" si="846"/>
        <v>#DIV/0!</v>
      </c>
      <c r="GS135" s="11"/>
      <c r="GT135" s="12" t="e">
        <f t="shared" si="847"/>
        <v>#DIV/0!</v>
      </c>
      <c r="GU135" s="13"/>
      <c r="GV135" s="13"/>
      <c r="GW135" s="25"/>
      <c r="GX135" s="38"/>
      <c r="GY135" s="10"/>
      <c r="GZ135" s="11"/>
      <c r="HA135" s="69">
        <f t="shared" si="873"/>
        <v>0</v>
      </c>
      <c r="HB135" s="69">
        <f t="shared" si="873"/>
        <v>0</v>
      </c>
      <c r="HC135" s="11"/>
      <c r="HD135" s="12" t="e">
        <f t="shared" si="848"/>
        <v>#DIV/0!</v>
      </c>
      <c r="HE135" s="11"/>
      <c r="HF135" s="12" t="e">
        <f t="shared" si="849"/>
        <v>#DIV/0!</v>
      </c>
      <c r="HG135" s="13"/>
      <c r="HH135" s="13"/>
      <c r="HI135" s="25"/>
      <c r="HJ135" s="38"/>
      <c r="HK135" s="10">
        <f t="shared" si="850"/>
        <v>4</v>
      </c>
      <c r="HL135" s="11">
        <f t="shared" si="850"/>
        <v>0</v>
      </c>
      <c r="HM135" s="11">
        <f t="shared" si="850"/>
        <v>3568</v>
      </c>
      <c r="HN135" s="11">
        <f t="shared" si="850"/>
        <v>300</v>
      </c>
      <c r="HO135" s="11">
        <f t="shared" si="851"/>
        <v>1947</v>
      </c>
      <c r="HP135" s="95">
        <f t="shared" si="852"/>
        <v>0.54568385650224216</v>
      </c>
      <c r="HQ135" s="15">
        <f t="shared" si="853"/>
        <v>76</v>
      </c>
      <c r="HR135" s="12">
        <f t="shared" si="874"/>
        <v>3.9034411915767848E-2</v>
      </c>
      <c r="HS135" s="16">
        <v>67.7</v>
      </c>
      <c r="HT135" s="17">
        <v>1810</v>
      </c>
      <c r="HU135" s="16">
        <f t="shared" si="854"/>
        <v>92.963533641499737</v>
      </c>
      <c r="HV135" s="23">
        <v>4045</v>
      </c>
      <c r="HW135" s="22">
        <v>4440</v>
      </c>
    </row>
    <row r="136" spans="1:231" ht="18.75" x14ac:dyDescent="0.25">
      <c r="A136" s="374"/>
      <c r="B136" s="41">
        <f t="shared" si="814"/>
        <v>45044</v>
      </c>
      <c r="C136" s="10"/>
      <c r="D136" s="11"/>
      <c r="E136" s="69">
        <f t="shared" si="855"/>
        <v>631</v>
      </c>
      <c r="F136" s="69">
        <f t="shared" si="855"/>
        <v>52</v>
      </c>
      <c r="G136" s="11">
        <v>309</v>
      </c>
      <c r="H136" s="12">
        <f t="shared" si="815"/>
        <v>0.50871632329635497</v>
      </c>
      <c r="I136" s="11">
        <v>12</v>
      </c>
      <c r="J136" s="12">
        <f t="shared" si="856"/>
        <v>3.7383177570093455E-2</v>
      </c>
      <c r="K136" s="13"/>
      <c r="L136" s="11"/>
      <c r="M136" s="25">
        <v>4585.68</v>
      </c>
      <c r="N136" s="38">
        <v>4858.57</v>
      </c>
      <c r="O136" s="10"/>
      <c r="P136" s="11"/>
      <c r="Q136" s="69">
        <f t="shared" si="857"/>
        <v>629</v>
      </c>
      <c r="R136" s="69">
        <f t="shared" si="857"/>
        <v>53</v>
      </c>
      <c r="S136" s="11">
        <v>308</v>
      </c>
      <c r="T136" s="12">
        <f t="shared" si="816"/>
        <v>0.51669316375198726</v>
      </c>
      <c r="U136" s="11">
        <v>17</v>
      </c>
      <c r="V136" s="12">
        <f t="shared" si="817"/>
        <v>5.2307692307692305E-2</v>
      </c>
      <c r="W136" s="13"/>
      <c r="X136" s="11"/>
      <c r="Y136" s="25">
        <v>4635.1499999999996</v>
      </c>
      <c r="Z136" s="38">
        <v>4905</v>
      </c>
      <c r="AA136" s="10"/>
      <c r="AB136" s="11"/>
      <c r="AC136" s="69">
        <f t="shared" si="858"/>
        <v>192</v>
      </c>
      <c r="AD136" s="69">
        <f t="shared" si="858"/>
        <v>15</v>
      </c>
      <c r="AE136" s="11">
        <v>97</v>
      </c>
      <c r="AF136" s="12">
        <f t="shared" si="818"/>
        <v>0.52604166666666663</v>
      </c>
      <c r="AG136" s="11">
        <v>4</v>
      </c>
      <c r="AH136" s="12">
        <f t="shared" si="819"/>
        <v>3.9603960396039604E-2</v>
      </c>
      <c r="AI136" s="13"/>
      <c r="AJ136" s="11"/>
      <c r="AK136" s="25">
        <v>4605</v>
      </c>
      <c r="AL136" s="38">
        <v>4550</v>
      </c>
      <c r="AM136" s="10"/>
      <c r="AN136" s="11"/>
      <c r="AO136" s="69">
        <f t="shared" si="859"/>
        <v>706</v>
      </c>
      <c r="AP136" s="69">
        <f t="shared" si="859"/>
        <v>60</v>
      </c>
      <c r="AQ136" s="11">
        <v>343</v>
      </c>
      <c r="AR136" s="12">
        <f t="shared" si="820"/>
        <v>0.50708215297450421</v>
      </c>
      <c r="AS136" s="11">
        <v>15</v>
      </c>
      <c r="AT136" s="12">
        <f t="shared" si="821"/>
        <v>4.189944134078212E-2</v>
      </c>
      <c r="AU136" s="13"/>
      <c r="AV136" s="11"/>
      <c r="AW136" s="25">
        <v>4591.43</v>
      </c>
      <c r="AX136" s="38">
        <v>4963</v>
      </c>
      <c r="AY136" s="10"/>
      <c r="AZ136" s="11"/>
      <c r="BA136" s="69">
        <f t="shared" si="860"/>
        <v>704</v>
      </c>
      <c r="BB136" s="69">
        <f t="shared" si="860"/>
        <v>60</v>
      </c>
      <c r="BC136" s="11">
        <v>341</v>
      </c>
      <c r="BD136" s="12">
        <f t="shared" si="822"/>
        <v>0.51278409090909094</v>
      </c>
      <c r="BE136" s="11">
        <v>20</v>
      </c>
      <c r="BF136" s="12">
        <f t="shared" si="823"/>
        <v>5.5401662049861494E-2</v>
      </c>
      <c r="BG136" s="13"/>
      <c r="BH136" s="11"/>
      <c r="BI136" s="25">
        <v>4619.5</v>
      </c>
      <c r="BJ136" s="38">
        <v>4508</v>
      </c>
      <c r="BK136" s="10"/>
      <c r="BL136" s="11"/>
      <c r="BM136" s="69">
        <f t="shared" si="861"/>
        <v>706</v>
      </c>
      <c r="BN136" s="69">
        <f t="shared" si="861"/>
        <v>60</v>
      </c>
      <c r="BO136" s="11">
        <v>349</v>
      </c>
      <c r="BP136" s="12">
        <f t="shared" si="824"/>
        <v>0.51416430594900853</v>
      </c>
      <c r="BQ136" s="11">
        <v>14</v>
      </c>
      <c r="BR136" s="12">
        <f t="shared" si="825"/>
        <v>3.8567493112947659E-2</v>
      </c>
      <c r="BS136" s="13"/>
      <c r="BT136" s="11"/>
      <c r="BU136" s="25">
        <v>4546.29</v>
      </c>
      <c r="BV136" s="38">
        <v>4747.1400000000003</v>
      </c>
      <c r="BW136" s="10"/>
      <c r="BX136" s="11"/>
      <c r="BY136" s="69">
        <f t="shared" si="862"/>
        <v>0</v>
      </c>
      <c r="BZ136" s="69">
        <f t="shared" si="862"/>
        <v>0</v>
      </c>
      <c r="CA136" s="11"/>
      <c r="CB136" s="12" t="e">
        <f t="shared" si="826"/>
        <v>#DIV/0!</v>
      </c>
      <c r="CC136" s="11"/>
      <c r="CD136" s="12" t="e">
        <f t="shared" si="827"/>
        <v>#DIV/0!</v>
      </c>
      <c r="CE136" s="13"/>
      <c r="CF136" s="11"/>
      <c r="CG136" s="25"/>
      <c r="CH136" s="38"/>
      <c r="CI136" s="10"/>
      <c r="CJ136" s="11"/>
      <c r="CK136" s="69">
        <f t="shared" si="863"/>
        <v>0</v>
      </c>
      <c r="CL136" s="69">
        <f t="shared" si="863"/>
        <v>0</v>
      </c>
      <c r="CM136" s="11"/>
      <c r="CN136" s="12" t="e">
        <f t="shared" si="828"/>
        <v>#DIV/0!</v>
      </c>
      <c r="CO136" s="11"/>
      <c r="CP136" s="12" t="e">
        <f t="shared" si="829"/>
        <v>#DIV/0!</v>
      </c>
      <c r="CQ136" s="13"/>
      <c r="CR136" s="11"/>
      <c r="CS136" s="25"/>
      <c r="CT136" s="38"/>
      <c r="CU136" s="10"/>
      <c r="CV136" s="11"/>
      <c r="CW136" s="69">
        <f t="shared" si="864"/>
        <v>0</v>
      </c>
      <c r="CX136" s="69">
        <f t="shared" si="864"/>
        <v>0</v>
      </c>
      <c r="CY136" s="11"/>
      <c r="CZ136" s="12" t="e">
        <f t="shared" si="830"/>
        <v>#DIV/0!</v>
      </c>
      <c r="DA136" s="11"/>
      <c r="DB136" s="12" t="e">
        <f t="shared" si="831"/>
        <v>#DIV/0!</v>
      </c>
      <c r="DC136" s="13"/>
      <c r="DD136" s="11"/>
      <c r="DE136" s="25"/>
      <c r="DF136" s="38"/>
      <c r="DG136" s="10"/>
      <c r="DH136" s="11"/>
      <c r="DI136" s="69">
        <f t="shared" si="865"/>
        <v>0</v>
      </c>
      <c r="DJ136" s="69">
        <f t="shared" si="865"/>
        <v>0</v>
      </c>
      <c r="DK136" s="11"/>
      <c r="DL136" s="12" t="e">
        <f t="shared" si="832"/>
        <v>#DIV/0!</v>
      </c>
      <c r="DM136" s="11"/>
      <c r="DN136" s="12" t="e">
        <f t="shared" si="833"/>
        <v>#DIV/0!</v>
      </c>
      <c r="DO136" s="13"/>
      <c r="DP136" s="11"/>
      <c r="DQ136" s="25"/>
      <c r="DR136" s="38"/>
      <c r="DS136" s="10"/>
      <c r="DT136" s="11"/>
      <c r="DU136" s="69">
        <f t="shared" si="866"/>
        <v>0</v>
      </c>
      <c r="DV136" s="69">
        <f t="shared" si="866"/>
        <v>0</v>
      </c>
      <c r="DW136" s="11"/>
      <c r="DX136" s="12" t="e">
        <f t="shared" si="834"/>
        <v>#DIV/0!</v>
      </c>
      <c r="DY136" s="11"/>
      <c r="DZ136" s="12" t="e">
        <f t="shared" si="835"/>
        <v>#DIV/0!</v>
      </c>
      <c r="EA136" s="13"/>
      <c r="EB136" s="11"/>
      <c r="EC136" s="25"/>
      <c r="ED136" s="38"/>
      <c r="EE136" s="10"/>
      <c r="EF136" s="11"/>
      <c r="EG136" s="69">
        <f t="shared" si="867"/>
        <v>0</v>
      </c>
      <c r="EH136" s="69">
        <f t="shared" si="867"/>
        <v>0</v>
      </c>
      <c r="EI136" s="11"/>
      <c r="EJ136" s="12" t="e">
        <f t="shared" si="836"/>
        <v>#DIV/0!</v>
      </c>
      <c r="EK136" s="11"/>
      <c r="EL136" s="12" t="e">
        <f t="shared" si="837"/>
        <v>#DIV/0!</v>
      </c>
      <c r="EM136" s="13"/>
      <c r="EN136" s="11"/>
      <c r="EO136" s="25"/>
      <c r="EP136" s="38"/>
      <c r="EQ136" s="10"/>
      <c r="ER136" s="11"/>
      <c r="ES136" s="69">
        <f t="shared" si="868"/>
        <v>0</v>
      </c>
      <c r="ET136" s="69">
        <f t="shared" si="868"/>
        <v>0</v>
      </c>
      <c r="EU136" s="11"/>
      <c r="EV136" s="12" t="e">
        <f t="shared" si="838"/>
        <v>#DIV/0!</v>
      </c>
      <c r="EW136" s="11"/>
      <c r="EX136" s="12" t="e">
        <f t="shared" si="839"/>
        <v>#DIV/0!</v>
      </c>
      <c r="EY136" s="13"/>
      <c r="EZ136" s="11"/>
      <c r="FA136" s="25"/>
      <c r="FB136" s="38"/>
      <c r="FC136" s="10"/>
      <c r="FD136" s="11"/>
      <c r="FE136" s="69">
        <f t="shared" si="869"/>
        <v>0</v>
      </c>
      <c r="FF136" s="69">
        <f t="shared" si="869"/>
        <v>0</v>
      </c>
      <c r="FG136" s="11"/>
      <c r="FH136" s="12" t="e">
        <f t="shared" si="840"/>
        <v>#DIV/0!</v>
      </c>
      <c r="FI136" s="11"/>
      <c r="FJ136" s="12" t="e">
        <f t="shared" si="841"/>
        <v>#DIV/0!</v>
      </c>
      <c r="FK136" s="13"/>
      <c r="FL136" s="11"/>
      <c r="FM136" s="25"/>
      <c r="FN136" s="38"/>
      <c r="FO136" s="10"/>
      <c r="FP136" s="11"/>
      <c r="FQ136" s="69">
        <f t="shared" si="870"/>
        <v>0</v>
      </c>
      <c r="FR136" s="69">
        <f t="shared" si="870"/>
        <v>0</v>
      </c>
      <c r="FS136" s="11"/>
      <c r="FT136" s="12" t="e">
        <f t="shared" si="842"/>
        <v>#DIV/0!</v>
      </c>
      <c r="FU136" s="11"/>
      <c r="FV136" s="12" t="e">
        <f t="shared" si="843"/>
        <v>#DIV/0!</v>
      </c>
      <c r="FW136" s="13"/>
      <c r="FX136" s="11"/>
      <c r="FY136" s="25"/>
      <c r="FZ136" s="38"/>
      <c r="GA136" s="10"/>
      <c r="GB136" s="11"/>
      <c r="GC136" s="69">
        <f t="shared" si="871"/>
        <v>0</v>
      </c>
      <c r="GD136" s="69">
        <f t="shared" si="871"/>
        <v>0</v>
      </c>
      <c r="GE136" s="11"/>
      <c r="GF136" s="12" t="e">
        <f t="shared" si="844"/>
        <v>#DIV/0!</v>
      </c>
      <c r="GG136" s="11"/>
      <c r="GH136" s="12" t="e">
        <f t="shared" si="845"/>
        <v>#DIV/0!</v>
      </c>
      <c r="GI136" s="13"/>
      <c r="GJ136" s="11"/>
      <c r="GK136" s="25"/>
      <c r="GL136" s="38"/>
      <c r="GM136" s="10"/>
      <c r="GN136" s="11"/>
      <c r="GO136" s="69">
        <f t="shared" si="872"/>
        <v>0</v>
      </c>
      <c r="GP136" s="69">
        <f t="shared" si="872"/>
        <v>0</v>
      </c>
      <c r="GQ136" s="11"/>
      <c r="GR136" s="12" t="e">
        <f t="shared" si="846"/>
        <v>#DIV/0!</v>
      </c>
      <c r="GS136" s="11"/>
      <c r="GT136" s="12" t="e">
        <f t="shared" si="847"/>
        <v>#DIV/0!</v>
      </c>
      <c r="GU136" s="13"/>
      <c r="GV136" s="11"/>
      <c r="GW136" s="25"/>
      <c r="GX136" s="38"/>
      <c r="GY136" s="10"/>
      <c r="GZ136" s="11"/>
      <c r="HA136" s="69">
        <f t="shared" si="873"/>
        <v>0</v>
      </c>
      <c r="HB136" s="69">
        <f t="shared" si="873"/>
        <v>0</v>
      </c>
      <c r="HC136" s="11"/>
      <c r="HD136" s="12" t="e">
        <f t="shared" si="848"/>
        <v>#DIV/0!</v>
      </c>
      <c r="HE136" s="11"/>
      <c r="HF136" s="12" t="e">
        <f t="shared" si="849"/>
        <v>#DIV/0!</v>
      </c>
      <c r="HG136" s="13"/>
      <c r="HH136" s="11"/>
      <c r="HI136" s="25"/>
      <c r="HJ136" s="38"/>
      <c r="HK136" s="10">
        <f t="shared" si="850"/>
        <v>0</v>
      </c>
      <c r="HL136" s="11">
        <f t="shared" si="850"/>
        <v>0</v>
      </c>
      <c r="HM136" s="11">
        <f t="shared" si="850"/>
        <v>3568</v>
      </c>
      <c r="HN136" s="11">
        <f t="shared" si="850"/>
        <v>300</v>
      </c>
      <c r="HO136" s="11">
        <f t="shared" si="851"/>
        <v>1829</v>
      </c>
      <c r="HP136" s="95">
        <f t="shared" si="852"/>
        <v>0.51261210762331844</v>
      </c>
      <c r="HQ136" s="15">
        <f t="shared" si="853"/>
        <v>82</v>
      </c>
      <c r="HR136" s="12">
        <f t="shared" si="874"/>
        <v>4.4833242208857302E-2</v>
      </c>
      <c r="HS136" s="16">
        <v>68.5</v>
      </c>
      <c r="HT136" s="17">
        <v>1684</v>
      </c>
      <c r="HU136" s="16">
        <f t="shared" si="854"/>
        <v>92.072170585019137</v>
      </c>
      <c r="HV136" s="23">
        <v>4596.21</v>
      </c>
      <c r="HW136" s="22">
        <v>4785.16</v>
      </c>
    </row>
    <row r="137" spans="1:231" ht="18.75" x14ac:dyDescent="0.25">
      <c r="A137" s="374"/>
      <c r="B137" s="41">
        <f t="shared" si="814"/>
        <v>45045</v>
      </c>
      <c r="C137" s="10"/>
      <c r="D137" s="11"/>
      <c r="E137" s="69">
        <f>E136-C137</f>
        <v>631</v>
      </c>
      <c r="F137" s="69">
        <f>F136-D137</f>
        <v>52</v>
      </c>
      <c r="G137" s="11">
        <v>301</v>
      </c>
      <c r="H137" s="12">
        <f t="shared" si="815"/>
        <v>0.48494453248811409</v>
      </c>
      <c r="I137" s="11">
        <v>5</v>
      </c>
      <c r="J137" s="12">
        <f t="shared" si="856"/>
        <v>1.6339869281045753E-2</v>
      </c>
      <c r="K137" s="13"/>
      <c r="L137" s="11"/>
      <c r="M137" s="39">
        <v>83.8</v>
      </c>
      <c r="N137" s="43">
        <v>100</v>
      </c>
      <c r="O137" s="10"/>
      <c r="P137" s="11"/>
      <c r="Q137" s="69">
        <f t="shared" si="857"/>
        <v>629</v>
      </c>
      <c r="R137" s="69">
        <f t="shared" si="857"/>
        <v>53</v>
      </c>
      <c r="S137" s="11">
        <v>348</v>
      </c>
      <c r="T137" s="12">
        <f t="shared" si="816"/>
        <v>0.56756756756756754</v>
      </c>
      <c r="U137" s="11">
        <v>9</v>
      </c>
      <c r="V137" s="12">
        <f t="shared" si="817"/>
        <v>2.5210084033613446E-2</v>
      </c>
      <c r="W137" s="13"/>
      <c r="X137" s="11"/>
      <c r="Y137" s="39">
        <v>90.91</v>
      </c>
      <c r="Z137" s="43">
        <v>91.67</v>
      </c>
      <c r="AA137" s="10"/>
      <c r="AB137" s="11"/>
      <c r="AC137" s="69">
        <f t="shared" si="858"/>
        <v>192</v>
      </c>
      <c r="AD137" s="69">
        <f t="shared" si="858"/>
        <v>15</v>
      </c>
      <c r="AE137" s="11">
        <v>96</v>
      </c>
      <c r="AF137" s="12">
        <f t="shared" si="818"/>
        <v>0.51041666666666663</v>
      </c>
      <c r="AG137" s="11">
        <v>2</v>
      </c>
      <c r="AH137" s="12">
        <f t="shared" si="819"/>
        <v>2.0408163265306121E-2</v>
      </c>
      <c r="AI137" s="13"/>
      <c r="AJ137" s="11"/>
      <c r="AK137" s="39">
        <v>80</v>
      </c>
      <c r="AL137" s="43">
        <v>75</v>
      </c>
      <c r="AM137" s="10"/>
      <c r="AN137" s="11"/>
      <c r="AO137" s="69">
        <f t="shared" si="859"/>
        <v>706</v>
      </c>
      <c r="AP137" s="69">
        <f t="shared" si="859"/>
        <v>60</v>
      </c>
      <c r="AQ137" s="11">
        <v>378</v>
      </c>
      <c r="AR137" s="12">
        <f t="shared" si="820"/>
        <v>0.55240793201133143</v>
      </c>
      <c r="AS137" s="11">
        <v>12</v>
      </c>
      <c r="AT137" s="12">
        <f t="shared" si="821"/>
        <v>3.0769230769230771E-2</v>
      </c>
      <c r="AU137" s="13"/>
      <c r="AV137" s="11"/>
      <c r="AW137" s="39">
        <v>85.7</v>
      </c>
      <c r="AX137" s="43">
        <v>100</v>
      </c>
      <c r="AY137" s="10">
        <v>1</v>
      </c>
      <c r="AZ137" s="11"/>
      <c r="BA137" s="69">
        <f t="shared" si="860"/>
        <v>703</v>
      </c>
      <c r="BB137" s="69">
        <f t="shared" si="860"/>
        <v>60</v>
      </c>
      <c r="BC137" s="11">
        <v>345</v>
      </c>
      <c r="BD137" s="12">
        <f t="shared" si="822"/>
        <v>0.51493598862019918</v>
      </c>
      <c r="BE137" s="11">
        <v>17</v>
      </c>
      <c r="BF137" s="12">
        <f t="shared" si="823"/>
        <v>4.6961325966850827E-2</v>
      </c>
      <c r="BG137" s="13"/>
      <c r="BH137" s="11"/>
      <c r="BI137" s="39">
        <v>82.5</v>
      </c>
      <c r="BJ137" s="43">
        <v>100</v>
      </c>
      <c r="BK137" s="10"/>
      <c r="BL137" s="11"/>
      <c r="BM137" s="69">
        <f t="shared" si="861"/>
        <v>706</v>
      </c>
      <c r="BN137" s="69">
        <f t="shared" si="861"/>
        <v>60</v>
      </c>
      <c r="BO137" s="11">
        <v>341</v>
      </c>
      <c r="BP137" s="12">
        <f t="shared" si="824"/>
        <v>0.49858356940509913</v>
      </c>
      <c r="BQ137" s="11">
        <v>11</v>
      </c>
      <c r="BR137" s="12">
        <f t="shared" si="825"/>
        <v>3.125E-2</v>
      </c>
      <c r="BS137" s="13"/>
      <c r="BT137" s="11"/>
      <c r="BU137" s="39">
        <v>80</v>
      </c>
      <c r="BV137" s="43">
        <v>100</v>
      </c>
      <c r="BW137" s="10"/>
      <c r="BX137" s="11"/>
      <c r="BY137" s="69">
        <f t="shared" si="862"/>
        <v>0</v>
      </c>
      <c r="BZ137" s="69">
        <f t="shared" si="862"/>
        <v>0</v>
      </c>
      <c r="CA137" s="11"/>
      <c r="CB137" s="12" t="e">
        <f t="shared" si="826"/>
        <v>#DIV/0!</v>
      </c>
      <c r="CC137" s="11"/>
      <c r="CD137" s="12" t="e">
        <f t="shared" si="827"/>
        <v>#DIV/0!</v>
      </c>
      <c r="CE137" s="13"/>
      <c r="CF137" s="11"/>
      <c r="CG137" s="39"/>
      <c r="CH137" s="43"/>
      <c r="CI137" s="10"/>
      <c r="CJ137" s="11"/>
      <c r="CK137" s="69">
        <f t="shared" si="863"/>
        <v>0</v>
      </c>
      <c r="CL137" s="69">
        <f t="shared" si="863"/>
        <v>0</v>
      </c>
      <c r="CM137" s="11"/>
      <c r="CN137" s="12" t="e">
        <f t="shared" si="828"/>
        <v>#DIV/0!</v>
      </c>
      <c r="CO137" s="11"/>
      <c r="CP137" s="12" t="e">
        <f t="shared" si="829"/>
        <v>#DIV/0!</v>
      </c>
      <c r="CQ137" s="13"/>
      <c r="CR137" s="11"/>
      <c r="CS137" s="39"/>
      <c r="CT137" s="43"/>
      <c r="CU137" s="10"/>
      <c r="CV137" s="11"/>
      <c r="CW137" s="69">
        <f t="shared" si="864"/>
        <v>0</v>
      </c>
      <c r="CX137" s="69">
        <f t="shared" si="864"/>
        <v>0</v>
      </c>
      <c r="CY137" s="11"/>
      <c r="CZ137" s="12" t="e">
        <f t="shared" si="830"/>
        <v>#DIV/0!</v>
      </c>
      <c r="DA137" s="11"/>
      <c r="DB137" s="12" t="e">
        <f t="shared" si="831"/>
        <v>#DIV/0!</v>
      </c>
      <c r="DC137" s="13"/>
      <c r="DD137" s="11"/>
      <c r="DE137" s="39"/>
      <c r="DF137" s="43"/>
      <c r="DG137" s="10"/>
      <c r="DH137" s="11"/>
      <c r="DI137" s="69">
        <f t="shared" si="865"/>
        <v>0</v>
      </c>
      <c r="DJ137" s="69">
        <f t="shared" si="865"/>
        <v>0</v>
      </c>
      <c r="DK137" s="11"/>
      <c r="DL137" s="12" t="e">
        <f t="shared" si="832"/>
        <v>#DIV/0!</v>
      </c>
      <c r="DM137" s="11"/>
      <c r="DN137" s="12" t="e">
        <f t="shared" si="833"/>
        <v>#DIV/0!</v>
      </c>
      <c r="DO137" s="13"/>
      <c r="DP137" s="11"/>
      <c r="DQ137" s="39"/>
      <c r="DR137" s="43"/>
      <c r="DS137" s="10"/>
      <c r="DT137" s="11"/>
      <c r="DU137" s="69">
        <f t="shared" si="866"/>
        <v>0</v>
      </c>
      <c r="DV137" s="69">
        <f t="shared" si="866"/>
        <v>0</v>
      </c>
      <c r="DW137" s="11"/>
      <c r="DX137" s="12" t="e">
        <f t="shared" si="834"/>
        <v>#DIV/0!</v>
      </c>
      <c r="DY137" s="11"/>
      <c r="DZ137" s="12" t="e">
        <f t="shared" si="835"/>
        <v>#DIV/0!</v>
      </c>
      <c r="EA137" s="13"/>
      <c r="EB137" s="11"/>
      <c r="EC137" s="39"/>
      <c r="ED137" s="43"/>
      <c r="EE137" s="10"/>
      <c r="EF137" s="11"/>
      <c r="EG137" s="69">
        <f t="shared" si="867"/>
        <v>0</v>
      </c>
      <c r="EH137" s="69">
        <f t="shared" si="867"/>
        <v>0</v>
      </c>
      <c r="EI137" s="11"/>
      <c r="EJ137" s="12" t="e">
        <f t="shared" si="836"/>
        <v>#DIV/0!</v>
      </c>
      <c r="EK137" s="11"/>
      <c r="EL137" s="12" t="e">
        <f t="shared" si="837"/>
        <v>#DIV/0!</v>
      </c>
      <c r="EM137" s="13"/>
      <c r="EN137" s="11"/>
      <c r="EO137" s="39"/>
      <c r="EP137" s="43"/>
      <c r="EQ137" s="10"/>
      <c r="ER137" s="11"/>
      <c r="ES137" s="69">
        <f t="shared" si="868"/>
        <v>0</v>
      </c>
      <c r="ET137" s="69">
        <f t="shared" si="868"/>
        <v>0</v>
      </c>
      <c r="EU137" s="11"/>
      <c r="EV137" s="12" t="e">
        <f t="shared" si="838"/>
        <v>#DIV/0!</v>
      </c>
      <c r="EW137" s="11"/>
      <c r="EX137" s="12" t="e">
        <f t="shared" si="839"/>
        <v>#DIV/0!</v>
      </c>
      <c r="EY137" s="13"/>
      <c r="EZ137" s="11"/>
      <c r="FA137" s="39"/>
      <c r="FB137" s="43"/>
      <c r="FC137" s="10"/>
      <c r="FD137" s="11"/>
      <c r="FE137" s="69">
        <f t="shared" si="869"/>
        <v>0</v>
      </c>
      <c r="FF137" s="69">
        <f t="shared" si="869"/>
        <v>0</v>
      </c>
      <c r="FG137" s="11"/>
      <c r="FH137" s="12" t="e">
        <f t="shared" si="840"/>
        <v>#DIV/0!</v>
      </c>
      <c r="FI137" s="11"/>
      <c r="FJ137" s="12" t="e">
        <f t="shared" si="841"/>
        <v>#DIV/0!</v>
      </c>
      <c r="FK137" s="13"/>
      <c r="FL137" s="11"/>
      <c r="FM137" s="39"/>
      <c r="FN137" s="43"/>
      <c r="FO137" s="10"/>
      <c r="FP137" s="11"/>
      <c r="FQ137" s="69">
        <f t="shared" si="870"/>
        <v>0</v>
      </c>
      <c r="FR137" s="69">
        <f t="shared" si="870"/>
        <v>0</v>
      </c>
      <c r="FS137" s="11"/>
      <c r="FT137" s="12" t="e">
        <f t="shared" si="842"/>
        <v>#DIV/0!</v>
      </c>
      <c r="FU137" s="11"/>
      <c r="FV137" s="12" t="e">
        <f t="shared" si="843"/>
        <v>#DIV/0!</v>
      </c>
      <c r="FW137" s="13"/>
      <c r="FX137" s="11"/>
      <c r="FY137" s="39"/>
      <c r="FZ137" s="43"/>
      <c r="GA137" s="10"/>
      <c r="GB137" s="11"/>
      <c r="GC137" s="69">
        <f t="shared" si="871"/>
        <v>0</v>
      </c>
      <c r="GD137" s="69">
        <f t="shared" si="871"/>
        <v>0</v>
      </c>
      <c r="GE137" s="11"/>
      <c r="GF137" s="12" t="e">
        <f t="shared" si="844"/>
        <v>#DIV/0!</v>
      </c>
      <c r="GG137" s="11"/>
      <c r="GH137" s="12" t="e">
        <f t="shared" si="845"/>
        <v>#DIV/0!</v>
      </c>
      <c r="GI137" s="13"/>
      <c r="GJ137" s="11"/>
      <c r="GK137" s="39"/>
      <c r="GL137" s="43"/>
      <c r="GM137" s="10"/>
      <c r="GN137" s="11"/>
      <c r="GO137" s="69">
        <f t="shared" si="872"/>
        <v>0</v>
      </c>
      <c r="GP137" s="69">
        <f t="shared" si="872"/>
        <v>0</v>
      </c>
      <c r="GQ137" s="11"/>
      <c r="GR137" s="12" t="e">
        <f t="shared" si="846"/>
        <v>#DIV/0!</v>
      </c>
      <c r="GS137" s="11"/>
      <c r="GT137" s="12" t="e">
        <f t="shared" si="847"/>
        <v>#DIV/0!</v>
      </c>
      <c r="GU137" s="13"/>
      <c r="GV137" s="11"/>
      <c r="GW137" s="39"/>
      <c r="GX137" s="43"/>
      <c r="GY137" s="10"/>
      <c r="GZ137" s="11"/>
      <c r="HA137" s="69">
        <f t="shared" si="873"/>
        <v>0</v>
      </c>
      <c r="HB137" s="69">
        <f t="shared" si="873"/>
        <v>0</v>
      </c>
      <c r="HC137" s="11"/>
      <c r="HD137" s="12" t="e">
        <f t="shared" si="848"/>
        <v>#DIV/0!</v>
      </c>
      <c r="HE137" s="11"/>
      <c r="HF137" s="12" t="e">
        <f t="shared" si="849"/>
        <v>#DIV/0!</v>
      </c>
      <c r="HG137" s="13"/>
      <c r="HH137" s="11"/>
      <c r="HI137" s="39"/>
      <c r="HJ137" s="43"/>
      <c r="HK137" s="10">
        <f t="shared" si="850"/>
        <v>1</v>
      </c>
      <c r="HL137" s="11">
        <f t="shared" si="850"/>
        <v>0</v>
      </c>
      <c r="HM137" s="11">
        <f t="shared" si="850"/>
        <v>3567</v>
      </c>
      <c r="HN137" s="11">
        <f t="shared" si="850"/>
        <v>300</v>
      </c>
      <c r="HO137" s="11">
        <f t="shared" si="851"/>
        <v>1865</v>
      </c>
      <c r="HP137" s="95">
        <f t="shared" si="852"/>
        <v>0.52284833193159519</v>
      </c>
      <c r="HQ137" s="15">
        <f t="shared" si="853"/>
        <v>56</v>
      </c>
      <c r="HR137" s="12">
        <f t="shared" si="874"/>
        <v>3.0026809651474532E-2</v>
      </c>
      <c r="HS137" s="16">
        <v>68.5</v>
      </c>
      <c r="HT137" s="17">
        <v>1756</v>
      </c>
      <c r="HU137" s="16">
        <f t="shared" si="854"/>
        <v>94.155495978552281</v>
      </c>
      <c r="HV137" s="23">
        <v>83.68</v>
      </c>
      <c r="HW137" s="22">
        <v>90.63</v>
      </c>
    </row>
    <row r="138" spans="1:231" ht="19.5" thickBot="1" x14ac:dyDescent="0.3">
      <c r="A138" s="374"/>
      <c r="B138" s="42"/>
      <c r="C138" s="26">
        <f>SUM(C131:C137)</f>
        <v>1</v>
      </c>
      <c r="D138" s="27">
        <f>SUM(D131:D137)</f>
        <v>0</v>
      </c>
      <c r="E138" s="27"/>
      <c r="F138" s="27"/>
      <c r="G138" s="27">
        <f>SUM(G131:G137)</f>
        <v>2241</v>
      </c>
      <c r="H138" s="28">
        <f>((G138+I138)/7)/E137</f>
        <v>0.53022413402762059</v>
      </c>
      <c r="I138" s="27">
        <f>SUM(I131:I137)</f>
        <v>101</v>
      </c>
      <c r="J138" s="28">
        <f>(I138/(I138+G138))</f>
        <v>4.312553373185312E-2</v>
      </c>
      <c r="K138" s="27"/>
      <c r="L138" s="27"/>
      <c r="M138" s="29">
        <f>M136/M135*100-100</f>
        <v>13.366625463535243</v>
      </c>
      <c r="N138" s="67">
        <f>N136/N135*100-100</f>
        <v>9.4272522522522451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2279</v>
      </c>
      <c r="T138" s="28">
        <f>((S138+U138)/7)/Q137</f>
        <v>0.5407676584147173</v>
      </c>
      <c r="U138" s="27">
        <f>SUM(U131:U137)</f>
        <v>102</v>
      </c>
      <c r="V138" s="28">
        <f>(U138/(U138+S138))</f>
        <v>4.283914321713566E-2</v>
      </c>
      <c r="W138" s="27"/>
      <c r="X138" s="27"/>
      <c r="Y138" s="29">
        <f>Y136/Y135*100-100</f>
        <v>14.589616810877629</v>
      </c>
      <c r="Z138" s="67">
        <f>Z136/Z135*100-100</f>
        <v>10.472972972972983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634</v>
      </c>
      <c r="AF138" s="28">
        <f>((AE138+AG138)/7)/AC137</f>
        <v>0.49181547619047622</v>
      </c>
      <c r="AG138" s="27">
        <f>SUM(AG131:AG137)</f>
        <v>27</v>
      </c>
      <c r="AH138" s="28">
        <f>(AG138/(AG138+AE138))</f>
        <v>4.084720121028744E-2</v>
      </c>
      <c r="AI138" s="27"/>
      <c r="AJ138" s="27"/>
      <c r="AK138" s="29">
        <f>AK136/AK135*100-100</f>
        <v>13.844252163164413</v>
      </c>
      <c r="AL138" s="67">
        <f>AL136/AL135*100-100</f>
        <v>2.4774774774774926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2442</v>
      </c>
      <c r="AR138" s="28">
        <f>((AQ138+AS138)/7)/AO137</f>
        <v>0.51760420882233915</v>
      </c>
      <c r="AS138" s="27">
        <f>SUM(AS131:AS137)</f>
        <v>116</v>
      </c>
      <c r="AT138" s="28">
        <f>(AS138/(AS138+AQ138))</f>
        <v>4.534792806880375E-2</v>
      </c>
      <c r="AU138" s="27"/>
      <c r="AV138" s="27"/>
      <c r="AW138" s="29">
        <f>AW136/AW135*100-100</f>
        <v>13.508776266996293</v>
      </c>
      <c r="AX138" s="67">
        <f>AX136/AX135*100-100</f>
        <v>11.77927927927928</v>
      </c>
      <c r="AY138" s="26">
        <f>SUM(AY131:AY137)</f>
        <v>4</v>
      </c>
      <c r="AZ138" s="27">
        <f>SUM(AZ131:AZ137)</f>
        <v>0</v>
      </c>
      <c r="BA138" s="27"/>
      <c r="BB138" s="27"/>
      <c r="BC138" s="27">
        <f>SUM(BC131:BC137)</f>
        <v>2445</v>
      </c>
      <c r="BD138" s="28">
        <f>((BC138+BE138)/7)/BA137</f>
        <v>0.52082909977646819</v>
      </c>
      <c r="BE138" s="27">
        <f>SUM(BE131:BE137)</f>
        <v>118</v>
      </c>
      <c r="BF138" s="28">
        <f>(BE138/(BE138+BC138))</f>
        <v>4.6039797112758483E-2</v>
      </c>
      <c r="BG138" s="27"/>
      <c r="BH138" s="27"/>
      <c r="BI138" s="29">
        <f>BI136/BI135*100-100</f>
        <v>14.202719406674902</v>
      </c>
      <c r="BJ138" s="67">
        <f>BJ136/BJ135*100-100</f>
        <v>1.5315315315315416</v>
      </c>
      <c r="BK138" s="26">
        <f>SUM(BK131:BK137)</f>
        <v>2</v>
      </c>
      <c r="BL138" s="27">
        <f>SUM(BL131:BL137)</f>
        <v>0</v>
      </c>
      <c r="BM138" s="27"/>
      <c r="BN138" s="27"/>
      <c r="BO138" s="27">
        <f>SUM(BO131:BO137)</f>
        <v>2467</v>
      </c>
      <c r="BP138" s="28">
        <f>((BO138+BQ138)/7)/BM137</f>
        <v>0.51578308377175242</v>
      </c>
      <c r="BQ138" s="27">
        <f>SUM(BQ131:BQ137)</f>
        <v>82</v>
      </c>
      <c r="BR138" s="28">
        <f>(BQ138/(BQ138+BO138))</f>
        <v>3.2169478226755588E-2</v>
      </c>
      <c r="BS138" s="27"/>
      <c r="BT138" s="27"/>
      <c r="BU138" s="29">
        <f>BU136/BU135*100-100</f>
        <v>12.392830655129799</v>
      </c>
      <c r="BV138" s="67">
        <f>BV136/BV135*100-100</f>
        <v>6.9175675675675876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7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7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7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7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7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7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7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7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7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7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7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7" t="e">
        <f>HJ136/HJ135*100-100</f>
        <v>#DIV/0!</v>
      </c>
      <c r="HK138" s="26">
        <f t="shared" si="850"/>
        <v>10</v>
      </c>
      <c r="HL138" s="27">
        <f t="shared" si="850"/>
        <v>0</v>
      </c>
      <c r="HM138" s="27">
        <f t="shared" si="850"/>
        <v>0</v>
      </c>
      <c r="HN138" s="27">
        <f t="shared" si="850"/>
        <v>0</v>
      </c>
      <c r="HO138" s="27">
        <f t="shared" si="851"/>
        <v>13054</v>
      </c>
      <c r="HP138" s="96">
        <f>+((HO138)/HM137)/7</f>
        <v>0.52280828227001475</v>
      </c>
      <c r="HQ138" s="62">
        <f t="shared" si="853"/>
        <v>546</v>
      </c>
      <c r="HR138" s="52">
        <f t="shared" si="874"/>
        <v>4.1826260150145546E-2</v>
      </c>
      <c r="HS138" s="53">
        <f>SUM(HS131:HS137)/7</f>
        <v>68.242857142857147</v>
      </c>
      <c r="HT138" s="54">
        <f>SUM(HT131:HT137)</f>
        <v>12077</v>
      </c>
      <c r="HU138" s="53">
        <f>AVERAGE(HU131:HU137)</f>
        <v>92.512430734994837</v>
      </c>
      <c r="HV138" s="63">
        <f>HV136/HV135*100-100</f>
        <v>13.62694684796044</v>
      </c>
      <c r="HW138" s="67">
        <f>HW136/HW135*100-100</f>
        <v>7.7738738738738675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2.7956388034665923E-3</v>
      </c>
      <c r="HL139" s="66">
        <f>HL138/HN128</f>
        <v>0</v>
      </c>
      <c r="HM139" s="45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373">
        <v>40</v>
      </c>
      <c r="B140" s="68">
        <f>B137+1</f>
        <v>45046</v>
      </c>
      <c r="C140" s="33"/>
      <c r="D140" s="34"/>
      <c r="E140" s="34">
        <f>E137-C140</f>
        <v>631</v>
      </c>
      <c r="F140" s="34">
        <f>F137-D140</f>
        <v>52</v>
      </c>
      <c r="G140" s="34">
        <v>300</v>
      </c>
      <c r="H140" s="35">
        <f t="shared" ref="H140:H146" si="875">((G140+I140)/E140)</f>
        <v>0.51188589540412044</v>
      </c>
      <c r="I140" s="34">
        <v>23</v>
      </c>
      <c r="J140" s="35">
        <f>I140/(G140+I140)</f>
        <v>7.1207430340557279E-2</v>
      </c>
      <c r="K140" s="36"/>
      <c r="L140" s="34"/>
      <c r="M140" s="34"/>
      <c r="N140" s="37"/>
      <c r="O140" s="33">
        <v>1</v>
      </c>
      <c r="P140" s="34"/>
      <c r="Q140" s="34">
        <f>Q137-O140</f>
        <v>628</v>
      </c>
      <c r="R140" s="34">
        <f>R137-P140</f>
        <v>53</v>
      </c>
      <c r="S140" s="34">
        <v>321</v>
      </c>
      <c r="T140" s="35">
        <f t="shared" ref="T140:T146" si="876">((S140+U140)/Q140)</f>
        <v>0.53980891719745228</v>
      </c>
      <c r="U140" s="34">
        <v>18</v>
      </c>
      <c r="V140" s="35">
        <f t="shared" ref="V140:V146" si="877">U140/(S140+U140)</f>
        <v>5.3097345132743362E-2</v>
      </c>
      <c r="W140" s="36"/>
      <c r="X140" s="34"/>
      <c r="Y140" s="34"/>
      <c r="Z140" s="37"/>
      <c r="AA140" s="33"/>
      <c r="AB140" s="34"/>
      <c r="AC140" s="34">
        <f>AC137-AA140</f>
        <v>192</v>
      </c>
      <c r="AD140" s="34">
        <f>AD137-AB140</f>
        <v>15</v>
      </c>
      <c r="AE140" s="34">
        <v>72</v>
      </c>
      <c r="AF140" s="35">
        <f t="shared" ref="AF140:AF146" si="878">((AE140+AG140)/AC140)</f>
        <v>0.38020833333333331</v>
      </c>
      <c r="AG140" s="34">
        <v>1</v>
      </c>
      <c r="AH140" s="35">
        <f t="shared" ref="AH140:AH146" si="879">AG140/(AE140+AG140)</f>
        <v>1.3698630136986301E-2</v>
      </c>
      <c r="AI140" s="36"/>
      <c r="AJ140" s="34"/>
      <c r="AK140" s="34"/>
      <c r="AL140" s="37"/>
      <c r="AM140" s="33">
        <v>2</v>
      </c>
      <c r="AN140" s="34"/>
      <c r="AO140" s="34">
        <f>AO137-AM140</f>
        <v>704</v>
      </c>
      <c r="AP140" s="34">
        <f>AP137-AN140</f>
        <v>60</v>
      </c>
      <c r="AQ140" s="34">
        <v>315</v>
      </c>
      <c r="AR140" s="35">
        <f t="shared" ref="AR140:AR146" si="880">((AQ140+AS140)/AO140)</f>
        <v>0.45738636363636365</v>
      </c>
      <c r="AS140" s="34">
        <v>7</v>
      </c>
      <c r="AT140" s="35">
        <f t="shared" ref="AT140:AT146" si="881">AS140/(AQ140+AS140)</f>
        <v>2.1739130434782608E-2</v>
      </c>
      <c r="AU140" s="36"/>
      <c r="AV140" s="34"/>
      <c r="AW140" s="34"/>
      <c r="AX140" s="37"/>
      <c r="AY140" s="33">
        <v>2</v>
      </c>
      <c r="AZ140" s="34"/>
      <c r="BA140" s="34">
        <f>BA137-AY140</f>
        <v>701</v>
      </c>
      <c r="BB140" s="34">
        <f>BB137-AZ140</f>
        <v>60</v>
      </c>
      <c r="BC140" s="34">
        <v>324</v>
      </c>
      <c r="BD140" s="35">
        <f t="shared" ref="BD140:BD146" si="882">((BC140+BE140)/BA140)</f>
        <v>0.47931526390870183</v>
      </c>
      <c r="BE140" s="34">
        <v>12</v>
      </c>
      <c r="BF140" s="35">
        <f t="shared" ref="BF140:BF146" si="883">BE140/(BC140+BE140)</f>
        <v>3.5714285714285712E-2</v>
      </c>
      <c r="BG140" s="36"/>
      <c r="BH140" s="34"/>
      <c r="BI140" s="34"/>
      <c r="BJ140" s="37"/>
      <c r="BK140" s="33"/>
      <c r="BL140" s="34"/>
      <c r="BM140" s="34">
        <f>BM137-BK140</f>
        <v>706</v>
      </c>
      <c r="BN140" s="34">
        <f>BN137-BL140</f>
        <v>60</v>
      </c>
      <c r="BO140" s="34">
        <v>297</v>
      </c>
      <c r="BP140" s="35">
        <f t="shared" ref="BP140:BP146" si="884">((BO140+BQ140)/BM140)</f>
        <v>0.44050991501416431</v>
      </c>
      <c r="BQ140" s="34">
        <v>14</v>
      </c>
      <c r="BR140" s="35">
        <f t="shared" ref="BR140:BR146" si="885">BQ140/(BO140+BQ140)</f>
        <v>4.5016077170418008E-2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886">((CA140+CC140)/BY140)</f>
        <v>#DIV/0!</v>
      </c>
      <c r="CC140" s="34"/>
      <c r="CD140" s="35" t="e">
        <f t="shared" ref="CD140:CD146" si="887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888">((CM140+CO140)/CK140)</f>
        <v>#DIV/0!</v>
      </c>
      <c r="CO140" s="34"/>
      <c r="CP140" s="35" t="e">
        <f t="shared" ref="CP140:CP146" si="889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890">((CY140+DA140)/CW140)</f>
        <v>#DIV/0!</v>
      </c>
      <c r="DA140" s="34"/>
      <c r="DB140" s="35" t="e">
        <f t="shared" ref="DB140:DB146" si="891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892">((DK140+DM140)/DI140)</f>
        <v>#DIV/0!</v>
      </c>
      <c r="DM140" s="34"/>
      <c r="DN140" s="35" t="e">
        <f t="shared" ref="DN140:DN146" si="893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894">((DW140+DY140)/DU140)</f>
        <v>#DIV/0!</v>
      </c>
      <c r="DY140" s="34"/>
      <c r="DZ140" s="35" t="e">
        <f t="shared" ref="DZ140:DZ146" si="895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896">((EI140+EK140)/EG140)</f>
        <v>#DIV/0!</v>
      </c>
      <c r="EK140" s="34"/>
      <c r="EL140" s="35" t="e">
        <f t="shared" ref="EL140:EL146" si="897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898">((EU140+EW140)/ES140)</f>
        <v>#DIV/0!</v>
      </c>
      <c r="EW140" s="34"/>
      <c r="EX140" s="35" t="e">
        <f t="shared" ref="EX140:EX146" si="899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900">((FG140+FI140)/FE140)</f>
        <v>#DIV/0!</v>
      </c>
      <c r="FI140" s="34"/>
      <c r="FJ140" s="35" t="e">
        <f t="shared" ref="FJ140:FJ146" si="901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902">((FS140+FU140)/FQ140)</f>
        <v>#DIV/0!</v>
      </c>
      <c r="FU140" s="34"/>
      <c r="FV140" s="35" t="e">
        <f t="shared" ref="FV140:FV146" si="903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904">((GE140+GG140)/GC140)</f>
        <v>#DIV/0!</v>
      </c>
      <c r="GG140" s="34"/>
      <c r="GH140" s="35" t="e">
        <f t="shared" ref="GH140:GH146" si="905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906">((GQ140+GS140)/GO140)</f>
        <v>#DIV/0!</v>
      </c>
      <c r="GS140" s="34"/>
      <c r="GT140" s="35" t="e">
        <f t="shared" ref="GT140:GT146" si="907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908">((HC140+HE140)/HA140)</f>
        <v>#DIV/0!</v>
      </c>
      <c r="HE140" s="34"/>
      <c r="HF140" s="35" t="e">
        <f t="shared" ref="HF140:HF146" si="909">HE140/(HC140+HE140)</f>
        <v>#DIV/0!</v>
      </c>
      <c r="HG140" s="36"/>
      <c r="HH140" s="34"/>
      <c r="HI140" s="34"/>
      <c r="HJ140" s="37"/>
      <c r="HK140" s="33">
        <f t="shared" ref="HK140:HN147" si="910">+C140+O140+AA140+AM140+AY140+BK140+BW140+CI140+CU140+DG140+DS140+EE140+EQ140+FC140+FO140+GA140+GM140+GY140</f>
        <v>5</v>
      </c>
      <c r="HL140" s="34">
        <f t="shared" si="910"/>
        <v>0</v>
      </c>
      <c r="HM140" s="34">
        <f t="shared" si="910"/>
        <v>3562</v>
      </c>
      <c r="HN140" s="34">
        <f t="shared" si="910"/>
        <v>300</v>
      </c>
      <c r="HO140" s="34">
        <f t="shared" ref="HO140:HO147" si="911">+G140+S140+AE140+AQ140+BC140+BO140+CA140+CM140+CY140+DK140+DW140+EI140+EU140+FG140+FS140+GE140+GQ140+HC140+I140+U140+AG140+AS140+BE140+BQ140+CC140+CO140+DA140+DM140+DY140+EK140+EW140+FI140+FU140+GG140+GS140+HE140</f>
        <v>1704</v>
      </c>
      <c r="HP140" s="94">
        <f t="shared" ref="HP140:HP146" si="912">+(HO140)/HM140</f>
        <v>0.47838293093767548</v>
      </c>
      <c r="HQ140" s="48">
        <f t="shared" ref="HQ140:HQ147" si="913">+I140+U140+AG140+AS140+BE140+BQ140+CC140+CO140+DA140+DM140+DY140+EK140+EW140+FI140+FU140+GG140+GS140+HE140</f>
        <v>75</v>
      </c>
      <c r="HR140" s="35">
        <f>+(HQ140/(HO140))</f>
        <v>4.401408450704225E-2</v>
      </c>
      <c r="HS140" s="49">
        <v>68.400000000000006</v>
      </c>
      <c r="HT140" s="50">
        <v>1576</v>
      </c>
      <c r="HU140" s="49">
        <f t="shared" ref="HU140:HU146" si="914">+HT140/HO140*100</f>
        <v>92.488262910798127</v>
      </c>
      <c r="HV140" s="48"/>
      <c r="HW140" s="37"/>
    </row>
    <row r="141" spans="1:231" ht="18.75" x14ac:dyDescent="0.25">
      <c r="A141" s="374"/>
      <c r="B141" s="41">
        <f t="shared" si="814"/>
        <v>45047</v>
      </c>
      <c r="C141" s="10">
        <v>1</v>
      </c>
      <c r="D141" s="11"/>
      <c r="E141" s="69">
        <f t="shared" ref="E141:F145" si="915">E140-C141</f>
        <v>630</v>
      </c>
      <c r="F141" s="69">
        <f t="shared" si="915"/>
        <v>52</v>
      </c>
      <c r="G141" s="11">
        <v>308</v>
      </c>
      <c r="H141" s="12">
        <f t="shared" si="875"/>
        <v>0.50793650793650791</v>
      </c>
      <c r="I141" s="11">
        <v>12</v>
      </c>
      <c r="J141" s="12">
        <f t="shared" ref="J141:J146" si="916">I141/(G141+I141)</f>
        <v>3.7499999999999999E-2</v>
      </c>
      <c r="K141" s="13"/>
      <c r="L141" s="11"/>
      <c r="M141" s="11"/>
      <c r="N141" s="14"/>
      <c r="O141" s="10"/>
      <c r="P141" s="11"/>
      <c r="Q141" s="69">
        <f t="shared" ref="Q141:R146" si="917">Q140-O141</f>
        <v>628</v>
      </c>
      <c r="R141" s="69">
        <f t="shared" si="917"/>
        <v>53</v>
      </c>
      <c r="S141" s="11">
        <v>316</v>
      </c>
      <c r="T141" s="12">
        <f t="shared" si="876"/>
        <v>0.52707006369426757</v>
      </c>
      <c r="U141" s="11">
        <v>15</v>
      </c>
      <c r="V141" s="12">
        <f t="shared" si="877"/>
        <v>4.5317220543806644E-2</v>
      </c>
      <c r="W141" s="13"/>
      <c r="X141" s="11"/>
      <c r="Y141" s="11"/>
      <c r="Z141" s="14"/>
      <c r="AA141" s="10">
        <v>1</v>
      </c>
      <c r="AB141" s="11"/>
      <c r="AC141" s="69">
        <f t="shared" ref="AC141:AD146" si="918">AC140-AA141</f>
        <v>191</v>
      </c>
      <c r="AD141" s="69">
        <f t="shared" si="918"/>
        <v>15</v>
      </c>
      <c r="AE141" s="11">
        <v>79</v>
      </c>
      <c r="AF141" s="12">
        <f t="shared" si="878"/>
        <v>0.42408376963350786</v>
      </c>
      <c r="AG141" s="11">
        <v>2</v>
      </c>
      <c r="AH141" s="12">
        <f t="shared" si="879"/>
        <v>2.4691358024691357E-2</v>
      </c>
      <c r="AI141" s="13"/>
      <c r="AJ141" s="11"/>
      <c r="AK141" s="11"/>
      <c r="AL141" s="14"/>
      <c r="AM141" s="10"/>
      <c r="AN141" s="11"/>
      <c r="AO141" s="69">
        <f t="shared" ref="AO141:AP146" si="919">AO140-AM141</f>
        <v>704</v>
      </c>
      <c r="AP141" s="69">
        <f t="shared" si="919"/>
        <v>60</v>
      </c>
      <c r="AQ141" s="11">
        <v>350</v>
      </c>
      <c r="AR141" s="12">
        <f t="shared" si="880"/>
        <v>0.51988636363636365</v>
      </c>
      <c r="AS141" s="11">
        <v>16</v>
      </c>
      <c r="AT141" s="12">
        <f t="shared" si="881"/>
        <v>4.3715846994535519E-2</v>
      </c>
      <c r="AU141" s="13"/>
      <c r="AV141" s="11"/>
      <c r="AW141" s="11"/>
      <c r="AX141" s="14"/>
      <c r="AY141" s="10"/>
      <c r="AZ141" s="11"/>
      <c r="BA141" s="69">
        <f t="shared" ref="BA141:BB146" si="920">BA140-AY141</f>
        <v>701</v>
      </c>
      <c r="BB141" s="69">
        <f t="shared" si="920"/>
        <v>60</v>
      </c>
      <c r="BC141" s="11">
        <v>360</v>
      </c>
      <c r="BD141" s="12">
        <f t="shared" si="882"/>
        <v>0.53067047075606277</v>
      </c>
      <c r="BE141" s="11">
        <v>12</v>
      </c>
      <c r="BF141" s="12">
        <f t="shared" si="883"/>
        <v>3.2258064516129031E-2</v>
      </c>
      <c r="BG141" s="13"/>
      <c r="BH141" s="11"/>
      <c r="BI141" s="11"/>
      <c r="BJ141" s="14"/>
      <c r="BK141" s="10"/>
      <c r="BL141" s="11"/>
      <c r="BM141" s="69">
        <f t="shared" ref="BM141:BN146" si="921">BM140-BK141</f>
        <v>706</v>
      </c>
      <c r="BN141" s="69">
        <f t="shared" si="921"/>
        <v>60</v>
      </c>
      <c r="BO141" s="11">
        <v>319</v>
      </c>
      <c r="BP141" s="12">
        <f t="shared" si="884"/>
        <v>0.471671388101983</v>
      </c>
      <c r="BQ141" s="11">
        <v>14</v>
      </c>
      <c r="BR141" s="12">
        <f t="shared" si="885"/>
        <v>4.2042042042042045E-2</v>
      </c>
      <c r="BS141" s="13"/>
      <c r="BT141" s="11"/>
      <c r="BU141" s="11"/>
      <c r="BV141" s="14"/>
      <c r="BW141" s="10"/>
      <c r="BX141" s="11"/>
      <c r="BY141" s="69">
        <f t="shared" ref="BY141:BZ146" si="922">BY140-BW141</f>
        <v>0</v>
      </c>
      <c r="BZ141" s="69">
        <f t="shared" si="922"/>
        <v>0</v>
      </c>
      <c r="CA141" s="11"/>
      <c r="CB141" s="12" t="e">
        <f t="shared" si="886"/>
        <v>#DIV/0!</v>
      </c>
      <c r="CC141" s="11"/>
      <c r="CD141" s="12" t="e">
        <f t="shared" si="887"/>
        <v>#DIV/0!</v>
      </c>
      <c r="CE141" s="13"/>
      <c r="CF141" s="11"/>
      <c r="CG141" s="11"/>
      <c r="CH141" s="14"/>
      <c r="CI141" s="10"/>
      <c r="CJ141" s="11"/>
      <c r="CK141" s="69">
        <f t="shared" ref="CK141:CL146" si="923">CK140-CI141</f>
        <v>0</v>
      </c>
      <c r="CL141" s="69">
        <f t="shared" si="923"/>
        <v>0</v>
      </c>
      <c r="CM141" s="11"/>
      <c r="CN141" s="12" t="e">
        <f t="shared" si="888"/>
        <v>#DIV/0!</v>
      </c>
      <c r="CO141" s="11"/>
      <c r="CP141" s="12" t="e">
        <f t="shared" si="889"/>
        <v>#DIV/0!</v>
      </c>
      <c r="CQ141" s="13"/>
      <c r="CR141" s="11"/>
      <c r="CS141" s="11"/>
      <c r="CT141" s="14"/>
      <c r="CU141" s="10"/>
      <c r="CV141" s="11"/>
      <c r="CW141" s="69">
        <f t="shared" ref="CW141:CX146" si="924">CW140-CU141</f>
        <v>0</v>
      </c>
      <c r="CX141" s="69">
        <f t="shared" si="924"/>
        <v>0</v>
      </c>
      <c r="CY141" s="11"/>
      <c r="CZ141" s="12" t="e">
        <f t="shared" si="890"/>
        <v>#DIV/0!</v>
      </c>
      <c r="DA141" s="11"/>
      <c r="DB141" s="12" t="e">
        <f t="shared" si="891"/>
        <v>#DIV/0!</v>
      </c>
      <c r="DC141" s="13"/>
      <c r="DD141" s="11"/>
      <c r="DE141" s="11"/>
      <c r="DF141" s="14"/>
      <c r="DG141" s="10"/>
      <c r="DH141" s="11"/>
      <c r="DI141" s="69">
        <f t="shared" ref="DI141:DJ146" si="925">DI140-DG141</f>
        <v>0</v>
      </c>
      <c r="DJ141" s="69">
        <f t="shared" si="925"/>
        <v>0</v>
      </c>
      <c r="DK141" s="11"/>
      <c r="DL141" s="12" t="e">
        <f t="shared" si="892"/>
        <v>#DIV/0!</v>
      </c>
      <c r="DM141" s="11"/>
      <c r="DN141" s="12" t="e">
        <f t="shared" si="893"/>
        <v>#DIV/0!</v>
      </c>
      <c r="DO141" s="13"/>
      <c r="DP141" s="11"/>
      <c r="DQ141" s="11"/>
      <c r="DR141" s="14"/>
      <c r="DS141" s="10"/>
      <c r="DT141" s="11"/>
      <c r="DU141" s="69">
        <f t="shared" ref="DU141:DV146" si="926">DU140-DS141</f>
        <v>0</v>
      </c>
      <c r="DV141" s="69">
        <f t="shared" si="926"/>
        <v>0</v>
      </c>
      <c r="DW141" s="11"/>
      <c r="DX141" s="12" t="e">
        <f t="shared" si="894"/>
        <v>#DIV/0!</v>
      </c>
      <c r="DY141" s="11"/>
      <c r="DZ141" s="12" t="e">
        <f t="shared" si="895"/>
        <v>#DIV/0!</v>
      </c>
      <c r="EA141" s="13"/>
      <c r="EB141" s="11"/>
      <c r="EC141" s="11"/>
      <c r="ED141" s="14"/>
      <c r="EE141" s="10"/>
      <c r="EF141" s="11"/>
      <c r="EG141" s="69">
        <f t="shared" ref="EG141:EH146" si="927">EG140-EE141</f>
        <v>0</v>
      </c>
      <c r="EH141" s="69">
        <f t="shared" si="927"/>
        <v>0</v>
      </c>
      <c r="EI141" s="11"/>
      <c r="EJ141" s="12" t="e">
        <f t="shared" si="896"/>
        <v>#DIV/0!</v>
      </c>
      <c r="EK141" s="11"/>
      <c r="EL141" s="12" t="e">
        <f t="shared" si="897"/>
        <v>#DIV/0!</v>
      </c>
      <c r="EM141" s="13"/>
      <c r="EN141" s="11"/>
      <c r="EO141" s="11"/>
      <c r="EP141" s="14"/>
      <c r="EQ141" s="10"/>
      <c r="ER141" s="11"/>
      <c r="ES141" s="69">
        <f t="shared" ref="ES141:ET146" si="928">ES140-EQ141</f>
        <v>0</v>
      </c>
      <c r="ET141" s="69">
        <f t="shared" si="928"/>
        <v>0</v>
      </c>
      <c r="EU141" s="11"/>
      <c r="EV141" s="12" t="e">
        <f t="shared" si="898"/>
        <v>#DIV/0!</v>
      </c>
      <c r="EW141" s="11"/>
      <c r="EX141" s="12" t="e">
        <f t="shared" si="899"/>
        <v>#DIV/0!</v>
      </c>
      <c r="EY141" s="13"/>
      <c r="EZ141" s="11"/>
      <c r="FA141" s="11"/>
      <c r="FB141" s="14"/>
      <c r="FC141" s="10"/>
      <c r="FD141" s="11"/>
      <c r="FE141" s="69">
        <f t="shared" ref="FE141:FF146" si="929">FE140-FC141</f>
        <v>0</v>
      </c>
      <c r="FF141" s="69">
        <f t="shared" si="929"/>
        <v>0</v>
      </c>
      <c r="FG141" s="11"/>
      <c r="FH141" s="12" t="e">
        <f t="shared" si="900"/>
        <v>#DIV/0!</v>
      </c>
      <c r="FI141" s="11"/>
      <c r="FJ141" s="12" t="e">
        <f t="shared" si="901"/>
        <v>#DIV/0!</v>
      </c>
      <c r="FK141" s="13"/>
      <c r="FL141" s="11"/>
      <c r="FM141" s="11"/>
      <c r="FN141" s="14"/>
      <c r="FO141" s="10"/>
      <c r="FP141" s="11"/>
      <c r="FQ141" s="69">
        <f t="shared" ref="FQ141:FR146" si="930">FQ140-FO141</f>
        <v>0</v>
      </c>
      <c r="FR141" s="69">
        <f t="shared" si="930"/>
        <v>0</v>
      </c>
      <c r="FS141" s="11"/>
      <c r="FT141" s="12" t="e">
        <f t="shared" si="902"/>
        <v>#DIV/0!</v>
      </c>
      <c r="FU141" s="11"/>
      <c r="FV141" s="12" t="e">
        <f t="shared" si="903"/>
        <v>#DIV/0!</v>
      </c>
      <c r="FW141" s="13"/>
      <c r="FX141" s="11"/>
      <c r="FY141" s="11"/>
      <c r="FZ141" s="14"/>
      <c r="GA141" s="10"/>
      <c r="GB141" s="11"/>
      <c r="GC141" s="69">
        <f t="shared" ref="GC141:GD146" si="931">GC140-GA141</f>
        <v>0</v>
      </c>
      <c r="GD141" s="69">
        <f t="shared" si="931"/>
        <v>0</v>
      </c>
      <c r="GE141" s="11"/>
      <c r="GF141" s="12" t="e">
        <f t="shared" si="904"/>
        <v>#DIV/0!</v>
      </c>
      <c r="GG141" s="11"/>
      <c r="GH141" s="12" t="e">
        <f t="shared" si="905"/>
        <v>#DIV/0!</v>
      </c>
      <c r="GI141" s="13"/>
      <c r="GJ141" s="11"/>
      <c r="GK141" s="11"/>
      <c r="GL141" s="14"/>
      <c r="GM141" s="10"/>
      <c r="GN141" s="11"/>
      <c r="GO141" s="69">
        <f t="shared" ref="GO141:GP146" si="932">GO140-GM141</f>
        <v>0</v>
      </c>
      <c r="GP141" s="69">
        <f t="shared" si="932"/>
        <v>0</v>
      </c>
      <c r="GQ141" s="11"/>
      <c r="GR141" s="12" t="e">
        <f t="shared" si="906"/>
        <v>#DIV/0!</v>
      </c>
      <c r="GS141" s="11"/>
      <c r="GT141" s="12" t="e">
        <f t="shared" si="907"/>
        <v>#DIV/0!</v>
      </c>
      <c r="GU141" s="13"/>
      <c r="GV141" s="11"/>
      <c r="GW141" s="11"/>
      <c r="GX141" s="14"/>
      <c r="GY141" s="10"/>
      <c r="GZ141" s="11"/>
      <c r="HA141" s="69">
        <f t="shared" ref="HA141:HB146" si="933">HA140-GY141</f>
        <v>0</v>
      </c>
      <c r="HB141" s="69">
        <f t="shared" si="933"/>
        <v>0</v>
      </c>
      <c r="HC141" s="11"/>
      <c r="HD141" s="12" t="e">
        <f t="shared" si="908"/>
        <v>#DIV/0!</v>
      </c>
      <c r="HE141" s="11"/>
      <c r="HF141" s="12" t="e">
        <f t="shared" si="909"/>
        <v>#DIV/0!</v>
      </c>
      <c r="HG141" s="13"/>
      <c r="HH141" s="11"/>
      <c r="HI141" s="11"/>
      <c r="HJ141" s="14"/>
      <c r="HK141" s="10">
        <f t="shared" si="910"/>
        <v>2</v>
      </c>
      <c r="HL141" s="11">
        <f t="shared" si="910"/>
        <v>0</v>
      </c>
      <c r="HM141" s="11">
        <f t="shared" si="910"/>
        <v>3560</v>
      </c>
      <c r="HN141" s="11">
        <f t="shared" si="910"/>
        <v>300</v>
      </c>
      <c r="HO141" s="11">
        <f t="shared" si="911"/>
        <v>1803</v>
      </c>
      <c r="HP141" s="95">
        <f t="shared" si="912"/>
        <v>0.50646067415730334</v>
      </c>
      <c r="HQ141" s="15">
        <f t="shared" si="913"/>
        <v>71</v>
      </c>
      <c r="HR141" s="12">
        <f t="shared" ref="HR141:HR147" si="934">+(HQ141/(HO141))</f>
        <v>3.9378813089295618E-2</v>
      </c>
      <c r="HS141" s="16">
        <v>68.8</v>
      </c>
      <c r="HT141" s="17">
        <v>1679</v>
      </c>
      <c r="HU141" s="16">
        <f t="shared" si="914"/>
        <v>93.122573488630053</v>
      </c>
      <c r="HV141" s="15"/>
      <c r="HW141" s="14"/>
    </row>
    <row r="142" spans="1:231" ht="18.75" x14ac:dyDescent="0.25">
      <c r="A142" s="374"/>
      <c r="B142" s="41">
        <f t="shared" si="814"/>
        <v>45048</v>
      </c>
      <c r="C142" s="10"/>
      <c r="D142" s="11"/>
      <c r="E142" s="69">
        <f t="shared" si="915"/>
        <v>630</v>
      </c>
      <c r="F142" s="69">
        <f t="shared" si="915"/>
        <v>52</v>
      </c>
      <c r="G142" s="11">
        <v>298</v>
      </c>
      <c r="H142" s="12">
        <f t="shared" si="875"/>
        <v>0.51269841269841265</v>
      </c>
      <c r="I142" s="11">
        <v>25</v>
      </c>
      <c r="J142" s="12">
        <f t="shared" si="916"/>
        <v>7.7399380804953566E-2</v>
      </c>
      <c r="K142" s="13"/>
      <c r="L142" s="11"/>
      <c r="M142" s="11"/>
      <c r="N142" s="14"/>
      <c r="O142" s="10"/>
      <c r="P142" s="11"/>
      <c r="Q142" s="69">
        <f t="shared" si="917"/>
        <v>628</v>
      </c>
      <c r="R142" s="69">
        <f t="shared" si="917"/>
        <v>53</v>
      </c>
      <c r="S142" s="11">
        <v>311</v>
      </c>
      <c r="T142" s="12">
        <f t="shared" si="876"/>
        <v>0.5286624203821656</v>
      </c>
      <c r="U142" s="11">
        <v>21</v>
      </c>
      <c r="V142" s="12">
        <f t="shared" si="877"/>
        <v>6.3253012048192767E-2</v>
      </c>
      <c r="W142" s="13"/>
      <c r="X142" s="11"/>
      <c r="Y142" s="11"/>
      <c r="Z142" s="14"/>
      <c r="AA142" s="10"/>
      <c r="AB142" s="11"/>
      <c r="AC142" s="69">
        <f t="shared" si="918"/>
        <v>191</v>
      </c>
      <c r="AD142" s="69">
        <f t="shared" si="918"/>
        <v>15</v>
      </c>
      <c r="AE142" s="11">
        <v>90</v>
      </c>
      <c r="AF142" s="12">
        <f t="shared" si="878"/>
        <v>0.48691099476439792</v>
      </c>
      <c r="AG142" s="11">
        <v>3</v>
      </c>
      <c r="AH142" s="12">
        <f t="shared" si="879"/>
        <v>3.2258064516129031E-2</v>
      </c>
      <c r="AI142" s="13"/>
      <c r="AJ142" s="11"/>
      <c r="AK142" s="11"/>
      <c r="AL142" s="14"/>
      <c r="AM142" s="10"/>
      <c r="AN142" s="11"/>
      <c r="AO142" s="69">
        <f t="shared" si="919"/>
        <v>704</v>
      </c>
      <c r="AP142" s="69">
        <f t="shared" si="919"/>
        <v>60</v>
      </c>
      <c r="AQ142" s="11">
        <v>337</v>
      </c>
      <c r="AR142" s="12">
        <f t="shared" si="880"/>
        <v>0.50710227272727271</v>
      </c>
      <c r="AS142" s="11">
        <v>20</v>
      </c>
      <c r="AT142" s="12">
        <f t="shared" si="881"/>
        <v>5.6022408963585436E-2</v>
      </c>
      <c r="AU142" s="13"/>
      <c r="AV142" s="11"/>
      <c r="AW142" s="11"/>
      <c r="AX142" s="14"/>
      <c r="AY142" s="10"/>
      <c r="AZ142" s="11"/>
      <c r="BA142" s="69">
        <f t="shared" si="920"/>
        <v>701</v>
      </c>
      <c r="BB142" s="69">
        <f t="shared" si="920"/>
        <v>60</v>
      </c>
      <c r="BC142" s="11">
        <v>323</v>
      </c>
      <c r="BD142" s="12">
        <f t="shared" si="882"/>
        <v>0.48930099857346648</v>
      </c>
      <c r="BE142" s="11">
        <v>20</v>
      </c>
      <c r="BF142" s="12">
        <f t="shared" si="883"/>
        <v>5.8309037900874633E-2</v>
      </c>
      <c r="BG142" s="13"/>
      <c r="BH142" s="11"/>
      <c r="BI142" s="11"/>
      <c r="BJ142" s="14"/>
      <c r="BK142" s="10"/>
      <c r="BL142" s="11"/>
      <c r="BM142" s="69">
        <f t="shared" si="921"/>
        <v>706</v>
      </c>
      <c r="BN142" s="69">
        <f t="shared" si="921"/>
        <v>60</v>
      </c>
      <c r="BO142" s="11">
        <v>328</v>
      </c>
      <c r="BP142" s="12">
        <f t="shared" si="884"/>
        <v>0.49291784702549574</v>
      </c>
      <c r="BQ142" s="11">
        <v>20</v>
      </c>
      <c r="BR142" s="12">
        <f t="shared" si="885"/>
        <v>5.7471264367816091E-2</v>
      </c>
      <c r="BS142" s="13"/>
      <c r="BT142" s="11"/>
      <c r="BU142" s="11"/>
      <c r="BV142" s="14"/>
      <c r="BW142" s="10"/>
      <c r="BX142" s="11"/>
      <c r="BY142" s="69">
        <f t="shared" si="922"/>
        <v>0</v>
      </c>
      <c r="BZ142" s="69">
        <f t="shared" si="922"/>
        <v>0</v>
      </c>
      <c r="CA142" s="11"/>
      <c r="CB142" s="12" t="e">
        <f t="shared" si="886"/>
        <v>#DIV/0!</v>
      </c>
      <c r="CC142" s="11"/>
      <c r="CD142" s="12" t="e">
        <f t="shared" si="887"/>
        <v>#DIV/0!</v>
      </c>
      <c r="CE142" s="13"/>
      <c r="CF142" s="11"/>
      <c r="CG142" s="11"/>
      <c r="CH142" s="14"/>
      <c r="CI142" s="10"/>
      <c r="CJ142" s="11"/>
      <c r="CK142" s="69">
        <f t="shared" si="923"/>
        <v>0</v>
      </c>
      <c r="CL142" s="69">
        <f t="shared" si="923"/>
        <v>0</v>
      </c>
      <c r="CM142" s="11"/>
      <c r="CN142" s="12" t="e">
        <f t="shared" si="888"/>
        <v>#DIV/0!</v>
      </c>
      <c r="CO142" s="11"/>
      <c r="CP142" s="12" t="e">
        <f t="shared" si="889"/>
        <v>#DIV/0!</v>
      </c>
      <c r="CQ142" s="13"/>
      <c r="CR142" s="11"/>
      <c r="CS142" s="11"/>
      <c r="CT142" s="14"/>
      <c r="CU142" s="10"/>
      <c r="CV142" s="11"/>
      <c r="CW142" s="69">
        <f t="shared" si="924"/>
        <v>0</v>
      </c>
      <c r="CX142" s="69">
        <f t="shared" si="924"/>
        <v>0</v>
      </c>
      <c r="CY142" s="11"/>
      <c r="CZ142" s="12" t="e">
        <f t="shared" si="890"/>
        <v>#DIV/0!</v>
      </c>
      <c r="DA142" s="11"/>
      <c r="DB142" s="12" t="e">
        <f t="shared" si="891"/>
        <v>#DIV/0!</v>
      </c>
      <c r="DC142" s="13"/>
      <c r="DD142" s="11"/>
      <c r="DE142" s="11"/>
      <c r="DF142" s="14"/>
      <c r="DG142" s="10"/>
      <c r="DH142" s="11"/>
      <c r="DI142" s="69">
        <f t="shared" si="925"/>
        <v>0</v>
      </c>
      <c r="DJ142" s="69">
        <f t="shared" si="925"/>
        <v>0</v>
      </c>
      <c r="DK142" s="11"/>
      <c r="DL142" s="12" t="e">
        <f t="shared" si="892"/>
        <v>#DIV/0!</v>
      </c>
      <c r="DM142" s="11"/>
      <c r="DN142" s="12" t="e">
        <f t="shared" si="893"/>
        <v>#DIV/0!</v>
      </c>
      <c r="DO142" s="13"/>
      <c r="DP142" s="11"/>
      <c r="DQ142" s="11"/>
      <c r="DR142" s="14"/>
      <c r="DS142" s="10"/>
      <c r="DT142" s="11"/>
      <c r="DU142" s="69">
        <f t="shared" si="926"/>
        <v>0</v>
      </c>
      <c r="DV142" s="69">
        <f t="shared" si="926"/>
        <v>0</v>
      </c>
      <c r="DW142" s="11"/>
      <c r="DX142" s="12" t="e">
        <f t="shared" si="894"/>
        <v>#DIV/0!</v>
      </c>
      <c r="DY142" s="11"/>
      <c r="DZ142" s="12" t="e">
        <f t="shared" si="895"/>
        <v>#DIV/0!</v>
      </c>
      <c r="EA142" s="13"/>
      <c r="EB142" s="11"/>
      <c r="EC142" s="11"/>
      <c r="ED142" s="14"/>
      <c r="EE142" s="10"/>
      <c r="EF142" s="11"/>
      <c r="EG142" s="69">
        <f t="shared" si="927"/>
        <v>0</v>
      </c>
      <c r="EH142" s="69">
        <f t="shared" si="927"/>
        <v>0</v>
      </c>
      <c r="EI142" s="11"/>
      <c r="EJ142" s="12" t="e">
        <f t="shared" si="896"/>
        <v>#DIV/0!</v>
      </c>
      <c r="EK142" s="11"/>
      <c r="EL142" s="12" t="e">
        <f t="shared" si="897"/>
        <v>#DIV/0!</v>
      </c>
      <c r="EM142" s="13"/>
      <c r="EN142" s="11"/>
      <c r="EO142" s="11"/>
      <c r="EP142" s="14"/>
      <c r="EQ142" s="10"/>
      <c r="ER142" s="11"/>
      <c r="ES142" s="69">
        <f t="shared" si="928"/>
        <v>0</v>
      </c>
      <c r="ET142" s="69">
        <f t="shared" si="928"/>
        <v>0</v>
      </c>
      <c r="EU142" s="11"/>
      <c r="EV142" s="12" t="e">
        <f t="shared" si="898"/>
        <v>#DIV/0!</v>
      </c>
      <c r="EW142" s="11"/>
      <c r="EX142" s="12" t="e">
        <f t="shared" si="899"/>
        <v>#DIV/0!</v>
      </c>
      <c r="EY142" s="13"/>
      <c r="EZ142" s="11"/>
      <c r="FA142" s="11"/>
      <c r="FB142" s="14"/>
      <c r="FC142" s="10"/>
      <c r="FD142" s="11"/>
      <c r="FE142" s="69">
        <f t="shared" si="929"/>
        <v>0</v>
      </c>
      <c r="FF142" s="69">
        <f t="shared" si="929"/>
        <v>0</v>
      </c>
      <c r="FG142" s="11"/>
      <c r="FH142" s="12" t="e">
        <f t="shared" si="900"/>
        <v>#DIV/0!</v>
      </c>
      <c r="FI142" s="11"/>
      <c r="FJ142" s="12" t="e">
        <f t="shared" si="901"/>
        <v>#DIV/0!</v>
      </c>
      <c r="FK142" s="13"/>
      <c r="FL142" s="11"/>
      <c r="FM142" s="11"/>
      <c r="FN142" s="14"/>
      <c r="FO142" s="10"/>
      <c r="FP142" s="11"/>
      <c r="FQ142" s="69">
        <f t="shared" si="930"/>
        <v>0</v>
      </c>
      <c r="FR142" s="69">
        <f t="shared" si="930"/>
        <v>0</v>
      </c>
      <c r="FS142" s="11"/>
      <c r="FT142" s="12" t="e">
        <f t="shared" si="902"/>
        <v>#DIV/0!</v>
      </c>
      <c r="FU142" s="11"/>
      <c r="FV142" s="12" t="e">
        <f t="shared" si="903"/>
        <v>#DIV/0!</v>
      </c>
      <c r="FW142" s="13"/>
      <c r="FX142" s="11"/>
      <c r="FY142" s="11"/>
      <c r="FZ142" s="14"/>
      <c r="GA142" s="10"/>
      <c r="GB142" s="11"/>
      <c r="GC142" s="69">
        <f t="shared" si="931"/>
        <v>0</v>
      </c>
      <c r="GD142" s="69">
        <f t="shared" si="931"/>
        <v>0</v>
      </c>
      <c r="GE142" s="11"/>
      <c r="GF142" s="12" t="e">
        <f t="shared" si="904"/>
        <v>#DIV/0!</v>
      </c>
      <c r="GG142" s="11"/>
      <c r="GH142" s="12" t="e">
        <f t="shared" si="905"/>
        <v>#DIV/0!</v>
      </c>
      <c r="GI142" s="13"/>
      <c r="GJ142" s="11"/>
      <c r="GK142" s="11"/>
      <c r="GL142" s="14"/>
      <c r="GM142" s="10"/>
      <c r="GN142" s="11"/>
      <c r="GO142" s="69">
        <f t="shared" si="932"/>
        <v>0</v>
      </c>
      <c r="GP142" s="69">
        <f t="shared" si="932"/>
        <v>0</v>
      </c>
      <c r="GQ142" s="11"/>
      <c r="GR142" s="12" t="e">
        <f t="shared" si="906"/>
        <v>#DIV/0!</v>
      </c>
      <c r="GS142" s="11"/>
      <c r="GT142" s="12" t="e">
        <f t="shared" si="907"/>
        <v>#DIV/0!</v>
      </c>
      <c r="GU142" s="13"/>
      <c r="GV142" s="11"/>
      <c r="GW142" s="11"/>
      <c r="GX142" s="14"/>
      <c r="GY142" s="10"/>
      <c r="GZ142" s="11"/>
      <c r="HA142" s="69">
        <f t="shared" si="933"/>
        <v>0</v>
      </c>
      <c r="HB142" s="69">
        <f t="shared" si="933"/>
        <v>0</v>
      </c>
      <c r="HC142" s="11"/>
      <c r="HD142" s="12" t="e">
        <f t="shared" si="908"/>
        <v>#DIV/0!</v>
      </c>
      <c r="HE142" s="11"/>
      <c r="HF142" s="12" t="e">
        <f t="shared" si="909"/>
        <v>#DIV/0!</v>
      </c>
      <c r="HG142" s="13"/>
      <c r="HH142" s="11"/>
      <c r="HI142" s="11"/>
      <c r="HJ142" s="14"/>
      <c r="HK142" s="10">
        <f t="shared" si="910"/>
        <v>0</v>
      </c>
      <c r="HL142" s="11">
        <f t="shared" si="910"/>
        <v>0</v>
      </c>
      <c r="HM142" s="11">
        <f t="shared" si="910"/>
        <v>3560</v>
      </c>
      <c r="HN142" s="11">
        <f t="shared" si="910"/>
        <v>300</v>
      </c>
      <c r="HO142" s="11">
        <f t="shared" si="911"/>
        <v>1796</v>
      </c>
      <c r="HP142" s="95">
        <f t="shared" si="912"/>
        <v>0.50449438202247188</v>
      </c>
      <c r="HQ142" s="15">
        <f t="shared" si="913"/>
        <v>109</v>
      </c>
      <c r="HR142" s="12">
        <f t="shared" si="934"/>
        <v>6.0690423162583516E-2</v>
      </c>
      <c r="HS142" s="16">
        <v>69.7</v>
      </c>
      <c r="HT142" s="17">
        <v>1629</v>
      </c>
      <c r="HU142" s="16">
        <f t="shared" si="914"/>
        <v>90.701559020044542</v>
      </c>
      <c r="HV142" s="15"/>
      <c r="HW142" s="14"/>
    </row>
    <row r="143" spans="1:231" ht="18.75" x14ac:dyDescent="0.25">
      <c r="A143" s="374"/>
      <c r="B143" s="41">
        <f t="shared" si="814"/>
        <v>45049</v>
      </c>
      <c r="C143" s="10">
        <v>1</v>
      </c>
      <c r="D143" s="11">
        <v>1</v>
      </c>
      <c r="E143" s="69">
        <f t="shared" si="915"/>
        <v>629</v>
      </c>
      <c r="F143" s="69">
        <f t="shared" si="915"/>
        <v>51</v>
      </c>
      <c r="G143" s="11">
        <v>308</v>
      </c>
      <c r="H143" s="12">
        <f t="shared" si="875"/>
        <v>0.5119236883942766</v>
      </c>
      <c r="I143" s="11">
        <v>14</v>
      </c>
      <c r="J143" s="12">
        <f t="shared" si="916"/>
        <v>4.3478260869565216E-2</v>
      </c>
      <c r="K143" s="11"/>
      <c r="L143" s="11"/>
      <c r="M143" s="18"/>
      <c r="N143" s="20"/>
      <c r="O143" s="10"/>
      <c r="P143" s="11"/>
      <c r="Q143" s="69">
        <f t="shared" si="917"/>
        <v>628</v>
      </c>
      <c r="R143" s="69">
        <f t="shared" si="917"/>
        <v>53</v>
      </c>
      <c r="S143" s="11">
        <v>303</v>
      </c>
      <c r="T143" s="12">
        <f t="shared" si="876"/>
        <v>0.50159235668789814</v>
      </c>
      <c r="U143" s="11">
        <v>12</v>
      </c>
      <c r="V143" s="12">
        <f t="shared" si="877"/>
        <v>3.8095238095238099E-2</v>
      </c>
      <c r="W143" s="11"/>
      <c r="X143" s="11"/>
      <c r="Y143" s="18"/>
      <c r="Z143" s="20"/>
      <c r="AA143" s="10"/>
      <c r="AB143" s="11"/>
      <c r="AC143" s="69">
        <f t="shared" si="918"/>
        <v>191</v>
      </c>
      <c r="AD143" s="69">
        <f t="shared" si="918"/>
        <v>15</v>
      </c>
      <c r="AE143" s="11">
        <v>86</v>
      </c>
      <c r="AF143" s="12">
        <f t="shared" si="878"/>
        <v>0.46596858638743455</v>
      </c>
      <c r="AG143" s="11">
        <v>3</v>
      </c>
      <c r="AH143" s="12">
        <f t="shared" si="879"/>
        <v>3.3707865168539325E-2</v>
      </c>
      <c r="AI143" s="11"/>
      <c r="AJ143" s="11"/>
      <c r="AK143" s="18"/>
      <c r="AL143" s="20"/>
      <c r="AM143" s="10"/>
      <c r="AN143" s="11"/>
      <c r="AO143" s="69">
        <f t="shared" si="919"/>
        <v>704</v>
      </c>
      <c r="AP143" s="69">
        <f t="shared" si="919"/>
        <v>60</v>
      </c>
      <c r="AQ143" s="11">
        <v>312</v>
      </c>
      <c r="AR143" s="12">
        <f t="shared" si="880"/>
        <v>0.46590909090909088</v>
      </c>
      <c r="AS143" s="11">
        <v>16</v>
      </c>
      <c r="AT143" s="12">
        <f t="shared" si="881"/>
        <v>4.878048780487805E-2</v>
      </c>
      <c r="AU143" s="11"/>
      <c r="AV143" s="11"/>
      <c r="AW143" s="18"/>
      <c r="AX143" s="20"/>
      <c r="AY143" s="10">
        <v>1</v>
      </c>
      <c r="AZ143" s="11"/>
      <c r="BA143" s="69">
        <f t="shared" si="920"/>
        <v>700</v>
      </c>
      <c r="BB143" s="69">
        <f t="shared" si="920"/>
        <v>60</v>
      </c>
      <c r="BC143" s="11">
        <v>343</v>
      </c>
      <c r="BD143" s="12">
        <f t="shared" si="882"/>
        <v>0.51142857142857145</v>
      </c>
      <c r="BE143" s="11">
        <v>15</v>
      </c>
      <c r="BF143" s="12">
        <f t="shared" si="883"/>
        <v>4.189944134078212E-2</v>
      </c>
      <c r="BG143" s="11"/>
      <c r="BH143" s="11"/>
      <c r="BI143" s="18"/>
      <c r="BJ143" s="20"/>
      <c r="BK143" s="10"/>
      <c r="BL143" s="11">
        <v>1</v>
      </c>
      <c r="BM143" s="69">
        <f t="shared" si="921"/>
        <v>706</v>
      </c>
      <c r="BN143" s="69">
        <f t="shared" si="921"/>
        <v>59</v>
      </c>
      <c r="BO143" s="11">
        <v>314</v>
      </c>
      <c r="BP143" s="12">
        <f t="shared" si="884"/>
        <v>0.46883852691218131</v>
      </c>
      <c r="BQ143" s="11">
        <v>17</v>
      </c>
      <c r="BR143" s="12">
        <f t="shared" si="885"/>
        <v>5.1359516616314202E-2</v>
      </c>
      <c r="BS143" s="11"/>
      <c r="BT143" s="11"/>
      <c r="BU143" s="18"/>
      <c r="BV143" s="20"/>
      <c r="BW143" s="10"/>
      <c r="BX143" s="11"/>
      <c r="BY143" s="69">
        <f t="shared" si="922"/>
        <v>0</v>
      </c>
      <c r="BZ143" s="69">
        <f t="shared" si="922"/>
        <v>0</v>
      </c>
      <c r="CA143" s="11"/>
      <c r="CB143" s="12" t="e">
        <f t="shared" si="886"/>
        <v>#DIV/0!</v>
      </c>
      <c r="CC143" s="11"/>
      <c r="CD143" s="12" t="e">
        <f t="shared" si="887"/>
        <v>#DIV/0!</v>
      </c>
      <c r="CE143" s="11"/>
      <c r="CF143" s="11"/>
      <c r="CG143" s="18"/>
      <c r="CH143" s="20"/>
      <c r="CI143" s="10"/>
      <c r="CJ143" s="11"/>
      <c r="CK143" s="69">
        <f t="shared" si="923"/>
        <v>0</v>
      </c>
      <c r="CL143" s="69">
        <f t="shared" si="923"/>
        <v>0</v>
      </c>
      <c r="CM143" s="11"/>
      <c r="CN143" s="12" t="e">
        <f t="shared" si="888"/>
        <v>#DIV/0!</v>
      </c>
      <c r="CO143" s="11"/>
      <c r="CP143" s="12" t="e">
        <f t="shared" si="889"/>
        <v>#DIV/0!</v>
      </c>
      <c r="CQ143" s="11"/>
      <c r="CR143" s="11"/>
      <c r="CS143" s="18"/>
      <c r="CT143" s="20"/>
      <c r="CU143" s="10"/>
      <c r="CV143" s="11"/>
      <c r="CW143" s="69">
        <f t="shared" si="924"/>
        <v>0</v>
      </c>
      <c r="CX143" s="69">
        <f t="shared" si="924"/>
        <v>0</v>
      </c>
      <c r="CY143" s="11"/>
      <c r="CZ143" s="12" t="e">
        <f t="shared" si="890"/>
        <v>#DIV/0!</v>
      </c>
      <c r="DA143" s="11"/>
      <c r="DB143" s="12" t="e">
        <f t="shared" si="891"/>
        <v>#DIV/0!</v>
      </c>
      <c r="DC143" s="11"/>
      <c r="DD143" s="11"/>
      <c r="DE143" s="18"/>
      <c r="DF143" s="20"/>
      <c r="DG143" s="10"/>
      <c r="DH143" s="11"/>
      <c r="DI143" s="69">
        <f t="shared" si="925"/>
        <v>0</v>
      </c>
      <c r="DJ143" s="69">
        <f t="shared" si="925"/>
        <v>0</v>
      </c>
      <c r="DK143" s="11"/>
      <c r="DL143" s="12" t="e">
        <f t="shared" si="892"/>
        <v>#DIV/0!</v>
      </c>
      <c r="DM143" s="11"/>
      <c r="DN143" s="12" t="e">
        <f t="shared" si="893"/>
        <v>#DIV/0!</v>
      </c>
      <c r="DO143" s="11"/>
      <c r="DP143" s="11"/>
      <c r="DQ143" s="18"/>
      <c r="DR143" s="20"/>
      <c r="DS143" s="10"/>
      <c r="DT143" s="11"/>
      <c r="DU143" s="69">
        <f t="shared" si="926"/>
        <v>0</v>
      </c>
      <c r="DV143" s="69">
        <f t="shared" si="926"/>
        <v>0</v>
      </c>
      <c r="DW143" s="11"/>
      <c r="DX143" s="12" t="e">
        <f t="shared" si="894"/>
        <v>#DIV/0!</v>
      </c>
      <c r="DY143" s="11"/>
      <c r="DZ143" s="12" t="e">
        <f t="shared" si="895"/>
        <v>#DIV/0!</v>
      </c>
      <c r="EA143" s="11"/>
      <c r="EB143" s="11"/>
      <c r="EC143" s="18"/>
      <c r="ED143" s="20"/>
      <c r="EE143" s="10"/>
      <c r="EF143" s="11"/>
      <c r="EG143" s="69">
        <f t="shared" si="927"/>
        <v>0</v>
      </c>
      <c r="EH143" s="69">
        <f t="shared" si="927"/>
        <v>0</v>
      </c>
      <c r="EI143" s="11"/>
      <c r="EJ143" s="12" t="e">
        <f t="shared" si="896"/>
        <v>#DIV/0!</v>
      </c>
      <c r="EK143" s="11"/>
      <c r="EL143" s="12" t="e">
        <f t="shared" si="897"/>
        <v>#DIV/0!</v>
      </c>
      <c r="EM143" s="11"/>
      <c r="EN143" s="11"/>
      <c r="EO143" s="18"/>
      <c r="EP143" s="20"/>
      <c r="EQ143" s="10"/>
      <c r="ER143" s="11"/>
      <c r="ES143" s="69">
        <f t="shared" si="928"/>
        <v>0</v>
      </c>
      <c r="ET143" s="69">
        <f t="shared" si="928"/>
        <v>0</v>
      </c>
      <c r="EU143" s="11"/>
      <c r="EV143" s="12" t="e">
        <f t="shared" si="898"/>
        <v>#DIV/0!</v>
      </c>
      <c r="EW143" s="11"/>
      <c r="EX143" s="12" t="e">
        <f t="shared" si="899"/>
        <v>#DIV/0!</v>
      </c>
      <c r="EY143" s="11"/>
      <c r="EZ143" s="11"/>
      <c r="FA143" s="18"/>
      <c r="FB143" s="20"/>
      <c r="FC143" s="10"/>
      <c r="FD143" s="11"/>
      <c r="FE143" s="69">
        <f t="shared" si="929"/>
        <v>0</v>
      </c>
      <c r="FF143" s="69">
        <f t="shared" si="929"/>
        <v>0</v>
      </c>
      <c r="FG143" s="11"/>
      <c r="FH143" s="12" t="e">
        <f t="shared" si="900"/>
        <v>#DIV/0!</v>
      </c>
      <c r="FI143" s="11"/>
      <c r="FJ143" s="12" t="e">
        <f t="shared" si="901"/>
        <v>#DIV/0!</v>
      </c>
      <c r="FK143" s="11"/>
      <c r="FL143" s="11"/>
      <c r="FM143" s="18"/>
      <c r="FN143" s="20"/>
      <c r="FO143" s="10"/>
      <c r="FP143" s="11"/>
      <c r="FQ143" s="69">
        <f t="shared" si="930"/>
        <v>0</v>
      </c>
      <c r="FR143" s="69">
        <f t="shared" si="930"/>
        <v>0</v>
      </c>
      <c r="FS143" s="11"/>
      <c r="FT143" s="12" t="e">
        <f t="shared" si="902"/>
        <v>#DIV/0!</v>
      </c>
      <c r="FU143" s="11"/>
      <c r="FV143" s="12" t="e">
        <f t="shared" si="903"/>
        <v>#DIV/0!</v>
      </c>
      <c r="FW143" s="11"/>
      <c r="FX143" s="11"/>
      <c r="FY143" s="18"/>
      <c r="FZ143" s="20"/>
      <c r="GA143" s="10"/>
      <c r="GB143" s="11"/>
      <c r="GC143" s="69">
        <f t="shared" si="931"/>
        <v>0</v>
      </c>
      <c r="GD143" s="69">
        <f t="shared" si="931"/>
        <v>0</v>
      </c>
      <c r="GE143" s="11"/>
      <c r="GF143" s="12" t="e">
        <f t="shared" si="904"/>
        <v>#DIV/0!</v>
      </c>
      <c r="GG143" s="11"/>
      <c r="GH143" s="12" t="e">
        <f t="shared" si="905"/>
        <v>#DIV/0!</v>
      </c>
      <c r="GI143" s="11"/>
      <c r="GJ143" s="11"/>
      <c r="GK143" s="18"/>
      <c r="GL143" s="20"/>
      <c r="GM143" s="10"/>
      <c r="GN143" s="11"/>
      <c r="GO143" s="69">
        <f t="shared" si="932"/>
        <v>0</v>
      </c>
      <c r="GP143" s="69">
        <f t="shared" si="932"/>
        <v>0</v>
      </c>
      <c r="GQ143" s="11"/>
      <c r="GR143" s="12" t="e">
        <f t="shared" si="906"/>
        <v>#DIV/0!</v>
      </c>
      <c r="GS143" s="11"/>
      <c r="GT143" s="12" t="e">
        <f t="shared" si="907"/>
        <v>#DIV/0!</v>
      </c>
      <c r="GU143" s="11"/>
      <c r="GV143" s="11"/>
      <c r="GW143" s="18"/>
      <c r="GX143" s="20"/>
      <c r="GY143" s="10"/>
      <c r="GZ143" s="11"/>
      <c r="HA143" s="69">
        <f t="shared" si="933"/>
        <v>0</v>
      </c>
      <c r="HB143" s="69">
        <f t="shared" si="933"/>
        <v>0</v>
      </c>
      <c r="HC143" s="11"/>
      <c r="HD143" s="12" t="e">
        <f t="shared" si="908"/>
        <v>#DIV/0!</v>
      </c>
      <c r="HE143" s="11"/>
      <c r="HF143" s="12" t="e">
        <f t="shared" si="909"/>
        <v>#DIV/0!</v>
      </c>
      <c r="HG143" s="11"/>
      <c r="HH143" s="11"/>
      <c r="HI143" s="18"/>
      <c r="HJ143" s="20"/>
      <c r="HK143" s="10">
        <f t="shared" si="910"/>
        <v>2</v>
      </c>
      <c r="HL143" s="11">
        <f t="shared" si="910"/>
        <v>2</v>
      </c>
      <c r="HM143" s="11">
        <f t="shared" si="910"/>
        <v>3558</v>
      </c>
      <c r="HN143" s="11">
        <f t="shared" si="910"/>
        <v>298</v>
      </c>
      <c r="HO143" s="11">
        <f t="shared" si="911"/>
        <v>1743</v>
      </c>
      <c r="HP143" s="95">
        <f t="shared" si="912"/>
        <v>0.48988195615514335</v>
      </c>
      <c r="HQ143" s="15">
        <f t="shared" si="913"/>
        <v>77</v>
      </c>
      <c r="HR143" s="12">
        <f t="shared" si="934"/>
        <v>4.4176706827309238E-2</v>
      </c>
      <c r="HS143" s="16">
        <v>68.8</v>
      </c>
      <c r="HT143" s="17">
        <v>1597</v>
      </c>
      <c r="HU143" s="16">
        <f t="shared" si="914"/>
        <v>91.623637406769944</v>
      </c>
      <c r="HV143" s="18"/>
      <c r="HW143" s="20"/>
    </row>
    <row r="144" spans="1:231" ht="18.75" x14ac:dyDescent="0.25">
      <c r="A144" s="374"/>
      <c r="B144" s="41">
        <f t="shared" si="814"/>
        <v>45050</v>
      </c>
      <c r="C144" s="10"/>
      <c r="D144" s="11"/>
      <c r="E144" s="69">
        <f t="shared" si="915"/>
        <v>629</v>
      </c>
      <c r="F144" s="69">
        <f t="shared" si="915"/>
        <v>51</v>
      </c>
      <c r="G144" s="11">
        <v>299</v>
      </c>
      <c r="H144" s="12">
        <f t="shared" si="875"/>
        <v>0.50715421303656594</v>
      </c>
      <c r="I144" s="11">
        <v>20</v>
      </c>
      <c r="J144" s="12">
        <f t="shared" si="916"/>
        <v>6.2695924764890276E-2</v>
      </c>
      <c r="K144" s="13"/>
      <c r="L144" s="13"/>
      <c r="M144" s="25">
        <v>4065</v>
      </c>
      <c r="N144" s="38">
        <v>4460</v>
      </c>
      <c r="O144" s="10"/>
      <c r="P144" s="11"/>
      <c r="Q144" s="69">
        <f t="shared" si="917"/>
        <v>628</v>
      </c>
      <c r="R144" s="69">
        <f t="shared" si="917"/>
        <v>53</v>
      </c>
      <c r="S144" s="11">
        <v>312</v>
      </c>
      <c r="T144" s="12">
        <f t="shared" si="876"/>
        <v>0.53184713375796178</v>
      </c>
      <c r="U144" s="11">
        <v>22</v>
      </c>
      <c r="V144" s="12">
        <f t="shared" si="877"/>
        <v>6.5868263473053898E-2</v>
      </c>
      <c r="W144" s="13"/>
      <c r="X144" s="13"/>
      <c r="Y144" s="25">
        <v>4065</v>
      </c>
      <c r="Z144" s="38">
        <v>4460</v>
      </c>
      <c r="AA144" s="10"/>
      <c r="AB144" s="11"/>
      <c r="AC144" s="69">
        <f t="shared" si="918"/>
        <v>191</v>
      </c>
      <c r="AD144" s="69">
        <f t="shared" si="918"/>
        <v>15</v>
      </c>
      <c r="AE144" s="11">
        <v>77</v>
      </c>
      <c r="AF144" s="12">
        <f t="shared" si="878"/>
        <v>0.42408376963350786</v>
      </c>
      <c r="AG144" s="11">
        <v>4</v>
      </c>
      <c r="AH144" s="12">
        <f t="shared" si="879"/>
        <v>4.9382716049382713E-2</v>
      </c>
      <c r="AI144" s="13"/>
      <c r="AJ144" s="13"/>
      <c r="AK144" s="25">
        <v>4065</v>
      </c>
      <c r="AL144" s="38">
        <v>4460</v>
      </c>
      <c r="AM144" s="10"/>
      <c r="AN144" s="11"/>
      <c r="AO144" s="69">
        <f t="shared" si="919"/>
        <v>704</v>
      </c>
      <c r="AP144" s="69">
        <f t="shared" si="919"/>
        <v>60</v>
      </c>
      <c r="AQ144" s="11">
        <v>354</v>
      </c>
      <c r="AR144" s="12">
        <f t="shared" si="880"/>
        <v>0.53409090909090906</v>
      </c>
      <c r="AS144" s="11">
        <v>22</v>
      </c>
      <c r="AT144" s="12">
        <f t="shared" si="881"/>
        <v>5.8510638297872342E-2</v>
      </c>
      <c r="AU144" s="13"/>
      <c r="AV144" s="13"/>
      <c r="AW144" s="25">
        <v>4065</v>
      </c>
      <c r="AX144" s="38">
        <v>4460</v>
      </c>
      <c r="AY144" s="10"/>
      <c r="AZ144" s="11"/>
      <c r="BA144" s="69">
        <f t="shared" si="920"/>
        <v>700</v>
      </c>
      <c r="BB144" s="69">
        <f t="shared" si="920"/>
        <v>60</v>
      </c>
      <c r="BC144" s="11">
        <v>360</v>
      </c>
      <c r="BD144" s="12">
        <f t="shared" si="882"/>
        <v>0.5485714285714286</v>
      </c>
      <c r="BE144" s="11">
        <v>24</v>
      </c>
      <c r="BF144" s="12">
        <f t="shared" si="883"/>
        <v>6.25E-2</v>
      </c>
      <c r="BG144" s="13"/>
      <c r="BH144" s="13"/>
      <c r="BI144" s="25">
        <v>4065</v>
      </c>
      <c r="BJ144" s="38">
        <v>4460</v>
      </c>
      <c r="BK144" s="10"/>
      <c r="BL144" s="11"/>
      <c r="BM144" s="69">
        <f t="shared" si="921"/>
        <v>706</v>
      </c>
      <c r="BN144" s="69">
        <f t="shared" si="921"/>
        <v>59</v>
      </c>
      <c r="BO144" s="11">
        <v>330</v>
      </c>
      <c r="BP144" s="12">
        <f t="shared" si="884"/>
        <v>0.49291784702549574</v>
      </c>
      <c r="BQ144" s="11">
        <v>18</v>
      </c>
      <c r="BR144" s="12">
        <f t="shared" si="885"/>
        <v>5.1724137931034482E-2</v>
      </c>
      <c r="BS144" s="13"/>
      <c r="BT144" s="13"/>
      <c r="BU144" s="25">
        <v>4065</v>
      </c>
      <c r="BV144" s="38">
        <v>4460</v>
      </c>
      <c r="BW144" s="10"/>
      <c r="BX144" s="11"/>
      <c r="BY144" s="69">
        <f t="shared" si="922"/>
        <v>0</v>
      </c>
      <c r="BZ144" s="69">
        <f t="shared" si="922"/>
        <v>0</v>
      </c>
      <c r="CA144" s="11"/>
      <c r="CB144" s="12" t="e">
        <f t="shared" si="886"/>
        <v>#DIV/0!</v>
      </c>
      <c r="CC144" s="11"/>
      <c r="CD144" s="12" t="e">
        <f t="shared" si="887"/>
        <v>#DIV/0!</v>
      </c>
      <c r="CE144" s="13"/>
      <c r="CF144" s="13"/>
      <c r="CG144" s="25"/>
      <c r="CH144" s="38"/>
      <c r="CI144" s="10"/>
      <c r="CJ144" s="11"/>
      <c r="CK144" s="69">
        <f t="shared" si="923"/>
        <v>0</v>
      </c>
      <c r="CL144" s="69">
        <f t="shared" si="923"/>
        <v>0</v>
      </c>
      <c r="CM144" s="11"/>
      <c r="CN144" s="12" t="e">
        <f t="shared" si="888"/>
        <v>#DIV/0!</v>
      </c>
      <c r="CO144" s="11"/>
      <c r="CP144" s="12" t="e">
        <f t="shared" si="889"/>
        <v>#DIV/0!</v>
      </c>
      <c r="CQ144" s="13"/>
      <c r="CR144" s="13"/>
      <c r="CS144" s="25"/>
      <c r="CT144" s="38"/>
      <c r="CU144" s="10"/>
      <c r="CV144" s="11"/>
      <c r="CW144" s="69">
        <f t="shared" si="924"/>
        <v>0</v>
      </c>
      <c r="CX144" s="69">
        <f t="shared" si="924"/>
        <v>0</v>
      </c>
      <c r="CY144" s="11"/>
      <c r="CZ144" s="12" t="e">
        <f t="shared" si="890"/>
        <v>#DIV/0!</v>
      </c>
      <c r="DA144" s="11"/>
      <c r="DB144" s="12" t="e">
        <f t="shared" si="891"/>
        <v>#DIV/0!</v>
      </c>
      <c r="DC144" s="13"/>
      <c r="DD144" s="13"/>
      <c r="DE144" s="25"/>
      <c r="DF144" s="38"/>
      <c r="DG144" s="10"/>
      <c r="DH144" s="11"/>
      <c r="DI144" s="69">
        <f t="shared" si="925"/>
        <v>0</v>
      </c>
      <c r="DJ144" s="69">
        <f t="shared" si="925"/>
        <v>0</v>
      </c>
      <c r="DK144" s="11"/>
      <c r="DL144" s="12" t="e">
        <f t="shared" si="892"/>
        <v>#DIV/0!</v>
      </c>
      <c r="DM144" s="11"/>
      <c r="DN144" s="12" t="e">
        <f t="shared" si="893"/>
        <v>#DIV/0!</v>
      </c>
      <c r="DO144" s="13"/>
      <c r="DP144" s="13"/>
      <c r="DQ144" s="25"/>
      <c r="DR144" s="38"/>
      <c r="DS144" s="10"/>
      <c r="DT144" s="11"/>
      <c r="DU144" s="69">
        <f t="shared" si="926"/>
        <v>0</v>
      </c>
      <c r="DV144" s="69">
        <f t="shared" si="926"/>
        <v>0</v>
      </c>
      <c r="DW144" s="11"/>
      <c r="DX144" s="12" t="e">
        <f t="shared" si="894"/>
        <v>#DIV/0!</v>
      </c>
      <c r="DY144" s="11"/>
      <c r="DZ144" s="12" t="e">
        <f t="shared" si="895"/>
        <v>#DIV/0!</v>
      </c>
      <c r="EA144" s="13"/>
      <c r="EB144" s="13"/>
      <c r="EC144" s="25"/>
      <c r="ED144" s="38"/>
      <c r="EE144" s="10"/>
      <c r="EF144" s="11"/>
      <c r="EG144" s="69">
        <f t="shared" si="927"/>
        <v>0</v>
      </c>
      <c r="EH144" s="69">
        <f t="shared" si="927"/>
        <v>0</v>
      </c>
      <c r="EI144" s="11"/>
      <c r="EJ144" s="12" t="e">
        <f t="shared" si="896"/>
        <v>#DIV/0!</v>
      </c>
      <c r="EK144" s="11"/>
      <c r="EL144" s="12" t="e">
        <f t="shared" si="897"/>
        <v>#DIV/0!</v>
      </c>
      <c r="EM144" s="13"/>
      <c r="EN144" s="13"/>
      <c r="EO144" s="25"/>
      <c r="EP144" s="38"/>
      <c r="EQ144" s="10"/>
      <c r="ER144" s="11"/>
      <c r="ES144" s="69">
        <f t="shared" si="928"/>
        <v>0</v>
      </c>
      <c r="ET144" s="69">
        <f t="shared" si="928"/>
        <v>0</v>
      </c>
      <c r="EU144" s="11"/>
      <c r="EV144" s="12" t="e">
        <f t="shared" si="898"/>
        <v>#DIV/0!</v>
      </c>
      <c r="EW144" s="11"/>
      <c r="EX144" s="12" t="e">
        <f t="shared" si="899"/>
        <v>#DIV/0!</v>
      </c>
      <c r="EY144" s="13"/>
      <c r="EZ144" s="13"/>
      <c r="FA144" s="25"/>
      <c r="FB144" s="38"/>
      <c r="FC144" s="10"/>
      <c r="FD144" s="11"/>
      <c r="FE144" s="69">
        <f t="shared" si="929"/>
        <v>0</v>
      </c>
      <c r="FF144" s="69">
        <f t="shared" si="929"/>
        <v>0</v>
      </c>
      <c r="FG144" s="11"/>
      <c r="FH144" s="12" t="e">
        <f t="shared" si="900"/>
        <v>#DIV/0!</v>
      </c>
      <c r="FI144" s="11"/>
      <c r="FJ144" s="12" t="e">
        <f t="shared" si="901"/>
        <v>#DIV/0!</v>
      </c>
      <c r="FK144" s="13"/>
      <c r="FL144" s="13"/>
      <c r="FM144" s="25"/>
      <c r="FN144" s="38"/>
      <c r="FO144" s="10"/>
      <c r="FP144" s="11"/>
      <c r="FQ144" s="69">
        <f t="shared" si="930"/>
        <v>0</v>
      </c>
      <c r="FR144" s="69">
        <f t="shared" si="930"/>
        <v>0</v>
      </c>
      <c r="FS144" s="11"/>
      <c r="FT144" s="12" t="e">
        <f t="shared" si="902"/>
        <v>#DIV/0!</v>
      </c>
      <c r="FU144" s="11"/>
      <c r="FV144" s="12" t="e">
        <f t="shared" si="903"/>
        <v>#DIV/0!</v>
      </c>
      <c r="FW144" s="13"/>
      <c r="FX144" s="13"/>
      <c r="FY144" s="25"/>
      <c r="FZ144" s="38"/>
      <c r="GA144" s="10"/>
      <c r="GB144" s="11"/>
      <c r="GC144" s="69">
        <f t="shared" si="931"/>
        <v>0</v>
      </c>
      <c r="GD144" s="69">
        <f t="shared" si="931"/>
        <v>0</v>
      </c>
      <c r="GE144" s="11"/>
      <c r="GF144" s="12" t="e">
        <f t="shared" si="904"/>
        <v>#DIV/0!</v>
      </c>
      <c r="GG144" s="11"/>
      <c r="GH144" s="12" t="e">
        <f t="shared" si="905"/>
        <v>#DIV/0!</v>
      </c>
      <c r="GI144" s="13"/>
      <c r="GJ144" s="13"/>
      <c r="GK144" s="25"/>
      <c r="GL144" s="38"/>
      <c r="GM144" s="10"/>
      <c r="GN144" s="11"/>
      <c r="GO144" s="69">
        <f t="shared" si="932"/>
        <v>0</v>
      </c>
      <c r="GP144" s="69">
        <f t="shared" si="932"/>
        <v>0</v>
      </c>
      <c r="GQ144" s="11"/>
      <c r="GR144" s="12" t="e">
        <f t="shared" si="906"/>
        <v>#DIV/0!</v>
      </c>
      <c r="GS144" s="11"/>
      <c r="GT144" s="12" t="e">
        <f t="shared" si="907"/>
        <v>#DIV/0!</v>
      </c>
      <c r="GU144" s="13"/>
      <c r="GV144" s="13"/>
      <c r="GW144" s="25"/>
      <c r="GX144" s="38"/>
      <c r="GY144" s="10"/>
      <c r="GZ144" s="11"/>
      <c r="HA144" s="69">
        <f t="shared" si="933"/>
        <v>0</v>
      </c>
      <c r="HB144" s="69">
        <f t="shared" si="933"/>
        <v>0</v>
      </c>
      <c r="HC144" s="11"/>
      <c r="HD144" s="12" t="e">
        <f t="shared" si="908"/>
        <v>#DIV/0!</v>
      </c>
      <c r="HE144" s="11"/>
      <c r="HF144" s="12" t="e">
        <f t="shared" si="909"/>
        <v>#DIV/0!</v>
      </c>
      <c r="HG144" s="13"/>
      <c r="HH144" s="13"/>
      <c r="HI144" s="25"/>
      <c r="HJ144" s="38"/>
      <c r="HK144" s="10">
        <f t="shared" si="910"/>
        <v>0</v>
      </c>
      <c r="HL144" s="11">
        <f t="shared" si="910"/>
        <v>0</v>
      </c>
      <c r="HM144" s="11">
        <f t="shared" si="910"/>
        <v>3558</v>
      </c>
      <c r="HN144" s="11">
        <f t="shared" si="910"/>
        <v>298</v>
      </c>
      <c r="HO144" s="11">
        <f t="shared" si="911"/>
        <v>1842</v>
      </c>
      <c r="HP144" s="95">
        <f t="shared" si="912"/>
        <v>0.51770657672849918</v>
      </c>
      <c r="HQ144" s="15">
        <f t="shared" si="913"/>
        <v>110</v>
      </c>
      <c r="HR144" s="12">
        <f t="shared" si="934"/>
        <v>5.9717698154180238E-2</v>
      </c>
      <c r="HS144" s="16">
        <v>69.400000000000006</v>
      </c>
      <c r="HT144" s="17">
        <v>1661</v>
      </c>
      <c r="HU144" s="16">
        <f t="shared" si="914"/>
        <v>90.173724212812161</v>
      </c>
      <c r="HV144" s="23">
        <v>4065</v>
      </c>
      <c r="HW144" s="22">
        <v>4460</v>
      </c>
    </row>
    <row r="145" spans="1:231" ht="18.75" x14ac:dyDescent="0.25">
      <c r="A145" s="374"/>
      <c r="B145" s="41">
        <f t="shared" si="814"/>
        <v>45051</v>
      </c>
      <c r="C145" s="10"/>
      <c r="D145" s="11"/>
      <c r="E145" s="69">
        <f t="shared" si="915"/>
        <v>629</v>
      </c>
      <c r="F145" s="69">
        <f t="shared" si="915"/>
        <v>51</v>
      </c>
      <c r="G145" s="11">
        <v>302</v>
      </c>
      <c r="H145" s="12">
        <f t="shared" si="875"/>
        <v>0.50874403815580282</v>
      </c>
      <c r="I145" s="11">
        <v>18</v>
      </c>
      <c r="J145" s="12">
        <f t="shared" si="916"/>
        <v>5.6250000000000001E-2</v>
      </c>
      <c r="K145" s="13"/>
      <c r="L145" s="11"/>
      <c r="M145" s="25">
        <v>4713.8888888888887</v>
      </c>
      <c r="N145" s="38">
        <v>4753.8461538461543</v>
      </c>
      <c r="O145" s="10"/>
      <c r="P145" s="11"/>
      <c r="Q145" s="69">
        <f t="shared" si="917"/>
        <v>628</v>
      </c>
      <c r="R145" s="69">
        <f t="shared" si="917"/>
        <v>53</v>
      </c>
      <c r="S145" s="11">
        <v>302</v>
      </c>
      <c r="T145" s="12">
        <f t="shared" si="876"/>
        <v>0.51433121019108285</v>
      </c>
      <c r="U145" s="11">
        <v>21</v>
      </c>
      <c r="V145" s="12">
        <f t="shared" si="877"/>
        <v>6.5015479876160992E-2</v>
      </c>
      <c r="W145" s="13"/>
      <c r="X145" s="11"/>
      <c r="Y145" s="25">
        <v>4501.7142857142853</v>
      </c>
      <c r="Z145" s="38">
        <v>4674.6153846153848</v>
      </c>
      <c r="AA145" s="10"/>
      <c r="AB145" s="11"/>
      <c r="AC145" s="69">
        <f t="shared" si="918"/>
        <v>191</v>
      </c>
      <c r="AD145" s="69">
        <f t="shared" si="918"/>
        <v>15</v>
      </c>
      <c r="AE145" s="11">
        <v>102</v>
      </c>
      <c r="AF145" s="12">
        <f t="shared" si="878"/>
        <v>0.5759162303664922</v>
      </c>
      <c r="AG145" s="11">
        <v>8</v>
      </c>
      <c r="AH145" s="12">
        <f t="shared" si="879"/>
        <v>7.2727272727272724E-2</v>
      </c>
      <c r="AI145" s="13"/>
      <c r="AJ145" s="11"/>
      <c r="AK145" s="25">
        <v>4692.8571428571431</v>
      </c>
      <c r="AL145" s="38">
        <v>4190</v>
      </c>
      <c r="AM145" s="10"/>
      <c r="AN145" s="11"/>
      <c r="AO145" s="69">
        <f t="shared" si="919"/>
        <v>704</v>
      </c>
      <c r="AP145" s="69">
        <f t="shared" si="919"/>
        <v>60</v>
      </c>
      <c r="AQ145" s="11">
        <v>325</v>
      </c>
      <c r="AR145" s="12">
        <f t="shared" si="880"/>
        <v>0.49289772727272729</v>
      </c>
      <c r="AS145" s="11">
        <v>22</v>
      </c>
      <c r="AT145" s="12">
        <f t="shared" si="881"/>
        <v>6.3400576368876083E-2</v>
      </c>
      <c r="AU145" s="13"/>
      <c r="AV145" s="11"/>
      <c r="AW145" s="25">
        <v>4551.3888888888887</v>
      </c>
      <c r="AX145" s="38">
        <v>4778.75</v>
      </c>
      <c r="AY145" s="10"/>
      <c r="AZ145" s="11"/>
      <c r="BA145" s="69">
        <f t="shared" si="920"/>
        <v>700</v>
      </c>
      <c r="BB145" s="69">
        <f t="shared" si="920"/>
        <v>60</v>
      </c>
      <c r="BC145" s="11">
        <v>326</v>
      </c>
      <c r="BD145" s="12">
        <f t="shared" si="882"/>
        <v>0.50142857142857145</v>
      </c>
      <c r="BE145" s="11">
        <v>25</v>
      </c>
      <c r="BF145" s="12">
        <f t="shared" si="883"/>
        <v>7.1225071225071226E-2</v>
      </c>
      <c r="BG145" s="13"/>
      <c r="BH145" s="11"/>
      <c r="BI145" s="25">
        <v>4546.363636363636</v>
      </c>
      <c r="BJ145" s="38">
        <v>4903.8461538461543</v>
      </c>
      <c r="BK145" s="10">
        <v>1</v>
      </c>
      <c r="BL145" s="11"/>
      <c r="BM145" s="69">
        <f t="shared" si="921"/>
        <v>705</v>
      </c>
      <c r="BN145" s="69">
        <f t="shared" si="921"/>
        <v>59</v>
      </c>
      <c r="BO145" s="11">
        <v>332</v>
      </c>
      <c r="BP145" s="12">
        <f t="shared" si="884"/>
        <v>0.49787234042553191</v>
      </c>
      <c r="BQ145" s="11">
        <v>19</v>
      </c>
      <c r="BR145" s="12">
        <f t="shared" si="885"/>
        <v>5.4131054131054131E-2</v>
      </c>
      <c r="BS145" s="13"/>
      <c r="BT145" s="11"/>
      <c r="BU145" s="25">
        <v>4648.2352941176468</v>
      </c>
      <c r="BV145" s="38">
        <v>5122.3076923076924</v>
      </c>
      <c r="BW145" s="10"/>
      <c r="BX145" s="11"/>
      <c r="BY145" s="69">
        <f t="shared" si="922"/>
        <v>0</v>
      </c>
      <c r="BZ145" s="69">
        <f t="shared" si="922"/>
        <v>0</v>
      </c>
      <c r="CA145" s="11"/>
      <c r="CB145" s="12" t="e">
        <f t="shared" si="886"/>
        <v>#DIV/0!</v>
      </c>
      <c r="CC145" s="11"/>
      <c r="CD145" s="12" t="e">
        <f t="shared" si="887"/>
        <v>#DIV/0!</v>
      </c>
      <c r="CE145" s="13"/>
      <c r="CF145" s="11"/>
      <c r="CG145" s="25"/>
      <c r="CH145" s="38"/>
      <c r="CI145" s="10"/>
      <c r="CJ145" s="11"/>
      <c r="CK145" s="69">
        <f t="shared" si="923"/>
        <v>0</v>
      </c>
      <c r="CL145" s="69">
        <f t="shared" si="923"/>
        <v>0</v>
      </c>
      <c r="CM145" s="11"/>
      <c r="CN145" s="12" t="e">
        <f t="shared" si="888"/>
        <v>#DIV/0!</v>
      </c>
      <c r="CO145" s="11"/>
      <c r="CP145" s="12" t="e">
        <f t="shared" si="889"/>
        <v>#DIV/0!</v>
      </c>
      <c r="CQ145" s="13"/>
      <c r="CR145" s="11"/>
      <c r="CS145" s="25"/>
      <c r="CT145" s="38"/>
      <c r="CU145" s="10"/>
      <c r="CV145" s="11"/>
      <c r="CW145" s="69">
        <f t="shared" si="924"/>
        <v>0</v>
      </c>
      <c r="CX145" s="69">
        <f t="shared" si="924"/>
        <v>0</v>
      </c>
      <c r="CY145" s="11"/>
      <c r="CZ145" s="12" t="e">
        <f t="shared" si="890"/>
        <v>#DIV/0!</v>
      </c>
      <c r="DA145" s="11"/>
      <c r="DB145" s="12" t="e">
        <f t="shared" si="891"/>
        <v>#DIV/0!</v>
      </c>
      <c r="DC145" s="13"/>
      <c r="DD145" s="11"/>
      <c r="DE145" s="25"/>
      <c r="DF145" s="38"/>
      <c r="DG145" s="10"/>
      <c r="DH145" s="11"/>
      <c r="DI145" s="69">
        <f t="shared" si="925"/>
        <v>0</v>
      </c>
      <c r="DJ145" s="69">
        <f t="shared" si="925"/>
        <v>0</v>
      </c>
      <c r="DK145" s="11"/>
      <c r="DL145" s="12" t="e">
        <f t="shared" si="892"/>
        <v>#DIV/0!</v>
      </c>
      <c r="DM145" s="11"/>
      <c r="DN145" s="12" t="e">
        <f t="shared" si="893"/>
        <v>#DIV/0!</v>
      </c>
      <c r="DO145" s="13"/>
      <c r="DP145" s="11"/>
      <c r="DQ145" s="25"/>
      <c r="DR145" s="38"/>
      <c r="DS145" s="10"/>
      <c r="DT145" s="11"/>
      <c r="DU145" s="69">
        <f t="shared" si="926"/>
        <v>0</v>
      </c>
      <c r="DV145" s="69">
        <f t="shared" si="926"/>
        <v>0</v>
      </c>
      <c r="DW145" s="11"/>
      <c r="DX145" s="12" t="e">
        <f t="shared" si="894"/>
        <v>#DIV/0!</v>
      </c>
      <c r="DY145" s="11"/>
      <c r="DZ145" s="12" t="e">
        <f t="shared" si="895"/>
        <v>#DIV/0!</v>
      </c>
      <c r="EA145" s="13"/>
      <c r="EB145" s="11"/>
      <c r="EC145" s="25"/>
      <c r="ED145" s="38"/>
      <c r="EE145" s="10"/>
      <c r="EF145" s="11"/>
      <c r="EG145" s="69">
        <f t="shared" si="927"/>
        <v>0</v>
      </c>
      <c r="EH145" s="69">
        <f t="shared" si="927"/>
        <v>0</v>
      </c>
      <c r="EI145" s="11"/>
      <c r="EJ145" s="12" t="e">
        <f t="shared" si="896"/>
        <v>#DIV/0!</v>
      </c>
      <c r="EK145" s="11"/>
      <c r="EL145" s="12" t="e">
        <f t="shared" si="897"/>
        <v>#DIV/0!</v>
      </c>
      <c r="EM145" s="13"/>
      <c r="EN145" s="11"/>
      <c r="EO145" s="25"/>
      <c r="EP145" s="38"/>
      <c r="EQ145" s="10"/>
      <c r="ER145" s="11"/>
      <c r="ES145" s="69">
        <f t="shared" si="928"/>
        <v>0</v>
      </c>
      <c r="ET145" s="69">
        <f t="shared" si="928"/>
        <v>0</v>
      </c>
      <c r="EU145" s="11"/>
      <c r="EV145" s="12" t="e">
        <f t="shared" si="898"/>
        <v>#DIV/0!</v>
      </c>
      <c r="EW145" s="11"/>
      <c r="EX145" s="12" t="e">
        <f t="shared" si="899"/>
        <v>#DIV/0!</v>
      </c>
      <c r="EY145" s="13"/>
      <c r="EZ145" s="11"/>
      <c r="FA145" s="25"/>
      <c r="FB145" s="38"/>
      <c r="FC145" s="10"/>
      <c r="FD145" s="11"/>
      <c r="FE145" s="69">
        <f t="shared" si="929"/>
        <v>0</v>
      </c>
      <c r="FF145" s="69">
        <f t="shared" si="929"/>
        <v>0</v>
      </c>
      <c r="FG145" s="11"/>
      <c r="FH145" s="12" t="e">
        <f t="shared" si="900"/>
        <v>#DIV/0!</v>
      </c>
      <c r="FI145" s="11"/>
      <c r="FJ145" s="12" t="e">
        <f t="shared" si="901"/>
        <v>#DIV/0!</v>
      </c>
      <c r="FK145" s="13"/>
      <c r="FL145" s="11"/>
      <c r="FM145" s="25"/>
      <c r="FN145" s="38"/>
      <c r="FO145" s="10"/>
      <c r="FP145" s="11"/>
      <c r="FQ145" s="69">
        <f t="shared" si="930"/>
        <v>0</v>
      </c>
      <c r="FR145" s="69">
        <f t="shared" si="930"/>
        <v>0</v>
      </c>
      <c r="FS145" s="11"/>
      <c r="FT145" s="12" t="e">
        <f t="shared" si="902"/>
        <v>#DIV/0!</v>
      </c>
      <c r="FU145" s="11"/>
      <c r="FV145" s="12" t="e">
        <f t="shared" si="903"/>
        <v>#DIV/0!</v>
      </c>
      <c r="FW145" s="13"/>
      <c r="FX145" s="11"/>
      <c r="FY145" s="25"/>
      <c r="FZ145" s="38"/>
      <c r="GA145" s="10"/>
      <c r="GB145" s="11"/>
      <c r="GC145" s="69">
        <f t="shared" si="931"/>
        <v>0</v>
      </c>
      <c r="GD145" s="69">
        <f t="shared" si="931"/>
        <v>0</v>
      </c>
      <c r="GE145" s="11"/>
      <c r="GF145" s="12" t="e">
        <f t="shared" si="904"/>
        <v>#DIV/0!</v>
      </c>
      <c r="GG145" s="11"/>
      <c r="GH145" s="12" t="e">
        <f t="shared" si="905"/>
        <v>#DIV/0!</v>
      </c>
      <c r="GI145" s="13"/>
      <c r="GJ145" s="11"/>
      <c r="GK145" s="25"/>
      <c r="GL145" s="38"/>
      <c r="GM145" s="10"/>
      <c r="GN145" s="11"/>
      <c r="GO145" s="69">
        <f t="shared" si="932"/>
        <v>0</v>
      </c>
      <c r="GP145" s="69">
        <f t="shared" si="932"/>
        <v>0</v>
      </c>
      <c r="GQ145" s="11"/>
      <c r="GR145" s="12" t="e">
        <f t="shared" si="906"/>
        <v>#DIV/0!</v>
      </c>
      <c r="GS145" s="11"/>
      <c r="GT145" s="12" t="e">
        <f t="shared" si="907"/>
        <v>#DIV/0!</v>
      </c>
      <c r="GU145" s="13"/>
      <c r="GV145" s="11"/>
      <c r="GW145" s="25"/>
      <c r="GX145" s="38"/>
      <c r="GY145" s="10"/>
      <c r="GZ145" s="11"/>
      <c r="HA145" s="69">
        <f t="shared" si="933"/>
        <v>0</v>
      </c>
      <c r="HB145" s="69">
        <f t="shared" si="933"/>
        <v>0</v>
      </c>
      <c r="HC145" s="11"/>
      <c r="HD145" s="12" t="e">
        <f t="shared" si="908"/>
        <v>#DIV/0!</v>
      </c>
      <c r="HE145" s="11"/>
      <c r="HF145" s="12" t="e">
        <f t="shared" si="909"/>
        <v>#DIV/0!</v>
      </c>
      <c r="HG145" s="13"/>
      <c r="HH145" s="11"/>
      <c r="HI145" s="25"/>
      <c r="HJ145" s="38"/>
      <c r="HK145" s="10">
        <f t="shared" si="910"/>
        <v>1</v>
      </c>
      <c r="HL145" s="11">
        <f t="shared" si="910"/>
        <v>0</v>
      </c>
      <c r="HM145" s="11">
        <f t="shared" si="910"/>
        <v>3557</v>
      </c>
      <c r="HN145" s="11">
        <f t="shared" si="910"/>
        <v>298</v>
      </c>
      <c r="HO145" s="11">
        <f t="shared" si="911"/>
        <v>1802</v>
      </c>
      <c r="HP145" s="95">
        <f t="shared" si="912"/>
        <v>0.50660669103176836</v>
      </c>
      <c r="HQ145" s="15">
        <f t="shared" si="913"/>
        <v>113</v>
      </c>
      <c r="HR145" s="12">
        <f t="shared" si="934"/>
        <v>6.2708102108768038E-2</v>
      </c>
      <c r="HS145" s="16">
        <v>69.5</v>
      </c>
      <c r="HT145" s="17">
        <v>1618</v>
      </c>
      <c r="HU145" s="16">
        <f t="shared" si="914"/>
        <v>89.789123196448401</v>
      </c>
      <c r="HV145" s="23">
        <v>4600.4255319148933</v>
      </c>
      <c r="HW145" s="22">
        <v>4810.9375</v>
      </c>
    </row>
    <row r="146" spans="1:231" ht="18.75" x14ac:dyDescent="0.25">
      <c r="A146" s="374"/>
      <c r="B146" s="41">
        <f t="shared" si="814"/>
        <v>45052</v>
      </c>
      <c r="C146" s="10"/>
      <c r="D146" s="11"/>
      <c r="E146" s="69">
        <f>E145-C146</f>
        <v>629</v>
      </c>
      <c r="F146" s="69">
        <f>F145-D146</f>
        <v>51</v>
      </c>
      <c r="G146" s="11">
        <v>299</v>
      </c>
      <c r="H146" s="12">
        <f t="shared" si="875"/>
        <v>0.50874403815580282</v>
      </c>
      <c r="I146" s="11">
        <v>21</v>
      </c>
      <c r="J146" s="12">
        <f t="shared" si="916"/>
        <v>6.5625000000000003E-2</v>
      </c>
      <c r="K146" s="13"/>
      <c r="L146" s="11"/>
      <c r="M146" s="39">
        <v>80.555555555555557</v>
      </c>
      <c r="N146" s="43">
        <v>100</v>
      </c>
      <c r="O146" s="10"/>
      <c r="P146" s="11"/>
      <c r="Q146" s="69">
        <f t="shared" si="917"/>
        <v>628</v>
      </c>
      <c r="R146" s="69">
        <f t="shared" si="917"/>
        <v>53</v>
      </c>
      <c r="S146" s="11">
        <v>294</v>
      </c>
      <c r="T146" s="12">
        <f t="shared" si="876"/>
        <v>0.49681528662420382</v>
      </c>
      <c r="U146" s="11">
        <v>18</v>
      </c>
      <c r="V146" s="12">
        <f t="shared" si="877"/>
        <v>5.7692307692307696E-2</v>
      </c>
      <c r="W146" s="13"/>
      <c r="X146" s="11"/>
      <c r="Y146" s="39">
        <v>94.285714285714292</v>
      </c>
      <c r="Z146" s="43">
        <v>84.615384615384613</v>
      </c>
      <c r="AA146" s="10">
        <v>1</v>
      </c>
      <c r="AB146" s="11"/>
      <c r="AC146" s="69">
        <f t="shared" si="918"/>
        <v>190</v>
      </c>
      <c r="AD146" s="69">
        <f t="shared" si="918"/>
        <v>15</v>
      </c>
      <c r="AE146" s="11">
        <v>85</v>
      </c>
      <c r="AF146" s="12">
        <f t="shared" si="878"/>
        <v>0.47368421052631576</v>
      </c>
      <c r="AG146" s="11">
        <v>5</v>
      </c>
      <c r="AH146" s="12">
        <f t="shared" si="879"/>
        <v>5.5555555555555552E-2</v>
      </c>
      <c r="AI146" s="13"/>
      <c r="AJ146" s="11"/>
      <c r="AK146" s="39">
        <v>85.714285714285708</v>
      </c>
      <c r="AL146" s="43">
        <v>100</v>
      </c>
      <c r="AM146" s="10"/>
      <c r="AN146" s="11"/>
      <c r="AO146" s="69">
        <f t="shared" si="919"/>
        <v>704</v>
      </c>
      <c r="AP146" s="69">
        <f t="shared" si="919"/>
        <v>60</v>
      </c>
      <c r="AQ146" s="11">
        <v>306</v>
      </c>
      <c r="AR146" s="12">
        <f t="shared" si="880"/>
        <v>0.46164772727272729</v>
      </c>
      <c r="AS146" s="11">
        <v>19</v>
      </c>
      <c r="AT146" s="12">
        <f t="shared" si="881"/>
        <v>5.8461538461538461E-2</v>
      </c>
      <c r="AU146" s="13"/>
      <c r="AV146" s="11"/>
      <c r="AW146" s="39">
        <v>86.111111111111114</v>
      </c>
      <c r="AX146" s="43">
        <v>100</v>
      </c>
      <c r="AY146" s="10"/>
      <c r="AZ146" s="11"/>
      <c r="BA146" s="69">
        <f t="shared" si="920"/>
        <v>700</v>
      </c>
      <c r="BB146" s="69">
        <f t="shared" si="920"/>
        <v>60</v>
      </c>
      <c r="BC146" s="11">
        <v>330</v>
      </c>
      <c r="BD146" s="12">
        <f t="shared" si="882"/>
        <v>0.49857142857142855</v>
      </c>
      <c r="BE146" s="11">
        <v>19</v>
      </c>
      <c r="BF146" s="12">
        <f t="shared" si="883"/>
        <v>5.4441260744985676E-2</v>
      </c>
      <c r="BG146" s="13"/>
      <c r="BH146" s="11"/>
      <c r="BI146" s="39">
        <v>84.848484848484844</v>
      </c>
      <c r="BJ146" s="43">
        <v>100</v>
      </c>
      <c r="BK146" s="10"/>
      <c r="BL146" s="11"/>
      <c r="BM146" s="69">
        <f t="shared" si="921"/>
        <v>705</v>
      </c>
      <c r="BN146" s="69">
        <f t="shared" si="921"/>
        <v>59</v>
      </c>
      <c r="BO146" s="11">
        <v>339</v>
      </c>
      <c r="BP146" s="12">
        <f t="shared" si="884"/>
        <v>0.50921985815602833</v>
      </c>
      <c r="BQ146" s="11">
        <v>20</v>
      </c>
      <c r="BR146" s="12">
        <f t="shared" si="885"/>
        <v>5.5710306406685235E-2</v>
      </c>
      <c r="BS146" s="13"/>
      <c r="BT146" s="11"/>
      <c r="BU146" s="39">
        <v>73.529411764705884</v>
      </c>
      <c r="BV146" s="43">
        <v>100</v>
      </c>
      <c r="BW146" s="10"/>
      <c r="BX146" s="11"/>
      <c r="BY146" s="69">
        <f t="shared" si="922"/>
        <v>0</v>
      </c>
      <c r="BZ146" s="69">
        <f t="shared" si="922"/>
        <v>0</v>
      </c>
      <c r="CA146" s="11"/>
      <c r="CB146" s="12" t="e">
        <f t="shared" si="886"/>
        <v>#DIV/0!</v>
      </c>
      <c r="CC146" s="11"/>
      <c r="CD146" s="12" t="e">
        <f t="shared" si="887"/>
        <v>#DIV/0!</v>
      </c>
      <c r="CE146" s="13"/>
      <c r="CF146" s="11"/>
      <c r="CG146" s="39"/>
      <c r="CH146" s="43"/>
      <c r="CI146" s="10"/>
      <c r="CJ146" s="11"/>
      <c r="CK146" s="69">
        <f t="shared" si="923"/>
        <v>0</v>
      </c>
      <c r="CL146" s="69">
        <f t="shared" si="923"/>
        <v>0</v>
      </c>
      <c r="CM146" s="11"/>
      <c r="CN146" s="12" t="e">
        <f t="shared" si="888"/>
        <v>#DIV/0!</v>
      </c>
      <c r="CO146" s="11"/>
      <c r="CP146" s="12" t="e">
        <f t="shared" si="889"/>
        <v>#DIV/0!</v>
      </c>
      <c r="CQ146" s="13"/>
      <c r="CR146" s="11"/>
      <c r="CS146" s="39"/>
      <c r="CT146" s="43"/>
      <c r="CU146" s="10"/>
      <c r="CV146" s="11"/>
      <c r="CW146" s="69">
        <f t="shared" si="924"/>
        <v>0</v>
      </c>
      <c r="CX146" s="69">
        <f t="shared" si="924"/>
        <v>0</v>
      </c>
      <c r="CY146" s="11"/>
      <c r="CZ146" s="12" t="e">
        <f t="shared" si="890"/>
        <v>#DIV/0!</v>
      </c>
      <c r="DA146" s="11"/>
      <c r="DB146" s="12" t="e">
        <f t="shared" si="891"/>
        <v>#DIV/0!</v>
      </c>
      <c r="DC146" s="13"/>
      <c r="DD146" s="11"/>
      <c r="DE146" s="39"/>
      <c r="DF146" s="43"/>
      <c r="DG146" s="10"/>
      <c r="DH146" s="11"/>
      <c r="DI146" s="69">
        <f t="shared" si="925"/>
        <v>0</v>
      </c>
      <c r="DJ146" s="69">
        <f t="shared" si="925"/>
        <v>0</v>
      </c>
      <c r="DK146" s="11"/>
      <c r="DL146" s="12" t="e">
        <f t="shared" si="892"/>
        <v>#DIV/0!</v>
      </c>
      <c r="DM146" s="11"/>
      <c r="DN146" s="12" t="e">
        <f t="shared" si="893"/>
        <v>#DIV/0!</v>
      </c>
      <c r="DO146" s="13"/>
      <c r="DP146" s="11"/>
      <c r="DQ146" s="39"/>
      <c r="DR146" s="43"/>
      <c r="DS146" s="10"/>
      <c r="DT146" s="11"/>
      <c r="DU146" s="69">
        <f t="shared" si="926"/>
        <v>0</v>
      </c>
      <c r="DV146" s="69">
        <f t="shared" si="926"/>
        <v>0</v>
      </c>
      <c r="DW146" s="11"/>
      <c r="DX146" s="12" t="e">
        <f t="shared" si="894"/>
        <v>#DIV/0!</v>
      </c>
      <c r="DY146" s="11"/>
      <c r="DZ146" s="12" t="e">
        <f t="shared" si="895"/>
        <v>#DIV/0!</v>
      </c>
      <c r="EA146" s="13"/>
      <c r="EB146" s="11"/>
      <c r="EC146" s="39"/>
      <c r="ED146" s="43"/>
      <c r="EE146" s="10"/>
      <c r="EF146" s="11"/>
      <c r="EG146" s="69">
        <f t="shared" si="927"/>
        <v>0</v>
      </c>
      <c r="EH146" s="69">
        <f t="shared" si="927"/>
        <v>0</v>
      </c>
      <c r="EI146" s="11"/>
      <c r="EJ146" s="12" t="e">
        <f t="shared" si="896"/>
        <v>#DIV/0!</v>
      </c>
      <c r="EK146" s="11"/>
      <c r="EL146" s="12" t="e">
        <f t="shared" si="897"/>
        <v>#DIV/0!</v>
      </c>
      <c r="EM146" s="13"/>
      <c r="EN146" s="11"/>
      <c r="EO146" s="39"/>
      <c r="EP146" s="43"/>
      <c r="EQ146" s="10"/>
      <c r="ER146" s="11"/>
      <c r="ES146" s="69">
        <f t="shared" si="928"/>
        <v>0</v>
      </c>
      <c r="ET146" s="69">
        <f t="shared" si="928"/>
        <v>0</v>
      </c>
      <c r="EU146" s="11"/>
      <c r="EV146" s="12" t="e">
        <f t="shared" si="898"/>
        <v>#DIV/0!</v>
      </c>
      <c r="EW146" s="11"/>
      <c r="EX146" s="12" t="e">
        <f t="shared" si="899"/>
        <v>#DIV/0!</v>
      </c>
      <c r="EY146" s="13"/>
      <c r="EZ146" s="11"/>
      <c r="FA146" s="39"/>
      <c r="FB146" s="43"/>
      <c r="FC146" s="10"/>
      <c r="FD146" s="11"/>
      <c r="FE146" s="69">
        <f t="shared" si="929"/>
        <v>0</v>
      </c>
      <c r="FF146" s="69">
        <f t="shared" si="929"/>
        <v>0</v>
      </c>
      <c r="FG146" s="11"/>
      <c r="FH146" s="12" t="e">
        <f t="shared" si="900"/>
        <v>#DIV/0!</v>
      </c>
      <c r="FI146" s="11"/>
      <c r="FJ146" s="12" t="e">
        <f t="shared" si="901"/>
        <v>#DIV/0!</v>
      </c>
      <c r="FK146" s="13"/>
      <c r="FL146" s="11"/>
      <c r="FM146" s="39"/>
      <c r="FN146" s="43"/>
      <c r="FO146" s="10"/>
      <c r="FP146" s="11"/>
      <c r="FQ146" s="69">
        <f t="shared" si="930"/>
        <v>0</v>
      </c>
      <c r="FR146" s="69">
        <f t="shared" si="930"/>
        <v>0</v>
      </c>
      <c r="FS146" s="11"/>
      <c r="FT146" s="12" t="e">
        <f t="shared" si="902"/>
        <v>#DIV/0!</v>
      </c>
      <c r="FU146" s="11"/>
      <c r="FV146" s="12" t="e">
        <f t="shared" si="903"/>
        <v>#DIV/0!</v>
      </c>
      <c r="FW146" s="13"/>
      <c r="FX146" s="11"/>
      <c r="FY146" s="39"/>
      <c r="FZ146" s="43"/>
      <c r="GA146" s="10"/>
      <c r="GB146" s="11"/>
      <c r="GC146" s="69">
        <f t="shared" si="931"/>
        <v>0</v>
      </c>
      <c r="GD146" s="69">
        <f t="shared" si="931"/>
        <v>0</v>
      </c>
      <c r="GE146" s="11"/>
      <c r="GF146" s="12" t="e">
        <f t="shared" si="904"/>
        <v>#DIV/0!</v>
      </c>
      <c r="GG146" s="11"/>
      <c r="GH146" s="12" t="e">
        <f t="shared" si="905"/>
        <v>#DIV/0!</v>
      </c>
      <c r="GI146" s="13"/>
      <c r="GJ146" s="11"/>
      <c r="GK146" s="39"/>
      <c r="GL146" s="43"/>
      <c r="GM146" s="10"/>
      <c r="GN146" s="11"/>
      <c r="GO146" s="69">
        <f t="shared" si="932"/>
        <v>0</v>
      </c>
      <c r="GP146" s="69">
        <f t="shared" si="932"/>
        <v>0</v>
      </c>
      <c r="GQ146" s="11"/>
      <c r="GR146" s="12" t="e">
        <f t="shared" si="906"/>
        <v>#DIV/0!</v>
      </c>
      <c r="GS146" s="11"/>
      <c r="GT146" s="12" t="e">
        <f t="shared" si="907"/>
        <v>#DIV/0!</v>
      </c>
      <c r="GU146" s="13"/>
      <c r="GV146" s="11"/>
      <c r="GW146" s="39"/>
      <c r="GX146" s="43"/>
      <c r="GY146" s="10"/>
      <c r="GZ146" s="11"/>
      <c r="HA146" s="69">
        <f t="shared" si="933"/>
        <v>0</v>
      </c>
      <c r="HB146" s="69">
        <f t="shared" si="933"/>
        <v>0</v>
      </c>
      <c r="HC146" s="11"/>
      <c r="HD146" s="12" t="e">
        <f t="shared" si="908"/>
        <v>#DIV/0!</v>
      </c>
      <c r="HE146" s="11"/>
      <c r="HF146" s="12" t="e">
        <f t="shared" si="909"/>
        <v>#DIV/0!</v>
      </c>
      <c r="HG146" s="13"/>
      <c r="HH146" s="11"/>
      <c r="HI146" s="39"/>
      <c r="HJ146" s="43"/>
      <c r="HK146" s="10">
        <f t="shared" si="910"/>
        <v>1</v>
      </c>
      <c r="HL146" s="11">
        <f t="shared" si="910"/>
        <v>0</v>
      </c>
      <c r="HM146" s="11">
        <f t="shared" si="910"/>
        <v>3556</v>
      </c>
      <c r="HN146" s="11">
        <f t="shared" si="910"/>
        <v>298</v>
      </c>
      <c r="HO146" s="11">
        <f t="shared" si="911"/>
        <v>1755</v>
      </c>
      <c r="HP146" s="95">
        <f t="shared" si="912"/>
        <v>0.49353205849268844</v>
      </c>
      <c r="HQ146" s="15">
        <f t="shared" si="913"/>
        <v>102</v>
      </c>
      <c r="HR146" s="12">
        <f t="shared" si="934"/>
        <v>5.8119658119658121E-2</v>
      </c>
      <c r="HS146" s="16">
        <v>69.8</v>
      </c>
      <c r="HT146" s="17">
        <v>1565</v>
      </c>
      <c r="HU146" s="16">
        <f t="shared" si="914"/>
        <v>89.173789173789174</v>
      </c>
      <c r="HV146" s="23">
        <v>85.106382978723403</v>
      </c>
      <c r="HW146" s="22">
        <v>79.6875</v>
      </c>
    </row>
    <row r="147" spans="1:231" ht="19.5" thickBot="1" x14ac:dyDescent="0.3">
      <c r="A147" s="374"/>
      <c r="B147" s="42"/>
      <c r="C147" s="26">
        <f>SUM(C140:C146)</f>
        <v>2</v>
      </c>
      <c r="D147" s="27">
        <f>SUM(D140:D146)</f>
        <v>1</v>
      </c>
      <c r="E147" s="27"/>
      <c r="F147" s="27"/>
      <c r="G147" s="27">
        <f>SUM(G140:G146)</f>
        <v>2114</v>
      </c>
      <c r="H147" s="28">
        <f>((G147+I147)/7)/E146</f>
        <v>0.51033386327503971</v>
      </c>
      <c r="I147" s="27">
        <f>SUM(I140:I146)</f>
        <v>133</v>
      </c>
      <c r="J147" s="28">
        <f>(I147/(I147+G147))</f>
        <v>5.9190031152647975E-2</v>
      </c>
      <c r="K147" s="27"/>
      <c r="L147" s="27"/>
      <c r="M147" s="29">
        <f>M145/M144*100-100</f>
        <v>15.962826294929627</v>
      </c>
      <c r="N147" s="67">
        <f>N145/N144*100-100</f>
        <v>6.5884787857882117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2159</v>
      </c>
      <c r="T147" s="28">
        <f>((S147+U147)/7)/Q146</f>
        <v>0.52001819836214735</v>
      </c>
      <c r="U147" s="27">
        <f>SUM(U140:U146)</f>
        <v>127</v>
      </c>
      <c r="V147" s="28">
        <f>(U147/(U147+S147))</f>
        <v>5.5555555555555552E-2</v>
      </c>
      <c r="W147" s="27"/>
      <c r="X147" s="27"/>
      <c r="Y147" s="29">
        <f>Y145/Y144*100-100</f>
        <v>10.743278861360039</v>
      </c>
      <c r="Z147" s="67">
        <f>Z145/Z144*100-100</f>
        <v>4.8120041393584074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591</v>
      </c>
      <c r="AF147" s="28">
        <f>((AE147+AG147)/7)/AC146</f>
        <v>0.46390977443609022</v>
      </c>
      <c r="AG147" s="27">
        <f>SUM(AG140:AG146)</f>
        <v>26</v>
      </c>
      <c r="AH147" s="28">
        <f>(AG147/(AG147+AE147))</f>
        <v>4.2139384116693678E-2</v>
      </c>
      <c r="AI147" s="27"/>
      <c r="AJ147" s="27"/>
      <c r="AK147" s="29">
        <f>AK145/AK144*100-100</f>
        <v>15.445440168687412</v>
      </c>
      <c r="AL147" s="67">
        <f>AL145/AL144*100-100</f>
        <v>-6.0538116591928173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2299</v>
      </c>
      <c r="AR147" s="28">
        <f>((AQ147+AS147)/7)/AO146</f>
        <v>0.4912743506493506</v>
      </c>
      <c r="AS147" s="27">
        <f>SUM(AS140:AS146)</f>
        <v>122</v>
      </c>
      <c r="AT147" s="28">
        <f>(AS147/(AS147+AQ147))</f>
        <v>5.0392399834779014E-2</v>
      </c>
      <c r="AU147" s="27"/>
      <c r="AV147" s="27"/>
      <c r="AW147" s="29">
        <f>AW145/AW144*100-100</f>
        <v>11.965286319529866</v>
      </c>
      <c r="AX147" s="67">
        <f>AX145/AX144*100-100</f>
        <v>7.1468609865470825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2366</v>
      </c>
      <c r="BD147" s="28">
        <f>((BC147+BE147)/7)/BA146</f>
        <v>0.50877551020408163</v>
      </c>
      <c r="BE147" s="27">
        <f>SUM(BE140:BE146)</f>
        <v>127</v>
      </c>
      <c r="BF147" s="28">
        <f>(BE147/(BE147+BC147))</f>
        <v>5.0942639390292817E-2</v>
      </c>
      <c r="BG147" s="27"/>
      <c r="BH147" s="27"/>
      <c r="BI147" s="29">
        <f>BI145/BI144*100-100</f>
        <v>11.841663871184153</v>
      </c>
      <c r="BJ147" s="67">
        <f>BJ145/BJ144*100-100</f>
        <v>9.9517074853397816</v>
      </c>
      <c r="BK147" s="26">
        <f>SUM(BK140:BK146)</f>
        <v>1</v>
      </c>
      <c r="BL147" s="27">
        <f>SUM(BL140:BL146)</f>
        <v>1</v>
      </c>
      <c r="BM147" s="27"/>
      <c r="BN147" s="27"/>
      <c r="BO147" s="27">
        <f>SUM(BO140:BO146)</f>
        <v>2259</v>
      </c>
      <c r="BP147" s="28">
        <f>((BO147+BQ147)/7)/BM146</f>
        <v>0.48247213779128678</v>
      </c>
      <c r="BQ147" s="27">
        <f>SUM(BQ140:BQ146)</f>
        <v>122</v>
      </c>
      <c r="BR147" s="28">
        <f>(BQ147/(BQ147+BO147))</f>
        <v>5.1238975220495593E-2</v>
      </c>
      <c r="BS147" s="27"/>
      <c r="BT147" s="27"/>
      <c r="BU147" s="29">
        <f>BU145/BU144*100-100</f>
        <v>14.347731712611235</v>
      </c>
      <c r="BV147" s="67">
        <f>BV145/BV144*100-100</f>
        <v>14.849948258020021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7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7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7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7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7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7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7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7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7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7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7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7" t="e">
        <f>HJ145/HJ144*100-100</f>
        <v>#DIV/0!</v>
      </c>
      <c r="HK147" s="26">
        <f t="shared" si="910"/>
        <v>11</v>
      </c>
      <c r="HL147" s="27">
        <f t="shared" si="910"/>
        <v>2</v>
      </c>
      <c r="HM147" s="27">
        <f t="shared" si="910"/>
        <v>0</v>
      </c>
      <c r="HN147" s="27">
        <f t="shared" si="910"/>
        <v>0</v>
      </c>
      <c r="HO147" s="27">
        <f t="shared" si="911"/>
        <v>12445</v>
      </c>
      <c r="HP147" s="96">
        <f>+((HO147)/HM146)/7</f>
        <v>0.49995982645026515</v>
      </c>
      <c r="HQ147" s="62">
        <f t="shared" si="913"/>
        <v>657</v>
      </c>
      <c r="HR147" s="52">
        <f t="shared" si="934"/>
        <v>5.2792286058658093E-2</v>
      </c>
      <c r="HS147" s="53">
        <f>SUM(HS140:HS146)/7</f>
        <v>69.2</v>
      </c>
      <c r="HT147" s="54">
        <f>SUM(HT140:HT146)</f>
        <v>11325</v>
      </c>
      <c r="HU147" s="53">
        <f>AVERAGE(HU140:HU146)</f>
        <v>91.010381344184637</v>
      </c>
      <c r="HV147" s="63">
        <f>HV145/HV144*100-100</f>
        <v>13.171599801104378</v>
      </c>
      <c r="HW147" s="67">
        <f>HW145/HW144*100-100</f>
        <v>7.8685538116591829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3.0838239416876925E-3</v>
      </c>
      <c r="HL148" s="66">
        <f>HL147/HN137</f>
        <v>6.6666666666666671E-3</v>
      </c>
      <c r="HM148" s="45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373">
        <v>41</v>
      </c>
      <c r="B149" s="68">
        <f>B146+1</f>
        <v>45053</v>
      </c>
      <c r="C149" s="33">
        <v>1</v>
      </c>
      <c r="D149" s="34"/>
      <c r="E149" s="34">
        <f>E146-C149</f>
        <v>628</v>
      </c>
      <c r="F149" s="34">
        <f>F146-D149</f>
        <v>51</v>
      </c>
      <c r="G149" s="34">
        <v>298</v>
      </c>
      <c r="H149" s="35">
        <f t="shared" ref="H149:H155" si="935">((G149+I149)/E149)</f>
        <v>0.50318471337579618</v>
      </c>
      <c r="I149" s="34">
        <v>18</v>
      </c>
      <c r="J149" s="35">
        <f>I149/(G149+I149)</f>
        <v>5.6962025316455694E-2</v>
      </c>
      <c r="K149" s="36"/>
      <c r="L149" s="34"/>
      <c r="M149" s="34"/>
      <c r="N149" s="37"/>
      <c r="O149" s="33"/>
      <c r="P149" s="34"/>
      <c r="Q149" s="34">
        <f>Q146-O149</f>
        <v>628</v>
      </c>
      <c r="R149" s="34">
        <f>R146-P149</f>
        <v>53</v>
      </c>
      <c r="S149" s="34">
        <v>296</v>
      </c>
      <c r="T149" s="35">
        <f t="shared" ref="T149:T155" si="936">((S149+U149)/Q149)</f>
        <v>0.48885350318471338</v>
      </c>
      <c r="U149" s="34">
        <v>11</v>
      </c>
      <c r="V149" s="35">
        <f t="shared" ref="V149:V155" si="937">U149/(S149+U149)</f>
        <v>3.5830618892508145E-2</v>
      </c>
      <c r="W149" s="36"/>
      <c r="X149" s="34"/>
      <c r="Y149" s="34"/>
      <c r="Z149" s="37"/>
      <c r="AA149" s="33"/>
      <c r="AB149" s="34"/>
      <c r="AC149" s="34">
        <f>AC146-AA149</f>
        <v>190</v>
      </c>
      <c r="AD149" s="34">
        <f>AD146-AB149</f>
        <v>15</v>
      </c>
      <c r="AE149" s="34">
        <v>83</v>
      </c>
      <c r="AF149" s="35">
        <f t="shared" ref="AF149:AF155" si="938">((AE149+AG149)/AC149)</f>
        <v>0.45789473684210524</v>
      </c>
      <c r="AG149" s="34">
        <v>4</v>
      </c>
      <c r="AH149" s="35">
        <f t="shared" ref="AH149:AH155" si="939">AG149/(AE149+AG149)</f>
        <v>4.5977011494252873E-2</v>
      </c>
      <c r="AI149" s="36"/>
      <c r="AJ149" s="34"/>
      <c r="AK149" s="34"/>
      <c r="AL149" s="37"/>
      <c r="AM149" s="33"/>
      <c r="AN149" s="34"/>
      <c r="AO149" s="34">
        <f>AO146-AM149</f>
        <v>704</v>
      </c>
      <c r="AP149" s="34">
        <f>AP146-AN149</f>
        <v>60</v>
      </c>
      <c r="AQ149" s="34">
        <v>344</v>
      </c>
      <c r="AR149" s="35">
        <f t="shared" ref="AR149:AR155" si="940">((AQ149+AS149)/AO149)</f>
        <v>0.50710227272727271</v>
      </c>
      <c r="AS149" s="34">
        <v>13</v>
      </c>
      <c r="AT149" s="35">
        <f t="shared" ref="AT149:AT155" si="941">AS149/(AQ149+AS149)</f>
        <v>3.6414565826330535E-2</v>
      </c>
      <c r="AU149" s="36"/>
      <c r="AV149" s="34"/>
      <c r="AW149" s="34"/>
      <c r="AX149" s="37"/>
      <c r="AY149" s="33"/>
      <c r="AZ149" s="34"/>
      <c r="BA149" s="34">
        <f>BA146-AY149</f>
        <v>700</v>
      </c>
      <c r="BB149" s="34">
        <f>BB146-AZ149</f>
        <v>60</v>
      </c>
      <c r="BC149" s="34">
        <v>332</v>
      </c>
      <c r="BD149" s="35">
        <f t="shared" ref="BD149:BD155" si="942">((BC149+BE149)/BA149)</f>
        <v>0.49857142857142855</v>
      </c>
      <c r="BE149" s="34">
        <v>17</v>
      </c>
      <c r="BF149" s="35">
        <f t="shared" ref="BF149:BF155" si="943">BE149/(BC149+BE149)</f>
        <v>4.8710601719197708E-2</v>
      </c>
      <c r="BG149" s="36"/>
      <c r="BH149" s="34"/>
      <c r="BI149" s="34"/>
      <c r="BJ149" s="37"/>
      <c r="BK149" s="33"/>
      <c r="BL149" s="34"/>
      <c r="BM149" s="34">
        <f>BM146-BK149</f>
        <v>705</v>
      </c>
      <c r="BN149" s="34">
        <f>BN146-BL149</f>
        <v>59</v>
      </c>
      <c r="BO149" s="34">
        <v>313</v>
      </c>
      <c r="BP149" s="35">
        <f t="shared" ref="BP149:BP155" si="944">((BO149+BQ149)/BM149)</f>
        <v>0.4553191489361702</v>
      </c>
      <c r="BQ149" s="34">
        <v>8</v>
      </c>
      <c r="BR149" s="35">
        <f t="shared" ref="BR149:BR155" si="945">BQ149/(BO149+BQ149)</f>
        <v>2.4922118380062305E-2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946">((CA149+CC149)/BY149)</f>
        <v>#DIV/0!</v>
      </c>
      <c r="CC149" s="34"/>
      <c r="CD149" s="35" t="e">
        <f t="shared" ref="CD149:CD155" si="947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948">((CM149+CO149)/CK149)</f>
        <v>#DIV/0!</v>
      </c>
      <c r="CO149" s="34"/>
      <c r="CP149" s="35" t="e">
        <f t="shared" ref="CP149:CP155" si="949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950">((CY149+DA149)/CW149)</f>
        <v>#DIV/0!</v>
      </c>
      <c r="DA149" s="34"/>
      <c r="DB149" s="35" t="e">
        <f t="shared" ref="DB149:DB155" si="951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952">((DK149+DM149)/DI149)</f>
        <v>#DIV/0!</v>
      </c>
      <c r="DM149" s="34"/>
      <c r="DN149" s="35" t="e">
        <f t="shared" ref="DN149:DN155" si="953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954">((DW149+DY149)/DU149)</f>
        <v>#DIV/0!</v>
      </c>
      <c r="DY149" s="34"/>
      <c r="DZ149" s="35" t="e">
        <f t="shared" ref="DZ149:DZ155" si="955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956">((EI149+EK149)/EG149)</f>
        <v>#DIV/0!</v>
      </c>
      <c r="EK149" s="34"/>
      <c r="EL149" s="35" t="e">
        <f t="shared" ref="EL149:EL155" si="957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958">((EU149+EW149)/ES149)</f>
        <v>#DIV/0!</v>
      </c>
      <c r="EW149" s="34"/>
      <c r="EX149" s="35" t="e">
        <f t="shared" ref="EX149:EX155" si="959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960">((FG149+FI149)/FE149)</f>
        <v>#DIV/0!</v>
      </c>
      <c r="FI149" s="34"/>
      <c r="FJ149" s="35" t="e">
        <f t="shared" ref="FJ149:FJ155" si="961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962">((FS149+FU149)/FQ149)</f>
        <v>#DIV/0!</v>
      </c>
      <c r="FU149" s="34"/>
      <c r="FV149" s="35" t="e">
        <f t="shared" ref="FV149:FV155" si="963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964">((GE149+GG149)/GC149)</f>
        <v>#DIV/0!</v>
      </c>
      <c r="GG149" s="34"/>
      <c r="GH149" s="35" t="e">
        <f t="shared" ref="GH149:GH155" si="965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966">((GQ149+GS149)/GO149)</f>
        <v>#DIV/0!</v>
      </c>
      <c r="GS149" s="34"/>
      <c r="GT149" s="35" t="e">
        <f t="shared" ref="GT149:GT155" si="967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968">((HC149+HE149)/HA149)</f>
        <v>#DIV/0!</v>
      </c>
      <c r="HE149" s="34"/>
      <c r="HF149" s="35" t="e">
        <f t="shared" ref="HF149:HF155" si="969">HE149/(HC149+HE149)</f>
        <v>#DIV/0!</v>
      </c>
      <c r="HG149" s="36"/>
      <c r="HH149" s="34"/>
      <c r="HI149" s="34"/>
      <c r="HJ149" s="37"/>
      <c r="HK149" s="33">
        <f t="shared" ref="HK149:HN156" si="970">+C149+O149+AA149+AM149+AY149+BK149+BW149+CI149+CU149+DG149+DS149+EE149+EQ149+FC149+FO149+GA149+GM149+GY149</f>
        <v>1</v>
      </c>
      <c r="HL149" s="34">
        <f t="shared" si="970"/>
        <v>0</v>
      </c>
      <c r="HM149" s="34">
        <f t="shared" si="970"/>
        <v>3555</v>
      </c>
      <c r="HN149" s="34">
        <f t="shared" si="970"/>
        <v>298</v>
      </c>
      <c r="HO149" s="34">
        <f t="shared" ref="HO149:HO156" si="971">+G149+S149+AE149+AQ149+BC149+BO149+CA149+CM149+CY149+DK149+DW149+EI149+EU149+FG149+FS149+GE149+GQ149+HC149+I149+U149+AG149+AS149+BE149+BQ149+CC149+CO149+DA149+DM149+DY149+EK149+EW149+FI149+FU149+GG149+GS149+HE149</f>
        <v>1737</v>
      </c>
      <c r="HP149" s="94">
        <f t="shared" ref="HP149:HP155" si="972">+(HO149)/HM149</f>
        <v>0.48860759493670886</v>
      </c>
      <c r="HQ149" s="48">
        <f t="shared" ref="HQ149:HQ156" si="973">+I149+U149+AG149+AS149+BE149+BQ149+CC149+CO149+DA149+DM149+DY149+EK149+EW149+FI149+FU149+GG149+GS149+HE149</f>
        <v>71</v>
      </c>
      <c r="HR149" s="35">
        <f>+(HQ149/(HO149))</f>
        <v>4.0875071963154867E-2</v>
      </c>
      <c r="HS149" s="49">
        <v>70</v>
      </c>
      <c r="HT149" s="50">
        <v>1589</v>
      </c>
      <c r="HU149" s="49">
        <f t="shared" ref="HU149:HU155" si="974">+HT149/HO149*100</f>
        <v>91.479562464018429</v>
      </c>
      <c r="HV149" s="48"/>
      <c r="HW149" s="37"/>
    </row>
    <row r="150" spans="1:231" ht="18.75" x14ac:dyDescent="0.25">
      <c r="A150" s="374"/>
      <c r="B150" s="41">
        <f t="shared" si="814"/>
        <v>45054</v>
      </c>
      <c r="C150" s="10">
        <v>1</v>
      </c>
      <c r="D150" s="11"/>
      <c r="E150" s="69">
        <f t="shared" ref="E150:F154" si="975">E149-C150</f>
        <v>627</v>
      </c>
      <c r="F150" s="69">
        <f t="shared" si="975"/>
        <v>51</v>
      </c>
      <c r="G150" s="11">
        <v>303</v>
      </c>
      <c r="H150" s="12">
        <f t="shared" si="935"/>
        <v>0.5103668261562998</v>
      </c>
      <c r="I150" s="11">
        <v>17</v>
      </c>
      <c r="J150" s="12">
        <f t="shared" ref="J150:J155" si="976">I150/(G150+I150)</f>
        <v>5.3124999999999999E-2</v>
      </c>
      <c r="K150" s="13"/>
      <c r="L150" s="11"/>
      <c r="M150" s="11"/>
      <c r="N150" s="14"/>
      <c r="O150" s="10"/>
      <c r="P150" s="11"/>
      <c r="Q150" s="69">
        <f t="shared" ref="Q150:R155" si="977">Q149-O150</f>
        <v>628</v>
      </c>
      <c r="R150" s="69">
        <f t="shared" si="977"/>
        <v>53</v>
      </c>
      <c r="S150" s="11">
        <v>301</v>
      </c>
      <c r="T150" s="12">
        <f t="shared" si="936"/>
        <v>0.50159235668789814</v>
      </c>
      <c r="U150" s="11">
        <v>14</v>
      </c>
      <c r="V150" s="12">
        <f t="shared" si="937"/>
        <v>4.4444444444444446E-2</v>
      </c>
      <c r="W150" s="13"/>
      <c r="X150" s="11"/>
      <c r="Y150" s="11"/>
      <c r="Z150" s="14"/>
      <c r="AA150" s="10"/>
      <c r="AB150" s="11"/>
      <c r="AC150" s="69">
        <f t="shared" ref="AC150:AD155" si="978">AC149-AA150</f>
        <v>190</v>
      </c>
      <c r="AD150" s="69">
        <f t="shared" si="978"/>
        <v>15</v>
      </c>
      <c r="AE150" s="11">
        <v>79</v>
      </c>
      <c r="AF150" s="12">
        <f t="shared" si="938"/>
        <v>0.43684210526315792</v>
      </c>
      <c r="AG150" s="11">
        <v>4</v>
      </c>
      <c r="AH150" s="12">
        <f t="shared" si="939"/>
        <v>4.8192771084337352E-2</v>
      </c>
      <c r="AI150" s="13"/>
      <c r="AJ150" s="11"/>
      <c r="AK150" s="11"/>
      <c r="AL150" s="14"/>
      <c r="AM150" s="10"/>
      <c r="AN150" s="11"/>
      <c r="AO150" s="69">
        <f t="shared" ref="AO150:AP155" si="979">AO149-AM150</f>
        <v>704</v>
      </c>
      <c r="AP150" s="69">
        <f t="shared" si="979"/>
        <v>60</v>
      </c>
      <c r="AQ150" s="11">
        <v>330</v>
      </c>
      <c r="AR150" s="12">
        <f t="shared" si="940"/>
        <v>0.49431818181818182</v>
      </c>
      <c r="AS150" s="11">
        <v>18</v>
      </c>
      <c r="AT150" s="12">
        <f t="shared" si="941"/>
        <v>5.1724137931034482E-2</v>
      </c>
      <c r="AU150" s="13"/>
      <c r="AV150" s="11"/>
      <c r="AW150" s="11"/>
      <c r="AX150" s="14"/>
      <c r="AY150" s="10"/>
      <c r="AZ150" s="11"/>
      <c r="BA150" s="69">
        <f t="shared" ref="BA150:BB155" si="980">BA149-AY150</f>
        <v>700</v>
      </c>
      <c r="BB150" s="69">
        <f t="shared" si="980"/>
        <v>60</v>
      </c>
      <c r="BC150" s="11">
        <v>346</v>
      </c>
      <c r="BD150" s="12">
        <f t="shared" si="942"/>
        <v>0.51857142857142857</v>
      </c>
      <c r="BE150" s="11">
        <v>17</v>
      </c>
      <c r="BF150" s="12">
        <f t="shared" si="943"/>
        <v>4.6831955922865015E-2</v>
      </c>
      <c r="BG150" s="13"/>
      <c r="BH150" s="11"/>
      <c r="BI150" s="11"/>
      <c r="BJ150" s="14"/>
      <c r="BK150" s="10"/>
      <c r="BL150" s="11"/>
      <c r="BM150" s="69">
        <f t="shared" ref="BM150:BN155" si="981">BM149-BK150</f>
        <v>705</v>
      </c>
      <c r="BN150" s="69">
        <f t="shared" si="981"/>
        <v>59</v>
      </c>
      <c r="BO150" s="11">
        <v>345</v>
      </c>
      <c r="BP150" s="12">
        <f t="shared" si="944"/>
        <v>0.51489361702127656</v>
      </c>
      <c r="BQ150" s="11">
        <v>18</v>
      </c>
      <c r="BR150" s="12">
        <f t="shared" si="945"/>
        <v>4.9586776859504134E-2</v>
      </c>
      <c r="BS150" s="13"/>
      <c r="BT150" s="11"/>
      <c r="BU150" s="11"/>
      <c r="BV150" s="14"/>
      <c r="BW150" s="10"/>
      <c r="BX150" s="11"/>
      <c r="BY150" s="69">
        <f t="shared" ref="BY150:BZ155" si="982">BY149-BW150</f>
        <v>0</v>
      </c>
      <c r="BZ150" s="69">
        <f t="shared" si="982"/>
        <v>0</v>
      </c>
      <c r="CA150" s="11"/>
      <c r="CB150" s="12" t="e">
        <f t="shared" si="946"/>
        <v>#DIV/0!</v>
      </c>
      <c r="CC150" s="11"/>
      <c r="CD150" s="12" t="e">
        <f t="shared" si="947"/>
        <v>#DIV/0!</v>
      </c>
      <c r="CE150" s="13"/>
      <c r="CF150" s="11"/>
      <c r="CG150" s="11"/>
      <c r="CH150" s="14"/>
      <c r="CI150" s="10"/>
      <c r="CJ150" s="11"/>
      <c r="CK150" s="69">
        <f t="shared" ref="CK150:CL155" si="983">CK149-CI150</f>
        <v>0</v>
      </c>
      <c r="CL150" s="69">
        <f t="shared" si="983"/>
        <v>0</v>
      </c>
      <c r="CM150" s="11"/>
      <c r="CN150" s="12" t="e">
        <f t="shared" si="948"/>
        <v>#DIV/0!</v>
      </c>
      <c r="CO150" s="11"/>
      <c r="CP150" s="12" t="e">
        <f t="shared" si="949"/>
        <v>#DIV/0!</v>
      </c>
      <c r="CQ150" s="13"/>
      <c r="CR150" s="11"/>
      <c r="CS150" s="11"/>
      <c r="CT150" s="14"/>
      <c r="CU150" s="10"/>
      <c r="CV150" s="11"/>
      <c r="CW150" s="69">
        <f t="shared" ref="CW150:CX155" si="984">CW149-CU150</f>
        <v>0</v>
      </c>
      <c r="CX150" s="69">
        <f t="shared" si="984"/>
        <v>0</v>
      </c>
      <c r="CY150" s="11"/>
      <c r="CZ150" s="12" t="e">
        <f t="shared" si="950"/>
        <v>#DIV/0!</v>
      </c>
      <c r="DA150" s="11"/>
      <c r="DB150" s="12" t="e">
        <f t="shared" si="951"/>
        <v>#DIV/0!</v>
      </c>
      <c r="DC150" s="13"/>
      <c r="DD150" s="11"/>
      <c r="DE150" s="11"/>
      <c r="DF150" s="14"/>
      <c r="DG150" s="10"/>
      <c r="DH150" s="11"/>
      <c r="DI150" s="69">
        <f t="shared" ref="DI150:DJ155" si="985">DI149-DG150</f>
        <v>0</v>
      </c>
      <c r="DJ150" s="69">
        <f t="shared" si="985"/>
        <v>0</v>
      </c>
      <c r="DK150" s="11"/>
      <c r="DL150" s="12" t="e">
        <f t="shared" si="952"/>
        <v>#DIV/0!</v>
      </c>
      <c r="DM150" s="11"/>
      <c r="DN150" s="12" t="e">
        <f t="shared" si="953"/>
        <v>#DIV/0!</v>
      </c>
      <c r="DO150" s="13"/>
      <c r="DP150" s="11"/>
      <c r="DQ150" s="11"/>
      <c r="DR150" s="14"/>
      <c r="DS150" s="10"/>
      <c r="DT150" s="11"/>
      <c r="DU150" s="69">
        <f t="shared" ref="DU150:DV155" si="986">DU149-DS150</f>
        <v>0</v>
      </c>
      <c r="DV150" s="69">
        <f t="shared" si="986"/>
        <v>0</v>
      </c>
      <c r="DW150" s="11"/>
      <c r="DX150" s="12" t="e">
        <f t="shared" si="954"/>
        <v>#DIV/0!</v>
      </c>
      <c r="DY150" s="11"/>
      <c r="DZ150" s="12" t="e">
        <f t="shared" si="955"/>
        <v>#DIV/0!</v>
      </c>
      <c r="EA150" s="13"/>
      <c r="EB150" s="11"/>
      <c r="EC150" s="11"/>
      <c r="ED150" s="14"/>
      <c r="EE150" s="10"/>
      <c r="EF150" s="11"/>
      <c r="EG150" s="69">
        <f t="shared" ref="EG150:EH155" si="987">EG149-EE150</f>
        <v>0</v>
      </c>
      <c r="EH150" s="69">
        <f t="shared" si="987"/>
        <v>0</v>
      </c>
      <c r="EI150" s="11"/>
      <c r="EJ150" s="12" t="e">
        <f t="shared" si="956"/>
        <v>#DIV/0!</v>
      </c>
      <c r="EK150" s="11"/>
      <c r="EL150" s="12" t="e">
        <f t="shared" si="957"/>
        <v>#DIV/0!</v>
      </c>
      <c r="EM150" s="13"/>
      <c r="EN150" s="11"/>
      <c r="EO150" s="11"/>
      <c r="EP150" s="14"/>
      <c r="EQ150" s="10"/>
      <c r="ER150" s="11"/>
      <c r="ES150" s="69">
        <f t="shared" ref="ES150:ET155" si="988">ES149-EQ150</f>
        <v>0</v>
      </c>
      <c r="ET150" s="69">
        <f t="shared" si="988"/>
        <v>0</v>
      </c>
      <c r="EU150" s="11"/>
      <c r="EV150" s="12" t="e">
        <f t="shared" si="958"/>
        <v>#DIV/0!</v>
      </c>
      <c r="EW150" s="11"/>
      <c r="EX150" s="12" t="e">
        <f t="shared" si="959"/>
        <v>#DIV/0!</v>
      </c>
      <c r="EY150" s="13"/>
      <c r="EZ150" s="11"/>
      <c r="FA150" s="11"/>
      <c r="FB150" s="14"/>
      <c r="FC150" s="10"/>
      <c r="FD150" s="11"/>
      <c r="FE150" s="69">
        <f t="shared" ref="FE150:FF155" si="989">FE149-FC150</f>
        <v>0</v>
      </c>
      <c r="FF150" s="69">
        <f t="shared" si="989"/>
        <v>0</v>
      </c>
      <c r="FG150" s="11"/>
      <c r="FH150" s="12" t="e">
        <f t="shared" si="960"/>
        <v>#DIV/0!</v>
      </c>
      <c r="FI150" s="11"/>
      <c r="FJ150" s="12" t="e">
        <f t="shared" si="961"/>
        <v>#DIV/0!</v>
      </c>
      <c r="FK150" s="13"/>
      <c r="FL150" s="11"/>
      <c r="FM150" s="11"/>
      <c r="FN150" s="14"/>
      <c r="FO150" s="10"/>
      <c r="FP150" s="11"/>
      <c r="FQ150" s="69">
        <f t="shared" ref="FQ150:FR155" si="990">FQ149-FO150</f>
        <v>0</v>
      </c>
      <c r="FR150" s="69">
        <f t="shared" si="990"/>
        <v>0</v>
      </c>
      <c r="FS150" s="11"/>
      <c r="FT150" s="12" t="e">
        <f t="shared" si="962"/>
        <v>#DIV/0!</v>
      </c>
      <c r="FU150" s="11"/>
      <c r="FV150" s="12" t="e">
        <f t="shared" si="963"/>
        <v>#DIV/0!</v>
      </c>
      <c r="FW150" s="13"/>
      <c r="FX150" s="11"/>
      <c r="FY150" s="11"/>
      <c r="FZ150" s="14"/>
      <c r="GA150" s="10"/>
      <c r="GB150" s="11"/>
      <c r="GC150" s="69">
        <f t="shared" ref="GC150:GD155" si="991">GC149-GA150</f>
        <v>0</v>
      </c>
      <c r="GD150" s="69">
        <f t="shared" si="991"/>
        <v>0</v>
      </c>
      <c r="GE150" s="11"/>
      <c r="GF150" s="12" t="e">
        <f t="shared" si="964"/>
        <v>#DIV/0!</v>
      </c>
      <c r="GG150" s="11"/>
      <c r="GH150" s="12" t="e">
        <f t="shared" si="965"/>
        <v>#DIV/0!</v>
      </c>
      <c r="GI150" s="13"/>
      <c r="GJ150" s="11"/>
      <c r="GK150" s="11"/>
      <c r="GL150" s="14"/>
      <c r="GM150" s="10"/>
      <c r="GN150" s="11"/>
      <c r="GO150" s="69">
        <f t="shared" ref="GO150:GP155" si="992">GO149-GM150</f>
        <v>0</v>
      </c>
      <c r="GP150" s="69">
        <f t="shared" si="992"/>
        <v>0</v>
      </c>
      <c r="GQ150" s="11"/>
      <c r="GR150" s="12" t="e">
        <f t="shared" si="966"/>
        <v>#DIV/0!</v>
      </c>
      <c r="GS150" s="11"/>
      <c r="GT150" s="12" t="e">
        <f t="shared" si="967"/>
        <v>#DIV/0!</v>
      </c>
      <c r="GU150" s="13"/>
      <c r="GV150" s="11"/>
      <c r="GW150" s="11"/>
      <c r="GX150" s="14"/>
      <c r="GY150" s="10"/>
      <c r="GZ150" s="11"/>
      <c r="HA150" s="69">
        <f t="shared" ref="HA150:HB155" si="993">HA149-GY150</f>
        <v>0</v>
      </c>
      <c r="HB150" s="69">
        <f t="shared" si="993"/>
        <v>0</v>
      </c>
      <c r="HC150" s="11"/>
      <c r="HD150" s="12" t="e">
        <f t="shared" si="968"/>
        <v>#DIV/0!</v>
      </c>
      <c r="HE150" s="11"/>
      <c r="HF150" s="12" t="e">
        <f t="shared" si="969"/>
        <v>#DIV/0!</v>
      </c>
      <c r="HG150" s="13"/>
      <c r="HH150" s="11"/>
      <c r="HI150" s="11"/>
      <c r="HJ150" s="14"/>
      <c r="HK150" s="10">
        <f t="shared" si="970"/>
        <v>1</v>
      </c>
      <c r="HL150" s="11">
        <f t="shared" si="970"/>
        <v>0</v>
      </c>
      <c r="HM150" s="11">
        <f t="shared" si="970"/>
        <v>3554</v>
      </c>
      <c r="HN150" s="11">
        <f t="shared" si="970"/>
        <v>298</v>
      </c>
      <c r="HO150" s="11">
        <f t="shared" si="971"/>
        <v>1792</v>
      </c>
      <c r="HP150" s="95">
        <f t="shared" si="972"/>
        <v>0.50422059651097351</v>
      </c>
      <c r="HQ150" s="15">
        <f t="shared" si="973"/>
        <v>88</v>
      </c>
      <c r="HR150" s="12">
        <f t="shared" ref="HR150:HR156" si="994">+(HQ150/(HO150))</f>
        <v>4.9107142857142856E-2</v>
      </c>
      <c r="HS150" s="16">
        <v>70.3</v>
      </c>
      <c r="HT150" s="17">
        <v>1641</v>
      </c>
      <c r="HU150" s="16">
        <f t="shared" si="974"/>
        <v>91.573660714285708</v>
      </c>
      <c r="HV150" s="15"/>
      <c r="HW150" s="14"/>
    </row>
    <row r="151" spans="1:231" ht="18.75" x14ac:dyDescent="0.25">
      <c r="A151" s="374"/>
      <c r="B151" s="41">
        <f t="shared" si="814"/>
        <v>45055</v>
      </c>
      <c r="C151" s="10">
        <v>1</v>
      </c>
      <c r="D151" s="11"/>
      <c r="E151" s="69">
        <f t="shared" si="975"/>
        <v>626</v>
      </c>
      <c r="F151" s="69">
        <f t="shared" si="975"/>
        <v>51</v>
      </c>
      <c r="G151" s="11">
        <v>313</v>
      </c>
      <c r="H151" s="12">
        <f t="shared" si="935"/>
        <v>0.51916932907348246</v>
      </c>
      <c r="I151" s="11">
        <v>12</v>
      </c>
      <c r="J151" s="12">
        <f t="shared" si="976"/>
        <v>3.6923076923076927E-2</v>
      </c>
      <c r="K151" s="13"/>
      <c r="L151" s="11"/>
      <c r="M151" s="11"/>
      <c r="N151" s="14"/>
      <c r="O151" s="10"/>
      <c r="P151" s="11"/>
      <c r="Q151" s="69">
        <f t="shared" si="977"/>
        <v>628</v>
      </c>
      <c r="R151" s="69">
        <f t="shared" si="977"/>
        <v>53</v>
      </c>
      <c r="S151" s="11">
        <v>284</v>
      </c>
      <c r="T151" s="12">
        <f t="shared" si="936"/>
        <v>0.48089171974522293</v>
      </c>
      <c r="U151" s="11">
        <v>18</v>
      </c>
      <c r="V151" s="12">
        <f t="shared" si="937"/>
        <v>5.9602649006622516E-2</v>
      </c>
      <c r="W151" s="13"/>
      <c r="X151" s="11"/>
      <c r="Y151" s="11"/>
      <c r="Z151" s="14"/>
      <c r="AA151" s="10"/>
      <c r="AB151" s="11"/>
      <c r="AC151" s="69">
        <f t="shared" si="978"/>
        <v>190</v>
      </c>
      <c r="AD151" s="69">
        <f t="shared" si="978"/>
        <v>15</v>
      </c>
      <c r="AE151" s="11">
        <v>91</v>
      </c>
      <c r="AF151" s="12">
        <f t="shared" si="938"/>
        <v>0.50526315789473686</v>
      </c>
      <c r="AG151" s="11">
        <v>5</v>
      </c>
      <c r="AH151" s="12">
        <f t="shared" si="939"/>
        <v>5.2083333333333336E-2</v>
      </c>
      <c r="AI151" s="13"/>
      <c r="AJ151" s="11"/>
      <c r="AK151" s="11"/>
      <c r="AL151" s="14"/>
      <c r="AM151" s="10"/>
      <c r="AN151" s="11"/>
      <c r="AO151" s="69">
        <f t="shared" si="979"/>
        <v>704</v>
      </c>
      <c r="AP151" s="69">
        <f t="shared" si="979"/>
        <v>60</v>
      </c>
      <c r="AQ151" s="11">
        <v>302</v>
      </c>
      <c r="AR151" s="12">
        <f t="shared" si="940"/>
        <v>0.45738636363636365</v>
      </c>
      <c r="AS151" s="11">
        <v>20</v>
      </c>
      <c r="AT151" s="12">
        <f t="shared" si="941"/>
        <v>6.2111801242236024E-2</v>
      </c>
      <c r="AU151" s="13"/>
      <c r="AV151" s="11"/>
      <c r="AW151" s="11"/>
      <c r="AX151" s="14"/>
      <c r="AY151" s="10">
        <v>1</v>
      </c>
      <c r="AZ151" s="11"/>
      <c r="BA151" s="69">
        <f t="shared" si="980"/>
        <v>699</v>
      </c>
      <c r="BB151" s="69">
        <f t="shared" si="980"/>
        <v>60</v>
      </c>
      <c r="BC151" s="11">
        <v>325</v>
      </c>
      <c r="BD151" s="12">
        <f t="shared" si="942"/>
        <v>0.48354792560801146</v>
      </c>
      <c r="BE151" s="11">
        <v>13</v>
      </c>
      <c r="BF151" s="12">
        <f t="shared" si="943"/>
        <v>3.8461538461538464E-2</v>
      </c>
      <c r="BG151" s="13"/>
      <c r="BH151" s="11"/>
      <c r="BI151" s="11"/>
      <c r="BJ151" s="14"/>
      <c r="BK151" s="10"/>
      <c r="BL151" s="11"/>
      <c r="BM151" s="69">
        <f t="shared" si="981"/>
        <v>705</v>
      </c>
      <c r="BN151" s="69">
        <f t="shared" si="981"/>
        <v>59</v>
      </c>
      <c r="BO151" s="11">
        <v>341</v>
      </c>
      <c r="BP151" s="12">
        <f t="shared" si="944"/>
        <v>0.51063829787234039</v>
      </c>
      <c r="BQ151" s="11">
        <v>19</v>
      </c>
      <c r="BR151" s="12">
        <f t="shared" si="945"/>
        <v>5.2777777777777778E-2</v>
      </c>
      <c r="BS151" s="13"/>
      <c r="BT151" s="11"/>
      <c r="BU151" s="11"/>
      <c r="BV151" s="14"/>
      <c r="BW151" s="10"/>
      <c r="BX151" s="11"/>
      <c r="BY151" s="69">
        <f t="shared" si="982"/>
        <v>0</v>
      </c>
      <c r="BZ151" s="69">
        <f t="shared" si="982"/>
        <v>0</v>
      </c>
      <c r="CA151" s="11"/>
      <c r="CB151" s="12" t="e">
        <f t="shared" si="946"/>
        <v>#DIV/0!</v>
      </c>
      <c r="CC151" s="11"/>
      <c r="CD151" s="12" t="e">
        <f t="shared" si="947"/>
        <v>#DIV/0!</v>
      </c>
      <c r="CE151" s="13"/>
      <c r="CF151" s="11"/>
      <c r="CG151" s="11"/>
      <c r="CH151" s="14"/>
      <c r="CI151" s="10"/>
      <c r="CJ151" s="11"/>
      <c r="CK151" s="69">
        <f t="shared" si="983"/>
        <v>0</v>
      </c>
      <c r="CL151" s="69">
        <f t="shared" si="983"/>
        <v>0</v>
      </c>
      <c r="CM151" s="11"/>
      <c r="CN151" s="12" t="e">
        <f t="shared" si="948"/>
        <v>#DIV/0!</v>
      </c>
      <c r="CO151" s="11"/>
      <c r="CP151" s="12" t="e">
        <f t="shared" si="949"/>
        <v>#DIV/0!</v>
      </c>
      <c r="CQ151" s="13"/>
      <c r="CR151" s="11"/>
      <c r="CS151" s="11"/>
      <c r="CT151" s="14"/>
      <c r="CU151" s="10"/>
      <c r="CV151" s="11"/>
      <c r="CW151" s="69">
        <f t="shared" si="984"/>
        <v>0</v>
      </c>
      <c r="CX151" s="69">
        <f t="shared" si="984"/>
        <v>0</v>
      </c>
      <c r="CY151" s="11"/>
      <c r="CZ151" s="12" t="e">
        <f t="shared" si="950"/>
        <v>#DIV/0!</v>
      </c>
      <c r="DA151" s="11"/>
      <c r="DB151" s="12" t="e">
        <f t="shared" si="951"/>
        <v>#DIV/0!</v>
      </c>
      <c r="DC151" s="13"/>
      <c r="DD151" s="11"/>
      <c r="DE151" s="11"/>
      <c r="DF151" s="14"/>
      <c r="DG151" s="10"/>
      <c r="DH151" s="11"/>
      <c r="DI151" s="69">
        <f t="shared" si="985"/>
        <v>0</v>
      </c>
      <c r="DJ151" s="69">
        <f t="shared" si="985"/>
        <v>0</v>
      </c>
      <c r="DK151" s="11"/>
      <c r="DL151" s="12" t="e">
        <f t="shared" si="952"/>
        <v>#DIV/0!</v>
      </c>
      <c r="DM151" s="11"/>
      <c r="DN151" s="12" t="e">
        <f t="shared" si="953"/>
        <v>#DIV/0!</v>
      </c>
      <c r="DO151" s="13"/>
      <c r="DP151" s="11"/>
      <c r="DQ151" s="11"/>
      <c r="DR151" s="14"/>
      <c r="DS151" s="10"/>
      <c r="DT151" s="11"/>
      <c r="DU151" s="69">
        <f t="shared" si="986"/>
        <v>0</v>
      </c>
      <c r="DV151" s="69">
        <f t="shared" si="986"/>
        <v>0</v>
      </c>
      <c r="DW151" s="11"/>
      <c r="DX151" s="12" t="e">
        <f t="shared" si="954"/>
        <v>#DIV/0!</v>
      </c>
      <c r="DY151" s="11"/>
      <c r="DZ151" s="12" t="e">
        <f t="shared" si="955"/>
        <v>#DIV/0!</v>
      </c>
      <c r="EA151" s="13"/>
      <c r="EB151" s="11"/>
      <c r="EC151" s="11"/>
      <c r="ED151" s="14"/>
      <c r="EE151" s="10"/>
      <c r="EF151" s="11"/>
      <c r="EG151" s="69">
        <f t="shared" si="987"/>
        <v>0</v>
      </c>
      <c r="EH151" s="69">
        <f t="shared" si="987"/>
        <v>0</v>
      </c>
      <c r="EI151" s="11"/>
      <c r="EJ151" s="12" t="e">
        <f t="shared" si="956"/>
        <v>#DIV/0!</v>
      </c>
      <c r="EK151" s="11"/>
      <c r="EL151" s="12" t="e">
        <f t="shared" si="957"/>
        <v>#DIV/0!</v>
      </c>
      <c r="EM151" s="13"/>
      <c r="EN151" s="11"/>
      <c r="EO151" s="11"/>
      <c r="EP151" s="14"/>
      <c r="EQ151" s="10"/>
      <c r="ER151" s="11"/>
      <c r="ES151" s="69">
        <f t="shared" si="988"/>
        <v>0</v>
      </c>
      <c r="ET151" s="69">
        <f t="shared" si="988"/>
        <v>0</v>
      </c>
      <c r="EU151" s="11"/>
      <c r="EV151" s="12" t="e">
        <f t="shared" si="958"/>
        <v>#DIV/0!</v>
      </c>
      <c r="EW151" s="11"/>
      <c r="EX151" s="12" t="e">
        <f t="shared" si="959"/>
        <v>#DIV/0!</v>
      </c>
      <c r="EY151" s="13"/>
      <c r="EZ151" s="11"/>
      <c r="FA151" s="11"/>
      <c r="FB151" s="14"/>
      <c r="FC151" s="10"/>
      <c r="FD151" s="11"/>
      <c r="FE151" s="69">
        <f t="shared" si="989"/>
        <v>0</v>
      </c>
      <c r="FF151" s="69">
        <f t="shared" si="989"/>
        <v>0</v>
      </c>
      <c r="FG151" s="11"/>
      <c r="FH151" s="12" t="e">
        <f t="shared" si="960"/>
        <v>#DIV/0!</v>
      </c>
      <c r="FI151" s="11"/>
      <c r="FJ151" s="12" t="e">
        <f t="shared" si="961"/>
        <v>#DIV/0!</v>
      </c>
      <c r="FK151" s="13"/>
      <c r="FL151" s="11"/>
      <c r="FM151" s="11"/>
      <c r="FN151" s="14"/>
      <c r="FO151" s="10"/>
      <c r="FP151" s="11"/>
      <c r="FQ151" s="69">
        <f t="shared" si="990"/>
        <v>0</v>
      </c>
      <c r="FR151" s="69">
        <f t="shared" si="990"/>
        <v>0</v>
      </c>
      <c r="FS151" s="11"/>
      <c r="FT151" s="12" t="e">
        <f t="shared" si="962"/>
        <v>#DIV/0!</v>
      </c>
      <c r="FU151" s="11"/>
      <c r="FV151" s="12" t="e">
        <f t="shared" si="963"/>
        <v>#DIV/0!</v>
      </c>
      <c r="FW151" s="13"/>
      <c r="FX151" s="11"/>
      <c r="FY151" s="11"/>
      <c r="FZ151" s="14"/>
      <c r="GA151" s="10"/>
      <c r="GB151" s="11"/>
      <c r="GC151" s="69">
        <f t="shared" si="991"/>
        <v>0</v>
      </c>
      <c r="GD151" s="69">
        <f t="shared" si="991"/>
        <v>0</v>
      </c>
      <c r="GE151" s="11"/>
      <c r="GF151" s="12" t="e">
        <f t="shared" si="964"/>
        <v>#DIV/0!</v>
      </c>
      <c r="GG151" s="11"/>
      <c r="GH151" s="12" t="e">
        <f t="shared" si="965"/>
        <v>#DIV/0!</v>
      </c>
      <c r="GI151" s="13"/>
      <c r="GJ151" s="11"/>
      <c r="GK151" s="11"/>
      <c r="GL151" s="14"/>
      <c r="GM151" s="10"/>
      <c r="GN151" s="11"/>
      <c r="GO151" s="69">
        <f t="shared" si="992"/>
        <v>0</v>
      </c>
      <c r="GP151" s="69">
        <f t="shared" si="992"/>
        <v>0</v>
      </c>
      <c r="GQ151" s="11"/>
      <c r="GR151" s="12" t="e">
        <f t="shared" si="966"/>
        <v>#DIV/0!</v>
      </c>
      <c r="GS151" s="11"/>
      <c r="GT151" s="12" t="e">
        <f t="shared" si="967"/>
        <v>#DIV/0!</v>
      </c>
      <c r="GU151" s="13"/>
      <c r="GV151" s="11"/>
      <c r="GW151" s="11"/>
      <c r="GX151" s="14"/>
      <c r="GY151" s="10"/>
      <c r="GZ151" s="11"/>
      <c r="HA151" s="69">
        <f t="shared" si="993"/>
        <v>0</v>
      </c>
      <c r="HB151" s="69">
        <f t="shared" si="993"/>
        <v>0</v>
      </c>
      <c r="HC151" s="11"/>
      <c r="HD151" s="12" t="e">
        <f t="shared" si="968"/>
        <v>#DIV/0!</v>
      </c>
      <c r="HE151" s="11"/>
      <c r="HF151" s="12" t="e">
        <f t="shared" si="969"/>
        <v>#DIV/0!</v>
      </c>
      <c r="HG151" s="13"/>
      <c r="HH151" s="11"/>
      <c r="HI151" s="11"/>
      <c r="HJ151" s="14"/>
      <c r="HK151" s="10">
        <f t="shared" si="970"/>
        <v>2</v>
      </c>
      <c r="HL151" s="11">
        <f t="shared" si="970"/>
        <v>0</v>
      </c>
      <c r="HM151" s="11">
        <f t="shared" si="970"/>
        <v>3552</v>
      </c>
      <c r="HN151" s="11">
        <f t="shared" si="970"/>
        <v>298</v>
      </c>
      <c r="HO151" s="11">
        <f t="shared" si="971"/>
        <v>1743</v>
      </c>
      <c r="HP151" s="95">
        <f t="shared" si="972"/>
        <v>0.49070945945945948</v>
      </c>
      <c r="HQ151" s="15">
        <f t="shared" si="973"/>
        <v>87</v>
      </c>
      <c r="HR151" s="12">
        <f t="shared" si="994"/>
        <v>4.9913941480206538E-2</v>
      </c>
      <c r="HS151" s="16">
        <v>70</v>
      </c>
      <c r="HT151" s="17">
        <v>1576</v>
      </c>
      <c r="HU151" s="16">
        <f t="shared" si="974"/>
        <v>90.418818129661503</v>
      </c>
      <c r="HV151" s="15"/>
      <c r="HW151" s="14"/>
    </row>
    <row r="152" spans="1:231" ht="18.75" x14ac:dyDescent="0.25">
      <c r="A152" s="374"/>
      <c r="B152" s="41">
        <f t="shared" si="814"/>
        <v>45056</v>
      </c>
      <c r="C152" s="10"/>
      <c r="D152" s="11"/>
      <c r="E152" s="69">
        <f t="shared" si="975"/>
        <v>626</v>
      </c>
      <c r="F152" s="69">
        <f t="shared" si="975"/>
        <v>51</v>
      </c>
      <c r="G152" s="11">
        <v>282</v>
      </c>
      <c r="H152" s="12">
        <f t="shared" si="935"/>
        <v>0.48402555910543132</v>
      </c>
      <c r="I152" s="11">
        <v>21</v>
      </c>
      <c r="J152" s="12">
        <f t="shared" si="976"/>
        <v>6.9306930693069313E-2</v>
      </c>
      <c r="K152" s="11"/>
      <c r="L152" s="11"/>
      <c r="M152" s="18"/>
      <c r="N152" s="20"/>
      <c r="O152" s="10"/>
      <c r="P152" s="11"/>
      <c r="Q152" s="69">
        <f t="shared" si="977"/>
        <v>628</v>
      </c>
      <c r="R152" s="69">
        <f t="shared" si="977"/>
        <v>53</v>
      </c>
      <c r="S152" s="11">
        <v>255</v>
      </c>
      <c r="T152" s="12">
        <f t="shared" si="936"/>
        <v>0.44108280254777071</v>
      </c>
      <c r="U152" s="11">
        <v>22</v>
      </c>
      <c r="V152" s="12">
        <f t="shared" si="937"/>
        <v>7.9422382671480149E-2</v>
      </c>
      <c r="W152" s="11"/>
      <c r="X152" s="11"/>
      <c r="Y152" s="18"/>
      <c r="Z152" s="20"/>
      <c r="AA152" s="10">
        <v>1</v>
      </c>
      <c r="AB152" s="11"/>
      <c r="AC152" s="69">
        <f t="shared" si="978"/>
        <v>189</v>
      </c>
      <c r="AD152" s="69">
        <f t="shared" si="978"/>
        <v>15</v>
      </c>
      <c r="AE152" s="11">
        <v>77</v>
      </c>
      <c r="AF152" s="12">
        <f t="shared" si="938"/>
        <v>0.44444444444444442</v>
      </c>
      <c r="AG152" s="11">
        <v>7</v>
      </c>
      <c r="AH152" s="12">
        <f t="shared" si="939"/>
        <v>8.3333333333333329E-2</v>
      </c>
      <c r="AI152" s="11"/>
      <c r="AJ152" s="11"/>
      <c r="AK152" s="18"/>
      <c r="AL152" s="20"/>
      <c r="AM152" s="10">
        <v>1</v>
      </c>
      <c r="AN152" s="11"/>
      <c r="AO152" s="69">
        <f t="shared" si="979"/>
        <v>703</v>
      </c>
      <c r="AP152" s="69">
        <f t="shared" si="979"/>
        <v>60</v>
      </c>
      <c r="AQ152" s="11">
        <v>303</v>
      </c>
      <c r="AR152" s="12">
        <f t="shared" si="940"/>
        <v>0.46514935988620199</v>
      </c>
      <c r="AS152" s="11">
        <v>24</v>
      </c>
      <c r="AT152" s="12">
        <f t="shared" si="941"/>
        <v>7.3394495412844041E-2</v>
      </c>
      <c r="AU152" s="11"/>
      <c r="AV152" s="11"/>
      <c r="AW152" s="18"/>
      <c r="AX152" s="20"/>
      <c r="AY152" s="10"/>
      <c r="AZ152" s="11"/>
      <c r="BA152" s="69">
        <f t="shared" si="980"/>
        <v>699</v>
      </c>
      <c r="BB152" s="69">
        <f t="shared" si="980"/>
        <v>60</v>
      </c>
      <c r="BC152" s="11">
        <v>340</v>
      </c>
      <c r="BD152" s="12">
        <f t="shared" si="942"/>
        <v>0.50643776824034337</v>
      </c>
      <c r="BE152" s="11">
        <v>14</v>
      </c>
      <c r="BF152" s="12">
        <f t="shared" si="943"/>
        <v>3.954802259887006E-2</v>
      </c>
      <c r="BG152" s="11"/>
      <c r="BH152" s="11"/>
      <c r="BI152" s="18"/>
      <c r="BJ152" s="20"/>
      <c r="BK152" s="10"/>
      <c r="BL152" s="11"/>
      <c r="BM152" s="69">
        <f t="shared" si="981"/>
        <v>705</v>
      </c>
      <c r="BN152" s="69">
        <f t="shared" si="981"/>
        <v>59</v>
      </c>
      <c r="BO152" s="11">
        <v>311</v>
      </c>
      <c r="BP152" s="12">
        <f t="shared" si="944"/>
        <v>0.4624113475177305</v>
      </c>
      <c r="BQ152" s="11">
        <v>15</v>
      </c>
      <c r="BR152" s="12">
        <f t="shared" si="945"/>
        <v>4.6012269938650305E-2</v>
      </c>
      <c r="BS152" s="11"/>
      <c r="BT152" s="11"/>
      <c r="BU152" s="18"/>
      <c r="BV152" s="20"/>
      <c r="BW152" s="10"/>
      <c r="BX152" s="11"/>
      <c r="BY152" s="69">
        <f t="shared" si="982"/>
        <v>0</v>
      </c>
      <c r="BZ152" s="69">
        <f t="shared" si="982"/>
        <v>0</v>
      </c>
      <c r="CA152" s="11"/>
      <c r="CB152" s="12" t="e">
        <f t="shared" si="946"/>
        <v>#DIV/0!</v>
      </c>
      <c r="CC152" s="11"/>
      <c r="CD152" s="12" t="e">
        <f t="shared" si="947"/>
        <v>#DIV/0!</v>
      </c>
      <c r="CE152" s="11"/>
      <c r="CF152" s="11"/>
      <c r="CG152" s="18"/>
      <c r="CH152" s="20"/>
      <c r="CI152" s="10"/>
      <c r="CJ152" s="11"/>
      <c r="CK152" s="69">
        <f t="shared" si="983"/>
        <v>0</v>
      </c>
      <c r="CL152" s="69">
        <f t="shared" si="983"/>
        <v>0</v>
      </c>
      <c r="CM152" s="11"/>
      <c r="CN152" s="12" t="e">
        <f t="shared" si="948"/>
        <v>#DIV/0!</v>
      </c>
      <c r="CO152" s="11"/>
      <c r="CP152" s="12" t="e">
        <f t="shared" si="949"/>
        <v>#DIV/0!</v>
      </c>
      <c r="CQ152" s="11"/>
      <c r="CR152" s="11"/>
      <c r="CS152" s="18"/>
      <c r="CT152" s="20"/>
      <c r="CU152" s="10"/>
      <c r="CV152" s="11"/>
      <c r="CW152" s="69">
        <f t="shared" si="984"/>
        <v>0</v>
      </c>
      <c r="CX152" s="69">
        <f t="shared" si="984"/>
        <v>0</v>
      </c>
      <c r="CY152" s="11"/>
      <c r="CZ152" s="12" t="e">
        <f t="shared" si="950"/>
        <v>#DIV/0!</v>
      </c>
      <c r="DA152" s="11"/>
      <c r="DB152" s="12" t="e">
        <f t="shared" si="951"/>
        <v>#DIV/0!</v>
      </c>
      <c r="DC152" s="11"/>
      <c r="DD152" s="11"/>
      <c r="DE152" s="18"/>
      <c r="DF152" s="20"/>
      <c r="DG152" s="10"/>
      <c r="DH152" s="11"/>
      <c r="DI152" s="69">
        <f t="shared" si="985"/>
        <v>0</v>
      </c>
      <c r="DJ152" s="69">
        <f t="shared" si="985"/>
        <v>0</v>
      </c>
      <c r="DK152" s="11"/>
      <c r="DL152" s="12" t="e">
        <f t="shared" si="952"/>
        <v>#DIV/0!</v>
      </c>
      <c r="DM152" s="11"/>
      <c r="DN152" s="12" t="e">
        <f t="shared" si="953"/>
        <v>#DIV/0!</v>
      </c>
      <c r="DO152" s="11"/>
      <c r="DP152" s="11"/>
      <c r="DQ152" s="18"/>
      <c r="DR152" s="20"/>
      <c r="DS152" s="10"/>
      <c r="DT152" s="11"/>
      <c r="DU152" s="69">
        <f t="shared" si="986"/>
        <v>0</v>
      </c>
      <c r="DV152" s="69">
        <f t="shared" si="986"/>
        <v>0</v>
      </c>
      <c r="DW152" s="11"/>
      <c r="DX152" s="12" t="e">
        <f t="shared" si="954"/>
        <v>#DIV/0!</v>
      </c>
      <c r="DY152" s="11"/>
      <c r="DZ152" s="12" t="e">
        <f t="shared" si="955"/>
        <v>#DIV/0!</v>
      </c>
      <c r="EA152" s="11"/>
      <c r="EB152" s="11"/>
      <c r="EC152" s="18"/>
      <c r="ED152" s="20"/>
      <c r="EE152" s="10"/>
      <c r="EF152" s="11"/>
      <c r="EG152" s="69">
        <f t="shared" si="987"/>
        <v>0</v>
      </c>
      <c r="EH152" s="69">
        <f t="shared" si="987"/>
        <v>0</v>
      </c>
      <c r="EI152" s="11"/>
      <c r="EJ152" s="12" t="e">
        <f t="shared" si="956"/>
        <v>#DIV/0!</v>
      </c>
      <c r="EK152" s="11"/>
      <c r="EL152" s="12" t="e">
        <f t="shared" si="957"/>
        <v>#DIV/0!</v>
      </c>
      <c r="EM152" s="11"/>
      <c r="EN152" s="11"/>
      <c r="EO152" s="18"/>
      <c r="EP152" s="20"/>
      <c r="EQ152" s="10"/>
      <c r="ER152" s="11"/>
      <c r="ES152" s="69">
        <f t="shared" si="988"/>
        <v>0</v>
      </c>
      <c r="ET152" s="69">
        <f t="shared" si="988"/>
        <v>0</v>
      </c>
      <c r="EU152" s="11"/>
      <c r="EV152" s="12" t="e">
        <f t="shared" si="958"/>
        <v>#DIV/0!</v>
      </c>
      <c r="EW152" s="11"/>
      <c r="EX152" s="12" t="e">
        <f t="shared" si="959"/>
        <v>#DIV/0!</v>
      </c>
      <c r="EY152" s="11"/>
      <c r="EZ152" s="11"/>
      <c r="FA152" s="18"/>
      <c r="FB152" s="20"/>
      <c r="FC152" s="10"/>
      <c r="FD152" s="11"/>
      <c r="FE152" s="69">
        <f t="shared" si="989"/>
        <v>0</v>
      </c>
      <c r="FF152" s="69">
        <f t="shared" si="989"/>
        <v>0</v>
      </c>
      <c r="FG152" s="11"/>
      <c r="FH152" s="12" t="e">
        <f t="shared" si="960"/>
        <v>#DIV/0!</v>
      </c>
      <c r="FI152" s="11"/>
      <c r="FJ152" s="12" t="e">
        <f t="shared" si="961"/>
        <v>#DIV/0!</v>
      </c>
      <c r="FK152" s="11"/>
      <c r="FL152" s="11"/>
      <c r="FM152" s="18"/>
      <c r="FN152" s="20"/>
      <c r="FO152" s="10"/>
      <c r="FP152" s="11"/>
      <c r="FQ152" s="69">
        <f t="shared" si="990"/>
        <v>0</v>
      </c>
      <c r="FR152" s="69">
        <f t="shared" si="990"/>
        <v>0</v>
      </c>
      <c r="FS152" s="11"/>
      <c r="FT152" s="12" t="e">
        <f t="shared" si="962"/>
        <v>#DIV/0!</v>
      </c>
      <c r="FU152" s="11"/>
      <c r="FV152" s="12" t="e">
        <f t="shared" si="963"/>
        <v>#DIV/0!</v>
      </c>
      <c r="FW152" s="11"/>
      <c r="FX152" s="11"/>
      <c r="FY152" s="18"/>
      <c r="FZ152" s="20"/>
      <c r="GA152" s="10"/>
      <c r="GB152" s="11"/>
      <c r="GC152" s="69">
        <f t="shared" si="991"/>
        <v>0</v>
      </c>
      <c r="GD152" s="69">
        <f t="shared" si="991"/>
        <v>0</v>
      </c>
      <c r="GE152" s="11"/>
      <c r="GF152" s="12" t="e">
        <f t="shared" si="964"/>
        <v>#DIV/0!</v>
      </c>
      <c r="GG152" s="11"/>
      <c r="GH152" s="12" t="e">
        <f t="shared" si="965"/>
        <v>#DIV/0!</v>
      </c>
      <c r="GI152" s="11"/>
      <c r="GJ152" s="11"/>
      <c r="GK152" s="18"/>
      <c r="GL152" s="20"/>
      <c r="GM152" s="10"/>
      <c r="GN152" s="11"/>
      <c r="GO152" s="69">
        <f t="shared" si="992"/>
        <v>0</v>
      </c>
      <c r="GP152" s="69">
        <f t="shared" si="992"/>
        <v>0</v>
      </c>
      <c r="GQ152" s="11"/>
      <c r="GR152" s="12" t="e">
        <f t="shared" si="966"/>
        <v>#DIV/0!</v>
      </c>
      <c r="GS152" s="11"/>
      <c r="GT152" s="12" t="e">
        <f t="shared" si="967"/>
        <v>#DIV/0!</v>
      </c>
      <c r="GU152" s="11"/>
      <c r="GV152" s="11"/>
      <c r="GW152" s="18"/>
      <c r="GX152" s="20"/>
      <c r="GY152" s="10"/>
      <c r="GZ152" s="11"/>
      <c r="HA152" s="69">
        <f t="shared" si="993"/>
        <v>0</v>
      </c>
      <c r="HB152" s="69">
        <f t="shared" si="993"/>
        <v>0</v>
      </c>
      <c r="HC152" s="11"/>
      <c r="HD152" s="12" t="e">
        <f t="shared" si="968"/>
        <v>#DIV/0!</v>
      </c>
      <c r="HE152" s="11"/>
      <c r="HF152" s="12" t="e">
        <f t="shared" si="969"/>
        <v>#DIV/0!</v>
      </c>
      <c r="HG152" s="11"/>
      <c r="HH152" s="11"/>
      <c r="HI152" s="18"/>
      <c r="HJ152" s="20"/>
      <c r="HK152" s="10">
        <f t="shared" si="970"/>
        <v>2</v>
      </c>
      <c r="HL152" s="11">
        <f t="shared" si="970"/>
        <v>0</v>
      </c>
      <c r="HM152" s="11">
        <f t="shared" si="970"/>
        <v>3550</v>
      </c>
      <c r="HN152" s="11">
        <f t="shared" si="970"/>
        <v>298</v>
      </c>
      <c r="HO152" s="11">
        <f t="shared" si="971"/>
        <v>1671</v>
      </c>
      <c r="HP152" s="95">
        <f t="shared" si="972"/>
        <v>0.47070422535211265</v>
      </c>
      <c r="HQ152" s="15">
        <f t="shared" si="973"/>
        <v>103</v>
      </c>
      <c r="HR152" s="12">
        <f t="shared" si="994"/>
        <v>6.1639736684619986E-2</v>
      </c>
      <c r="HS152" s="16">
        <v>68.099999999999994</v>
      </c>
      <c r="HT152" s="17">
        <v>1512</v>
      </c>
      <c r="HU152" s="16">
        <f t="shared" si="974"/>
        <v>90.484739676840221</v>
      </c>
      <c r="HV152" s="18"/>
      <c r="HW152" s="20"/>
    </row>
    <row r="153" spans="1:231" ht="18.75" x14ac:dyDescent="0.25">
      <c r="A153" s="374"/>
      <c r="B153" s="41">
        <f t="shared" si="814"/>
        <v>45057</v>
      </c>
      <c r="C153" s="10"/>
      <c r="D153" s="11"/>
      <c r="E153" s="69">
        <f t="shared" si="975"/>
        <v>626</v>
      </c>
      <c r="F153" s="69">
        <f t="shared" si="975"/>
        <v>51</v>
      </c>
      <c r="G153" s="11">
        <v>292</v>
      </c>
      <c r="H153" s="12">
        <f t="shared" si="935"/>
        <v>0.49520766773162939</v>
      </c>
      <c r="I153" s="11">
        <v>18</v>
      </c>
      <c r="J153" s="12">
        <f t="shared" si="976"/>
        <v>5.8064516129032261E-2</v>
      </c>
      <c r="K153" s="13"/>
      <c r="L153" s="13"/>
      <c r="M153" s="25"/>
      <c r="N153" s="38">
        <v>4480</v>
      </c>
      <c r="O153" s="10"/>
      <c r="P153" s="11"/>
      <c r="Q153" s="69">
        <f t="shared" si="977"/>
        <v>628</v>
      </c>
      <c r="R153" s="69">
        <f t="shared" si="977"/>
        <v>53</v>
      </c>
      <c r="S153" s="11">
        <v>307</v>
      </c>
      <c r="T153" s="12">
        <f t="shared" si="936"/>
        <v>0.52070063694267521</v>
      </c>
      <c r="U153" s="11">
        <v>20</v>
      </c>
      <c r="V153" s="12">
        <f t="shared" si="937"/>
        <v>6.1162079510703363E-2</v>
      </c>
      <c r="W153" s="13"/>
      <c r="X153" s="13"/>
      <c r="Y153" s="25"/>
      <c r="Z153" s="38">
        <v>4480</v>
      </c>
      <c r="AA153" s="10">
        <v>1</v>
      </c>
      <c r="AB153" s="11"/>
      <c r="AC153" s="69">
        <f t="shared" si="978"/>
        <v>188</v>
      </c>
      <c r="AD153" s="69">
        <f t="shared" si="978"/>
        <v>15</v>
      </c>
      <c r="AE153" s="11">
        <v>74</v>
      </c>
      <c r="AF153" s="12">
        <f t="shared" si="938"/>
        <v>0.40425531914893614</v>
      </c>
      <c r="AG153" s="11">
        <v>2</v>
      </c>
      <c r="AH153" s="12">
        <f t="shared" si="939"/>
        <v>2.6315789473684209E-2</v>
      </c>
      <c r="AI153" s="13"/>
      <c r="AJ153" s="13"/>
      <c r="AK153" s="25"/>
      <c r="AL153" s="38">
        <v>4480</v>
      </c>
      <c r="AM153" s="10"/>
      <c r="AN153" s="11"/>
      <c r="AO153" s="69">
        <f t="shared" si="979"/>
        <v>703</v>
      </c>
      <c r="AP153" s="69">
        <f t="shared" si="979"/>
        <v>60</v>
      </c>
      <c r="AQ153" s="11">
        <v>314</v>
      </c>
      <c r="AR153" s="12">
        <f t="shared" si="940"/>
        <v>0.48079658605974396</v>
      </c>
      <c r="AS153" s="11">
        <v>24</v>
      </c>
      <c r="AT153" s="12">
        <f t="shared" si="941"/>
        <v>7.1005917159763315E-2</v>
      </c>
      <c r="AU153" s="13"/>
      <c r="AV153" s="13"/>
      <c r="AW153" s="25"/>
      <c r="AX153" s="38">
        <v>4480</v>
      </c>
      <c r="AY153" s="10"/>
      <c r="AZ153" s="11"/>
      <c r="BA153" s="69">
        <f t="shared" si="980"/>
        <v>699</v>
      </c>
      <c r="BB153" s="69">
        <f t="shared" si="980"/>
        <v>60</v>
      </c>
      <c r="BC153" s="11">
        <v>348</v>
      </c>
      <c r="BD153" s="12">
        <f t="shared" si="942"/>
        <v>0.51788268955650929</v>
      </c>
      <c r="BE153" s="11">
        <v>14</v>
      </c>
      <c r="BF153" s="12">
        <f t="shared" si="943"/>
        <v>3.8674033149171269E-2</v>
      </c>
      <c r="BG153" s="13"/>
      <c r="BH153" s="13"/>
      <c r="BI153" s="25"/>
      <c r="BJ153" s="38">
        <v>4480</v>
      </c>
      <c r="BK153" s="10"/>
      <c r="BL153" s="11"/>
      <c r="BM153" s="69">
        <f t="shared" si="981"/>
        <v>705</v>
      </c>
      <c r="BN153" s="69">
        <f t="shared" si="981"/>
        <v>59</v>
      </c>
      <c r="BO153" s="11">
        <v>360</v>
      </c>
      <c r="BP153" s="12">
        <f t="shared" si="944"/>
        <v>0.53333333333333333</v>
      </c>
      <c r="BQ153" s="11">
        <v>16</v>
      </c>
      <c r="BR153" s="12">
        <f t="shared" si="945"/>
        <v>4.2553191489361701E-2</v>
      </c>
      <c r="BS153" s="13"/>
      <c r="BT153" s="13"/>
      <c r="BU153" s="25"/>
      <c r="BV153" s="38">
        <v>4480</v>
      </c>
      <c r="BW153" s="10"/>
      <c r="BX153" s="11"/>
      <c r="BY153" s="69">
        <f t="shared" si="982"/>
        <v>0</v>
      </c>
      <c r="BZ153" s="69">
        <f t="shared" si="982"/>
        <v>0</v>
      </c>
      <c r="CA153" s="11"/>
      <c r="CB153" s="12" t="e">
        <f t="shared" si="946"/>
        <v>#DIV/0!</v>
      </c>
      <c r="CC153" s="11"/>
      <c r="CD153" s="12" t="e">
        <f t="shared" si="947"/>
        <v>#DIV/0!</v>
      </c>
      <c r="CE153" s="13"/>
      <c r="CF153" s="13"/>
      <c r="CG153" s="25"/>
      <c r="CH153" s="38"/>
      <c r="CI153" s="10"/>
      <c r="CJ153" s="11"/>
      <c r="CK153" s="69">
        <f t="shared" si="983"/>
        <v>0</v>
      </c>
      <c r="CL153" s="69">
        <f t="shared" si="983"/>
        <v>0</v>
      </c>
      <c r="CM153" s="11"/>
      <c r="CN153" s="12" t="e">
        <f t="shared" si="948"/>
        <v>#DIV/0!</v>
      </c>
      <c r="CO153" s="11"/>
      <c r="CP153" s="12" t="e">
        <f t="shared" si="949"/>
        <v>#DIV/0!</v>
      </c>
      <c r="CQ153" s="13"/>
      <c r="CR153" s="13"/>
      <c r="CS153" s="25"/>
      <c r="CT153" s="38"/>
      <c r="CU153" s="10"/>
      <c r="CV153" s="11"/>
      <c r="CW153" s="69">
        <f t="shared" si="984"/>
        <v>0</v>
      </c>
      <c r="CX153" s="69">
        <f t="shared" si="984"/>
        <v>0</v>
      </c>
      <c r="CY153" s="11"/>
      <c r="CZ153" s="12" t="e">
        <f t="shared" si="950"/>
        <v>#DIV/0!</v>
      </c>
      <c r="DA153" s="11"/>
      <c r="DB153" s="12" t="e">
        <f t="shared" si="951"/>
        <v>#DIV/0!</v>
      </c>
      <c r="DC153" s="13"/>
      <c r="DD153" s="13"/>
      <c r="DE153" s="25"/>
      <c r="DF153" s="38"/>
      <c r="DG153" s="10"/>
      <c r="DH153" s="11"/>
      <c r="DI153" s="69">
        <f t="shared" si="985"/>
        <v>0</v>
      </c>
      <c r="DJ153" s="69">
        <f t="shared" si="985"/>
        <v>0</v>
      </c>
      <c r="DK153" s="11"/>
      <c r="DL153" s="12" t="e">
        <f t="shared" si="952"/>
        <v>#DIV/0!</v>
      </c>
      <c r="DM153" s="11"/>
      <c r="DN153" s="12" t="e">
        <f t="shared" si="953"/>
        <v>#DIV/0!</v>
      </c>
      <c r="DO153" s="13"/>
      <c r="DP153" s="13"/>
      <c r="DQ153" s="25"/>
      <c r="DR153" s="38"/>
      <c r="DS153" s="10"/>
      <c r="DT153" s="11"/>
      <c r="DU153" s="69">
        <f t="shared" si="986"/>
        <v>0</v>
      </c>
      <c r="DV153" s="69">
        <f t="shared" si="986"/>
        <v>0</v>
      </c>
      <c r="DW153" s="11"/>
      <c r="DX153" s="12" t="e">
        <f t="shared" si="954"/>
        <v>#DIV/0!</v>
      </c>
      <c r="DY153" s="11"/>
      <c r="DZ153" s="12" t="e">
        <f t="shared" si="955"/>
        <v>#DIV/0!</v>
      </c>
      <c r="EA153" s="13"/>
      <c r="EB153" s="13"/>
      <c r="EC153" s="25"/>
      <c r="ED153" s="38"/>
      <c r="EE153" s="10"/>
      <c r="EF153" s="11"/>
      <c r="EG153" s="69">
        <f t="shared" si="987"/>
        <v>0</v>
      </c>
      <c r="EH153" s="69">
        <f t="shared" si="987"/>
        <v>0</v>
      </c>
      <c r="EI153" s="11"/>
      <c r="EJ153" s="12" t="e">
        <f t="shared" si="956"/>
        <v>#DIV/0!</v>
      </c>
      <c r="EK153" s="11"/>
      <c r="EL153" s="12" t="e">
        <f t="shared" si="957"/>
        <v>#DIV/0!</v>
      </c>
      <c r="EM153" s="13"/>
      <c r="EN153" s="13"/>
      <c r="EO153" s="25"/>
      <c r="EP153" s="38"/>
      <c r="EQ153" s="10"/>
      <c r="ER153" s="11"/>
      <c r="ES153" s="69">
        <f t="shared" si="988"/>
        <v>0</v>
      </c>
      <c r="ET153" s="69">
        <f t="shared" si="988"/>
        <v>0</v>
      </c>
      <c r="EU153" s="11"/>
      <c r="EV153" s="12" t="e">
        <f t="shared" si="958"/>
        <v>#DIV/0!</v>
      </c>
      <c r="EW153" s="11"/>
      <c r="EX153" s="12" t="e">
        <f t="shared" si="959"/>
        <v>#DIV/0!</v>
      </c>
      <c r="EY153" s="13"/>
      <c r="EZ153" s="13"/>
      <c r="FA153" s="25"/>
      <c r="FB153" s="38"/>
      <c r="FC153" s="10"/>
      <c r="FD153" s="11"/>
      <c r="FE153" s="69">
        <f t="shared" si="989"/>
        <v>0</v>
      </c>
      <c r="FF153" s="69">
        <f t="shared" si="989"/>
        <v>0</v>
      </c>
      <c r="FG153" s="11"/>
      <c r="FH153" s="12" t="e">
        <f t="shared" si="960"/>
        <v>#DIV/0!</v>
      </c>
      <c r="FI153" s="11"/>
      <c r="FJ153" s="12" t="e">
        <f t="shared" si="961"/>
        <v>#DIV/0!</v>
      </c>
      <c r="FK153" s="13"/>
      <c r="FL153" s="13"/>
      <c r="FM153" s="25"/>
      <c r="FN153" s="38"/>
      <c r="FO153" s="10"/>
      <c r="FP153" s="11"/>
      <c r="FQ153" s="69">
        <f t="shared" si="990"/>
        <v>0</v>
      </c>
      <c r="FR153" s="69">
        <f t="shared" si="990"/>
        <v>0</v>
      </c>
      <c r="FS153" s="11"/>
      <c r="FT153" s="12" t="e">
        <f t="shared" si="962"/>
        <v>#DIV/0!</v>
      </c>
      <c r="FU153" s="11"/>
      <c r="FV153" s="12" t="e">
        <f t="shared" si="963"/>
        <v>#DIV/0!</v>
      </c>
      <c r="FW153" s="13"/>
      <c r="FX153" s="13"/>
      <c r="FY153" s="25"/>
      <c r="FZ153" s="38"/>
      <c r="GA153" s="10"/>
      <c r="GB153" s="11"/>
      <c r="GC153" s="69">
        <f t="shared" si="991"/>
        <v>0</v>
      </c>
      <c r="GD153" s="69">
        <f t="shared" si="991"/>
        <v>0</v>
      </c>
      <c r="GE153" s="11"/>
      <c r="GF153" s="12" t="e">
        <f t="shared" si="964"/>
        <v>#DIV/0!</v>
      </c>
      <c r="GG153" s="11"/>
      <c r="GH153" s="12" t="e">
        <f t="shared" si="965"/>
        <v>#DIV/0!</v>
      </c>
      <c r="GI153" s="13"/>
      <c r="GJ153" s="13"/>
      <c r="GK153" s="25"/>
      <c r="GL153" s="38"/>
      <c r="GM153" s="10"/>
      <c r="GN153" s="11"/>
      <c r="GO153" s="69">
        <f t="shared" si="992"/>
        <v>0</v>
      </c>
      <c r="GP153" s="69">
        <f t="shared" si="992"/>
        <v>0</v>
      </c>
      <c r="GQ153" s="11"/>
      <c r="GR153" s="12" t="e">
        <f t="shared" si="966"/>
        <v>#DIV/0!</v>
      </c>
      <c r="GS153" s="11"/>
      <c r="GT153" s="12" t="e">
        <f t="shared" si="967"/>
        <v>#DIV/0!</v>
      </c>
      <c r="GU153" s="13"/>
      <c r="GV153" s="13"/>
      <c r="GW153" s="25"/>
      <c r="GX153" s="38"/>
      <c r="GY153" s="10"/>
      <c r="GZ153" s="11"/>
      <c r="HA153" s="69">
        <f t="shared" si="993"/>
        <v>0</v>
      </c>
      <c r="HB153" s="69">
        <f t="shared" si="993"/>
        <v>0</v>
      </c>
      <c r="HC153" s="11"/>
      <c r="HD153" s="12" t="e">
        <f t="shared" si="968"/>
        <v>#DIV/0!</v>
      </c>
      <c r="HE153" s="11"/>
      <c r="HF153" s="12" t="e">
        <f t="shared" si="969"/>
        <v>#DIV/0!</v>
      </c>
      <c r="HG153" s="13"/>
      <c r="HH153" s="13"/>
      <c r="HI153" s="25"/>
      <c r="HJ153" s="38"/>
      <c r="HK153" s="10">
        <f t="shared" si="970"/>
        <v>1</v>
      </c>
      <c r="HL153" s="11">
        <f t="shared" si="970"/>
        <v>0</v>
      </c>
      <c r="HM153" s="11">
        <f t="shared" si="970"/>
        <v>3549</v>
      </c>
      <c r="HN153" s="11">
        <f t="shared" si="970"/>
        <v>298</v>
      </c>
      <c r="HO153" s="11">
        <f t="shared" si="971"/>
        <v>1789</v>
      </c>
      <c r="HP153" s="95">
        <f t="shared" si="972"/>
        <v>0.50408565793181181</v>
      </c>
      <c r="HQ153" s="15">
        <f t="shared" si="973"/>
        <v>94</v>
      </c>
      <c r="HR153" s="12">
        <f t="shared" si="994"/>
        <v>5.2543320290665177E-2</v>
      </c>
      <c r="HS153" s="16">
        <v>70</v>
      </c>
      <c r="HT153" s="17">
        <v>1631</v>
      </c>
      <c r="HU153" s="16">
        <f t="shared" si="974"/>
        <v>91.168250419228627</v>
      </c>
      <c r="HV153" s="23"/>
      <c r="HW153" s="22">
        <v>4480</v>
      </c>
    </row>
    <row r="154" spans="1:231" ht="18.75" x14ac:dyDescent="0.25">
      <c r="A154" s="374"/>
      <c r="B154" s="41">
        <f t="shared" si="814"/>
        <v>45058</v>
      </c>
      <c r="C154" s="10"/>
      <c r="D154" s="11"/>
      <c r="E154" s="69">
        <f t="shared" si="975"/>
        <v>626</v>
      </c>
      <c r="F154" s="69">
        <f t="shared" si="975"/>
        <v>51</v>
      </c>
      <c r="G154" s="11">
        <v>289</v>
      </c>
      <c r="H154" s="12">
        <f t="shared" si="935"/>
        <v>0.48881789137380194</v>
      </c>
      <c r="I154" s="11">
        <v>17</v>
      </c>
      <c r="J154" s="12">
        <f t="shared" si="976"/>
        <v>5.5555555555555552E-2</v>
      </c>
      <c r="K154" s="13"/>
      <c r="L154" s="11"/>
      <c r="M154" s="25"/>
      <c r="N154" s="38">
        <v>4701.818181818182</v>
      </c>
      <c r="O154" s="10"/>
      <c r="P154" s="11"/>
      <c r="Q154" s="69">
        <f t="shared" si="977"/>
        <v>628</v>
      </c>
      <c r="R154" s="69">
        <f t="shared" si="977"/>
        <v>53</v>
      </c>
      <c r="S154" s="11">
        <v>282</v>
      </c>
      <c r="T154" s="12">
        <f t="shared" si="936"/>
        <v>0.48248407643312102</v>
      </c>
      <c r="U154" s="11">
        <v>21</v>
      </c>
      <c r="V154" s="12">
        <f t="shared" si="937"/>
        <v>6.9306930693069313E-2</v>
      </c>
      <c r="W154" s="13"/>
      <c r="X154" s="11"/>
      <c r="Y154" s="25"/>
      <c r="Z154" s="38">
        <v>4686.363636363636</v>
      </c>
      <c r="AA154" s="10"/>
      <c r="AB154" s="11"/>
      <c r="AC154" s="69">
        <f t="shared" si="978"/>
        <v>188</v>
      </c>
      <c r="AD154" s="69">
        <f t="shared" si="978"/>
        <v>15</v>
      </c>
      <c r="AE154" s="11">
        <v>97</v>
      </c>
      <c r="AF154" s="12">
        <f t="shared" si="938"/>
        <v>0.54255319148936165</v>
      </c>
      <c r="AG154" s="11">
        <v>5</v>
      </c>
      <c r="AH154" s="12">
        <f t="shared" si="939"/>
        <v>4.9019607843137254E-2</v>
      </c>
      <c r="AI154" s="13"/>
      <c r="AJ154" s="11"/>
      <c r="AK154" s="25"/>
      <c r="AL154" s="38">
        <v>4427.5</v>
      </c>
      <c r="AM154" s="10"/>
      <c r="AN154" s="11"/>
      <c r="AO154" s="69">
        <f t="shared" si="979"/>
        <v>703</v>
      </c>
      <c r="AP154" s="69">
        <f t="shared" si="979"/>
        <v>60</v>
      </c>
      <c r="AQ154" s="11">
        <v>302</v>
      </c>
      <c r="AR154" s="12">
        <f t="shared" si="940"/>
        <v>0.46514935988620199</v>
      </c>
      <c r="AS154" s="11">
        <v>25</v>
      </c>
      <c r="AT154" s="12">
        <f t="shared" si="941"/>
        <v>7.64525993883792E-2</v>
      </c>
      <c r="AU154" s="13"/>
      <c r="AV154" s="11"/>
      <c r="AW154" s="25"/>
      <c r="AX154" s="38">
        <v>4818</v>
      </c>
      <c r="AY154" s="10"/>
      <c r="AZ154" s="11"/>
      <c r="BA154" s="69">
        <f t="shared" si="980"/>
        <v>699</v>
      </c>
      <c r="BB154" s="69">
        <f t="shared" si="980"/>
        <v>60</v>
      </c>
      <c r="BC154" s="11">
        <v>320</v>
      </c>
      <c r="BD154" s="12">
        <f t="shared" si="942"/>
        <v>0.48497854077253216</v>
      </c>
      <c r="BE154" s="11">
        <v>19</v>
      </c>
      <c r="BF154" s="12">
        <f t="shared" si="943"/>
        <v>5.6047197640117993E-2</v>
      </c>
      <c r="BG154" s="13"/>
      <c r="BH154" s="11"/>
      <c r="BI154" s="25"/>
      <c r="BJ154" s="38">
        <v>4847.6923076923076</v>
      </c>
      <c r="BK154" s="10"/>
      <c r="BL154" s="11"/>
      <c r="BM154" s="69">
        <f t="shared" si="981"/>
        <v>705</v>
      </c>
      <c r="BN154" s="69">
        <f t="shared" si="981"/>
        <v>59</v>
      </c>
      <c r="BO154" s="11">
        <v>339</v>
      </c>
      <c r="BP154" s="12">
        <f t="shared" si="944"/>
        <v>0.50070921985815597</v>
      </c>
      <c r="BQ154" s="11">
        <v>14</v>
      </c>
      <c r="BR154" s="12">
        <f t="shared" si="945"/>
        <v>3.9660056657223795E-2</v>
      </c>
      <c r="BS154" s="13"/>
      <c r="BT154" s="11"/>
      <c r="BU154" s="25"/>
      <c r="BV154" s="38">
        <v>4834.4444444444443</v>
      </c>
      <c r="BW154" s="10"/>
      <c r="BX154" s="11"/>
      <c r="BY154" s="69">
        <f t="shared" si="982"/>
        <v>0</v>
      </c>
      <c r="BZ154" s="69">
        <f t="shared" si="982"/>
        <v>0</v>
      </c>
      <c r="CA154" s="11"/>
      <c r="CB154" s="12" t="e">
        <f t="shared" si="946"/>
        <v>#DIV/0!</v>
      </c>
      <c r="CC154" s="11"/>
      <c r="CD154" s="12" t="e">
        <f t="shared" si="947"/>
        <v>#DIV/0!</v>
      </c>
      <c r="CE154" s="13"/>
      <c r="CF154" s="11"/>
      <c r="CG154" s="25"/>
      <c r="CH154" s="38"/>
      <c r="CI154" s="10"/>
      <c r="CJ154" s="11"/>
      <c r="CK154" s="69">
        <f t="shared" si="983"/>
        <v>0</v>
      </c>
      <c r="CL154" s="69">
        <f t="shared" si="983"/>
        <v>0</v>
      </c>
      <c r="CM154" s="11"/>
      <c r="CN154" s="12" t="e">
        <f t="shared" si="948"/>
        <v>#DIV/0!</v>
      </c>
      <c r="CO154" s="11"/>
      <c r="CP154" s="12" t="e">
        <f t="shared" si="949"/>
        <v>#DIV/0!</v>
      </c>
      <c r="CQ154" s="13"/>
      <c r="CR154" s="11"/>
      <c r="CS154" s="25"/>
      <c r="CT154" s="38"/>
      <c r="CU154" s="10"/>
      <c r="CV154" s="11"/>
      <c r="CW154" s="69">
        <f t="shared" si="984"/>
        <v>0</v>
      </c>
      <c r="CX154" s="69">
        <f t="shared" si="984"/>
        <v>0</v>
      </c>
      <c r="CY154" s="11"/>
      <c r="CZ154" s="12" t="e">
        <f t="shared" si="950"/>
        <v>#DIV/0!</v>
      </c>
      <c r="DA154" s="11"/>
      <c r="DB154" s="12" t="e">
        <f t="shared" si="951"/>
        <v>#DIV/0!</v>
      </c>
      <c r="DC154" s="13"/>
      <c r="DD154" s="11"/>
      <c r="DE154" s="25"/>
      <c r="DF154" s="38"/>
      <c r="DG154" s="10"/>
      <c r="DH154" s="11"/>
      <c r="DI154" s="69">
        <f t="shared" si="985"/>
        <v>0</v>
      </c>
      <c r="DJ154" s="69">
        <f t="shared" si="985"/>
        <v>0</v>
      </c>
      <c r="DK154" s="11"/>
      <c r="DL154" s="12" t="e">
        <f t="shared" si="952"/>
        <v>#DIV/0!</v>
      </c>
      <c r="DM154" s="11"/>
      <c r="DN154" s="12" t="e">
        <f t="shared" si="953"/>
        <v>#DIV/0!</v>
      </c>
      <c r="DO154" s="13"/>
      <c r="DP154" s="11"/>
      <c r="DQ154" s="25"/>
      <c r="DR154" s="38"/>
      <c r="DS154" s="10"/>
      <c r="DT154" s="11"/>
      <c r="DU154" s="69">
        <f t="shared" si="986"/>
        <v>0</v>
      </c>
      <c r="DV154" s="69">
        <f t="shared" si="986"/>
        <v>0</v>
      </c>
      <c r="DW154" s="11"/>
      <c r="DX154" s="12" t="e">
        <f t="shared" si="954"/>
        <v>#DIV/0!</v>
      </c>
      <c r="DY154" s="11"/>
      <c r="DZ154" s="12" t="e">
        <f t="shared" si="955"/>
        <v>#DIV/0!</v>
      </c>
      <c r="EA154" s="13"/>
      <c r="EB154" s="11"/>
      <c r="EC154" s="25"/>
      <c r="ED154" s="38"/>
      <c r="EE154" s="10"/>
      <c r="EF154" s="11"/>
      <c r="EG154" s="69">
        <f t="shared" si="987"/>
        <v>0</v>
      </c>
      <c r="EH154" s="69">
        <f t="shared" si="987"/>
        <v>0</v>
      </c>
      <c r="EI154" s="11"/>
      <c r="EJ154" s="12" t="e">
        <f t="shared" si="956"/>
        <v>#DIV/0!</v>
      </c>
      <c r="EK154" s="11"/>
      <c r="EL154" s="12" t="e">
        <f t="shared" si="957"/>
        <v>#DIV/0!</v>
      </c>
      <c r="EM154" s="13"/>
      <c r="EN154" s="11"/>
      <c r="EO154" s="25"/>
      <c r="EP154" s="38"/>
      <c r="EQ154" s="10"/>
      <c r="ER154" s="11"/>
      <c r="ES154" s="69">
        <f t="shared" si="988"/>
        <v>0</v>
      </c>
      <c r="ET154" s="69">
        <f t="shared" si="988"/>
        <v>0</v>
      </c>
      <c r="EU154" s="11"/>
      <c r="EV154" s="12" t="e">
        <f t="shared" si="958"/>
        <v>#DIV/0!</v>
      </c>
      <c r="EW154" s="11"/>
      <c r="EX154" s="12" t="e">
        <f t="shared" si="959"/>
        <v>#DIV/0!</v>
      </c>
      <c r="EY154" s="13"/>
      <c r="EZ154" s="11"/>
      <c r="FA154" s="25"/>
      <c r="FB154" s="38"/>
      <c r="FC154" s="10"/>
      <c r="FD154" s="11"/>
      <c r="FE154" s="69">
        <f t="shared" si="989"/>
        <v>0</v>
      </c>
      <c r="FF154" s="69">
        <f t="shared" si="989"/>
        <v>0</v>
      </c>
      <c r="FG154" s="11"/>
      <c r="FH154" s="12" t="e">
        <f t="shared" si="960"/>
        <v>#DIV/0!</v>
      </c>
      <c r="FI154" s="11"/>
      <c r="FJ154" s="12" t="e">
        <f t="shared" si="961"/>
        <v>#DIV/0!</v>
      </c>
      <c r="FK154" s="13"/>
      <c r="FL154" s="11"/>
      <c r="FM154" s="25"/>
      <c r="FN154" s="38"/>
      <c r="FO154" s="10"/>
      <c r="FP154" s="11"/>
      <c r="FQ154" s="69">
        <f t="shared" si="990"/>
        <v>0</v>
      </c>
      <c r="FR154" s="69">
        <f t="shared" si="990"/>
        <v>0</v>
      </c>
      <c r="FS154" s="11"/>
      <c r="FT154" s="12" t="e">
        <f t="shared" si="962"/>
        <v>#DIV/0!</v>
      </c>
      <c r="FU154" s="11"/>
      <c r="FV154" s="12" t="e">
        <f t="shared" si="963"/>
        <v>#DIV/0!</v>
      </c>
      <c r="FW154" s="13"/>
      <c r="FX154" s="11"/>
      <c r="FY154" s="25"/>
      <c r="FZ154" s="38"/>
      <c r="GA154" s="10"/>
      <c r="GB154" s="11"/>
      <c r="GC154" s="69">
        <f t="shared" si="991"/>
        <v>0</v>
      </c>
      <c r="GD154" s="69">
        <f t="shared" si="991"/>
        <v>0</v>
      </c>
      <c r="GE154" s="11"/>
      <c r="GF154" s="12" t="e">
        <f t="shared" si="964"/>
        <v>#DIV/0!</v>
      </c>
      <c r="GG154" s="11"/>
      <c r="GH154" s="12" t="e">
        <f t="shared" si="965"/>
        <v>#DIV/0!</v>
      </c>
      <c r="GI154" s="13"/>
      <c r="GJ154" s="11"/>
      <c r="GK154" s="25"/>
      <c r="GL154" s="38"/>
      <c r="GM154" s="10"/>
      <c r="GN154" s="11"/>
      <c r="GO154" s="69">
        <f t="shared" si="992"/>
        <v>0</v>
      </c>
      <c r="GP154" s="69">
        <f t="shared" si="992"/>
        <v>0</v>
      </c>
      <c r="GQ154" s="11"/>
      <c r="GR154" s="12" t="e">
        <f t="shared" si="966"/>
        <v>#DIV/0!</v>
      </c>
      <c r="GS154" s="11"/>
      <c r="GT154" s="12" t="e">
        <f t="shared" si="967"/>
        <v>#DIV/0!</v>
      </c>
      <c r="GU154" s="13"/>
      <c r="GV154" s="11"/>
      <c r="GW154" s="25"/>
      <c r="GX154" s="38"/>
      <c r="GY154" s="10"/>
      <c r="GZ154" s="11"/>
      <c r="HA154" s="69">
        <f t="shared" si="993"/>
        <v>0</v>
      </c>
      <c r="HB154" s="69">
        <f t="shared" si="993"/>
        <v>0</v>
      </c>
      <c r="HC154" s="11"/>
      <c r="HD154" s="12" t="e">
        <f t="shared" si="968"/>
        <v>#DIV/0!</v>
      </c>
      <c r="HE154" s="11"/>
      <c r="HF154" s="12" t="e">
        <f t="shared" si="969"/>
        <v>#DIV/0!</v>
      </c>
      <c r="HG154" s="13"/>
      <c r="HH154" s="11"/>
      <c r="HI154" s="25"/>
      <c r="HJ154" s="38"/>
      <c r="HK154" s="10">
        <f t="shared" si="970"/>
        <v>0</v>
      </c>
      <c r="HL154" s="11">
        <f t="shared" si="970"/>
        <v>0</v>
      </c>
      <c r="HM154" s="11">
        <f t="shared" si="970"/>
        <v>3549</v>
      </c>
      <c r="HN154" s="11">
        <f t="shared" si="970"/>
        <v>298</v>
      </c>
      <c r="HO154" s="11">
        <f t="shared" si="971"/>
        <v>1730</v>
      </c>
      <c r="HP154" s="95">
        <f t="shared" si="972"/>
        <v>0.48746125669202595</v>
      </c>
      <c r="HQ154" s="15">
        <f t="shared" si="973"/>
        <v>101</v>
      </c>
      <c r="HR154" s="12">
        <f t="shared" si="994"/>
        <v>5.8381502890173409E-2</v>
      </c>
      <c r="HS154" s="16">
        <v>70</v>
      </c>
      <c r="HT154" s="17">
        <v>1581</v>
      </c>
      <c r="HU154" s="16">
        <f t="shared" si="974"/>
        <v>91.387283236994222</v>
      </c>
      <c r="HV154" s="23"/>
      <c r="HW154" s="22">
        <v>4753.2758620689656</v>
      </c>
    </row>
    <row r="155" spans="1:231" ht="18.75" x14ac:dyDescent="0.25">
      <c r="A155" s="374"/>
      <c r="B155" s="41">
        <f t="shared" si="814"/>
        <v>45059</v>
      </c>
      <c r="C155" s="10">
        <v>1</v>
      </c>
      <c r="D155" s="11"/>
      <c r="E155" s="69">
        <f>E154-C155</f>
        <v>625</v>
      </c>
      <c r="F155" s="69">
        <f>F154-D155</f>
        <v>51</v>
      </c>
      <c r="G155" s="11">
        <v>277</v>
      </c>
      <c r="H155" s="12">
        <f t="shared" si="935"/>
        <v>0.4864</v>
      </c>
      <c r="I155" s="11">
        <v>27</v>
      </c>
      <c r="J155" s="12">
        <f t="shared" si="976"/>
        <v>8.8815789473684209E-2</v>
      </c>
      <c r="K155" s="13"/>
      <c r="L155" s="11"/>
      <c r="M155" s="39"/>
      <c r="N155" s="43">
        <v>100</v>
      </c>
      <c r="O155" s="10">
        <v>1</v>
      </c>
      <c r="P155" s="11"/>
      <c r="Q155" s="69">
        <f t="shared" si="977"/>
        <v>627</v>
      </c>
      <c r="R155" s="69">
        <f t="shared" si="977"/>
        <v>53</v>
      </c>
      <c r="S155" s="11">
        <v>263</v>
      </c>
      <c r="T155" s="12">
        <f t="shared" si="936"/>
        <v>0.45614035087719296</v>
      </c>
      <c r="U155" s="11">
        <v>23</v>
      </c>
      <c r="V155" s="12">
        <f t="shared" si="937"/>
        <v>8.0419580419580416E-2</v>
      </c>
      <c r="W155" s="13"/>
      <c r="X155" s="11"/>
      <c r="Y155" s="39"/>
      <c r="Z155" s="43">
        <v>100</v>
      </c>
      <c r="AA155" s="10">
        <v>1</v>
      </c>
      <c r="AB155" s="11"/>
      <c r="AC155" s="69">
        <f t="shared" si="978"/>
        <v>187</v>
      </c>
      <c r="AD155" s="69">
        <f t="shared" si="978"/>
        <v>15</v>
      </c>
      <c r="AE155" s="11">
        <v>84</v>
      </c>
      <c r="AF155" s="12">
        <f t="shared" si="938"/>
        <v>0.45989304812834225</v>
      </c>
      <c r="AG155" s="11">
        <v>2</v>
      </c>
      <c r="AH155" s="12">
        <f t="shared" si="939"/>
        <v>2.3255813953488372E-2</v>
      </c>
      <c r="AI155" s="13"/>
      <c r="AJ155" s="11"/>
      <c r="AK155" s="39"/>
      <c r="AL155" s="43">
        <v>100</v>
      </c>
      <c r="AM155" s="10">
        <v>1</v>
      </c>
      <c r="AN155" s="11"/>
      <c r="AO155" s="69">
        <f t="shared" si="979"/>
        <v>702</v>
      </c>
      <c r="AP155" s="69">
        <f t="shared" si="979"/>
        <v>60</v>
      </c>
      <c r="AQ155" s="11">
        <v>304</v>
      </c>
      <c r="AR155" s="12">
        <f t="shared" si="940"/>
        <v>0.46153846153846156</v>
      </c>
      <c r="AS155" s="11">
        <v>20</v>
      </c>
      <c r="AT155" s="12">
        <f t="shared" si="941"/>
        <v>6.1728395061728392E-2</v>
      </c>
      <c r="AU155" s="13"/>
      <c r="AV155" s="11"/>
      <c r="AW155" s="39"/>
      <c r="AX155" s="43">
        <v>100</v>
      </c>
      <c r="AY155" s="10"/>
      <c r="AZ155" s="11"/>
      <c r="BA155" s="69">
        <f t="shared" si="980"/>
        <v>699</v>
      </c>
      <c r="BB155" s="69">
        <f t="shared" si="980"/>
        <v>60</v>
      </c>
      <c r="BC155" s="11">
        <v>320</v>
      </c>
      <c r="BD155" s="12">
        <f t="shared" si="942"/>
        <v>0.48783977110157367</v>
      </c>
      <c r="BE155" s="11">
        <v>21</v>
      </c>
      <c r="BF155" s="12">
        <f t="shared" si="943"/>
        <v>6.1583577712609971E-2</v>
      </c>
      <c r="BG155" s="13"/>
      <c r="BH155" s="11"/>
      <c r="BI155" s="39"/>
      <c r="BJ155" s="43">
        <v>100</v>
      </c>
      <c r="BK155" s="10">
        <v>3</v>
      </c>
      <c r="BL155" s="11"/>
      <c r="BM155" s="69">
        <f t="shared" si="981"/>
        <v>702</v>
      </c>
      <c r="BN155" s="69">
        <f t="shared" si="981"/>
        <v>59</v>
      </c>
      <c r="BO155" s="11">
        <v>332</v>
      </c>
      <c r="BP155" s="12">
        <f t="shared" si="944"/>
        <v>0.49287749287749288</v>
      </c>
      <c r="BQ155" s="11">
        <v>14</v>
      </c>
      <c r="BR155" s="12">
        <f t="shared" si="945"/>
        <v>4.046242774566474E-2</v>
      </c>
      <c r="BS155" s="13"/>
      <c r="BT155" s="11"/>
      <c r="BU155" s="39"/>
      <c r="BV155" s="43">
        <v>100</v>
      </c>
      <c r="BW155" s="10"/>
      <c r="BX155" s="11"/>
      <c r="BY155" s="69">
        <f t="shared" si="982"/>
        <v>0</v>
      </c>
      <c r="BZ155" s="69">
        <f t="shared" si="982"/>
        <v>0</v>
      </c>
      <c r="CA155" s="11"/>
      <c r="CB155" s="12" t="e">
        <f t="shared" si="946"/>
        <v>#DIV/0!</v>
      </c>
      <c r="CC155" s="11"/>
      <c r="CD155" s="12" t="e">
        <f t="shared" si="947"/>
        <v>#DIV/0!</v>
      </c>
      <c r="CE155" s="13"/>
      <c r="CF155" s="11"/>
      <c r="CG155" s="39"/>
      <c r="CH155" s="43"/>
      <c r="CI155" s="10"/>
      <c r="CJ155" s="11"/>
      <c r="CK155" s="69">
        <f t="shared" si="983"/>
        <v>0</v>
      </c>
      <c r="CL155" s="69">
        <f t="shared" si="983"/>
        <v>0</v>
      </c>
      <c r="CM155" s="11"/>
      <c r="CN155" s="12" t="e">
        <f t="shared" si="948"/>
        <v>#DIV/0!</v>
      </c>
      <c r="CO155" s="11"/>
      <c r="CP155" s="12" t="e">
        <f t="shared" si="949"/>
        <v>#DIV/0!</v>
      </c>
      <c r="CQ155" s="13"/>
      <c r="CR155" s="11"/>
      <c r="CS155" s="39"/>
      <c r="CT155" s="43"/>
      <c r="CU155" s="10"/>
      <c r="CV155" s="11"/>
      <c r="CW155" s="69">
        <f t="shared" si="984"/>
        <v>0</v>
      </c>
      <c r="CX155" s="69">
        <f t="shared" si="984"/>
        <v>0</v>
      </c>
      <c r="CY155" s="11"/>
      <c r="CZ155" s="12" t="e">
        <f t="shared" si="950"/>
        <v>#DIV/0!</v>
      </c>
      <c r="DA155" s="11"/>
      <c r="DB155" s="12" t="e">
        <f t="shared" si="951"/>
        <v>#DIV/0!</v>
      </c>
      <c r="DC155" s="13"/>
      <c r="DD155" s="11"/>
      <c r="DE155" s="39"/>
      <c r="DF155" s="43"/>
      <c r="DG155" s="10"/>
      <c r="DH155" s="11"/>
      <c r="DI155" s="69">
        <f t="shared" si="985"/>
        <v>0</v>
      </c>
      <c r="DJ155" s="69">
        <f t="shared" si="985"/>
        <v>0</v>
      </c>
      <c r="DK155" s="11"/>
      <c r="DL155" s="12" t="e">
        <f t="shared" si="952"/>
        <v>#DIV/0!</v>
      </c>
      <c r="DM155" s="11"/>
      <c r="DN155" s="12" t="e">
        <f t="shared" si="953"/>
        <v>#DIV/0!</v>
      </c>
      <c r="DO155" s="13"/>
      <c r="DP155" s="11"/>
      <c r="DQ155" s="39"/>
      <c r="DR155" s="43"/>
      <c r="DS155" s="10"/>
      <c r="DT155" s="11"/>
      <c r="DU155" s="69">
        <f t="shared" si="986"/>
        <v>0</v>
      </c>
      <c r="DV155" s="69">
        <f t="shared" si="986"/>
        <v>0</v>
      </c>
      <c r="DW155" s="11"/>
      <c r="DX155" s="12" t="e">
        <f t="shared" si="954"/>
        <v>#DIV/0!</v>
      </c>
      <c r="DY155" s="11"/>
      <c r="DZ155" s="12" t="e">
        <f t="shared" si="955"/>
        <v>#DIV/0!</v>
      </c>
      <c r="EA155" s="13"/>
      <c r="EB155" s="11"/>
      <c r="EC155" s="39"/>
      <c r="ED155" s="43"/>
      <c r="EE155" s="10"/>
      <c r="EF155" s="11"/>
      <c r="EG155" s="69">
        <f t="shared" si="987"/>
        <v>0</v>
      </c>
      <c r="EH155" s="69">
        <f t="shared" si="987"/>
        <v>0</v>
      </c>
      <c r="EI155" s="11"/>
      <c r="EJ155" s="12" t="e">
        <f t="shared" si="956"/>
        <v>#DIV/0!</v>
      </c>
      <c r="EK155" s="11"/>
      <c r="EL155" s="12" t="e">
        <f t="shared" si="957"/>
        <v>#DIV/0!</v>
      </c>
      <c r="EM155" s="13"/>
      <c r="EN155" s="11"/>
      <c r="EO155" s="39"/>
      <c r="EP155" s="43"/>
      <c r="EQ155" s="10"/>
      <c r="ER155" s="11"/>
      <c r="ES155" s="69">
        <f t="shared" si="988"/>
        <v>0</v>
      </c>
      <c r="ET155" s="69">
        <f t="shared" si="988"/>
        <v>0</v>
      </c>
      <c r="EU155" s="11"/>
      <c r="EV155" s="12" t="e">
        <f t="shared" si="958"/>
        <v>#DIV/0!</v>
      </c>
      <c r="EW155" s="11"/>
      <c r="EX155" s="12" t="e">
        <f t="shared" si="959"/>
        <v>#DIV/0!</v>
      </c>
      <c r="EY155" s="13"/>
      <c r="EZ155" s="11"/>
      <c r="FA155" s="39"/>
      <c r="FB155" s="43"/>
      <c r="FC155" s="10"/>
      <c r="FD155" s="11"/>
      <c r="FE155" s="69">
        <f t="shared" si="989"/>
        <v>0</v>
      </c>
      <c r="FF155" s="69">
        <f t="shared" si="989"/>
        <v>0</v>
      </c>
      <c r="FG155" s="11"/>
      <c r="FH155" s="12" t="e">
        <f t="shared" si="960"/>
        <v>#DIV/0!</v>
      </c>
      <c r="FI155" s="11"/>
      <c r="FJ155" s="12" t="e">
        <f t="shared" si="961"/>
        <v>#DIV/0!</v>
      </c>
      <c r="FK155" s="13"/>
      <c r="FL155" s="11"/>
      <c r="FM155" s="39"/>
      <c r="FN155" s="43"/>
      <c r="FO155" s="10"/>
      <c r="FP155" s="11"/>
      <c r="FQ155" s="69">
        <f t="shared" si="990"/>
        <v>0</v>
      </c>
      <c r="FR155" s="69">
        <f t="shared" si="990"/>
        <v>0</v>
      </c>
      <c r="FS155" s="11"/>
      <c r="FT155" s="12" t="e">
        <f t="shared" si="962"/>
        <v>#DIV/0!</v>
      </c>
      <c r="FU155" s="11"/>
      <c r="FV155" s="12" t="e">
        <f t="shared" si="963"/>
        <v>#DIV/0!</v>
      </c>
      <c r="FW155" s="13"/>
      <c r="FX155" s="11"/>
      <c r="FY155" s="39"/>
      <c r="FZ155" s="43"/>
      <c r="GA155" s="10"/>
      <c r="GB155" s="11"/>
      <c r="GC155" s="69">
        <f t="shared" si="991"/>
        <v>0</v>
      </c>
      <c r="GD155" s="69">
        <f t="shared" si="991"/>
        <v>0</v>
      </c>
      <c r="GE155" s="11"/>
      <c r="GF155" s="12" t="e">
        <f t="shared" si="964"/>
        <v>#DIV/0!</v>
      </c>
      <c r="GG155" s="11"/>
      <c r="GH155" s="12" t="e">
        <f t="shared" si="965"/>
        <v>#DIV/0!</v>
      </c>
      <c r="GI155" s="13"/>
      <c r="GJ155" s="11"/>
      <c r="GK155" s="39"/>
      <c r="GL155" s="43"/>
      <c r="GM155" s="10"/>
      <c r="GN155" s="11"/>
      <c r="GO155" s="69">
        <f t="shared" si="992"/>
        <v>0</v>
      </c>
      <c r="GP155" s="69">
        <f t="shared" si="992"/>
        <v>0</v>
      </c>
      <c r="GQ155" s="11"/>
      <c r="GR155" s="12" t="e">
        <f t="shared" si="966"/>
        <v>#DIV/0!</v>
      </c>
      <c r="GS155" s="11"/>
      <c r="GT155" s="12" t="e">
        <f t="shared" si="967"/>
        <v>#DIV/0!</v>
      </c>
      <c r="GU155" s="13"/>
      <c r="GV155" s="11"/>
      <c r="GW155" s="39"/>
      <c r="GX155" s="43"/>
      <c r="GY155" s="10"/>
      <c r="GZ155" s="11"/>
      <c r="HA155" s="69">
        <f t="shared" si="993"/>
        <v>0</v>
      </c>
      <c r="HB155" s="69">
        <f t="shared" si="993"/>
        <v>0</v>
      </c>
      <c r="HC155" s="11"/>
      <c r="HD155" s="12" t="e">
        <f t="shared" si="968"/>
        <v>#DIV/0!</v>
      </c>
      <c r="HE155" s="11"/>
      <c r="HF155" s="12" t="e">
        <f t="shared" si="969"/>
        <v>#DIV/0!</v>
      </c>
      <c r="HG155" s="13"/>
      <c r="HH155" s="11"/>
      <c r="HI155" s="39"/>
      <c r="HJ155" s="43"/>
      <c r="HK155" s="10">
        <f t="shared" si="970"/>
        <v>7</v>
      </c>
      <c r="HL155" s="11">
        <f t="shared" si="970"/>
        <v>0</v>
      </c>
      <c r="HM155" s="11">
        <f t="shared" si="970"/>
        <v>3542</v>
      </c>
      <c r="HN155" s="11">
        <f t="shared" si="970"/>
        <v>298</v>
      </c>
      <c r="HO155" s="11">
        <f t="shared" si="971"/>
        <v>1687</v>
      </c>
      <c r="HP155" s="95">
        <f t="shared" si="972"/>
        <v>0.47628458498023718</v>
      </c>
      <c r="HQ155" s="15">
        <f t="shared" si="973"/>
        <v>107</v>
      </c>
      <c r="HR155" s="12">
        <f t="shared" si="994"/>
        <v>6.3426200355660933E-2</v>
      </c>
      <c r="HS155" s="16">
        <v>69.5</v>
      </c>
      <c r="HT155" s="17">
        <v>1518</v>
      </c>
      <c r="HU155" s="16">
        <f t="shared" si="974"/>
        <v>89.982216953171317</v>
      </c>
      <c r="HV155" s="23"/>
      <c r="HW155" s="22">
        <v>98.275862068965523</v>
      </c>
    </row>
    <row r="156" spans="1:231" ht="19.5" thickBot="1" x14ac:dyDescent="0.3">
      <c r="A156" s="374"/>
      <c r="B156" s="42"/>
      <c r="C156" s="26">
        <f>SUM(C149:C155)</f>
        <v>4</v>
      </c>
      <c r="D156" s="27">
        <f>SUM(D149:D155)</f>
        <v>0</v>
      </c>
      <c r="E156" s="27"/>
      <c r="F156" s="27"/>
      <c r="G156" s="27">
        <f>SUM(G149:G155)</f>
        <v>2054</v>
      </c>
      <c r="H156" s="28">
        <f>((G156+I156)/7)/E155</f>
        <v>0.49919999999999998</v>
      </c>
      <c r="I156" s="27">
        <f>SUM(I149:I155)</f>
        <v>130</v>
      </c>
      <c r="J156" s="28">
        <f>(I156/(I156+G156))</f>
        <v>5.9523809523809521E-2</v>
      </c>
      <c r="K156" s="27"/>
      <c r="L156" s="27"/>
      <c r="M156" s="29" t="e">
        <f>M154/M153*100-100</f>
        <v>#DIV/0!</v>
      </c>
      <c r="N156" s="67">
        <f>N154/N153*100-100</f>
        <v>4.9512987012987111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1988</v>
      </c>
      <c r="T156" s="28">
        <f>((S156+U156)/7)/Q155</f>
        <v>0.48234221918432446</v>
      </c>
      <c r="U156" s="27">
        <f>SUM(U149:U155)</f>
        <v>129</v>
      </c>
      <c r="V156" s="28">
        <f>(U156/(U156+S156))</f>
        <v>6.093528578176665E-2</v>
      </c>
      <c r="W156" s="27"/>
      <c r="X156" s="27"/>
      <c r="Y156" s="29" t="e">
        <f>Y154/Y153*100-100</f>
        <v>#DIV/0!</v>
      </c>
      <c r="Z156" s="67">
        <f>Z154/Z153*100-100</f>
        <v>4.6063311688311614</v>
      </c>
      <c r="AA156" s="26">
        <f>SUM(AA149:AA155)</f>
        <v>3</v>
      </c>
      <c r="AB156" s="27">
        <f>SUM(AB149:AB155)</f>
        <v>0</v>
      </c>
      <c r="AC156" s="27"/>
      <c r="AD156" s="27"/>
      <c r="AE156" s="27">
        <f>SUM(AE149:AE155)</f>
        <v>585</v>
      </c>
      <c r="AF156" s="28">
        <f>((AE156+AG156)/7)/AC155</f>
        <v>0.46906035141329255</v>
      </c>
      <c r="AG156" s="27">
        <f>SUM(AG149:AG155)</f>
        <v>29</v>
      </c>
      <c r="AH156" s="28">
        <f>(AG156/(AG156+AE156))</f>
        <v>4.7231270358306189E-2</v>
      </c>
      <c r="AI156" s="27"/>
      <c r="AJ156" s="27"/>
      <c r="AK156" s="29" t="e">
        <f>AK154/AK153*100-100</f>
        <v>#DIV/0!</v>
      </c>
      <c r="AL156" s="67">
        <f>AL154/AL153*100-100</f>
        <v>-1.171875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2199</v>
      </c>
      <c r="AR156" s="28">
        <f>((AQ156+AS156)/7)/AO155</f>
        <v>0.47680097680097683</v>
      </c>
      <c r="AS156" s="27">
        <f>SUM(AS149:AS155)</f>
        <v>144</v>
      </c>
      <c r="AT156" s="28">
        <f>(AS156/(AS156+AQ156))</f>
        <v>6.1459667093469908E-2</v>
      </c>
      <c r="AU156" s="27"/>
      <c r="AV156" s="27"/>
      <c r="AW156" s="29" t="e">
        <f>AW154/AW153*100-100</f>
        <v>#DIV/0!</v>
      </c>
      <c r="AX156" s="67">
        <f>AX154/AX153*100-100</f>
        <v>7.544642857142847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2331</v>
      </c>
      <c r="BD156" s="28">
        <f>((BC156+BE156)/7)/BA155</f>
        <v>0.49989781320253424</v>
      </c>
      <c r="BE156" s="27">
        <f>SUM(BE149:BE155)</f>
        <v>115</v>
      </c>
      <c r="BF156" s="28">
        <f>(BE156/(BE156+BC156))</f>
        <v>4.7015535568274737E-2</v>
      </c>
      <c r="BG156" s="27"/>
      <c r="BH156" s="27"/>
      <c r="BI156" s="29" t="e">
        <f>BI154/BI153*100-100</f>
        <v>#DIV/0!</v>
      </c>
      <c r="BJ156" s="67">
        <f>BJ154/BJ153*100-100</f>
        <v>8.207417582417591</v>
      </c>
      <c r="BK156" s="26">
        <f>SUM(BK149:BK155)</f>
        <v>3</v>
      </c>
      <c r="BL156" s="27">
        <f>SUM(BL149:BL155)</f>
        <v>0</v>
      </c>
      <c r="BM156" s="27"/>
      <c r="BN156" s="27"/>
      <c r="BO156" s="27">
        <f>SUM(BO149:BO155)</f>
        <v>2341</v>
      </c>
      <c r="BP156" s="28">
        <f>((BO156+BQ156)/7)/BM155</f>
        <v>0.49755799755799757</v>
      </c>
      <c r="BQ156" s="27">
        <f>SUM(BQ149:BQ155)</f>
        <v>104</v>
      </c>
      <c r="BR156" s="28">
        <f>(BQ156/(BQ156+BO156))</f>
        <v>4.2535787321063397E-2</v>
      </c>
      <c r="BS156" s="27"/>
      <c r="BT156" s="27"/>
      <c r="BU156" s="29" t="e">
        <f>BU154/BU153*100-100</f>
        <v>#DIV/0!</v>
      </c>
      <c r="BV156" s="67">
        <f>BV154/BV153*100-100</f>
        <v>7.9117063492063551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7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7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7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7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7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7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7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7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7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7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7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7" t="e">
        <f>HJ154/HJ153*100-100</f>
        <v>#DIV/0!</v>
      </c>
      <c r="HK156" s="26">
        <f t="shared" si="970"/>
        <v>14</v>
      </c>
      <c r="HL156" s="27">
        <f t="shared" si="970"/>
        <v>0</v>
      </c>
      <c r="HM156" s="27">
        <f t="shared" si="970"/>
        <v>0</v>
      </c>
      <c r="HN156" s="27">
        <f t="shared" si="970"/>
        <v>0</v>
      </c>
      <c r="HO156" s="27">
        <f t="shared" si="971"/>
        <v>12149</v>
      </c>
      <c r="HP156" s="96">
        <f>+((HO156)/HM155)/7</f>
        <v>0.48999758005969191</v>
      </c>
      <c r="HQ156" s="62">
        <f t="shared" si="973"/>
        <v>651</v>
      </c>
      <c r="HR156" s="52">
        <f t="shared" si="994"/>
        <v>5.358465717342991E-2</v>
      </c>
      <c r="HS156" s="53">
        <f>SUM(HS149:HS155)/7</f>
        <v>69.7</v>
      </c>
      <c r="HT156" s="54">
        <f>SUM(HT149:HT155)</f>
        <v>11048</v>
      </c>
      <c r="HU156" s="53">
        <f>AVERAGE(HU149:HU155)</f>
        <v>90.927790227742875</v>
      </c>
      <c r="HV156" s="63" t="e">
        <f>HV154/HV153*100-100</f>
        <v>#DIV/0!</v>
      </c>
      <c r="HW156" s="67">
        <f>HW154/HW153*100-100</f>
        <v>6.0999076354679715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3.937007874015748E-3</v>
      </c>
      <c r="HL157" s="66">
        <f>HL156/HN146</f>
        <v>0</v>
      </c>
      <c r="HM157" s="45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373">
        <v>42</v>
      </c>
      <c r="B158" s="68">
        <f>B155+1</f>
        <v>45060</v>
      </c>
      <c r="C158" s="33"/>
      <c r="D158" s="34"/>
      <c r="E158" s="34">
        <f>E155-C158</f>
        <v>625</v>
      </c>
      <c r="F158" s="34">
        <f>F155-D158</f>
        <v>51</v>
      </c>
      <c r="G158" s="34">
        <v>299</v>
      </c>
      <c r="H158" s="35">
        <f t="shared" ref="H158:H164" si="995">((G158+I158)/E158)</f>
        <v>0.5232</v>
      </c>
      <c r="I158" s="34">
        <v>28</v>
      </c>
      <c r="J158" s="35">
        <f>I158/(G158+I158)</f>
        <v>8.5626911314984705E-2</v>
      </c>
      <c r="K158" s="36"/>
      <c r="L158" s="34"/>
      <c r="M158" s="34"/>
      <c r="N158" s="37"/>
      <c r="O158" s="33">
        <v>1</v>
      </c>
      <c r="P158" s="34"/>
      <c r="Q158" s="34">
        <f>Q155-O158</f>
        <v>626</v>
      </c>
      <c r="R158" s="34">
        <f>R155-P158</f>
        <v>53</v>
      </c>
      <c r="S158" s="34">
        <v>274</v>
      </c>
      <c r="T158" s="35">
        <f t="shared" ref="T158:T164" si="996">((S158+U158)/Q158)</f>
        <v>0.4744408945686901</v>
      </c>
      <c r="U158" s="34">
        <v>23</v>
      </c>
      <c r="V158" s="35">
        <f t="shared" ref="V158:V164" si="997">U158/(S158+U158)</f>
        <v>7.7441077441077436E-2</v>
      </c>
      <c r="W158" s="36"/>
      <c r="X158" s="34"/>
      <c r="Y158" s="34"/>
      <c r="Z158" s="37"/>
      <c r="AA158" s="33">
        <v>1</v>
      </c>
      <c r="AB158" s="34"/>
      <c r="AC158" s="34">
        <f>AC155-AA158</f>
        <v>186</v>
      </c>
      <c r="AD158" s="34">
        <f>AD155-AB158</f>
        <v>15</v>
      </c>
      <c r="AE158" s="34">
        <v>81</v>
      </c>
      <c r="AF158" s="35">
        <f t="shared" ref="AF158:AF164" si="998">((AE158+AG158)/AC158)</f>
        <v>0.45698924731182794</v>
      </c>
      <c r="AG158" s="34">
        <v>4</v>
      </c>
      <c r="AH158" s="35">
        <f t="shared" ref="AH158:AH164" si="999">AG158/(AE158+AG158)</f>
        <v>4.7058823529411764E-2</v>
      </c>
      <c r="AI158" s="36"/>
      <c r="AJ158" s="34"/>
      <c r="AK158" s="34"/>
      <c r="AL158" s="37"/>
      <c r="AM158" s="33"/>
      <c r="AN158" s="34"/>
      <c r="AO158" s="34">
        <f>AO155-AM158</f>
        <v>702</v>
      </c>
      <c r="AP158" s="34">
        <f>AP155-AN158</f>
        <v>60</v>
      </c>
      <c r="AQ158" s="34">
        <v>317</v>
      </c>
      <c r="AR158" s="35">
        <f t="shared" ref="AR158:AR164" si="1000">((AQ158+AS158)/AO158)</f>
        <v>0.49002849002849003</v>
      </c>
      <c r="AS158" s="34">
        <v>27</v>
      </c>
      <c r="AT158" s="35">
        <f t="shared" ref="AT158:AT164" si="1001">AS158/(AQ158+AS158)</f>
        <v>7.8488372093023256E-2</v>
      </c>
      <c r="AU158" s="36"/>
      <c r="AV158" s="34"/>
      <c r="AW158" s="34"/>
      <c r="AX158" s="37"/>
      <c r="AY158" s="33"/>
      <c r="AZ158" s="34"/>
      <c r="BA158" s="34">
        <f>BA155-AY158</f>
        <v>699</v>
      </c>
      <c r="BB158" s="34">
        <f>BB155-AZ158</f>
        <v>60</v>
      </c>
      <c r="BC158" s="34">
        <v>334</v>
      </c>
      <c r="BD158" s="35">
        <f t="shared" ref="BD158:BD164" si="1002">((BC158+BE158)/BA158)</f>
        <v>0.50071530758226035</v>
      </c>
      <c r="BE158" s="34">
        <v>16</v>
      </c>
      <c r="BF158" s="35">
        <f t="shared" ref="BF158:BF164" si="1003">BE158/(BC158+BE158)</f>
        <v>4.5714285714285714E-2</v>
      </c>
      <c r="BG158" s="36"/>
      <c r="BH158" s="34"/>
      <c r="BI158" s="34"/>
      <c r="BJ158" s="37"/>
      <c r="BK158" s="33"/>
      <c r="BL158" s="34"/>
      <c r="BM158" s="34">
        <f>BM155-BK158</f>
        <v>702</v>
      </c>
      <c r="BN158" s="34">
        <f>BN155-BL158</f>
        <v>59</v>
      </c>
      <c r="BO158" s="34">
        <v>334</v>
      </c>
      <c r="BP158" s="35">
        <f t="shared" ref="BP158:BP164" si="1004">((BO158+BQ158)/BM158)</f>
        <v>0.49715099715099714</v>
      </c>
      <c r="BQ158" s="34">
        <v>15</v>
      </c>
      <c r="BR158" s="35">
        <f t="shared" ref="BR158:BR164" si="1005">BQ158/(BO158+BQ158)</f>
        <v>4.2979942693409739E-2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006">((CA158+CC158)/BY158)</f>
        <v>#DIV/0!</v>
      </c>
      <c r="CC158" s="34"/>
      <c r="CD158" s="35" t="e">
        <f t="shared" ref="CD158:CD164" si="1007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008">((CM158+CO158)/CK158)</f>
        <v>#DIV/0!</v>
      </c>
      <c r="CO158" s="34"/>
      <c r="CP158" s="35" t="e">
        <f t="shared" ref="CP158:CP164" si="1009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010">((CY158+DA158)/CW158)</f>
        <v>#DIV/0!</v>
      </c>
      <c r="DA158" s="34"/>
      <c r="DB158" s="35" t="e">
        <f t="shared" ref="DB158:DB164" si="1011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012">((DK158+DM158)/DI158)</f>
        <v>#DIV/0!</v>
      </c>
      <c r="DM158" s="34"/>
      <c r="DN158" s="35" t="e">
        <f t="shared" ref="DN158:DN164" si="1013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014">((DW158+DY158)/DU158)</f>
        <v>#DIV/0!</v>
      </c>
      <c r="DY158" s="34"/>
      <c r="DZ158" s="35" t="e">
        <f t="shared" ref="DZ158:DZ164" si="1015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016">((EI158+EK158)/EG158)</f>
        <v>#DIV/0!</v>
      </c>
      <c r="EK158" s="34"/>
      <c r="EL158" s="35" t="e">
        <f t="shared" ref="EL158:EL164" si="1017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018">((EU158+EW158)/ES158)</f>
        <v>#DIV/0!</v>
      </c>
      <c r="EW158" s="34"/>
      <c r="EX158" s="35" t="e">
        <f t="shared" ref="EX158:EX164" si="1019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020">((FG158+FI158)/FE158)</f>
        <v>#DIV/0!</v>
      </c>
      <c r="FI158" s="34"/>
      <c r="FJ158" s="35" t="e">
        <f t="shared" ref="FJ158:FJ164" si="1021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022">((FS158+FU158)/FQ158)</f>
        <v>#DIV/0!</v>
      </c>
      <c r="FU158" s="34"/>
      <c r="FV158" s="35" t="e">
        <f t="shared" ref="FV158:FV164" si="1023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024">((GE158+GG158)/GC158)</f>
        <v>#DIV/0!</v>
      </c>
      <c r="GG158" s="34"/>
      <c r="GH158" s="35" t="e">
        <f t="shared" ref="GH158:GH164" si="1025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026">((GQ158+GS158)/GO158)</f>
        <v>#DIV/0!</v>
      </c>
      <c r="GS158" s="34"/>
      <c r="GT158" s="35" t="e">
        <f t="shared" ref="GT158:GT164" si="1027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028">((HC158+HE158)/HA158)</f>
        <v>#DIV/0!</v>
      </c>
      <c r="HE158" s="34"/>
      <c r="HF158" s="35" t="e">
        <f t="shared" ref="HF158:HF164" si="1029">HE158/(HC158+HE158)</f>
        <v>#DIV/0!</v>
      </c>
      <c r="HG158" s="36"/>
      <c r="HH158" s="34"/>
      <c r="HI158" s="34"/>
      <c r="HJ158" s="37"/>
      <c r="HK158" s="33">
        <f t="shared" ref="HK158:HN165" si="1030">+C158+O158+AA158+AM158+AY158+BK158+BW158+CI158+CU158+DG158+DS158+EE158+EQ158+FC158+FO158+GA158+GM158+GY158</f>
        <v>2</v>
      </c>
      <c r="HL158" s="34">
        <f t="shared" si="1030"/>
        <v>0</v>
      </c>
      <c r="HM158" s="34">
        <f t="shared" si="1030"/>
        <v>3540</v>
      </c>
      <c r="HN158" s="34">
        <f t="shared" si="1030"/>
        <v>298</v>
      </c>
      <c r="HO158" s="34">
        <f t="shared" ref="HO158:HO165" si="1031">+G158+S158+AE158+AQ158+BC158+BO158+CA158+CM158+CY158+DK158+DW158+EI158+EU158+FG158+FS158+GE158+GQ158+HC158+I158+U158+AG158+AS158+BE158+BQ158+CC158+CO158+DA158+DM158+DY158+EK158+EW158+FI158+FU158+GG158+GS158+HE158</f>
        <v>1752</v>
      </c>
      <c r="HP158" s="94">
        <f t="shared" ref="HP158:HP164" si="1032">+(HO158)/HM158</f>
        <v>0.49491525423728816</v>
      </c>
      <c r="HQ158" s="48">
        <f t="shared" ref="HQ158:HQ165" si="1033">+I158+U158+AG158+AS158+BE158+BQ158+CC158+CO158+DA158+DM158+DY158+EK158+EW158+FI158+FU158+GG158+GS158+HE158</f>
        <v>113</v>
      </c>
      <c r="HR158" s="35">
        <f>+(HQ158/(HO158))</f>
        <v>6.4497716894977172E-2</v>
      </c>
      <c r="HS158" s="49">
        <v>69.7</v>
      </c>
      <c r="HT158" s="50">
        <v>1589</v>
      </c>
      <c r="HU158" s="49">
        <f t="shared" ref="HU158:HU164" si="1034">+HT158/HO158*100</f>
        <v>90.696347031963469</v>
      </c>
      <c r="HV158" s="48"/>
      <c r="HW158" s="37"/>
    </row>
    <row r="159" spans="1:231" ht="18.75" x14ac:dyDescent="0.25">
      <c r="A159" s="374"/>
      <c r="B159" s="41">
        <f t="shared" si="814"/>
        <v>45061</v>
      </c>
      <c r="C159" s="10"/>
      <c r="D159" s="11"/>
      <c r="E159" s="69">
        <f t="shared" ref="E159:F163" si="1035">E158-C159</f>
        <v>625</v>
      </c>
      <c r="F159" s="69">
        <f t="shared" si="1035"/>
        <v>51</v>
      </c>
      <c r="G159" s="11">
        <v>277</v>
      </c>
      <c r="H159" s="12">
        <f t="shared" si="995"/>
        <v>0.48480000000000001</v>
      </c>
      <c r="I159" s="11">
        <v>26</v>
      </c>
      <c r="J159" s="12">
        <f t="shared" ref="J159:J164" si="1036">I159/(G159+I159)</f>
        <v>8.5808580858085806E-2</v>
      </c>
      <c r="K159" s="13"/>
      <c r="L159" s="11"/>
      <c r="M159" s="11"/>
      <c r="N159" s="14"/>
      <c r="O159" s="10"/>
      <c r="P159" s="11"/>
      <c r="Q159" s="69">
        <f t="shared" ref="Q159:R164" si="1037">Q158-O159</f>
        <v>626</v>
      </c>
      <c r="R159" s="69">
        <f t="shared" si="1037"/>
        <v>53</v>
      </c>
      <c r="S159" s="11">
        <v>275</v>
      </c>
      <c r="T159" s="12">
        <f t="shared" si="996"/>
        <v>0.46964856230031948</v>
      </c>
      <c r="U159" s="11">
        <v>19</v>
      </c>
      <c r="V159" s="12">
        <f t="shared" si="997"/>
        <v>6.4625850340136057E-2</v>
      </c>
      <c r="W159" s="13"/>
      <c r="X159" s="11"/>
      <c r="Y159" s="11"/>
      <c r="Z159" s="14"/>
      <c r="AA159" s="10"/>
      <c r="AB159" s="11"/>
      <c r="AC159" s="69">
        <f t="shared" ref="AC159:AD164" si="1038">AC158-AA159</f>
        <v>186</v>
      </c>
      <c r="AD159" s="69">
        <f t="shared" si="1038"/>
        <v>15</v>
      </c>
      <c r="AE159" s="11">
        <v>84</v>
      </c>
      <c r="AF159" s="12">
        <f t="shared" si="998"/>
        <v>0.4731182795698925</v>
      </c>
      <c r="AG159" s="11">
        <v>4</v>
      </c>
      <c r="AH159" s="12">
        <f t="shared" si="999"/>
        <v>4.5454545454545456E-2</v>
      </c>
      <c r="AI159" s="13"/>
      <c r="AJ159" s="11"/>
      <c r="AK159" s="11"/>
      <c r="AL159" s="14"/>
      <c r="AM159" s="10">
        <v>1</v>
      </c>
      <c r="AN159" s="11"/>
      <c r="AO159" s="69">
        <f t="shared" ref="AO159:AP164" si="1039">AO158-AM159</f>
        <v>701</v>
      </c>
      <c r="AP159" s="69">
        <f t="shared" si="1039"/>
        <v>60</v>
      </c>
      <c r="AQ159" s="11">
        <v>288</v>
      </c>
      <c r="AR159" s="12">
        <f t="shared" si="1000"/>
        <v>0.44079885877318115</v>
      </c>
      <c r="AS159" s="11">
        <v>21</v>
      </c>
      <c r="AT159" s="12">
        <f t="shared" si="1001"/>
        <v>6.7961165048543687E-2</v>
      </c>
      <c r="AU159" s="13"/>
      <c r="AV159" s="11"/>
      <c r="AW159" s="11"/>
      <c r="AX159" s="14"/>
      <c r="AY159" s="10">
        <v>1</v>
      </c>
      <c r="AZ159" s="11"/>
      <c r="BA159" s="69">
        <f t="shared" ref="BA159:BB164" si="1040">BA158-AY159</f>
        <v>698</v>
      </c>
      <c r="BB159" s="69">
        <f t="shared" si="1040"/>
        <v>60</v>
      </c>
      <c r="BC159" s="11">
        <v>307</v>
      </c>
      <c r="BD159" s="12">
        <f t="shared" si="1002"/>
        <v>0.4799426934097421</v>
      </c>
      <c r="BE159" s="11">
        <v>28</v>
      </c>
      <c r="BF159" s="12">
        <f t="shared" si="1003"/>
        <v>8.3582089552238809E-2</v>
      </c>
      <c r="BG159" s="13"/>
      <c r="BH159" s="11"/>
      <c r="BI159" s="11"/>
      <c r="BJ159" s="14"/>
      <c r="BK159" s="10"/>
      <c r="BL159" s="11"/>
      <c r="BM159" s="69">
        <f t="shared" ref="BM159:BN164" si="1041">BM158-BK159</f>
        <v>702</v>
      </c>
      <c r="BN159" s="69">
        <f t="shared" si="1041"/>
        <v>59</v>
      </c>
      <c r="BO159" s="11">
        <v>332</v>
      </c>
      <c r="BP159" s="12">
        <f t="shared" si="1004"/>
        <v>0.50854700854700852</v>
      </c>
      <c r="BQ159" s="11">
        <v>25</v>
      </c>
      <c r="BR159" s="12">
        <f t="shared" si="1005"/>
        <v>7.0028011204481794E-2</v>
      </c>
      <c r="BS159" s="13"/>
      <c r="BT159" s="11"/>
      <c r="BU159" s="11"/>
      <c r="BV159" s="14"/>
      <c r="BW159" s="10"/>
      <c r="BX159" s="11"/>
      <c r="BY159" s="69">
        <f t="shared" ref="BY159:BZ164" si="1042">BY158-BW159</f>
        <v>0</v>
      </c>
      <c r="BZ159" s="69">
        <f t="shared" si="1042"/>
        <v>0</v>
      </c>
      <c r="CA159" s="11"/>
      <c r="CB159" s="12" t="e">
        <f t="shared" si="1006"/>
        <v>#DIV/0!</v>
      </c>
      <c r="CC159" s="11"/>
      <c r="CD159" s="12" t="e">
        <f t="shared" si="1007"/>
        <v>#DIV/0!</v>
      </c>
      <c r="CE159" s="13"/>
      <c r="CF159" s="11"/>
      <c r="CG159" s="11"/>
      <c r="CH159" s="14"/>
      <c r="CI159" s="10"/>
      <c r="CJ159" s="11"/>
      <c r="CK159" s="69">
        <f t="shared" ref="CK159:CL164" si="1043">CK158-CI159</f>
        <v>0</v>
      </c>
      <c r="CL159" s="69">
        <f t="shared" si="1043"/>
        <v>0</v>
      </c>
      <c r="CM159" s="11"/>
      <c r="CN159" s="12" t="e">
        <f t="shared" si="1008"/>
        <v>#DIV/0!</v>
      </c>
      <c r="CO159" s="11"/>
      <c r="CP159" s="12" t="e">
        <f t="shared" si="1009"/>
        <v>#DIV/0!</v>
      </c>
      <c r="CQ159" s="13"/>
      <c r="CR159" s="11"/>
      <c r="CS159" s="11"/>
      <c r="CT159" s="14"/>
      <c r="CU159" s="10"/>
      <c r="CV159" s="11"/>
      <c r="CW159" s="69">
        <f t="shared" ref="CW159:CX164" si="1044">CW158-CU159</f>
        <v>0</v>
      </c>
      <c r="CX159" s="69">
        <f t="shared" si="1044"/>
        <v>0</v>
      </c>
      <c r="CY159" s="11"/>
      <c r="CZ159" s="12" t="e">
        <f t="shared" si="1010"/>
        <v>#DIV/0!</v>
      </c>
      <c r="DA159" s="11"/>
      <c r="DB159" s="12" t="e">
        <f t="shared" si="1011"/>
        <v>#DIV/0!</v>
      </c>
      <c r="DC159" s="13"/>
      <c r="DD159" s="11"/>
      <c r="DE159" s="11"/>
      <c r="DF159" s="14"/>
      <c r="DG159" s="10"/>
      <c r="DH159" s="11"/>
      <c r="DI159" s="69">
        <f t="shared" ref="DI159:DJ164" si="1045">DI158-DG159</f>
        <v>0</v>
      </c>
      <c r="DJ159" s="69">
        <f t="shared" si="1045"/>
        <v>0</v>
      </c>
      <c r="DK159" s="11"/>
      <c r="DL159" s="12" t="e">
        <f t="shared" si="1012"/>
        <v>#DIV/0!</v>
      </c>
      <c r="DM159" s="11"/>
      <c r="DN159" s="12" t="e">
        <f t="shared" si="1013"/>
        <v>#DIV/0!</v>
      </c>
      <c r="DO159" s="13"/>
      <c r="DP159" s="11"/>
      <c r="DQ159" s="11"/>
      <c r="DR159" s="14"/>
      <c r="DS159" s="10"/>
      <c r="DT159" s="11"/>
      <c r="DU159" s="69">
        <f t="shared" ref="DU159:DV164" si="1046">DU158-DS159</f>
        <v>0</v>
      </c>
      <c r="DV159" s="69">
        <f t="shared" si="1046"/>
        <v>0</v>
      </c>
      <c r="DW159" s="11"/>
      <c r="DX159" s="12" t="e">
        <f t="shared" si="1014"/>
        <v>#DIV/0!</v>
      </c>
      <c r="DY159" s="11"/>
      <c r="DZ159" s="12" t="e">
        <f t="shared" si="1015"/>
        <v>#DIV/0!</v>
      </c>
      <c r="EA159" s="13"/>
      <c r="EB159" s="11"/>
      <c r="EC159" s="11"/>
      <c r="ED159" s="14"/>
      <c r="EE159" s="10"/>
      <c r="EF159" s="11"/>
      <c r="EG159" s="69">
        <f t="shared" ref="EG159:EH164" si="1047">EG158-EE159</f>
        <v>0</v>
      </c>
      <c r="EH159" s="69">
        <f t="shared" si="1047"/>
        <v>0</v>
      </c>
      <c r="EI159" s="11"/>
      <c r="EJ159" s="12" t="e">
        <f t="shared" si="1016"/>
        <v>#DIV/0!</v>
      </c>
      <c r="EK159" s="11"/>
      <c r="EL159" s="12" t="e">
        <f t="shared" si="1017"/>
        <v>#DIV/0!</v>
      </c>
      <c r="EM159" s="13"/>
      <c r="EN159" s="11"/>
      <c r="EO159" s="11"/>
      <c r="EP159" s="14"/>
      <c r="EQ159" s="10"/>
      <c r="ER159" s="11"/>
      <c r="ES159" s="69">
        <f t="shared" ref="ES159:ET164" si="1048">ES158-EQ159</f>
        <v>0</v>
      </c>
      <c r="ET159" s="69">
        <f t="shared" si="1048"/>
        <v>0</v>
      </c>
      <c r="EU159" s="11"/>
      <c r="EV159" s="12" t="e">
        <f t="shared" si="1018"/>
        <v>#DIV/0!</v>
      </c>
      <c r="EW159" s="11"/>
      <c r="EX159" s="12" t="e">
        <f t="shared" si="1019"/>
        <v>#DIV/0!</v>
      </c>
      <c r="EY159" s="13"/>
      <c r="EZ159" s="11"/>
      <c r="FA159" s="11"/>
      <c r="FB159" s="14"/>
      <c r="FC159" s="10"/>
      <c r="FD159" s="11"/>
      <c r="FE159" s="69">
        <f t="shared" ref="FE159:FF164" si="1049">FE158-FC159</f>
        <v>0</v>
      </c>
      <c r="FF159" s="69">
        <f t="shared" si="1049"/>
        <v>0</v>
      </c>
      <c r="FG159" s="11"/>
      <c r="FH159" s="12" t="e">
        <f t="shared" si="1020"/>
        <v>#DIV/0!</v>
      </c>
      <c r="FI159" s="11"/>
      <c r="FJ159" s="12" t="e">
        <f t="shared" si="1021"/>
        <v>#DIV/0!</v>
      </c>
      <c r="FK159" s="13"/>
      <c r="FL159" s="11"/>
      <c r="FM159" s="11"/>
      <c r="FN159" s="14"/>
      <c r="FO159" s="10"/>
      <c r="FP159" s="11"/>
      <c r="FQ159" s="69">
        <f t="shared" ref="FQ159:FR164" si="1050">FQ158-FO159</f>
        <v>0</v>
      </c>
      <c r="FR159" s="69">
        <f t="shared" si="1050"/>
        <v>0</v>
      </c>
      <c r="FS159" s="11"/>
      <c r="FT159" s="12" t="e">
        <f t="shared" si="1022"/>
        <v>#DIV/0!</v>
      </c>
      <c r="FU159" s="11"/>
      <c r="FV159" s="12" t="e">
        <f t="shared" si="1023"/>
        <v>#DIV/0!</v>
      </c>
      <c r="FW159" s="13"/>
      <c r="FX159" s="11"/>
      <c r="FY159" s="11"/>
      <c r="FZ159" s="14"/>
      <c r="GA159" s="10"/>
      <c r="GB159" s="11"/>
      <c r="GC159" s="69">
        <f t="shared" ref="GC159:GD164" si="1051">GC158-GA159</f>
        <v>0</v>
      </c>
      <c r="GD159" s="69">
        <f t="shared" si="1051"/>
        <v>0</v>
      </c>
      <c r="GE159" s="11"/>
      <c r="GF159" s="12" t="e">
        <f t="shared" si="1024"/>
        <v>#DIV/0!</v>
      </c>
      <c r="GG159" s="11"/>
      <c r="GH159" s="12" t="e">
        <f t="shared" si="1025"/>
        <v>#DIV/0!</v>
      </c>
      <c r="GI159" s="13"/>
      <c r="GJ159" s="11"/>
      <c r="GK159" s="11"/>
      <c r="GL159" s="14"/>
      <c r="GM159" s="10"/>
      <c r="GN159" s="11"/>
      <c r="GO159" s="69">
        <f t="shared" ref="GO159:GP164" si="1052">GO158-GM159</f>
        <v>0</v>
      </c>
      <c r="GP159" s="69">
        <f t="shared" si="1052"/>
        <v>0</v>
      </c>
      <c r="GQ159" s="11"/>
      <c r="GR159" s="12" t="e">
        <f t="shared" si="1026"/>
        <v>#DIV/0!</v>
      </c>
      <c r="GS159" s="11"/>
      <c r="GT159" s="12" t="e">
        <f t="shared" si="1027"/>
        <v>#DIV/0!</v>
      </c>
      <c r="GU159" s="13"/>
      <c r="GV159" s="11"/>
      <c r="GW159" s="11"/>
      <c r="GX159" s="14"/>
      <c r="GY159" s="10"/>
      <c r="GZ159" s="11"/>
      <c r="HA159" s="69">
        <f t="shared" ref="HA159:HB164" si="1053">HA158-GY159</f>
        <v>0</v>
      </c>
      <c r="HB159" s="69">
        <f t="shared" si="1053"/>
        <v>0</v>
      </c>
      <c r="HC159" s="11"/>
      <c r="HD159" s="12" t="e">
        <f t="shared" si="1028"/>
        <v>#DIV/0!</v>
      </c>
      <c r="HE159" s="11"/>
      <c r="HF159" s="12" t="e">
        <f t="shared" si="1029"/>
        <v>#DIV/0!</v>
      </c>
      <c r="HG159" s="13"/>
      <c r="HH159" s="11"/>
      <c r="HI159" s="11"/>
      <c r="HJ159" s="14"/>
      <c r="HK159" s="10">
        <f t="shared" si="1030"/>
        <v>2</v>
      </c>
      <c r="HL159" s="11">
        <f t="shared" si="1030"/>
        <v>0</v>
      </c>
      <c r="HM159" s="11">
        <f t="shared" si="1030"/>
        <v>3538</v>
      </c>
      <c r="HN159" s="11">
        <f t="shared" si="1030"/>
        <v>298</v>
      </c>
      <c r="HO159" s="11">
        <f t="shared" si="1031"/>
        <v>1686</v>
      </c>
      <c r="HP159" s="95">
        <f t="shared" si="1032"/>
        <v>0.47654041831543242</v>
      </c>
      <c r="HQ159" s="15">
        <f t="shared" si="1033"/>
        <v>123</v>
      </c>
      <c r="HR159" s="12">
        <f t="shared" ref="HR159:HR165" si="1054">+(HQ159/(HO159))</f>
        <v>7.2953736654804271E-2</v>
      </c>
      <c r="HS159" s="16">
        <v>69.5</v>
      </c>
      <c r="HT159" s="17">
        <v>1508</v>
      </c>
      <c r="HU159" s="16">
        <f t="shared" si="1034"/>
        <v>89.442467378410441</v>
      </c>
      <c r="HV159" s="15"/>
      <c r="HW159" s="14"/>
    </row>
    <row r="160" spans="1:231" ht="18.75" x14ac:dyDescent="0.25">
      <c r="A160" s="374"/>
      <c r="B160" s="41">
        <f t="shared" si="814"/>
        <v>45062</v>
      </c>
      <c r="C160" s="10"/>
      <c r="D160" s="11"/>
      <c r="E160" s="69">
        <f t="shared" si="1035"/>
        <v>625</v>
      </c>
      <c r="F160" s="69">
        <f t="shared" si="1035"/>
        <v>51</v>
      </c>
      <c r="G160" s="11">
        <v>306</v>
      </c>
      <c r="H160" s="12">
        <f t="shared" si="995"/>
        <v>0.52959999999999996</v>
      </c>
      <c r="I160" s="11">
        <v>25</v>
      </c>
      <c r="J160" s="12">
        <f t="shared" si="1036"/>
        <v>7.5528700906344406E-2</v>
      </c>
      <c r="K160" s="13"/>
      <c r="L160" s="11"/>
      <c r="M160" s="11"/>
      <c r="N160" s="14"/>
      <c r="O160" s="10"/>
      <c r="P160" s="11"/>
      <c r="Q160" s="69">
        <f t="shared" si="1037"/>
        <v>626</v>
      </c>
      <c r="R160" s="69">
        <f t="shared" si="1037"/>
        <v>53</v>
      </c>
      <c r="S160" s="11">
        <v>305</v>
      </c>
      <c r="T160" s="12">
        <f t="shared" si="996"/>
        <v>0.5255591054313099</v>
      </c>
      <c r="U160" s="11">
        <v>24</v>
      </c>
      <c r="V160" s="12">
        <f t="shared" si="997"/>
        <v>7.29483282674772E-2</v>
      </c>
      <c r="W160" s="13"/>
      <c r="X160" s="11"/>
      <c r="Y160" s="11"/>
      <c r="Z160" s="14"/>
      <c r="AA160" s="10"/>
      <c r="AB160" s="11"/>
      <c r="AC160" s="69">
        <f t="shared" si="1038"/>
        <v>186</v>
      </c>
      <c r="AD160" s="69">
        <f t="shared" si="1038"/>
        <v>15</v>
      </c>
      <c r="AE160" s="11">
        <v>84</v>
      </c>
      <c r="AF160" s="12">
        <f t="shared" si="998"/>
        <v>0.478494623655914</v>
      </c>
      <c r="AG160" s="11">
        <v>5</v>
      </c>
      <c r="AH160" s="12">
        <f t="shared" si="999"/>
        <v>5.6179775280898875E-2</v>
      </c>
      <c r="AI160" s="13"/>
      <c r="AJ160" s="11"/>
      <c r="AK160" s="11"/>
      <c r="AL160" s="14"/>
      <c r="AM160" s="10"/>
      <c r="AN160" s="11"/>
      <c r="AO160" s="69">
        <f t="shared" si="1039"/>
        <v>701</v>
      </c>
      <c r="AP160" s="69">
        <f t="shared" si="1039"/>
        <v>60</v>
      </c>
      <c r="AQ160" s="11">
        <v>307</v>
      </c>
      <c r="AR160" s="12">
        <f t="shared" si="1000"/>
        <v>0.47075606276747506</v>
      </c>
      <c r="AS160" s="11">
        <v>23</v>
      </c>
      <c r="AT160" s="12">
        <f t="shared" si="1001"/>
        <v>6.9696969696969702E-2</v>
      </c>
      <c r="AU160" s="13"/>
      <c r="AV160" s="11"/>
      <c r="AW160" s="11"/>
      <c r="AX160" s="14"/>
      <c r="AY160" s="10"/>
      <c r="AZ160" s="11"/>
      <c r="BA160" s="69">
        <f t="shared" si="1040"/>
        <v>698</v>
      </c>
      <c r="BB160" s="69">
        <f t="shared" si="1040"/>
        <v>60</v>
      </c>
      <c r="BC160" s="11">
        <v>308</v>
      </c>
      <c r="BD160" s="12">
        <f t="shared" si="1002"/>
        <v>0.47134670487106017</v>
      </c>
      <c r="BE160" s="11">
        <v>21</v>
      </c>
      <c r="BF160" s="12">
        <f t="shared" si="1003"/>
        <v>6.3829787234042548E-2</v>
      </c>
      <c r="BG160" s="13"/>
      <c r="BH160" s="11"/>
      <c r="BI160" s="11"/>
      <c r="BJ160" s="14"/>
      <c r="BK160" s="10"/>
      <c r="BL160" s="11"/>
      <c r="BM160" s="69">
        <f t="shared" si="1041"/>
        <v>702</v>
      </c>
      <c r="BN160" s="69">
        <f t="shared" si="1041"/>
        <v>59</v>
      </c>
      <c r="BO160" s="11">
        <v>352</v>
      </c>
      <c r="BP160" s="12">
        <f t="shared" si="1004"/>
        <v>0.50854700854700852</v>
      </c>
      <c r="BQ160" s="11">
        <v>5</v>
      </c>
      <c r="BR160" s="12">
        <f t="shared" si="1005"/>
        <v>1.4005602240896359E-2</v>
      </c>
      <c r="BS160" s="13"/>
      <c r="BT160" s="11"/>
      <c r="BU160" s="11"/>
      <c r="BV160" s="14"/>
      <c r="BW160" s="10"/>
      <c r="BX160" s="11"/>
      <c r="BY160" s="69">
        <f t="shared" si="1042"/>
        <v>0</v>
      </c>
      <c r="BZ160" s="69">
        <f t="shared" si="1042"/>
        <v>0</v>
      </c>
      <c r="CA160" s="11"/>
      <c r="CB160" s="12" t="e">
        <f t="shared" si="1006"/>
        <v>#DIV/0!</v>
      </c>
      <c r="CC160" s="11"/>
      <c r="CD160" s="12" t="e">
        <f t="shared" si="1007"/>
        <v>#DIV/0!</v>
      </c>
      <c r="CE160" s="13"/>
      <c r="CF160" s="11"/>
      <c r="CG160" s="11"/>
      <c r="CH160" s="14"/>
      <c r="CI160" s="10"/>
      <c r="CJ160" s="11"/>
      <c r="CK160" s="69">
        <f t="shared" si="1043"/>
        <v>0</v>
      </c>
      <c r="CL160" s="69">
        <f t="shared" si="1043"/>
        <v>0</v>
      </c>
      <c r="CM160" s="11"/>
      <c r="CN160" s="12" t="e">
        <f t="shared" si="1008"/>
        <v>#DIV/0!</v>
      </c>
      <c r="CO160" s="11"/>
      <c r="CP160" s="12" t="e">
        <f t="shared" si="1009"/>
        <v>#DIV/0!</v>
      </c>
      <c r="CQ160" s="13"/>
      <c r="CR160" s="11"/>
      <c r="CS160" s="11"/>
      <c r="CT160" s="14"/>
      <c r="CU160" s="10"/>
      <c r="CV160" s="11"/>
      <c r="CW160" s="69">
        <f t="shared" si="1044"/>
        <v>0</v>
      </c>
      <c r="CX160" s="69">
        <f t="shared" si="1044"/>
        <v>0</v>
      </c>
      <c r="CY160" s="11"/>
      <c r="CZ160" s="12" t="e">
        <f t="shared" si="1010"/>
        <v>#DIV/0!</v>
      </c>
      <c r="DA160" s="11"/>
      <c r="DB160" s="12" t="e">
        <f t="shared" si="1011"/>
        <v>#DIV/0!</v>
      </c>
      <c r="DC160" s="13"/>
      <c r="DD160" s="11"/>
      <c r="DE160" s="11"/>
      <c r="DF160" s="14"/>
      <c r="DG160" s="10"/>
      <c r="DH160" s="11"/>
      <c r="DI160" s="69">
        <f t="shared" si="1045"/>
        <v>0</v>
      </c>
      <c r="DJ160" s="69">
        <f t="shared" si="1045"/>
        <v>0</v>
      </c>
      <c r="DK160" s="11"/>
      <c r="DL160" s="12" t="e">
        <f t="shared" si="1012"/>
        <v>#DIV/0!</v>
      </c>
      <c r="DM160" s="11"/>
      <c r="DN160" s="12" t="e">
        <f t="shared" si="1013"/>
        <v>#DIV/0!</v>
      </c>
      <c r="DO160" s="13"/>
      <c r="DP160" s="11"/>
      <c r="DQ160" s="11"/>
      <c r="DR160" s="14"/>
      <c r="DS160" s="10"/>
      <c r="DT160" s="11"/>
      <c r="DU160" s="69">
        <f t="shared" si="1046"/>
        <v>0</v>
      </c>
      <c r="DV160" s="69">
        <f t="shared" si="1046"/>
        <v>0</v>
      </c>
      <c r="DW160" s="11"/>
      <c r="DX160" s="12" t="e">
        <f t="shared" si="1014"/>
        <v>#DIV/0!</v>
      </c>
      <c r="DY160" s="11"/>
      <c r="DZ160" s="12" t="e">
        <f t="shared" si="1015"/>
        <v>#DIV/0!</v>
      </c>
      <c r="EA160" s="13"/>
      <c r="EB160" s="11"/>
      <c r="EC160" s="11"/>
      <c r="ED160" s="14"/>
      <c r="EE160" s="10"/>
      <c r="EF160" s="11"/>
      <c r="EG160" s="69">
        <f t="shared" si="1047"/>
        <v>0</v>
      </c>
      <c r="EH160" s="69">
        <f t="shared" si="1047"/>
        <v>0</v>
      </c>
      <c r="EI160" s="11"/>
      <c r="EJ160" s="12" t="e">
        <f t="shared" si="1016"/>
        <v>#DIV/0!</v>
      </c>
      <c r="EK160" s="11"/>
      <c r="EL160" s="12" t="e">
        <f t="shared" si="1017"/>
        <v>#DIV/0!</v>
      </c>
      <c r="EM160" s="13"/>
      <c r="EN160" s="11"/>
      <c r="EO160" s="11"/>
      <c r="EP160" s="14"/>
      <c r="EQ160" s="10"/>
      <c r="ER160" s="11"/>
      <c r="ES160" s="69">
        <f t="shared" si="1048"/>
        <v>0</v>
      </c>
      <c r="ET160" s="69">
        <f t="shared" si="1048"/>
        <v>0</v>
      </c>
      <c r="EU160" s="11"/>
      <c r="EV160" s="12" t="e">
        <f t="shared" si="1018"/>
        <v>#DIV/0!</v>
      </c>
      <c r="EW160" s="11"/>
      <c r="EX160" s="12" t="e">
        <f t="shared" si="1019"/>
        <v>#DIV/0!</v>
      </c>
      <c r="EY160" s="13"/>
      <c r="EZ160" s="11"/>
      <c r="FA160" s="11"/>
      <c r="FB160" s="14"/>
      <c r="FC160" s="10"/>
      <c r="FD160" s="11"/>
      <c r="FE160" s="69">
        <f t="shared" si="1049"/>
        <v>0</v>
      </c>
      <c r="FF160" s="69">
        <f t="shared" si="1049"/>
        <v>0</v>
      </c>
      <c r="FG160" s="11"/>
      <c r="FH160" s="12" t="e">
        <f t="shared" si="1020"/>
        <v>#DIV/0!</v>
      </c>
      <c r="FI160" s="11"/>
      <c r="FJ160" s="12" t="e">
        <f t="shared" si="1021"/>
        <v>#DIV/0!</v>
      </c>
      <c r="FK160" s="13"/>
      <c r="FL160" s="11"/>
      <c r="FM160" s="11"/>
      <c r="FN160" s="14"/>
      <c r="FO160" s="10"/>
      <c r="FP160" s="11"/>
      <c r="FQ160" s="69">
        <f t="shared" si="1050"/>
        <v>0</v>
      </c>
      <c r="FR160" s="69">
        <f t="shared" si="1050"/>
        <v>0</v>
      </c>
      <c r="FS160" s="11"/>
      <c r="FT160" s="12" t="e">
        <f t="shared" si="1022"/>
        <v>#DIV/0!</v>
      </c>
      <c r="FU160" s="11"/>
      <c r="FV160" s="12" t="e">
        <f t="shared" si="1023"/>
        <v>#DIV/0!</v>
      </c>
      <c r="FW160" s="13"/>
      <c r="FX160" s="11"/>
      <c r="FY160" s="11"/>
      <c r="FZ160" s="14"/>
      <c r="GA160" s="10"/>
      <c r="GB160" s="11"/>
      <c r="GC160" s="69">
        <f t="shared" si="1051"/>
        <v>0</v>
      </c>
      <c r="GD160" s="69">
        <f t="shared" si="1051"/>
        <v>0</v>
      </c>
      <c r="GE160" s="11"/>
      <c r="GF160" s="12" t="e">
        <f t="shared" si="1024"/>
        <v>#DIV/0!</v>
      </c>
      <c r="GG160" s="11"/>
      <c r="GH160" s="12" t="e">
        <f t="shared" si="1025"/>
        <v>#DIV/0!</v>
      </c>
      <c r="GI160" s="13"/>
      <c r="GJ160" s="11"/>
      <c r="GK160" s="11"/>
      <c r="GL160" s="14"/>
      <c r="GM160" s="10"/>
      <c r="GN160" s="11"/>
      <c r="GO160" s="69">
        <f t="shared" si="1052"/>
        <v>0</v>
      </c>
      <c r="GP160" s="69">
        <f t="shared" si="1052"/>
        <v>0</v>
      </c>
      <c r="GQ160" s="11"/>
      <c r="GR160" s="12" t="e">
        <f t="shared" si="1026"/>
        <v>#DIV/0!</v>
      </c>
      <c r="GS160" s="11"/>
      <c r="GT160" s="12" t="e">
        <f t="shared" si="1027"/>
        <v>#DIV/0!</v>
      </c>
      <c r="GU160" s="13"/>
      <c r="GV160" s="11"/>
      <c r="GW160" s="11"/>
      <c r="GX160" s="14"/>
      <c r="GY160" s="10"/>
      <c r="GZ160" s="11"/>
      <c r="HA160" s="69">
        <f t="shared" si="1053"/>
        <v>0</v>
      </c>
      <c r="HB160" s="69">
        <f t="shared" si="1053"/>
        <v>0</v>
      </c>
      <c r="HC160" s="11"/>
      <c r="HD160" s="12" t="e">
        <f t="shared" si="1028"/>
        <v>#DIV/0!</v>
      </c>
      <c r="HE160" s="11"/>
      <c r="HF160" s="12" t="e">
        <f t="shared" si="1029"/>
        <v>#DIV/0!</v>
      </c>
      <c r="HG160" s="13"/>
      <c r="HH160" s="11"/>
      <c r="HI160" s="11"/>
      <c r="HJ160" s="14"/>
      <c r="HK160" s="10">
        <f t="shared" si="1030"/>
        <v>0</v>
      </c>
      <c r="HL160" s="11">
        <f t="shared" si="1030"/>
        <v>0</v>
      </c>
      <c r="HM160" s="11">
        <f t="shared" si="1030"/>
        <v>3538</v>
      </c>
      <c r="HN160" s="11">
        <f t="shared" si="1030"/>
        <v>298</v>
      </c>
      <c r="HO160" s="11">
        <f t="shared" si="1031"/>
        <v>1765</v>
      </c>
      <c r="HP160" s="95">
        <f t="shared" si="1032"/>
        <v>0.49886941775014132</v>
      </c>
      <c r="HQ160" s="15">
        <f t="shared" si="1033"/>
        <v>103</v>
      </c>
      <c r="HR160" s="12">
        <f t="shared" si="1054"/>
        <v>5.8356940509915016E-2</v>
      </c>
      <c r="HS160" s="16">
        <v>69.2</v>
      </c>
      <c r="HT160" s="17">
        <v>1620</v>
      </c>
      <c r="HU160" s="16">
        <f t="shared" si="1034"/>
        <v>91.784702549575073</v>
      </c>
      <c r="HV160" s="15"/>
      <c r="HW160" s="14"/>
    </row>
    <row r="161" spans="1:231" ht="18.75" x14ac:dyDescent="0.25">
      <c r="A161" s="374"/>
      <c r="B161" s="41">
        <f t="shared" si="814"/>
        <v>45063</v>
      </c>
      <c r="C161" s="10"/>
      <c r="D161" s="11"/>
      <c r="E161" s="69">
        <f t="shared" si="1035"/>
        <v>625</v>
      </c>
      <c r="F161" s="69">
        <f t="shared" si="1035"/>
        <v>51</v>
      </c>
      <c r="G161" s="11">
        <v>273</v>
      </c>
      <c r="H161" s="12">
        <f t="shared" si="995"/>
        <v>0.46400000000000002</v>
      </c>
      <c r="I161" s="11">
        <v>17</v>
      </c>
      <c r="J161" s="12">
        <f t="shared" si="1036"/>
        <v>5.8620689655172413E-2</v>
      </c>
      <c r="K161" s="11"/>
      <c r="L161" s="11"/>
      <c r="M161" s="18"/>
      <c r="N161" s="20"/>
      <c r="O161" s="10"/>
      <c r="P161" s="11"/>
      <c r="Q161" s="69">
        <f t="shared" si="1037"/>
        <v>626</v>
      </c>
      <c r="R161" s="69">
        <f t="shared" si="1037"/>
        <v>53</v>
      </c>
      <c r="S161" s="11">
        <v>250</v>
      </c>
      <c r="T161" s="12">
        <f t="shared" si="996"/>
        <v>0.41693290734824279</v>
      </c>
      <c r="U161" s="11">
        <v>11</v>
      </c>
      <c r="V161" s="12">
        <f t="shared" si="997"/>
        <v>4.2145593869731802E-2</v>
      </c>
      <c r="W161" s="11"/>
      <c r="X161" s="11"/>
      <c r="Y161" s="18"/>
      <c r="Z161" s="20"/>
      <c r="AA161" s="10"/>
      <c r="AB161" s="11"/>
      <c r="AC161" s="11">
        <f>AC160-AA161</f>
        <v>186</v>
      </c>
      <c r="AD161" s="69">
        <f t="shared" si="1038"/>
        <v>15</v>
      </c>
      <c r="AE161" s="11">
        <v>88</v>
      </c>
      <c r="AF161" s="12">
        <f t="shared" si="998"/>
        <v>0.489247311827957</v>
      </c>
      <c r="AG161" s="11">
        <v>3</v>
      </c>
      <c r="AH161" s="12">
        <f t="shared" si="999"/>
        <v>3.2967032967032968E-2</v>
      </c>
      <c r="AI161" s="11"/>
      <c r="AJ161" s="11"/>
      <c r="AK161" s="18"/>
      <c r="AL161" s="20"/>
      <c r="AM161" s="10"/>
      <c r="AN161" s="11"/>
      <c r="AO161" s="69">
        <f t="shared" si="1039"/>
        <v>701</v>
      </c>
      <c r="AP161" s="69">
        <f t="shared" si="1039"/>
        <v>60</v>
      </c>
      <c r="AQ161" s="11">
        <v>275</v>
      </c>
      <c r="AR161" s="12">
        <f t="shared" si="1000"/>
        <v>0.42510699001426533</v>
      </c>
      <c r="AS161" s="11">
        <v>23</v>
      </c>
      <c r="AT161" s="12">
        <f t="shared" si="1001"/>
        <v>7.7181208053691275E-2</v>
      </c>
      <c r="AU161" s="11"/>
      <c r="AV161" s="11"/>
      <c r="AW161" s="18"/>
      <c r="AX161" s="20"/>
      <c r="AY161" s="10">
        <v>2</v>
      </c>
      <c r="AZ161" s="11"/>
      <c r="BA161" s="69">
        <f t="shared" si="1040"/>
        <v>696</v>
      </c>
      <c r="BB161" s="69">
        <f t="shared" si="1040"/>
        <v>60</v>
      </c>
      <c r="BC161" s="11">
        <v>310</v>
      </c>
      <c r="BD161" s="12">
        <f t="shared" si="1002"/>
        <v>0.47413793103448276</v>
      </c>
      <c r="BE161" s="11">
        <v>20</v>
      </c>
      <c r="BF161" s="12">
        <f t="shared" si="1003"/>
        <v>6.0606060606060608E-2</v>
      </c>
      <c r="BG161" s="11"/>
      <c r="BH161" s="11"/>
      <c r="BI161" s="18"/>
      <c r="BJ161" s="20"/>
      <c r="BK161" s="10"/>
      <c r="BL161" s="11"/>
      <c r="BM161" s="69">
        <f t="shared" si="1041"/>
        <v>702</v>
      </c>
      <c r="BN161" s="69">
        <f t="shared" si="1041"/>
        <v>59</v>
      </c>
      <c r="BO161" s="11">
        <v>345</v>
      </c>
      <c r="BP161" s="12">
        <f t="shared" si="1004"/>
        <v>0.51282051282051277</v>
      </c>
      <c r="BQ161" s="11">
        <v>15</v>
      </c>
      <c r="BR161" s="12">
        <f t="shared" si="1005"/>
        <v>4.1666666666666664E-2</v>
      </c>
      <c r="BS161" s="11"/>
      <c r="BT161" s="11"/>
      <c r="BU161" s="18"/>
      <c r="BV161" s="20"/>
      <c r="BW161" s="10"/>
      <c r="BX161" s="11"/>
      <c r="BY161" s="69">
        <f t="shared" si="1042"/>
        <v>0</v>
      </c>
      <c r="BZ161" s="69">
        <f t="shared" si="1042"/>
        <v>0</v>
      </c>
      <c r="CA161" s="11"/>
      <c r="CB161" s="12" t="e">
        <f t="shared" si="1006"/>
        <v>#DIV/0!</v>
      </c>
      <c r="CC161" s="11"/>
      <c r="CD161" s="12" t="e">
        <f t="shared" si="1007"/>
        <v>#DIV/0!</v>
      </c>
      <c r="CE161" s="11"/>
      <c r="CF161" s="11"/>
      <c r="CG161" s="18"/>
      <c r="CH161" s="20"/>
      <c r="CI161" s="10"/>
      <c r="CJ161" s="11"/>
      <c r="CK161" s="69">
        <f t="shared" si="1043"/>
        <v>0</v>
      </c>
      <c r="CL161" s="69">
        <f t="shared" si="1043"/>
        <v>0</v>
      </c>
      <c r="CM161" s="11"/>
      <c r="CN161" s="12" t="e">
        <f t="shared" si="1008"/>
        <v>#DIV/0!</v>
      </c>
      <c r="CO161" s="11"/>
      <c r="CP161" s="12" t="e">
        <f t="shared" si="1009"/>
        <v>#DIV/0!</v>
      </c>
      <c r="CQ161" s="11"/>
      <c r="CR161" s="11"/>
      <c r="CS161" s="18"/>
      <c r="CT161" s="20"/>
      <c r="CU161" s="10"/>
      <c r="CV161" s="11"/>
      <c r="CW161" s="69">
        <f t="shared" si="1044"/>
        <v>0</v>
      </c>
      <c r="CX161" s="69">
        <f t="shared" si="1044"/>
        <v>0</v>
      </c>
      <c r="CY161" s="11"/>
      <c r="CZ161" s="12" t="e">
        <f t="shared" si="1010"/>
        <v>#DIV/0!</v>
      </c>
      <c r="DA161" s="11"/>
      <c r="DB161" s="12" t="e">
        <f t="shared" si="1011"/>
        <v>#DIV/0!</v>
      </c>
      <c r="DC161" s="11"/>
      <c r="DD161" s="11"/>
      <c r="DE161" s="18"/>
      <c r="DF161" s="20"/>
      <c r="DG161" s="10"/>
      <c r="DH161" s="11"/>
      <c r="DI161" s="69">
        <f t="shared" si="1045"/>
        <v>0</v>
      </c>
      <c r="DJ161" s="69">
        <f t="shared" si="1045"/>
        <v>0</v>
      </c>
      <c r="DK161" s="11"/>
      <c r="DL161" s="12" t="e">
        <f t="shared" si="1012"/>
        <v>#DIV/0!</v>
      </c>
      <c r="DM161" s="11"/>
      <c r="DN161" s="12" t="e">
        <f t="shared" si="1013"/>
        <v>#DIV/0!</v>
      </c>
      <c r="DO161" s="11"/>
      <c r="DP161" s="11"/>
      <c r="DQ161" s="18"/>
      <c r="DR161" s="20"/>
      <c r="DS161" s="10"/>
      <c r="DT161" s="11"/>
      <c r="DU161" s="69">
        <f t="shared" si="1046"/>
        <v>0</v>
      </c>
      <c r="DV161" s="69">
        <f t="shared" si="1046"/>
        <v>0</v>
      </c>
      <c r="DW161" s="11"/>
      <c r="DX161" s="12" t="e">
        <f t="shared" si="1014"/>
        <v>#DIV/0!</v>
      </c>
      <c r="DY161" s="11"/>
      <c r="DZ161" s="12" t="e">
        <f t="shared" si="1015"/>
        <v>#DIV/0!</v>
      </c>
      <c r="EA161" s="11"/>
      <c r="EB161" s="11"/>
      <c r="EC161" s="18"/>
      <c r="ED161" s="20"/>
      <c r="EE161" s="10"/>
      <c r="EF161" s="11"/>
      <c r="EG161" s="69">
        <f t="shared" si="1047"/>
        <v>0</v>
      </c>
      <c r="EH161" s="69">
        <f t="shared" si="1047"/>
        <v>0</v>
      </c>
      <c r="EI161" s="11"/>
      <c r="EJ161" s="12" t="e">
        <f t="shared" si="1016"/>
        <v>#DIV/0!</v>
      </c>
      <c r="EK161" s="11"/>
      <c r="EL161" s="12" t="e">
        <f t="shared" si="1017"/>
        <v>#DIV/0!</v>
      </c>
      <c r="EM161" s="11"/>
      <c r="EN161" s="11"/>
      <c r="EO161" s="18"/>
      <c r="EP161" s="20"/>
      <c r="EQ161" s="10"/>
      <c r="ER161" s="11"/>
      <c r="ES161" s="69">
        <f t="shared" si="1048"/>
        <v>0</v>
      </c>
      <c r="ET161" s="69">
        <f t="shared" si="1048"/>
        <v>0</v>
      </c>
      <c r="EU161" s="11"/>
      <c r="EV161" s="12" t="e">
        <f t="shared" si="1018"/>
        <v>#DIV/0!</v>
      </c>
      <c r="EW161" s="11"/>
      <c r="EX161" s="12" t="e">
        <f t="shared" si="1019"/>
        <v>#DIV/0!</v>
      </c>
      <c r="EY161" s="11"/>
      <c r="EZ161" s="11"/>
      <c r="FA161" s="18"/>
      <c r="FB161" s="20"/>
      <c r="FC161" s="10"/>
      <c r="FD161" s="11"/>
      <c r="FE161" s="69">
        <f t="shared" si="1049"/>
        <v>0</v>
      </c>
      <c r="FF161" s="69">
        <f t="shared" si="1049"/>
        <v>0</v>
      </c>
      <c r="FG161" s="11"/>
      <c r="FH161" s="12" t="e">
        <f t="shared" si="1020"/>
        <v>#DIV/0!</v>
      </c>
      <c r="FI161" s="11"/>
      <c r="FJ161" s="12" t="e">
        <f t="shared" si="1021"/>
        <v>#DIV/0!</v>
      </c>
      <c r="FK161" s="11"/>
      <c r="FL161" s="11"/>
      <c r="FM161" s="18"/>
      <c r="FN161" s="20"/>
      <c r="FO161" s="10"/>
      <c r="FP161" s="11"/>
      <c r="FQ161" s="69">
        <f t="shared" si="1050"/>
        <v>0</v>
      </c>
      <c r="FR161" s="69">
        <f t="shared" si="1050"/>
        <v>0</v>
      </c>
      <c r="FS161" s="11"/>
      <c r="FT161" s="12" t="e">
        <f t="shared" si="1022"/>
        <v>#DIV/0!</v>
      </c>
      <c r="FU161" s="11"/>
      <c r="FV161" s="12" t="e">
        <f t="shared" si="1023"/>
        <v>#DIV/0!</v>
      </c>
      <c r="FW161" s="11"/>
      <c r="FX161" s="11"/>
      <c r="FY161" s="18"/>
      <c r="FZ161" s="20"/>
      <c r="GA161" s="10"/>
      <c r="GB161" s="11"/>
      <c r="GC161" s="69">
        <f t="shared" si="1051"/>
        <v>0</v>
      </c>
      <c r="GD161" s="69">
        <f t="shared" si="1051"/>
        <v>0</v>
      </c>
      <c r="GE161" s="11"/>
      <c r="GF161" s="12" t="e">
        <f t="shared" si="1024"/>
        <v>#DIV/0!</v>
      </c>
      <c r="GG161" s="11"/>
      <c r="GH161" s="12" t="e">
        <f t="shared" si="1025"/>
        <v>#DIV/0!</v>
      </c>
      <c r="GI161" s="11"/>
      <c r="GJ161" s="11"/>
      <c r="GK161" s="18"/>
      <c r="GL161" s="20"/>
      <c r="GM161" s="10"/>
      <c r="GN161" s="11"/>
      <c r="GO161" s="69">
        <f t="shared" si="1052"/>
        <v>0</v>
      </c>
      <c r="GP161" s="69">
        <f t="shared" si="1052"/>
        <v>0</v>
      </c>
      <c r="GQ161" s="11"/>
      <c r="GR161" s="12" t="e">
        <f t="shared" si="1026"/>
        <v>#DIV/0!</v>
      </c>
      <c r="GS161" s="11"/>
      <c r="GT161" s="12" t="e">
        <f t="shared" si="1027"/>
        <v>#DIV/0!</v>
      </c>
      <c r="GU161" s="11"/>
      <c r="GV161" s="11"/>
      <c r="GW161" s="18"/>
      <c r="GX161" s="20"/>
      <c r="GY161" s="10"/>
      <c r="GZ161" s="11"/>
      <c r="HA161" s="69">
        <f t="shared" si="1053"/>
        <v>0</v>
      </c>
      <c r="HB161" s="69">
        <f t="shared" si="1053"/>
        <v>0</v>
      </c>
      <c r="HC161" s="11"/>
      <c r="HD161" s="12" t="e">
        <f t="shared" si="1028"/>
        <v>#DIV/0!</v>
      </c>
      <c r="HE161" s="11"/>
      <c r="HF161" s="12" t="e">
        <f t="shared" si="1029"/>
        <v>#DIV/0!</v>
      </c>
      <c r="HG161" s="11"/>
      <c r="HH161" s="11"/>
      <c r="HI161" s="18"/>
      <c r="HJ161" s="20"/>
      <c r="HK161" s="10">
        <f t="shared" si="1030"/>
        <v>2</v>
      </c>
      <c r="HL161" s="11">
        <f t="shared" si="1030"/>
        <v>0</v>
      </c>
      <c r="HM161" s="11">
        <f t="shared" si="1030"/>
        <v>3536</v>
      </c>
      <c r="HN161" s="11">
        <f t="shared" si="1030"/>
        <v>298</v>
      </c>
      <c r="HO161" s="11">
        <f t="shared" si="1031"/>
        <v>1630</v>
      </c>
      <c r="HP161" s="95">
        <f t="shared" si="1032"/>
        <v>0.46097285067873306</v>
      </c>
      <c r="HQ161" s="15">
        <f t="shared" si="1033"/>
        <v>89</v>
      </c>
      <c r="HR161" s="12">
        <f t="shared" si="1054"/>
        <v>5.4601226993865028E-2</v>
      </c>
      <c r="HS161" s="16">
        <v>69.5</v>
      </c>
      <c r="HT161" s="17">
        <v>1486</v>
      </c>
      <c r="HU161" s="16">
        <f t="shared" si="1034"/>
        <v>91.165644171779135</v>
      </c>
      <c r="HV161" s="18"/>
      <c r="HW161" s="20"/>
    </row>
    <row r="162" spans="1:231" ht="18.75" x14ac:dyDescent="0.25">
      <c r="A162" s="374"/>
      <c r="B162" s="41">
        <f t="shared" si="814"/>
        <v>45064</v>
      </c>
      <c r="C162" s="10"/>
      <c r="D162" s="11"/>
      <c r="E162" s="69">
        <f t="shared" si="1035"/>
        <v>625</v>
      </c>
      <c r="F162" s="69">
        <f t="shared" si="1035"/>
        <v>51</v>
      </c>
      <c r="G162" s="11">
        <v>308</v>
      </c>
      <c r="H162" s="12">
        <f t="shared" si="995"/>
        <v>0.5232</v>
      </c>
      <c r="I162" s="11">
        <v>19</v>
      </c>
      <c r="J162" s="12">
        <f t="shared" si="1036"/>
        <v>5.8103975535168197E-2</v>
      </c>
      <c r="K162" s="13"/>
      <c r="L162" s="13"/>
      <c r="M162" s="25">
        <v>4105</v>
      </c>
      <c r="N162" s="38">
        <v>4500</v>
      </c>
      <c r="O162" s="10"/>
      <c r="P162" s="11"/>
      <c r="Q162" s="69">
        <f t="shared" si="1037"/>
        <v>626</v>
      </c>
      <c r="R162" s="69">
        <f t="shared" si="1037"/>
        <v>53</v>
      </c>
      <c r="S162" s="11">
        <v>297</v>
      </c>
      <c r="T162" s="12">
        <f t="shared" si="996"/>
        <v>0.5</v>
      </c>
      <c r="U162" s="11">
        <v>16</v>
      </c>
      <c r="V162" s="12">
        <f t="shared" si="997"/>
        <v>5.1118210862619806E-2</v>
      </c>
      <c r="W162" s="13"/>
      <c r="X162" s="13"/>
      <c r="Y162" s="25">
        <v>4105</v>
      </c>
      <c r="Z162" s="38">
        <v>4500</v>
      </c>
      <c r="AA162" s="10">
        <v>1</v>
      </c>
      <c r="AB162" s="11"/>
      <c r="AC162" s="69">
        <f t="shared" si="1038"/>
        <v>185</v>
      </c>
      <c r="AD162" s="69">
        <f t="shared" si="1038"/>
        <v>15</v>
      </c>
      <c r="AE162" s="11">
        <v>81</v>
      </c>
      <c r="AF162" s="12">
        <f t="shared" si="998"/>
        <v>0.4702702702702703</v>
      </c>
      <c r="AG162" s="11">
        <v>6</v>
      </c>
      <c r="AH162" s="12">
        <f t="shared" si="999"/>
        <v>6.8965517241379309E-2</v>
      </c>
      <c r="AI162" s="13"/>
      <c r="AJ162" s="13"/>
      <c r="AK162" s="25">
        <v>4105</v>
      </c>
      <c r="AL162" s="38">
        <v>4500</v>
      </c>
      <c r="AM162" s="10"/>
      <c r="AN162" s="11"/>
      <c r="AO162" s="69">
        <f t="shared" si="1039"/>
        <v>701</v>
      </c>
      <c r="AP162" s="69">
        <f t="shared" si="1039"/>
        <v>60</v>
      </c>
      <c r="AQ162" s="11">
        <v>308</v>
      </c>
      <c r="AR162" s="12">
        <f t="shared" si="1000"/>
        <v>0.45934379457917263</v>
      </c>
      <c r="AS162" s="11">
        <v>14</v>
      </c>
      <c r="AT162" s="12">
        <f t="shared" si="1001"/>
        <v>4.3478260869565216E-2</v>
      </c>
      <c r="AU162" s="13"/>
      <c r="AV162" s="13"/>
      <c r="AW162" s="25">
        <v>4105</v>
      </c>
      <c r="AX162" s="38">
        <v>4500</v>
      </c>
      <c r="AY162" s="10">
        <v>1</v>
      </c>
      <c r="AZ162" s="11"/>
      <c r="BA162" s="69">
        <f t="shared" si="1040"/>
        <v>695</v>
      </c>
      <c r="BB162" s="69">
        <f t="shared" si="1040"/>
        <v>60</v>
      </c>
      <c r="BC162" s="11">
        <v>338</v>
      </c>
      <c r="BD162" s="12">
        <f t="shared" si="1002"/>
        <v>0.50791366906474822</v>
      </c>
      <c r="BE162" s="11">
        <v>15</v>
      </c>
      <c r="BF162" s="12">
        <f t="shared" si="1003"/>
        <v>4.2492917847025496E-2</v>
      </c>
      <c r="BG162" s="13"/>
      <c r="BH162" s="13"/>
      <c r="BI162" s="25">
        <v>4105</v>
      </c>
      <c r="BJ162" s="38">
        <v>4500</v>
      </c>
      <c r="BK162" s="10"/>
      <c r="BL162" s="11"/>
      <c r="BM162" s="69">
        <f t="shared" si="1041"/>
        <v>702</v>
      </c>
      <c r="BN162" s="69">
        <f t="shared" si="1041"/>
        <v>59</v>
      </c>
      <c r="BO162" s="11">
        <v>317</v>
      </c>
      <c r="BP162" s="12">
        <f t="shared" si="1004"/>
        <v>0.47150997150997154</v>
      </c>
      <c r="BQ162" s="11">
        <v>14</v>
      </c>
      <c r="BR162" s="12">
        <f t="shared" si="1005"/>
        <v>4.2296072507552872E-2</v>
      </c>
      <c r="BS162" s="13"/>
      <c r="BT162" s="13"/>
      <c r="BU162" s="25">
        <v>4105</v>
      </c>
      <c r="BV162" s="38">
        <v>4500</v>
      </c>
      <c r="BW162" s="10"/>
      <c r="BX162" s="11"/>
      <c r="BY162" s="69">
        <f t="shared" si="1042"/>
        <v>0</v>
      </c>
      <c r="BZ162" s="69">
        <f t="shared" si="1042"/>
        <v>0</v>
      </c>
      <c r="CA162" s="11"/>
      <c r="CB162" s="12" t="e">
        <f t="shared" si="1006"/>
        <v>#DIV/0!</v>
      </c>
      <c r="CC162" s="11"/>
      <c r="CD162" s="12" t="e">
        <f t="shared" si="1007"/>
        <v>#DIV/0!</v>
      </c>
      <c r="CE162" s="13"/>
      <c r="CF162" s="13"/>
      <c r="CG162" s="25"/>
      <c r="CH162" s="38"/>
      <c r="CI162" s="10"/>
      <c r="CJ162" s="11"/>
      <c r="CK162" s="69">
        <f t="shared" si="1043"/>
        <v>0</v>
      </c>
      <c r="CL162" s="69">
        <f t="shared" si="1043"/>
        <v>0</v>
      </c>
      <c r="CM162" s="11"/>
      <c r="CN162" s="12" t="e">
        <f t="shared" si="1008"/>
        <v>#DIV/0!</v>
      </c>
      <c r="CO162" s="11"/>
      <c r="CP162" s="12" t="e">
        <f t="shared" si="1009"/>
        <v>#DIV/0!</v>
      </c>
      <c r="CQ162" s="13"/>
      <c r="CR162" s="13"/>
      <c r="CS162" s="25"/>
      <c r="CT162" s="38"/>
      <c r="CU162" s="10"/>
      <c r="CV162" s="11"/>
      <c r="CW162" s="69">
        <f t="shared" si="1044"/>
        <v>0</v>
      </c>
      <c r="CX162" s="69">
        <f t="shared" si="1044"/>
        <v>0</v>
      </c>
      <c r="CY162" s="11"/>
      <c r="CZ162" s="12" t="e">
        <f t="shared" si="1010"/>
        <v>#DIV/0!</v>
      </c>
      <c r="DA162" s="11"/>
      <c r="DB162" s="12" t="e">
        <f t="shared" si="1011"/>
        <v>#DIV/0!</v>
      </c>
      <c r="DC162" s="13"/>
      <c r="DD162" s="13"/>
      <c r="DE162" s="25"/>
      <c r="DF162" s="38"/>
      <c r="DG162" s="10"/>
      <c r="DH162" s="11"/>
      <c r="DI162" s="69">
        <f t="shared" si="1045"/>
        <v>0</v>
      </c>
      <c r="DJ162" s="69">
        <f t="shared" si="1045"/>
        <v>0</v>
      </c>
      <c r="DK162" s="11"/>
      <c r="DL162" s="12" t="e">
        <f t="shared" si="1012"/>
        <v>#DIV/0!</v>
      </c>
      <c r="DM162" s="11"/>
      <c r="DN162" s="12" t="e">
        <f t="shared" si="1013"/>
        <v>#DIV/0!</v>
      </c>
      <c r="DO162" s="13"/>
      <c r="DP162" s="13"/>
      <c r="DQ162" s="25"/>
      <c r="DR162" s="38"/>
      <c r="DS162" s="10"/>
      <c r="DT162" s="11"/>
      <c r="DU162" s="69">
        <f t="shared" si="1046"/>
        <v>0</v>
      </c>
      <c r="DV162" s="69">
        <f t="shared" si="1046"/>
        <v>0</v>
      </c>
      <c r="DW162" s="11"/>
      <c r="DX162" s="12" t="e">
        <f t="shared" si="1014"/>
        <v>#DIV/0!</v>
      </c>
      <c r="DY162" s="11"/>
      <c r="DZ162" s="12" t="e">
        <f t="shared" si="1015"/>
        <v>#DIV/0!</v>
      </c>
      <c r="EA162" s="13"/>
      <c r="EB162" s="13"/>
      <c r="EC162" s="25"/>
      <c r="ED162" s="38"/>
      <c r="EE162" s="10"/>
      <c r="EF162" s="11"/>
      <c r="EG162" s="69">
        <f t="shared" si="1047"/>
        <v>0</v>
      </c>
      <c r="EH162" s="69">
        <f t="shared" si="1047"/>
        <v>0</v>
      </c>
      <c r="EI162" s="11"/>
      <c r="EJ162" s="12" t="e">
        <f t="shared" si="1016"/>
        <v>#DIV/0!</v>
      </c>
      <c r="EK162" s="11"/>
      <c r="EL162" s="12" t="e">
        <f t="shared" si="1017"/>
        <v>#DIV/0!</v>
      </c>
      <c r="EM162" s="13"/>
      <c r="EN162" s="13"/>
      <c r="EO162" s="25"/>
      <c r="EP162" s="38"/>
      <c r="EQ162" s="10"/>
      <c r="ER162" s="11"/>
      <c r="ES162" s="69">
        <f t="shared" si="1048"/>
        <v>0</v>
      </c>
      <c r="ET162" s="69">
        <f t="shared" si="1048"/>
        <v>0</v>
      </c>
      <c r="EU162" s="11"/>
      <c r="EV162" s="12" t="e">
        <f t="shared" si="1018"/>
        <v>#DIV/0!</v>
      </c>
      <c r="EW162" s="11"/>
      <c r="EX162" s="12" t="e">
        <f t="shared" si="1019"/>
        <v>#DIV/0!</v>
      </c>
      <c r="EY162" s="13"/>
      <c r="EZ162" s="13"/>
      <c r="FA162" s="25"/>
      <c r="FB162" s="38"/>
      <c r="FC162" s="10"/>
      <c r="FD162" s="11"/>
      <c r="FE162" s="69">
        <f t="shared" si="1049"/>
        <v>0</v>
      </c>
      <c r="FF162" s="69">
        <f t="shared" si="1049"/>
        <v>0</v>
      </c>
      <c r="FG162" s="11"/>
      <c r="FH162" s="12" t="e">
        <f t="shared" si="1020"/>
        <v>#DIV/0!</v>
      </c>
      <c r="FI162" s="11"/>
      <c r="FJ162" s="12" t="e">
        <f t="shared" si="1021"/>
        <v>#DIV/0!</v>
      </c>
      <c r="FK162" s="13"/>
      <c r="FL162" s="13"/>
      <c r="FM162" s="25"/>
      <c r="FN162" s="38"/>
      <c r="FO162" s="10"/>
      <c r="FP162" s="11"/>
      <c r="FQ162" s="69">
        <f t="shared" si="1050"/>
        <v>0</v>
      </c>
      <c r="FR162" s="69">
        <f t="shared" si="1050"/>
        <v>0</v>
      </c>
      <c r="FS162" s="11"/>
      <c r="FT162" s="12" t="e">
        <f t="shared" si="1022"/>
        <v>#DIV/0!</v>
      </c>
      <c r="FU162" s="11"/>
      <c r="FV162" s="12" t="e">
        <f t="shared" si="1023"/>
        <v>#DIV/0!</v>
      </c>
      <c r="FW162" s="13"/>
      <c r="FX162" s="13"/>
      <c r="FY162" s="25"/>
      <c r="FZ162" s="38"/>
      <c r="GA162" s="10"/>
      <c r="GB162" s="11"/>
      <c r="GC162" s="69">
        <f t="shared" si="1051"/>
        <v>0</v>
      </c>
      <c r="GD162" s="69">
        <f t="shared" si="1051"/>
        <v>0</v>
      </c>
      <c r="GE162" s="11"/>
      <c r="GF162" s="12" t="e">
        <f t="shared" si="1024"/>
        <v>#DIV/0!</v>
      </c>
      <c r="GG162" s="11"/>
      <c r="GH162" s="12" t="e">
        <f t="shared" si="1025"/>
        <v>#DIV/0!</v>
      </c>
      <c r="GI162" s="13"/>
      <c r="GJ162" s="13"/>
      <c r="GK162" s="25"/>
      <c r="GL162" s="38"/>
      <c r="GM162" s="10"/>
      <c r="GN162" s="11"/>
      <c r="GO162" s="69">
        <f t="shared" si="1052"/>
        <v>0</v>
      </c>
      <c r="GP162" s="69">
        <f t="shared" si="1052"/>
        <v>0</v>
      </c>
      <c r="GQ162" s="11"/>
      <c r="GR162" s="12" t="e">
        <f t="shared" si="1026"/>
        <v>#DIV/0!</v>
      </c>
      <c r="GS162" s="11"/>
      <c r="GT162" s="12" t="e">
        <f t="shared" si="1027"/>
        <v>#DIV/0!</v>
      </c>
      <c r="GU162" s="13"/>
      <c r="GV162" s="13"/>
      <c r="GW162" s="25"/>
      <c r="GX162" s="38"/>
      <c r="GY162" s="10"/>
      <c r="GZ162" s="11"/>
      <c r="HA162" s="69">
        <f t="shared" si="1053"/>
        <v>0</v>
      </c>
      <c r="HB162" s="69">
        <f t="shared" si="1053"/>
        <v>0</v>
      </c>
      <c r="HC162" s="11"/>
      <c r="HD162" s="12" t="e">
        <f t="shared" si="1028"/>
        <v>#DIV/0!</v>
      </c>
      <c r="HE162" s="11"/>
      <c r="HF162" s="12" t="e">
        <f t="shared" si="1029"/>
        <v>#DIV/0!</v>
      </c>
      <c r="HG162" s="13"/>
      <c r="HH162" s="13"/>
      <c r="HI162" s="25"/>
      <c r="HJ162" s="38"/>
      <c r="HK162" s="10">
        <f t="shared" si="1030"/>
        <v>2</v>
      </c>
      <c r="HL162" s="11">
        <f t="shared" si="1030"/>
        <v>0</v>
      </c>
      <c r="HM162" s="11">
        <f t="shared" si="1030"/>
        <v>3534</v>
      </c>
      <c r="HN162" s="11">
        <f t="shared" si="1030"/>
        <v>298</v>
      </c>
      <c r="HO162" s="11">
        <f t="shared" si="1031"/>
        <v>1733</v>
      </c>
      <c r="HP162" s="95">
        <f t="shared" si="1032"/>
        <v>0.49037917374080364</v>
      </c>
      <c r="HQ162" s="15">
        <f t="shared" si="1033"/>
        <v>84</v>
      </c>
      <c r="HR162" s="12">
        <f t="shared" si="1054"/>
        <v>4.8470859780727064E-2</v>
      </c>
      <c r="HS162" s="16">
        <v>70</v>
      </c>
      <c r="HT162" s="17">
        <v>1580</v>
      </c>
      <c r="HU162" s="16">
        <f t="shared" si="1034"/>
        <v>91.171379111367571</v>
      </c>
      <c r="HV162" s="23">
        <v>4105</v>
      </c>
      <c r="HW162" s="22">
        <v>4500</v>
      </c>
    </row>
    <row r="163" spans="1:231" ht="18.75" x14ac:dyDescent="0.25">
      <c r="A163" s="374"/>
      <c r="B163" s="41">
        <f t="shared" si="814"/>
        <v>45065</v>
      </c>
      <c r="C163" s="10">
        <v>1</v>
      </c>
      <c r="D163" s="11"/>
      <c r="E163" s="69">
        <f t="shared" si="1035"/>
        <v>624</v>
      </c>
      <c r="F163" s="69">
        <f t="shared" si="1035"/>
        <v>51</v>
      </c>
      <c r="G163" s="11">
        <v>272</v>
      </c>
      <c r="H163" s="12">
        <f t="shared" si="995"/>
        <v>0.45993589743589741</v>
      </c>
      <c r="I163" s="11">
        <v>15</v>
      </c>
      <c r="J163" s="12">
        <f t="shared" si="1036"/>
        <v>5.2264808362369339E-2</v>
      </c>
      <c r="K163" s="13"/>
      <c r="L163" s="11"/>
      <c r="M163" s="25">
        <v>4537.6923076923076</v>
      </c>
      <c r="N163" s="38">
        <v>5020</v>
      </c>
      <c r="O163" s="10"/>
      <c r="P163" s="11"/>
      <c r="Q163" s="69">
        <f t="shared" si="1037"/>
        <v>626</v>
      </c>
      <c r="R163" s="69">
        <f t="shared" si="1037"/>
        <v>53</v>
      </c>
      <c r="S163" s="11">
        <v>269</v>
      </c>
      <c r="T163" s="12">
        <f t="shared" si="996"/>
        <v>0.46325878594249204</v>
      </c>
      <c r="U163" s="11">
        <v>21</v>
      </c>
      <c r="V163" s="12">
        <f t="shared" si="997"/>
        <v>7.2413793103448282E-2</v>
      </c>
      <c r="W163" s="13"/>
      <c r="X163" s="11"/>
      <c r="Y163" s="25">
        <v>4496.1764705882351</v>
      </c>
      <c r="Z163" s="38">
        <v>4771.1111111111113</v>
      </c>
      <c r="AA163" s="10">
        <v>2</v>
      </c>
      <c r="AB163" s="11"/>
      <c r="AC163" s="69">
        <f t="shared" si="1038"/>
        <v>183</v>
      </c>
      <c r="AD163" s="69">
        <f t="shared" si="1038"/>
        <v>15</v>
      </c>
      <c r="AE163" s="11">
        <v>67</v>
      </c>
      <c r="AF163" s="12">
        <f t="shared" si="998"/>
        <v>0.38251366120218577</v>
      </c>
      <c r="AG163" s="11">
        <v>3</v>
      </c>
      <c r="AH163" s="12">
        <f t="shared" si="999"/>
        <v>4.2857142857142858E-2</v>
      </c>
      <c r="AI163" s="13"/>
      <c r="AJ163" s="11"/>
      <c r="AK163" s="25">
        <v>4484.545454545455</v>
      </c>
      <c r="AL163" s="38">
        <v>4442</v>
      </c>
      <c r="AM163" s="10"/>
      <c r="AN163" s="11"/>
      <c r="AO163" s="69">
        <f t="shared" si="1039"/>
        <v>701</v>
      </c>
      <c r="AP163" s="69">
        <f t="shared" si="1039"/>
        <v>60</v>
      </c>
      <c r="AQ163" s="11">
        <v>292</v>
      </c>
      <c r="AR163" s="12">
        <f t="shared" si="1000"/>
        <v>0.44793152639087019</v>
      </c>
      <c r="AS163" s="11">
        <v>22</v>
      </c>
      <c r="AT163" s="12">
        <f t="shared" si="1001"/>
        <v>7.0063694267515922E-2</v>
      </c>
      <c r="AU163" s="13"/>
      <c r="AV163" s="11"/>
      <c r="AW163" s="25">
        <v>4576.5625</v>
      </c>
      <c r="AX163" s="38">
        <v>5021.666666666667</v>
      </c>
      <c r="AY163" s="10"/>
      <c r="AZ163" s="11"/>
      <c r="BA163" s="69">
        <f t="shared" si="1040"/>
        <v>695</v>
      </c>
      <c r="BB163" s="69">
        <f t="shared" si="1040"/>
        <v>60</v>
      </c>
      <c r="BC163" s="11">
        <v>292</v>
      </c>
      <c r="BD163" s="12">
        <f t="shared" si="1002"/>
        <v>0.45179856115107914</v>
      </c>
      <c r="BE163" s="11">
        <v>22</v>
      </c>
      <c r="BF163" s="12">
        <f t="shared" si="1003"/>
        <v>7.0063694267515922E-2</v>
      </c>
      <c r="BG163" s="13"/>
      <c r="BH163" s="11"/>
      <c r="BI163" s="25">
        <v>4623.6111111111113</v>
      </c>
      <c r="BJ163" s="38">
        <v>5070</v>
      </c>
      <c r="BK163" s="10"/>
      <c r="BL163" s="11"/>
      <c r="BM163" s="69">
        <f t="shared" si="1041"/>
        <v>702</v>
      </c>
      <c r="BN163" s="69">
        <f t="shared" si="1041"/>
        <v>59</v>
      </c>
      <c r="BO163" s="11">
        <v>318</v>
      </c>
      <c r="BP163" s="12">
        <f t="shared" si="1004"/>
        <v>0.47293447293447294</v>
      </c>
      <c r="BQ163" s="11">
        <v>14</v>
      </c>
      <c r="BR163" s="12">
        <f t="shared" si="1005"/>
        <v>4.2168674698795178E-2</v>
      </c>
      <c r="BS163" s="13"/>
      <c r="BT163" s="11"/>
      <c r="BU163" s="25">
        <v>4902.424242424242</v>
      </c>
      <c r="BV163" s="38">
        <v>5028.181818181818</v>
      </c>
      <c r="BW163" s="10"/>
      <c r="BX163" s="11"/>
      <c r="BY163" s="69">
        <f t="shared" si="1042"/>
        <v>0</v>
      </c>
      <c r="BZ163" s="69">
        <f t="shared" si="1042"/>
        <v>0</v>
      </c>
      <c r="CA163" s="11"/>
      <c r="CB163" s="12" t="e">
        <f t="shared" si="1006"/>
        <v>#DIV/0!</v>
      </c>
      <c r="CC163" s="11"/>
      <c r="CD163" s="12" t="e">
        <f t="shared" si="1007"/>
        <v>#DIV/0!</v>
      </c>
      <c r="CE163" s="13"/>
      <c r="CF163" s="11"/>
      <c r="CG163" s="25"/>
      <c r="CH163" s="38"/>
      <c r="CI163" s="10"/>
      <c r="CJ163" s="11"/>
      <c r="CK163" s="69">
        <f t="shared" si="1043"/>
        <v>0</v>
      </c>
      <c r="CL163" s="69">
        <f t="shared" si="1043"/>
        <v>0</v>
      </c>
      <c r="CM163" s="11"/>
      <c r="CN163" s="12" t="e">
        <f t="shared" si="1008"/>
        <v>#DIV/0!</v>
      </c>
      <c r="CO163" s="11"/>
      <c r="CP163" s="12" t="e">
        <f t="shared" si="1009"/>
        <v>#DIV/0!</v>
      </c>
      <c r="CQ163" s="13"/>
      <c r="CR163" s="11"/>
      <c r="CS163" s="25"/>
      <c r="CT163" s="38"/>
      <c r="CU163" s="10"/>
      <c r="CV163" s="11"/>
      <c r="CW163" s="69">
        <f t="shared" si="1044"/>
        <v>0</v>
      </c>
      <c r="CX163" s="69">
        <f t="shared" si="1044"/>
        <v>0</v>
      </c>
      <c r="CY163" s="11"/>
      <c r="CZ163" s="12" t="e">
        <f t="shared" si="1010"/>
        <v>#DIV/0!</v>
      </c>
      <c r="DA163" s="11"/>
      <c r="DB163" s="12" t="e">
        <f t="shared" si="1011"/>
        <v>#DIV/0!</v>
      </c>
      <c r="DC163" s="13"/>
      <c r="DD163" s="11"/>
      <c r="DE163" s="25"/>
      <c r="DF163" s="38"/>
      <c r="DG163" s="10"/>
      <c r="DH163" s="11"/>
      <c r="DI163" s="69">
        <f t="shared" si="1045"/>
        <v>0</v>
      </c>
      <c r="DJ163" s="69">
        <f t="shared" si="1045"/>
        <v>0</v>
      </c>
      <c r="DK163" s="11"/>
      <c r="DL163" s="12" t="e">
        <f t="shared" si="1012"/>
        <v>#DIV/0!</v>
      </c>
      <c r="DM163" s="11"/>
      <c r="DN163" s="12" t="e">
        <f t="shared" si="1013"/>
        <v>#DIV/0!</v>
      </c>
      <c r="DO163" s="13"/>
      <c r="DP163" s="11"/>
      <c r="DQ163" s="25"/>
      <c r="DR163" s="38"/>
      <c r="DS163" s="10"/>
      <c r="DT163" s="11"/>
      <c r="DU163" s="69">
        <f t="shared" si="1046"/>
        <v>0</v>
      </c>
      <c r="DV163" s="69">
        <f t="shared" si="1046"/>
        <v>0</v>
      </c>
      <c r="DW163" s="11"/>
      <c r="DX163" s="12" t="e">
        <f t="shared" si="1014"/>
        <v>#DIV/0!</v>
      </c>
      <c r="DY163" s="11"/>
      <c r="DZ163" s="12" t="e">
        <f t="shared" si="1015"/>
        <v>#DIV/0!</v>
      </c>
      <c r="EA163" s="13"/>
      <c r="EB163" s="11"/>
      <c r="EC163" s="25"/>
      <c r="ED163" s="38"/>
      <c r="EE163" s="10"/>
      <c r="EF163" s="11"/>
      <c r="EG163" s="69">
        <f t="shared" si="1047"/>
        <v>0</v>
      </c>
      <c r="EH163" s="69">
        <f t="shared" si="1047"/>
        <v>0</v>
      </c>
      <c r="EI163" s="11"/>
      <c r="EJ163" s="12" t="e">
        <f t="shared" si="1016"/>
        <v>#DIV/0!</v>
      </c>
      <c r="EK163" s="11"/>
      <c r="EL163" s="12" t="e">
        <f t="shared" si="1017"/>
        <v>#DIV/0!</v>
      </c>
      <c r="EM163" s="13"/>
      <c r="EN163" s="11"/>
      <c r="EO163" s="25"/>
      <c r="EP163" s="38"/>
      <c r="EQ163" s="10"/>
      <c r="ER163" s="11"/>
      <c r="ES163" s="69">
        <f t="shared" si="1048"/>
        <v>0</v>
      </c>
      <c r="ET163" s="69">
        <f t="shared" si="1048"/>
        <v>0</v>
      </c>
      <c r="EU163" s="11"/>
      <c r="EV163" s="12" t="e">
        <f t="shared" si="1018"/>
        <v>#DIV/0!</v>
      </c>
      <c r="EW163" s="11"/>
      <c r="EX163" s="12" t="e">
        <f t="shared" si="1019"/>
        <v>#DIV/0!</v>
      </c>
      <c r="EY163" s="13"/>
      <c r="EZ163" s="11"/>
      <c r="FA163" s="25"/>
      <c r="FB163" s="38"/>
      <c r="FC163" s="10"/>
      <c r="FD163" s="11"/>
      <c r="FE163" s="69">
        <f t="shared" si="1049"/>
        <v>0</v>
      </c>
      <c r="FF163" s="69">
        <f t="shared" si="1049"/>
        <v>0</v>
      </c>
      <c r="FG163" s="11"/>
      <c r="FH163" s="12" t="e">
        <f t="shared" si="1020"/>
        <v>#DIV/0!</v>
      </c>
      <c r="FI163" s="11"/>
      <c r="FJ163" s="12" t="e">
        <f t="shared" si="1021"/>
        <v>#DIV/0!</v>
      </c>
      <c r="FK163" s="13"/>
      <c r="FL163" s="11"/>
      <c r="FM163" s="25"/>
      <c r="FN163" s="38"/>
      <c r="FO163" s="10"/>
      <c r="FP163" s="11"/>
      <c r="FQ163" s="69">
        <f t="shared" si="1050"/>
        <v>0</v>
      </c>
      <c r="FR163" s="69">
        <f t="shared" si="1050"/>
        <v>0</v>
      </c>
      <c r="FS163" s="11"/>
      <c r="FT163" s="12" t="e">
        <f t="shared" si="1022"/>
        <v>#DIV/0!</v>
      </c>
      <c r="FU163" s="11"/>
      <c r="FV163" s="12" t="e">
        <f t="shared" si="1023"/>
        <v>#DIV/0!</v>
      </c>
      <c r="FW163" s="13"/>
      <c r="FX163" s="11"/>
      <c r="FY163" s="25"/>
      <c r="FZ163" s="38"/>
      <c r="GA163" s="10"/>
      <c r="GB163" s="11"/>
      <c r="GC163" s="69">
        <f t="shared" si="1051"/>
        <v>0</v>
      </c>
      <c r="GD163" s="69">
        <f t="shared" si="1051"/>
        <v>0</v>
      </c>
      <c r="GE163" s="11"/>
      <c r="GF163" s="12" t="e">
        <f t="shared" si="1024"/>
        <v>#DIV/0!</v>
      </c>
      <c r="GG163" s="11"/>
      <c r="GH163" s="12" t="e">
        <f t="shared" si="1025"/>
        <v>#DIV/0!</v>
      </c>
      <c r="GI163" s="13"/>
      <c r="GJ163" s="11"/>
      <c r="GK163" s="25"/>
      <c r="GL163" s="38"/>
      <c r="GM163" s="10"/>
      <c r="GN163" s="11"/>
      <c r="GO163" s="69">
        <f t="shared" si="1052"/>
        <v>0</v>
      </c>
      <c r="GP163" s="69">
        <f t="shared" si="1052"/>
        <v>0</v>
      </c>
      <c r="GQ163" s="11"/>
      <c r="GR163" s="12" t="e">
        <f t="shared" si="1026"/>
        <v>#DIV/0!</v>
      </c>
      <c r="GS163" s="11"/>
      <c r="GT163" s="12" t="e">
        <f t="shared" si="1027"/>
        <v>#DIV/0!</v>
      </c>
      <c r="GU163" s="13"/>
      <c r="GV163" s="11"/>
      <c r="GW163" s="25"/>
      <c r="GX163" s="38"/>
      <c r="GY163" s="10"/>
      <c r="GZ163" s="11"/>
      <c r="HA163" s="69">
        <f t="shared" si="1053"/>
        <v>0</v>
      </c>
      <c r="HB163" s="69">
        <f t="shared" si="1053"/>
        <v>0</v>
      </c>
      <c r="HC163" s="11"/>
      <c r="HD163" s="12" t="e">
        <f t="shared" si="1028"/>
        <v>#DIV/0!</v>
      </c>
      <c r="HE163" s="11"/>
      <c r="HF163" s="12" t="e">
        <f t="shared" si="1029"/>
        <v>#DIV/0!</v>
      </c>
      <c r="HG163" s="13"/>
      <c r="HH163" s="11"/>
      <c r="HI163" s="25"/>
      <c r="HJ163" s="38"/>
      <c r="HK163" s="10">
        <f t="shared" si="1030"/>
        <v>3</v>
      </c>
      <c r="HL163" s="11">
        <f t="shared" si="1030"/>
        <v>0</v>
      </c>
      <c r="HM163" s="11">
        <f t="shared" si="1030"/>
        <v>3531</v>
      </c>
      <c r="HN163" s="11">
        <f t="shared" si="1030"/>
        <v>298</v>
      </c>
      <c r="HO163" s="11">
        <f t="shared" si="1031"/>
        <v>1607</v>
      </c>
      <c r="HP163" s="95">
        <f t="shared" si="1032"/>
        <v>0.4551118663268196</v>
      </c>
      <c r="HQ163" s="15">
        <f t="shared" si="1033"/>
        <v>97</v>
      </c>
      <c r="HR163" s="12">
        <f t="shared" si="1054"/>
        <v>6.0360920970752956E-2</v>
      </c>
      <c r="HS163" s="16">
        <v>70.2</v>
      </c>
      <c r="HT163" s="17">
        <v>1440</v>
      </c>
      <c r="HU163" s="16">
        <f t="shared" si="1034"/>
        <v>89.607965152457993</v>
      </c>
      <c r="HV163" s="23">
        <v>4615.405405405405</v>
      </c>
      <c r="HW163" s="22">
        <v>4950.6349206349205</v>
      </c>
    </row>
    <row r="164" spans="1:231" ht="18.75" x14ac:dyDescent="0.25">
      <c r="A164" s="374"/>
      <c r="B164" s="41">
        <f t="shared" si="814"/>
        <v>45066</v>
      </c>
      <c r="C164" s="10"/>
      <c r="D164" s="11"/>
      <c r="E164" s="69">
        <f>E163-C164</f>
        <v>624</v>
      </c>
      <c r="F164" s="69">
        <f>F163-D164</f>
        <v>51</v>
      </c>
      <c r="G164" s="11">
        <v>254</v>
      </c>
      <c r="H164" s="12">
        <f t="shared" si="995"/>
        <v>0.4358974358974359</v>
      </c>
      <c r="I164" s="11">
        <v>18</v>
      </c>
      <c r="J164" s="12">
        <f t="shared" si="1036"/>
        <v>6.6176470588235295E-2</v>
      </c>
      <c r="K164" s="13"/>
      <c r="L164" s="11"/>
      <c r="M164" s="39">
        <v>76.92307692307692</v>
      </c>
      <c r="N164" s="43">
        <v>84.615384615384613</v>
      </c>
      <c r="O164" s="10">
        <v>1</v>
      </c>
      <c r="P164" s="11"/>
      <c r="Q164" s="69">
        <f t="shared" si="1037"/>
        <v>625</v>
      </c>
      <c r="R164" s="69">
        <f t="shared" si="1037"/>
        <v>53</v>
      </c>
      <c r="S164" s="11">
        <v>290</v>
      </c>
      <c r="T164" s="12">
        <f t="shared" si="996"/>
        <v>0.4864</v>
      </c>
      <c r="U164" s="11">
        <v>14</v>
      </c>
      <c r="V164" s="12">
        <f t="shared" si="997"/>
        <v>4.6052631578947366E-2</v>
      </c>
      <c r="W164" s="13"/>
      <c r="X164" s="11"/>
      <c r="Y164" s="39">
        <v>97.058823529411768</v>
      </c>
      <c r="Z164" s="43">
        <v>100</v>
      </c>
      <c r="AA164" s="10">
        <v>2</v>
      </c>
      <c r="AB164" s="11"/>
      <c r="AC164" s="69">
        <f t="shared" si="1038"/>
        <v>181</v>
      </c>
      <c r="AD164" s="69">
        <f t="shared" si="1038"/>
        <v>15</v>
      </c>
      <c r="AE164" s="11">
        <v>60</v>
      </c>
      <c r="AF164" s="12">
        <f t="shared" si="998"/>
        <v>0.35911602209944754</v>
      </c>
      <c r="AG164" s="11">
        <v>5</v>
      </c>
      <c r="AH164" s="12">
        <f t="shared" si="999"/>
        <v>7.6923076923076927E-2</v>
      </c>
      <c r="AI164" s="13"/>
      <c r="AJ164" s="11"/>
      <c r="AK164" s="39">
        <v>100</v>
      </c>
      <c r="AL164" s="43">
        <v>80</v>
      </c>
      <c r="AM164" s="10"/>
      <c r="AN164" s="11"/>
      <c r="AO164" s="69">
        <f t="shared" si="1039"/>
        <v>701</v>
      </c>
      <c r="AP164" s="69">
        <f t="shared" si="1039"/>
        <v>60</v>
      </c>
      <c r="AQ164" s="11">
        <v>322</v>
      </c>
      <c r="AR164" s="12">
        <f t="shared" si="1000"/>
        <v>0.48074179743223966</v>
      </c>
      <c r="AS164" s="11">
        <v>15</v>
      </c>
      <c r="AT164" s="12">
        <f t="shared" si="1001"/>
        <v>4.4510385756676561E-2</v>
      </c>
      <c r="AU164" s="13"/>
      <c r="AV164" s="11"/>
      <c r="AW164" s="39">
        <v>78.125</v>
      </c>
      <c r="AX164" s="43">
        <v>100</v>
      </c>
      <c r="AY164" s="10"/>
      <c r="AZ164" s="11"/>
      <c r="BA164" s="69">
        <f t="shared" si="1040"/>
        <v>695</v>
      </c>
      <c r="BB164" s="69">
        <f t="shared" si="1040"/>
        <v>60</v>
      </c>
      <c r="BC164" s="11">
        <v>327</v>
      </c>
      <c r="BD164" s="12">
        <f t="shared" si="1002"/>
        <v>0.5064748201438849</v>
      </c>
      <c r="BE164" s="11">
        <v>25</v>
      </c>
      <c r="BF164" s="12">
        <f t="shared" si="1003"/>
        <v>7.1022727272727279E-2</v>
      </c>
      <c r="BG164" s="13"/>
      <c r="BH164" s="11"/>
      <c r="BI164" s="39">
        <v>77.777777777777771</v>
      </c>
      <c r="BJ164" s="43">
        <v>100</v>
      </c>
      <c r="BK164" s="10"/>
      <c r="BL164" s="11"/>
      <c r="BM164" s="69">
        <f t="shared" si="1041"/>
        <v>702</v>
      </c>
      <c r="BN164" s="69">
        <f t="shared" si="1041"/>
        <v>59</v>
      </c>
      <c r="BO164" s="11">
        <v>320</v>
      </c>
      <c r="BP164" s="12">
        <f t="shared" si="1004"/>
        <v>0.48290598290598291</v>
      </c>
      <c r="BQ164" s="11">
        <v>19</v>
      </c>
      <c r="BR164" s="12">
        <f t="shared" si="1005"/>
        <v>5.6047197640117993E-2</v>
      </c>
      <c r="BS164" s="13"/>
      <c r="BT164" s="11"/>
      <c r="BU164" s="39">
        <v>93.939393939393938</v>
      </c>
      <c r="BV164" s="43">
        <v>100</v>
      </c>
      <c r="BW164" s="10"/>
      <c r="BX164" s="11"/>
      <c r="BY164" s="69">
        <f t="shared" si="1042"/>
        <v>0</v>
      </c>
      <c r="BZ164" s="69">
        <f t="shared" si="1042"/>
        <v>0</v>
      </c>
      <c r="CA164" s="11"/>
      <c r="CB164" s="12" t="e">
        <f t="shared" si="1006"/>
        <v>#DIV/0!</v>
      </c>
      <c r="CC164" s="11"/>
      <c r="CD164" s="12" t="e">
        <f t="shared" si="1007"/>
        <v>#DIV/0!</v>
      </c>
      <c r="CE164" s="13"/>
      <c r="CF164" s="11"/>
      <c r="CG164" s="39"/>
      <c r="CH164" s="43"/>
      <c r="CI164" s="10"/>
      <c r="CJ164" s="11"/>
      <c r="CK164" s="69">
        <f t="shared" si="1043"/>
        <v>0</v>
      </c>
      <c r="CL164" s="69">
        <f t="shared" si="1043"/>
        <v>0</v>
      </c>
      <c r="CM164" s="11"/>
      <c r="CN164" s="12" t="e">
        <f t="shared" si="1008"/>
        <v>#DIV/0!</v>
      </c>
      <c r="CO164" s="11"/>
      <c r="CP164" s="12" t="e">
        <f t="shared" si="1009"/>
        <v>#DIV/0!</v>
      </c>
      <c r="CQ164" s="13"/>
      <c r="CR164" s="11"/>
      <c r="CS164" s="39"/>
      <c r="CT164" s="43"/>
      <c r="CU164" s="10"/>
      <c r="CV164" s="11"/>
      <c r="CW164" s="69">
        <f t="shared" si="1044"/>
        <v>0</v>
      </c>
      <c r="CX164" s="69">
        <f t="shared" si="1044"/>
        <v>0</v>
      </c>
      <c r="CY164" s="11"/>
      <c r="CZ164" s="12" t="e">
        <f t="shared" si="1010"/>
        <v>#DIV/0!</v>
      </c>
      <c r="DA164" s="11"/>
      <c r="DB164" s="12" t="e">
        <f t="shared" si="1011"/>
        <v>#DIV/0!</v>
      </c>
      <c r="DC164" s="13"/>
      <c r="DD164" s="11"/>
      <c r="DE164" s="39"/>
      <c r="DF164" s="43"/>
      <c r="DG164" s="10"/>
      <c r="DH164" s="11"/>
      <c r="DI164" s="69">
        <f t="shared" si="1045"/>
        <v>0</v>
      </c>
      <c r="DJ164" s="69">
        <f t="shared" si="1045"/>
        <v>0</v>
      </c>
      <c r="DK164" s="11"/>
      <c r="DL164" s="12" t="e">
        <f t="shared" si="1012"/>
        <v>#DIV/0!</v>
      </c>
      <c r="DM164" s="11"/>
      <c r="DN164" s="12" t="e">
        <f t="shared" si="1013"/>
        <v>#DIV/0!</v>
      </c>
      <c r="DO164" s="13"/>
      <c r="DP164" s="11"/>
      <c r="DQ164" s="39"/>
      <c r="DR164" s="43"/>
      <c r="DS164" s="10"/>
      <c r="DT164" s="11"/>
      <c r="DU164" s="69">
        <f t="shared" si="1046"/>
        <v>0</v>
      </c>
      <c r="DV164" s="69">
        <f t="shared" si="1046"/>
        <v>0</v>
      </c>
      <c r="DW164" s="11"/>
      <c r="DX164" s="12" t="e">
        <f t="shared" si="1014"/>
        <v>#DIV/0!</v>
      </c>
      <c r="DY164" s="11"/>
      <c r="DZ164" s="12" t="e">
        <f t="shared" si="1015"/>
        <v>#DIV/0!</v>
      </c>
      <c r="EA164" s="13"/>
      <c r="EB164" s="11"/>
      <c r="EC164" s="39"/>
      <c r="ED164" s="43"/>
      <c r="EE164" s="10"/>
      <c r="EF164" s="11"/>
      <c r="EG164" s="69">
        <f t="shared" si="1047"/>
        <v>0</v>
      </c>
      <c r="EH164" s="69">
        <f t="shared" si="1047"/>
        <v>0</v>
      </c>
      <c r="EI164" s="11"/>
      <c r="EJ164" s="12" t="e">
        <f t="shared" si="1016"/>
        <v>#DIV/0!</v>
      </c>
      <c r="EK164" s="11"/>
      <c r="EL164" s="12" t="e">
        <f t="shared" si="1017"/>
        <v>#DIV/0!</v>
      </c>
      <c r="EM164" s="13"/>
      <c r="EN164" s="11"/>
      <c r="EO164" s="39"/>
      <c r="EP164" s="43"/>
      <c r="EQ164" s="10"/>
      <c r="ER164" s="11"/>
      <c r="ES164" s="69">
        <f t="shared" si="1048"/>
        <v>0</v>
      </c>
      <c r="ET164" s="69">
        <f t="shared" si="1048"/>
        <v>0</v>
      </c>
      <c r="EU164" s="11"/>
      <c r="EV164" s="12" t="e">
        <f t="shared" si="1018"/>
        <v>#DIV/0!</v>
      </c>
      <c r="EW164" s="11"/>
      <c r="EX164" s="12" t="e">
        <f t="shared" si="1019"/>
        <v>#DIV/0!</v>
      </c>
      <c r="EY164" s="13"/>
      <c r="EZ164" s="11"/>
      <c r="FA164" s="39"/>
      <c r="FB164" s="43"/>
      <c r="FC164" s="10"/>
      <c r="FD164" s="11"/>
      <c r="FE164" s="69">
        <f t="shared" si="1049"/>
        <v>0</v>
      </c>
      <c r="FF164" s="69">
        <f t="shared" si="1049"/>
        <v>0</v>
      </c>
      <c r="FG164" s="11"/>
      <c r="FH164" s="12" t="e">
        <f t="shared" si="1020"/>
        <v>#DIV/0!</v>
      </c>
      <c r="FI164" s="11"/>
      <c r="FJ164" s="12" t="e">
        <f t="shared" si="1021"/>
        <v>#DIV/0!</v>
      </c>
      <c r="FK164" s="13"/>
      <c r="FL164" s="11"/>
      <c r="FM164" s="39"/>
      <c r="FN164" s="43"/>
      <c r="FO164" s="10"/>
      <c r="FP164" s="11"/>
      <c r="FQ164" s="69">
        <f t="shared" si="1050"/>
        <v>0</v>
      </c>
      <c r="FR164" s="69">
        <f t="shared" si="1050"/>
        <v>0</v>
      </c>
      <c r="FS164" s="11"/>
      <c r="FT164" s="12" t="e">
        <f t="shared" si="1022"/>
        <v>#DIV/0!</v>
      </c>
      <c r="FU164" s="11"/>
      <c r="FV164" s="12" t="e">
        <f t="shared" si="1023"/>
        <v>#DIV/0!</v>
      </c>
      <c r="FW164" s="13"/>
      <c r="FX164" s="11"/>
      <c r="FY164" s="39"/>
      <c r="FZ164" s="43"/>
      <c r="GA164" s="10"/>
      <c r="GB164" s="11"/>
      <c r="GC164" s="69">
        <f t="shared" si="1051"/>
        <v>0</v>
      </c>
      <c r="GD164" s="69">
        <f t="shared" si="1051"/>
        <v>0</v>
      </c>
      <c r="GE164" s="11"/>
      <c r="GF164" s="12" t="e">
        <f t="shared" si="1024"/>
        <v>#DIV/0!</v>
      </c>
      <c r="GG164" s="11"/>
      <c r="GH164" s="12" t="e">
        <f t="shared" si="1025"/>
        <v>#DIV/0!</v>
      </c>
      <c r="GI164" s="13"/>
      <c r="GJ164" s="11"/>
      <c r="GK164" s="39"/>
      <c r="GL164" s="43"/>
      <c r="GM164" s="10"/>
      <c r="GN164" s="11"/>
      <c r="GO164" s="69">
        <f t="shared" si="1052"/>
        <v>0</v>
      </c>
      <c r="GP164" s="69">
        <f t="shared" si="1052"/>
        <v>0</v>
      </c>
      <c r="GQ164" s="11"/>
      <c r="GR164" s="12" t="e">
        <f t="shared" si="1026"/>
        <v>#DIV/0!</v>
      </c>
      <c r="GS164" s="11"/>
      <c r="GT164" s="12" t="e">
        <f t="shared" si="1027"/>
        <v>#DIV/0!</v>
      </c>
      <c r="GU164" s="13"/>
      <c r="GV164" s="11"/>
      <c r="GW164" s="39"/>
      <c r="GX164" s="43"/>
      <c r="GY164" s="10"/>
      <c r="GZ164" s="11"/>
      <c r="HA164" s="69">
        <f t="shared" si="1053"/>
        <v>0</v>
      </c>
      <c r="HB164" s="69">
        <f t="shared" si="1053"/>
        <v>0</v>
      </c>
      <c r="HC164" s="11"/>
      <c r="HD164" s="12" t="e">
        <f t="shared" si="1028"/>
        <v>#DIV/0!</v>
      </c>
      <c r="HE164" s="11"/>
      <c r="HF164" s="12" t="e">
        <f t="shared" si="1029"/>
        <v>#DIV/0!</v>
      </c>
      <c r="HG164" s="13"/>
      <c r="HH164" s="11"/>
      <c r="HI164" s="39"/>
      <c r="HJ164" s="43"/>
      <c r="HK164" s="10">
        <f t="shared" si="1030"/>
        <v>3</v>
      </c>
      <c r="HL164" s="11">
        <f t="shared" si="1030"/>
        <v>0</v>
      </c>
      <c r="HM164" s="11">
        <f t="shared" si="1030"/>
        <v>3528</v>
      </c>
      <c r="HN164" s="11">
        <f t="shared" si="1030"/>
        <v>298</v>
      </c>
      <c r="HO164" s="11">
        <f t="shared" si="1031"/>
        <v>1669</v>
      </c>
      <c r="HP164" s="95">
        <f t="shared" si="1032"/>
        <v>0.47307256235827666</v>
      </c>
      <c r="HQ164" s="15">
        <f t="shared" si="1033"/>
        <v>96</v>
      </c>
      <c r="HR164" s="12">
        <f t="shared" si="1054"/>
        <v>5.7519472738166565E-2</v>
      </c>
      <c r="HS164" s="16">
        <v>70.3</v>
      </c>
      <c r="HT164" s="17">
        <v>1520</v>
      </c>
      <c r="HU164" s="16">
        <f t="shared" si="1034"/>
        <v>91.072498502097062</v>
      </c>
      <c r="HV164" s="23">
        <v>74.054054054054049</v>
      </c>
      <c r="HW164" s="22">
        <v>90.476190476190482</v>
      </c>
    </row>
    <row r="165" spans="1:231" ht="19.5" thickBot="1" x14ac:dyDescent="0.3">
      <c r="A165" s="374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1989</v>
      </c>
      <c r="H165" s="28">
        <f>((G165+I165)/7)/E164</f>
        <v>0.48923992673992672</v>
      </c>
      <c r="I165" s="27">
        <f>SUM(I158:I164)</f>
        <v>148</v>
      </c>
      <c r="J165" s="28">
        <f>(I165/(I165+G165))</f>
        <v>6.9255966307908284E-2</v>
      </c>
      <c r="K165" s="27"/>
      <c r="L165" s="27"/>
      <c r="M165" s="29">
        <f>M163/M162*100-100</f>
        <v>10.540616508947821</v>
      </c>
      <c r="N165" s="67">
        <f>N163/N162*100-100</f>
        <v>11.555555555555557</v>
      </c>
      <c r="O165" s="26">
        <f>SUM(O158:O164)</f>
        <v>2</v>
      </c>
      <c r="P165" s="27">
        <f>SUM(P158:P164)</f>
        <v>0</v>
      </c>
      <c r="Q165" s="27"/>
      <c r="R165" s="27"/>
      <c r="S165" s="27">
        <f>SUM(S158:S164)</f>
        <v>1960</v>
      </c>
      <c r="T165" s="28">
        <f>((S165+U165)/7)/Q164</f>
        <v>0.47725714285714282</v>
      </c>
      <c r="U165" s="27">
        <f>SUM(U158:U164)</f>
        <v>128</v>
      </c>
      <c r="V165" s="28">
        <f>(U165/(U165+S165))</f>
        <v>6.1302681992337162E-2</v>
      </c>
      <c r="W165" s="27"/>
      <c r="X165" s="27"/>
      <c r="Y165" s="29">
        <f>Y163/Y162*100-100</f>
        <v>9.5292684674356849</v>
      </c>
      <c r="Z165" s="67">
        <f>Z163/Z162*100-100</f>
        <v>6.0246913580246968</v>
      </c>
      <c r="AA165" s="26">
        <f>SUM(AA158:AA164)</f>
        <v>6</v>
      </c>
      <c r="AB165" s="27">
        <f>SUM(AB158:AB164)</f>
        <v>0</v>
      </c>
      <c r="AC165" s="27"/>
      <c r="AD165" s="27"/>
      <c r="AE165" s="27">
        <f>SUM(AE158:AE164)</f>
        <v>545</v>
      </c>
      <c r="AF165" s="28">
        <f>((AE165+AG165)/7)/AC164</f>
        <v>0.4538279400157853</v>
      </c>
      <c r="AG165" s="27">
        <f>SUM(AG158:AG164)</f>
        <v>30</v>
      </c>
      <c r="AH165" s="28">
        <f>(AG165/(AG165+AE165))</f>
        <v>5.2173913043478258E-2</v>
      </c>
      <c r="AI165" s="27"/>
      <c r="AJ165" s="27"/>
      <c r="AK165" s="29">
        <f>AK163/AK162*100-100</f>
        <v>9.2459306832023174</v>
      </c>
      <c r="AL165" s="67">
        <f>AL163/AL162*100-100</f>
        <v>-1.2888888888888772</v>
      </c>
      <c r="AM165" s="26">
        <f>SUM(AM158:AM164)</f>
        <v>1</v>
      </c>
      <c r="AN165" s="27">
        <f>SUM(AN158:AN164)</f>
        <v>0</v>
      </c>
      <c r="AO165" s="27"/>
      <c r="AP165" s="27"/>
      <c r="AQ165" s="27">
        <f>SUM(AQ158:AQ164)</f>
        <v>2109</v>
      </c>
      <c r="AR165" s="28">
        <f>((AQ165+AS165)/7)/AO164</f>
        <v>0.45934379457917263</v>
      </c>
      <c r="AS165" s="27">
        <f>SUM(AS158:AS164)</f>
        <v>145</v>
      </c>
      <c r="AT165" s="28">
        <f>(AS165/(AS165+AQ165))</f>
        <v>6.4330079858030173E-2</v>
      </c>
      <c r="AU165" s="27"/>
      <c r="AV165" s="27"/>
      <c r="AW165" s="29">
        <f>AW163/AW162*100-100</f>
        <v>11.48751522533496</v>
      </c>
      <c r="AX165" s="67">
        <f>AX163/AX162*100-100</f>
        <v>11.592592592592595</v>
      </c>
      <c r="AY165" s="26">
        <f>SUM(AY158:AY164)</f>
        <v>4</v>
      </c>
      <c r="AZ165" s="27">
        <f>SUM(AZ158:AZ164)</f>
        <v>0</v>
      </c>
      <c r="BA165" s="27"/>
      <c r="BB165" s="27"/>
      <c r="BC165" s="27">
        <f>SUM(BC158:BC164)</f>
        <v>2216</v>
      </c>
      <c r="BD165" s="28">
        <f>((BC165+BE165)/7)/BA164</f>
        <v>0.48571428571428571</v>
      </c>
      <c r="BE165" s="27">
        <f>SUM(BE158:BE164)</f>
        <v>147</v>
      </c>
      <c r="BF165" s="28">
        <f>(BE165/(BE165+BC165))</f>
        <v>6.2209056284384258E-2</v>
      </c>
      <c r="BG165" s="27"/>
      <c r="BH165" s="27"/>
      <c r="BI165" s="29">
        <f>BI163/BI162*100-100</f>
        <v>12.633644606848009</v>
      </c>
      <c r="BJ165" s="67">
        <f>BJ163/BJ162*100-100</f>
        <v>12.666666666666671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2318</v>
      </c>
      <c r="BP165" s="28">
        <f>((BO165+BQ165)/7)/BM164</f>
        <v>0.49348799348799349</v>
      </c>
      <c r="BQ165" s="27">
        <f>SUM(BQ158:BQ164)</f>
        <v>107</v>
      </c>
      <c r="BR165" s="28">
        <f>(BQ165/(BQ165+BO165))</f>
        <v>4.4123711340206186E-2</v>
      </c>
      <c r="BS165" s="27"/>
      <c r="BT165" s="27"/>
      <c r="BU165" s="29">
        <f>BU163/BU162*100-100</f>
        <v>19.425681910456575</v>
      </c>
      <c r="BV165" s="67">
        <f>BV163/BV162*100-100</f>
        <v>11.73737373737373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7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7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7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7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7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7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7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7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7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7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7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7" t="e">
        <f>HJ163/HJ162*100-100</f>
        <v>#DIV/0!</v>
      </c>
      <c r="HK165" s="26">
        <f t="shared" si="1030"/>
        <v>14</v>
      </c>
      <c r="HL165" s="27">
        <f t="shared" si="1030"/>
        <v>0</v>
      </c>
      <c r="HM165" s="27">
        <f t="shared" si="1030"/>
        <v>0</v>
      </c>
      <c r="HN165" s="27">
        <f t="shared" si="1030"/>
        <v>0</v>
      </c>
      <c r="HO165" s="27">
        <f t="shared" si="1031"/>
        <v>11842</v>
      </c>
      <c r="HP165" s="96">
        <f>+((HO165)/HM164)/7</f>
        <v>0.47951085195983156</v>
      </c>
      <c r="HQ165" s="62">
        <f t="shared" si="1033"/>
        <v>705</v>
      </c>
      <c r="HR165" s="52">
        <f t="shared" si="1054"/>
        <v>5.9533862523222431E-2</v>
      </c>
      <c r="HS165" s="53">
        <f>SUM(HS158:HS164)/7</f>
        <v>69.771428571428572</v>
      </c>
      <c r="HT165" s="54">
        <f>SUM(HT158:HT164)</f>
        <v>10743</v>
      </c>
      <c r="HU165" s="53">
        <f>AVERAGE(HU158:HU164)</f>
        <v>90.705857699664392</v>
      </c>
      <c r="HV165" s="63">
        <f>HV163/HV162*100-100</f>
        <v>12.433749218158468</v>
      </c>
      <c r="HW165" s="67">
        <f>HW163/HW162*100-100</f>
        <v>10.01410934744267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3.952569169960474E-3</v>
      </c>
      <c r="HL166" s="66">
        <f>HL165/HN155</f>
        <v>0</v>
      </c>
      <c r="HM166" s="45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373">
        <v>43</v>
      </c>
      <c r="B167" s="68">
        <f>B164+1</f>
        <v>45067</v>
      </c>
      <c r="C167" s="33">
        <v>2</v>
      </c>
      <c r="D167" s="34"/>
      <c r="E167" s="34">
        <f>E164-C167</f>
        <v>622</v>
      </c>
      <c r="F167" s="34">
        <f>F164-D167</f>
        <v>51</v>
      </c>
      <c r="G167" s="34">
        <v>281</v>
      </c>
      <c r="H167" s="35">
        <f t="shared" ref="H167:H173" si="1055">((G167+I167)/E167)</f>
        <v>0.48553054662379419</v>
      </c>
      <c r="I167" s="34">
        <v>21</v>
      </c>
      <c r="J167" s="35">
        <f>I167/(G167+I167)</f>
        <v>6.9536423841059597E-2</v>
      </c>
      <c r="K167" s="36"/>
      <c r="L167" s="34"/>
      <c r="M167" s="34"/>
      <c r="N167" s="37"/>
      <c r="O167" s="33"/>
      <c r="P167" s="34"/>
      <c r="Q167" s="34">
        <f>Q164-O167</f>
        <v>625</v>
      </c>
      <c r="R167" s="34">
        <f>R164-P167</f>
        <v>53</v>
      </c>
      <c r="S167" s="34">
        <v>281</v>
      </c>
      <c r="T167" s="35">
        <f t="shared" ref="T167:T173" si="1056">((S167+U167)/Q167)</f>
        <v>0.47520000000000001</v>
      </c>
      <c r="U167" s="34">
        <v>16</v>
      </c>
      <c r="V167" s="35">
        <f t="shared" ref="V167:V173" si="1057">U167/(S167+U167)</f>
        <v>5.387205387205387E-2</v>
      </c>
      <c r="W167" s="36"/>
      <c r="X167" s="34"/>
      <c r="Y167" s="34"/>
      <c r="Z167" s="37"/>
      <c r="AA167" s="33">
        <v>1</v>
      </c>
      <c r="AB167" s="34"/>
      <c r="AC167" s="34">
        <f>AC164-AA167</f>
        <v>180</v>
      </c>
      <c r="AD167" s="34">
        <f>AD164-AB167</f>
        <v>15</v>
      </c>
      <c r="AE167" s="34">
        <v>66</v>
      </c>
      <c r="AF167" s="35">
        <f t="shared" ref="AF167:AF173" si="1058">((AE167+AG167)/AC167)</f>
        <v>0.41111111111111109</v>
      </c>
      <c r="AG167" s="34">
        <v>8</v>
      </c>
      <c r="AH167" s="35">
        <f t="shared" ref="AH167:AH173" si="1059">AG167/(AE167+AG167)</f>
        <v>0.10810810810810811</v>
      </c>
      <c r="AI167" s="36"/>
      <c r="AJ167" s="34"/>
      <c r="AK167" s="34"/>
      <c r="AL167" s="37"/>
      <c r="AM167" s="33"/>
      <c r="AN167" s="34"/>
      <c r="AO167" s="34">
        <f>AO164-AM167</f>
        <v>701</v>
      </c>
      <c r="AP167" s="34">
        <f>AP164-AN167</f>
        <v>60</v>
      </c>
      <c r="AQ167" s="34">
        <v>306</v>
      </c>
      <c r="AR167" s="35">
        <f t="shared" ref="AR167:AR173" si="1060">((AQ167+AS167)/AO167)</f>
        <v>0.47218259629101283</v>
      </c>
      <c r="AS167" s="34">
        <v>25</v>
      </c>
      <c r="AT167" s="35">
        <f t="shared" ref="AT167:AT173" si="1061">AS167/(AQ167+AS167)</f>
        <v>7.5528700906344406E-2</v>
      </c>
      <c r="AU167" s="36"/>
      <c r="AV167" s="34"/>
      <c r="AW167" s="34"/>
      <c r="AX167" s="37"/>
      <c r="AY167" s="33"/>
      <c r="AZ167" s="34"/>
      <c r="BA167" s="34">
        <f>BA164-AY167</f>
        <v>695</v>
      </c>
      <c r="BB167" s="34">
        <f>BB164-AZ167</f>
        <v>60</v>
      </c>
      <c r="BC167" s="34">
        <v>301</v>
      </c>
      <c r="BD167" s="35">
        <f t="shared" ref="BD167:BD173" si="1062">((BC167+BE167)/BA167)</f>
        <v>0.47194244604316549</v>
      </c>
      <c r="BE167" s="34">
        <v>27</v>
      </c>
      <c r="BF167" s="35">
        <f t="shared" ref="BF167:BF173" si="1063">BE167/(BC167+BE167)</f>
        <v>8.2317073170731711E-2</v>
      </c>
      <c r="BG167" s="36"/>
      <c r="BH167" s="34"/>
      <c r="BI167" s="34"/>
      <c r="BJ167" s="37"/>
      <c r="BK167" s="33"/>
      <c r="BL167" s="34"/>
      <c r="BM167" s="34">
        <f>BM164-BK167</f>
        <v>702</v>
      </c>
      <c r="BN167" s="34">
        <f>BN164-BL167</f>
        <v>59</v>
      </c>
      <c r="BO167" s="34">
        <v>335</v>
      </c>
      <c r="BP167" s="35">
        <f t="shared" ref="BP167:BP173" si="1064">((BO167+BQ167)/BM167)</f>
        <v>0.50427350427350426</v>
      </c>
      <c r="BQ167" s="34">
        <v>19</v>
      </c>
      <c r="BR167" s="35">
        <f t="shared" ref="BR167:BR173" si="1065">BQ167/(BO167+BQ167)</f>
        <v>5.3672316384180789E-2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066">((CA167+CC167)/BY167)</f>
        <v>#DIV/0!</v>
      </c>
      <c r="CC167" s="34"/>
      <c r="CD167" s="35" t="e">
        <f t="shared" ref="CD167:CD173" si="1067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068">((CM167+CO167)/CK167)</f>
        <v>#DIV/0!</v>
      </c>
      <c r="CO167" s="34"/>
      <c r="CP167" s="35" t="e">
        <f t="shared" ref="CP167:CP173" si="1069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070">((CY167+DA167)/CW167)</f>
        <v>#DIV/0!</v>
      </c>
      <c r="DA167" s="34"/>
      <c r="DB167" s="35" t="e">
        <f t="shared" ref="DB167:DB173" si="1071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072">((DK167+DM167)/DI167)</f>
        <v>#DIV/0!</v>
      </c>
      <c r="DM167" s="34"/>
      <c r="DN167" s="35" t="e">
        <f t="shared" ref="DN167:DN173" si="1073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074">((DW167+DY167)/DU167)</f>
        <v>#DIV/0!</v>
      </c>
      <c r="DY167" s="34"/>
      <c r="DZ167" s="35" t="e">
        <f t="shared" ref="DZ167:DZ173" si="1075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076">((EI167+EK167)/EG167)</f>
        <v>#DIV/0!</v>
      </c>
      <c r="EK167" s="34"/>
      <c r="EL167" s="35" t="e">
        <f t="shared" ref="EL167:EL173" si="1077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078">((EU167+EW167)/ES167)</f>
        <v>#DIV/0!</v>
      </c>
      <c r="EW167" s="34"/>
      <c r="EX167" s="35" t="e">
        <f t="shared" ref="EX167:EX173" si="1079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080">((FG167+FI167)/FE167)</f>
        <v>#DIV/0!</v>
      </c>
      <c r="FI167" s="34"/>
      <c r="FJ167" s="35" t="e">
        <f t="shared" ref="FJ167:FJ173" si="1081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082">((FS167+FU167)/FQ167)</f>
        <v>#DIV/0!</v>
      </c>
      <c r="FU167" s="34"/>
      <c r="FV167" s="35" t="e">
        <f t="shared" ref="FV167:FV173" si="1083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084">((GE167+GG167)/GC167)</f>
        <v>#DIV/0!</v>
      </c>
      <c r="GG167" s="34"/>
      <c r="GH167" s="35" t="e">
        <f t="shared" ref="GH167:GH173" si="1085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086">((GQ167+GS167)/GO167)</f>
        <v>#DIV/0!</v>
      </c>
      <c r="GS167" s="34"/>
      <c r="GT167" s="35" t="e">
        <f t="shared" ref="GT167:GT173" si="1087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088">((HC167+HE167)/HA167)</f>
        <v>#DIV/0!</v>
      </c>
      <c r="HE167" s="34"/>
      <c r="HF167" s="35" t="e">
        <f t="shared" ref="HF167:HF173" si="1089">HE167/(HC167+HE167)</f>
        <v>#DIV/0!</v>
      </c>
      <c r="HG167" s="36"/>
      <c r="HH167" s="34"/>
      <c r="HI167" s="34"/>
      <c r="HJ167" s="37"/>
      <c r="HK167" s="33">
        <f t="shared" ref="HK167:HN174" si="1090">+C167+O167+AA167+AM167+AY167+BK167+BW167+CI167+CU167+DG167+DS167+EE167+EQ167+FC167+FO167+GA167+GM167+GY167</f>
        <v>3</v>
      </c>
      <c r="HL167" s="34">
        <f t="shared" si="1090"/>
        <v>0</v>
      </c>
      <c r="HM167" s="34">
        <f t="shared" si="1090"/>
        <v>3525</v>
      </c>
      <c r="HN167" s="34">
        <f t="shared" si="1090"/>
        <v>298</v>
      </c>
      <c r="HO167" s="34">
        <f t="shared" ref="HO167:HO174" si="1091">+G167+S167+AE167+AQ167+BC167+BO167+CA167+CM167+CY167+DK167+DW167+EI167+EU167+FG167+FS167+GE167+GQ167+HC167+I167+U167+AG167+AS167+BE167+BQ167+CC167+CO167+DA167+DM167+DY167+EK167+EW167+FI167+FU167+GG167+GS167+HE167</f>
        <v>1686</v>
      </c>
      <c r="HP167" s="94">
        <f t="shared" ref="HP167:HP173" si="1092">+(HO167)/HM167</f>
        <v>0.47829787234042553</v>
      </c>
      <c r="HQ167" s="48">
        <f t="shared" ref="HQ167:HQ174" si="1093">+I167+U167+AG167+AS167+BE167+BQ167+CC167+CO167+DA167+DM167+DY167+EK167+EW167+FI167+FU167+GG167+GS167+HE167</f>
        <v>116</v>
      </c>
      <c r="HR167" s="35">
        <f>+(HQ167/(HO167))</f>
        <v>6.8801897983392646E-2</v>
      </c>
      <c r="HS167" s="49">
        <v>70.400000000000006</v>
      </c>
      <c r="HT167" s="50">
        <v>1501</v>
      </c>
      <c r="HU167" s="49">
        <f t="shared" ref="HU167:HU173" si="1094">+HT167/HO167*100</f>
        <v>89.027283511269275</v>
      </c>
      <c r="HV167" s="48"/>
      <c r="HW167" s="37"/>
    </row>
    <row r="168" spans="1:231" ht="18.75" x14ac:dyDescent="0.25">
      <c r="A168" s="374"/>
      <c r="B168" s="41">
        <f t="shared" si="814"/>
        <v>45068</v>
      </c>
      <c r="C168" s="10">
        <v>1</v>
      </c>
      <c r="D168" s="11"/>
      <c r="E168" s="69">
        <f t="shared" ref="E168:F172" si="1095">E167-C168</f>
        <v>621</v>
      </c>
      <c r="F168" s="69">
        <f t="shared" si="1095"/>
        <v>51</v>
      </c>
      <c r="G168" s="11">
        <v>246</v>
      </c>
      <c r="H168" s="12">
        <f t="shared" si="1055"/>
        <v>0.4170692431561997</v>
      </c>
      <c r="I168" s="11">
        <v>13</v>
      </c>
      <c r="J168" s="12">
        <f t="shared" ref="J168:J173" si="1096">I168/(G168+I168)</f>
        <v>5.019305019305019E-2</v>
      </c>
      <c r="K168" s="13"/>
      <c r="L168" s="11"/>
      <c r="M168" s="11"/>
      <c r="N168" s="14"/>
      <c r="O168" s="10">
        <v>1</v>
      </c>
      <c r="P168" s="11"/>
      <c r="Q168" s="69">
        <f t="shared" ref="Q168:R173" si="1097">Q167-O168</f>
        <v>624</v>
      </c>
      <c r="R168" s="69">
        <f t="shared" si="1097"/>
        <v>53</v>
      </c>
      <c r="S168" s="11">
        <v>284</v>
      </c>
      <c r="T168" s="12">
        <f t="shared" si="1056"/>
        <v>0.47275641025641024</v>
      </c>
      <c r="U168" s="11">
        <v>11</v>
      </c>
      <c r="V168" s="12">
        <f t="shared" si="1057"/>
        <v>3.7288135593220341E-2</v>
      </c>
      <c r="W168" s="13"/>
      <c r="X168" s="11"/>
      <c r="Y168" s="11"/>
      <c r="Z168" s="14"/>
      <c r="AA168" s="10">
        <v>1</v>
      </c>
      <c r="AB168" s="11">
        <v>1</v>
      </c>
      <c r="AC168" s="69">
        <f t="shared" ref="AC168:AD173" si="1098">AC167-AA168</f>
        <v>179</v>
      </c>
      <c r="AD168" s="69">
        <f t="shared" si="1098"/>
        <v>14</v>
      </c>
      <c r="AE168" s="11">
        <v>72</v>
      </c>
      <c r="AF168" s="12">
        <f t="shared" si="1058"/>
        <v>0.44692737430167595</v>
      </c>
      <c r="AG168" s="11">
        <v>8</v>
      </c>
      <c r="AH168" s="12">
        <f t="shared" si="1059"/>
        <v>0.1</v>
      </c>
      <c r="AI168" s="13"/>
      <c r="AJ168" s="11"/>
      <c r="AK168" s="11"/>
      <c r="AL168" s="14"/>
      <c r="AM168" s="10">
        <v>1</v>
      </c>
      <c r="AN168" s="11"/>
      <c r="AO168" s="69">
        <f t="shared" ref="AO168:AP173" si="1099">AO167-AM168</f>
        <v>700</v>
      </c>
      <c r="AP168" s="69">
        <f t="shared" si="1099"/>
        <v>60</v>
      </c>
      <c r="AQ168" s="11">
        <v>321</v>
      </c>
      <c r="AR168" s="12">
        <f t="shared" si="1060"/>
        <v>0.49</v>
      </c>
      <c r="AS168" s="11">
        <v>22</v>
      </c>
      <c r="AT168" s="12">
        <f t="shared" si="1061"/>
        <v>6.4139941690962099E-2</v>
      </c>
      <c r="AU168" s="13"/>
      <c r="AV168" s="11"/>
      <c r="AW168" s="11"/>
      <c r="AX168" s="14"/>
      <c r="AY168" s="10">
        <v>1</v>
      </c>
      <c r="AZ168" s="11"/>
      <c r="BA168" s="69">
        <f t="shared" ref="BA168:BB173" si="1100">BA167-AY168</f>
        <v>694</v>
      </c>
      <c r="BB168" s="69">
        <f t="shared" si="1100"/>
        <v>60</v>
      </c>
      <c r="BC168" s="11">
        <v>333</v>
      </c>
      <c r="BD168" s="12">
        <f t="shared" si="1062"/>
        <v>0.51152737752161381</v>
      </c>
      <c r="BE168" s="11">
        <v>22</v>
      </c>
      <c r="BF168" s="12">
        <f t="shared" si="1063"/>
        <v>6.1971830985915494E-2</v>
      </c>
      <c r="BG168" s="13"/>
      <c r="BH168" s="11"/>
      <c r="BI168" s="11"/>
      <c r="BJ168" s="14"/>
      <c r="BK168" s="10">
        <v>1</v>
      </c>
      <c r="BL168" s="11"/>
      <c r="BM168" s="69">
        <f t="shared" ref="BM168:BN173" si="1101">BM167-BK168</f>
        <v>701</v>
      </c>
      <c r="BN168" s="69">
        <f t="shared" si="1101"/>
        <v>59</v>
      </c>
      <c r="BO168" s="11">
        <v>289</v>
      </c>
      <c r="BP168" s="12">
        <f t="shared" si="1064"/>
        <v>0.42796005706134094</v>
      </c>
      <c r="BQ168" s="11">
        <v>11</v>
      </c>
      <c r="BR168" s="12">
        <f t="shared" si="1065"/>
        <v>3.6666666666666667E-2</v>
      </c>
      <c r="BS168" s="13"/>
      <c r="BT168" s="11"/>
      <c r="BU168" s="11"/>
      <c r="BV168" s="14"/>
      <c r="BW168" s="10"/>
      <c r="BX168" s="11"/>
      <c r="BY168" s="69">
        <f t="shared" ref="BY168:BZ173" si="1102">BY167-BW168</f>
        <v>0</v>
      </c>
      <c r="BZ168" s="69">
        <f t="shared" si="1102"/>
        <v>0</v>
      </c>
      <c r="CA168" s="11"/>
      <c r="CB168" s="12" t="e">
        <f t="shared" si="1066"/>
        <v>#DIV/0!</v>
      </c>
      <c r="CC168" s="11"/>
      <c r="CD168" s="12" t="e">
        <f t="shared" si="1067"/>
        <v>#DIV/0!</v>
      </c>
      <c r="CE168" s="13"/>
      <c r="CF168" s="11"/>
      <c r="CG168" s="11"/>
      <c r="CH168" s="14"/>
      <c r="CI168" s="10"/>
      <c r="CJ168" s="11"/>
      <c r="CK168" s="69">
        <f t="shared" ref="CK168:CL173" si="1103">CK167-CI168</f>
        <v>0</v>
      </c>
      <c r="CL168" s="69">
        <f t="shared" si="1103"/>
        <v>0</v>
      </c>
      <c r="CM168" s="11"/>
      <c r="CN168" s="12" t="e">
        <f t="shared" si="1068"/>
        <v>#DIV/0!</v>
      </c>
      <c r="CO168" s="11"/>
      <c r="CP168" s="12" t="e">
        <f t="shared" si="1069"/>
        <v>#DIV/0!</v>
      </c>
      <c r="CQ168" s="13"/>
      <c r="CR168" s="11"/>
      <c r="CS168" s="11"/>
      <c r="CT168" s="14"/>
      <c r="CU168" s="10"/>
      <c r="CV168" s="11"/>
      <c r="CW168" s="69">
        <f t="shared" ref="CW168:CX173" si="1104">CW167-CU168</f>
        <v>0</v>
      </c>
      <c r="CX168" s="69">
        <f t="shared" si="1104"/>
        <v>0</v>
      </c>
      <c r="CY168" s="11"/>
      <c r="CZ168" s="12" t="e">
        <f t="shared" si="1070"/>
        <v>#DIV/0!</v>
      </c>
      <c r="DA168" s="11"/>
      <c r="DB168" s="12" t="e">
        <f t="shared" si="1071"/>
        <v>#DIV/0!</v>
      </c>
      <c r="DC168" s="13"/>
      <c r="DD168" s="11"/>
      <c r="DE168" s="11"/>
      <c r="DF168" s="14"/>
      <c r="DG168" s="10"/>
      <c r="DH168" s="11"/>
      <c r="DI168" s="69">
        <f t="shared" ref="DI168:DJ173" si="1105">DI167-DG168</f>
        <v>0</v>
      </c>
      <c r="DJ168" s="69">
        <f t="shared" si="1105"/>
        <v>0</v>
      </c>
      <c r="DK168" s="11"/>
      <c r="DL168" s="12" t="e">
        <f t="shared" si="1072"/>
        <v>#DIV/0!</v>
      </c>
      <c r="DM168" s="11"/>
      <c r="DN168" s="12" t="e">
        <f t="shared" si="1073"/>
        <v>#DIV/0!</v>
      </c>
      <c r="DO168" s="13"/>
      <c r="DP168" s="11"/>
      <c r="DQ168" s="11"/>
      <c r="DR168" s="14"/>
      <c r="DS168" s="10"/>
      <c r="DT168" s="11"/>
      <c r="DU168" s="69">
        <f t="shared" ref="DU168:DV173" si="1106">DU167-DS168</f>
        <v>0</v>
      </c>
      <c r="DV168" s="69">
        <f t="shared" si="1106"/>
        <v>0</v>
      </c>
      <c r="DW168" s="11"/>
      <c r="DX168" s="12" t="e">
        <f t="shared" si="1074"/>
        <v>#DIV/0!</v>
      </c>
      <c r="DY168" s="11"/>
      <c r="DZ168" s="12" t="e">
        <f t="shared" si="1075"/>
        <v>#DIV/0!</v>
      </c>
      <c r="EA168" s="13"/>
      <c r="EB168" s="11"/>
      <c r="EC168" s="11"/>
      <c r="ED168" s="14"/>
      <c r="EE168" s="10"/>
      <c r="EF168" s="11"/>
      <c r="EG168" s="69">
        <f t="shared" ref="EG168:EH173" si="1107">EG167-EE168</f>
        <v>0</v>
      </c>
      <c r="EH168" s="69">
        <f t="shared" si="1107"/>
        <v>0</v>
      </c>
      <c r="EI168" s="11"/>
      <c r="EJ168" s="12" t="e">
        <f t="shared" si="1076"/>
        <v>#DIV/0!</v>
      </c>
      <c r="EK168" s="11"/>
      <c r="EL168" s="12" t="e">
        <f t="shared" si="1077"/>
        <v>#DIV/0!</v>
      </c>
      <c r="EM168" s="13"/>
      <c r="EN168" s="11"/>
      <c r="EO168" s="11"/>
      <c r="EP168" s="14"/>
      <c r="EQ168" s="10"/>
      <c r="ER168" s="11"/>
      <c r="ES168" s="69">
        <f t="shared" ref="ES168:ET173" si="1108">ES167-EQ168</f>
        <v>0</v>
      </c>
      <c r="ET168" s="69">
        <f t="shared" si="1108"/>
        <v>0</v>
      </c>
      <c r="EU168" s="11"/>
      <c r="EV168" s="12" t="e">
        <f t="shared" si="1078"/>
        <v>#DIV/0!</v>
      </c>
      <c r="EW168" s="11"/>
      <c r="EX168" s="12" t="e">
        <f t="shared" si="1079"/>
        <v>#DIV/0!</v>
      </c>
      <c r="EY168" s="13"/>
      <c r="EZ168" s="11"/>
      <c r="FA168" s="11"/>
      <c r="FB168" s="14"/>
      <c r="FC168" s="10"/>
      <c r="FD168" s="11"/>
      <c r="FE168" s="69">
        <f t="shared" ref="FE168:FF173" si="1109">FE167-FC168</f>
        <v>0</v>
      </c>
      <c r="FF168" s="69">
        <f t="shared" si="1109"/>
        <v>0</v>
      </c>
      <c r="FG168" s="11"/>
      <c r="FH168" s="12" t="e">
        <f t="shared" si="1080"/>
        <v>#DIV/0!</v>
      </c>
      <c r="FI168" s="11"/>
      <c r="FJ168" s="12" t="e">
        <f t="shared" si="1081"/>
        <v>#DIV/0!</v>
      </c>
      <c r="FK168" s="13"/>
      <c r="FL168" s="11"/>
      <c r="FM168" s="11"/>
      <c r="FN168" s="14"/>
      <c r="FO168" s="10"/>
      <c r="FP168" s="11"/>
      <c r="FQ168" s="69">
        <f t="shared" ref="FQ168:FR173" si="1110">FQ167-FO168</f>
        <v>0</v>
      </c>
      <c r="FR168" s="69">
        <f t="shared" si="1110"/>
        <v>0</v>
      </c>
      <c r="FS168" s="11"/>
      <c r="FT168" s="12" t="e">
        <f t="shared" si="1082"/>
        <v>#DIV/0!</v>
      </c>
      <c r="FU168" s="11"/>
      <c r="FV168" s="12" t="e">
        <f t="shared" si="1083"/>
        <v>#DIV/0!</v>
      </c>
      <c r="FW168" s="13"/>
      <c r="FX168" s="11"/>
      <c r="FY168" s="11"/>
      <c r="FZ168" s="14"/>
      <c r="GA168" s="10"/>
      <c r="GB168" s="11"/>
      <c r="GC168" s="69">
        <f t="shared" ref="GC168:GD173" si="1111">GC167-GA168</f>
        <v>0</v>
      </c>
      <c r="GD168" s="69">
        <f t="shared" si="1111"/>
        <v>0</v>
      </c>
      <c r="GE168" s="11"/>
      <c r="GF168" s="12" t="e">
        <f t="shared" si="1084"/>
        <v>#DIV/0!</v>
      </c>
      <c r="GG168" s="11"/>
      <c r="GH168" s="12" t="e">
        <f t="shared" si="1085"/>
        <v>#DIV/0!</v>
      </c>
      <c r="GI168" s="13"/>
      <c r="GJ168" s="11"/>
      <c r="GK168" s="11"/>
      <c r="GL168" s="14"/>
      <c r="GM168" s="10"/>
      <c r="GN168" s="11"/>
      <c r="GO168" s="69">
        <f t="shared" ref="GO168:GP173" si="1112">GO167-GM168</f>
        <v>0</v>
      </c>
      <c r="GP168" s="69">
        <f t="shared" si="1112"/>
        <v>0</v>
      </c>
      <c r="GQ168" s="11"/>
      <c r="GR168" s="12" t="e">
        <f t="shared" si="1086"/>
        <v>#DIV/0!</v>
      </c>
      <c r="GS168" s="11"/>
      <c r="GT168" s="12" t="e">
        <f t="shared" si="1087"/>
        <v>#DIV/0!</v>
      </c>
      <c r="GU168" s="13"/>
      <c r="GV168" s="11"/>
      <c r="GW168" s="11"/>
      <c r="GX168" s="14"/>
      <c r="GY168" s="10"/>
      <c r="GZ168" s="11"/>
      <c r="HA168" s="69">
        <f t="shared" ref="HA168:HB173" si="1113">HA167-GY168</f>
        <v>0</v>
      </c>
      <c r="HB168" s="69">
        <f t="shared" si="1113"/>
        <v>0</v>
      </c>
      <c r="HC168" s="11"/>
      <c r="HD168" s="12" t="e">
        <f t="shared" si="1088"/>
        <v>#DIV/0!</v>
      </c>
      <c r="HE168" s="11"/>
      <c r="HF168" s="12" t="e">
        <f t="shared" si="1089"/>
        <v>#DIV/0!</v>
      </c>
      <c r="HG168" s="13"/>
      <c r="HH168" s="11"/>
      <c r="HI168" s="11"/>
      <c r="HJ168" s="14"/>
      <c r="HK168" s="10">
        <f t="shared" si="1090"/>
        <v>6</v>
      </c>
      <c r="HL168" s="11">
        <f t="shared" si="1090"/>
        <v>1</v>
      </c>
      <c r="HM168" s="11">
        <f t="shared" si="1090"/>
        <v>3519</v>
      </c>
      <c r="HN168" s="11">
        <f t="shared" si="1090"/>
        <v>297</v>
      </c>
      <c r="HO168" s="11">
        <f t="shared" si="1091"/>
        <v>1632</v>
      </c>
      <c r="HP168" s="95">
        <f t="shared" si="1092"/>
        <v>0.46376811594202899</v>
      </c>
      <c r="HQ168" s="15">
        <f t="shared" si="1093"/>
        <v>87</v>
      </c>
      <c r="HR168" s="12">
        <f t="shared" ref="HR168:HR174" si="1114">+(HQ168/(HO168))</f>
        <v>5.3308823529411763E-2</v>
      </c>
      <c r="HS168" s="16">
        <v>70.3</v>
      </c>
      <c r="HT168" s="17">
        <v>1485</v>
      </c>
      <c r="HU168" s="16">
        <f t="shared" si="1094"/>
        <v>90.992647058823522</v>
      </c>
      <c r="HV168" s="15"/>
      <c r="HW168" s="14"/>
    </row>
    <row r="169" spans="1:231" ht="18.75" x14ac:dyDescent="0.25">
      <c r="A169" s="374"/>
      <c r="B169" s="41">
        <f t="shared" si="814"/>
        <v>45069</v>
      </c>
      <c r="C169" s="10"/>
      <c r="D169" s="11"/>
      <c r="E169" s="69">
        <f t="shared" si="1095"/>
        <v>621</v>
      </c>
      <c r="F169" s="69">
        <f t="shared" si="1095"/>
        <v>51</v>
      </c>
      <c r="G169" s="11">
        <v>261</v>
      </c>
      <c r="H169" s="12">
        <f t="shared" si="1055"/>
        <v>0.46215780998389694</v>
      </c>
      <c r="I169" s="11">
        <v>26</v>
      </c>
      <c r="J169" s="12">
        <f t="shared" si="1096"/>
        <v>9.0592334494773524E-2</v>
      </c>
      <c r="K169" s="13"/>
      <c r="L169" s="11"/>
      <c r="M169" s="11"/>
      <c r="N169" s="14"/>
      <c r="O169" s="10"/>
      <c r="P169" s="11"/>
      <c r="Q169" s="69">
        <f t="shared" si="1097"/>
        <v>624</v>
      </c>
      <c r="R169" s="69">
        <f t="shared" si="1097"/>
        <v>53</v>
      </c>
      <c r="S169" s="11">
        <v>287</v>
      </c>
      <c r="T169" s="12">
        <f t="shared" si="1056"/>
        <v>0.49679487179487181</v>
      </c>
      <c r="U169" s="11">
        <v>23</v>
      </c>
      <c r="V169" s="12">
        <f t="shared" si="1057"/>
        <v>7.4193548387096769E-2</v>
      </c>
      <c r="W169" s="13"/>
      <c r="X169" s="11"/>
      <c r="Y169" s="11"/>
      <c r="Z169" s="14"/>
      <c r="AA169" s="10">
        <v>1</v>
      </c>
      <c r="AB169" s="11"/>
      <c r="AC169" s="69">
        <f t="shared" si="1098"/>
        <v>178</v>
      </c>
      <c r="AD169" s="69">
        <f t="shared" si="1098"/>
        <v>14</v>
      </c>
      <c r="AE169" s="11">
        <v>75</v>
      </c>
      <c r="AF169" s="12">
        <f t="shared" si="1058"/>
        <v>0.449438202247191</v>
      </c>
      <c r="AG169" s="11">
        <v>5</v>
      </c>
      <c r="AH169" s="12">
        <f t="shared" si="1059"/>
        <v>6.25E-2</v>
      </c>
      <c r="AI169" s="13"/>
      <c r="AJ169" s="11"/>
      <c r="AK169" s="11"/>
      <c r="AL169" s="14"/>
      <c r="AM169" s="10">
        <v>1</v>
      </c>
      <c r="AN169" s="11"/>
      <c r="AO169" s="69">
        <f t="shared" si="1099"/>
        <v>699</v>
      </c>
      <c r="AP169" s="69">
        <f t="shared" si="1099"/>
        <v>60</v>
      </c>
      <c r="AQ169" s="11">
        <v>328</v>
      </c>
      <c r="AR169" s="12">
        <f t="shared" si="1060"/>
        <v>0.48927038626609443</v>
      </c>
      <c r="AS169" s="11">
        <v>14</v>
      </c>
      <c r="AT169" s="12">
        <f t="shared" si="1061"/>
        <v>4.0935672514619881E-2</v>
      </c>
      <c r="AU169" s="13"/>
      <c r="AV169" s="11"/>
      <c r="AW169" s="11"/>
      <c r="AX169" s="14"/>
      <c r="AY169" s="10">
        <v>1</v>
      </c>
      <c r="AZ169" s="11"/>
      <c r="BA169" s="69">
        <f t="shared" si="1100"/>
        <v>693</v>
      </c>
      <c r="BB169" s="69">
        <f t="shared" si="1100"/>
        <v>60</v>
      </c>
      <c r="BC169" s="11">
        <v>357</v>
      </c>
      <c r="BD169" s="12">
        <f t="shared" si="1062"/>
        <v>0.53679653679653683</v>
      </c>
      <c r="BE169" s="11">
        <v>15</v>
      </c>
      <c r="BF169" s="12">
        <f t="shared" si="1063"/>
        <v>4.0322580645161289E-2</v>
      </c>
      <c r="BG169" s="13"/>
      <c r="BH169" s="11"/>
      <c r="BI169" s="11"/>
      <c r="BJ169" s="14"/>
      <c r="BK169" s="10">
        <v>1</v>
      </c>
      <c r="BL169" s="11"/>
      <c r="BM169" s="69">
        <f t="shared" si="1101"/>
        <v>700</v>
      </c>
      <c r="BN169" s="69">
        <f t="shared" si="1101"/>
        <v>59</v>
      </c>
      <c r="BO169" s="11">
        <v>321</v>
      </c>
      <c r="BP169" s="12">
        <f t="shared" si="1064"/>
        <v>0.47142857142857142</v>
      </c>
      <c r="BQ169" s="11">
        <v>9</v>
      </c>
      <c r="BR169" s="12">
        <f t="shared" si="1065"/>
        <v>2.7272727272727271E-2</v>
      </c>
      <c r="BS169" s="13"/>
      <c r="BT169" s="11"/>
      <c r="BU169" s="11"/>
      <c r="BV169" s="14"/>
      <c r="BW169" s="10"/>
      <c r="BX169" s="11"/>
      <c r="BY169" s="69">
        <f t="shared" si="1102"/>
        <v>0</v>
      </c>
      <c r="BZ169" s="69">
        <f t="shared" si="1102"/>
        <v>0</v>
      </c>
      <c r="CA169" s="11"/>
      <c r="CB169" s="12" t="e">
        <f t="shared" si="1066"/>
        <v>#DIV/0!</v>
      </c>
      <c r="CC169" s="11"/>
      <c r="CD169" s="12" t="e">
        <f t="shared" si="1067"/>
        <v>#DIV/0!</v>
      </c>
      <c r="CE169" s="13"/>
      <c r="CF169" s="11"/>
      <c r="CG169" s="11"/>
      <c r="CH169" s="14"/>
      <c r="CI169" s="10"/>
      <c r="CJ169" s="11"/>
      <c r="CK169" s="69">
        <f t="shared" si="1103"/>
        <v>0</v>
      </c>
      <c r="CL169" s="69">
        <f t="shared" si="1103"/>
        <v>0</v>
      </c>
      <c r="CM169" s="11"/>
      <c r="CN169" s="12" t="e">
        <f t="shared" si="1068"/>
        <v>#DIV/0!</v>
      </c>
      <c r="CO169" s="11"/>
      <c r="CP169" s="12" t="e">
        <f t="shared" si="1069"/>
        <v>#DIV/0!</v>
      </c>
      <c r="CQ169" s="13"/>
      <c r="CR169" s="11"/>
      <c r="CS169" s="11"/>
      <c r="CT169" s="14"/>
      <c r="CU169" s="10"/>
      <c r="CV169" s="11"/>
      <c r="CW169" s="69">
        <f t="shared" si="1104"/>
        <v>0</v>
      </c>
      <c r="CX169" s="69">
        <f t="shared" si="1104"/>
        <v>0</v>
      </c>
      <c r="CY169" s="11"/>
      <c r="CZ169" s="12" t="e">
        <f t="shared" si="1070"/>
        <v>#DIV/0!</v>
      </c>
      <c r="DA169" s="11"/>
      <c r="DB169" s="12" t="e">
        <f t="shared" si="1071"/>
        <v>#DIV/0!</v>
      </c>
      <c r="DC169" s="13"/>
      <c r="DD169" s="11"/>
      <c r="DE169" s="11"/>
      <c r="DF169" s="14"/>
      <c r="DG169" s="10"/>
      <c r="DH169" s="11"/>
      <c r="DI169" s="69">
        <f t="shared" si="1105"/>
        <v>0</v>
      </c>
      <c r="DJ169" s="69">
        <f t="shared" si="1105"/>
        <v>0</v>
      </c>
      <c r="DK169" s="11"/>
      <c r="DL169" s="12" t="e">
        <f t="shared" si="1072"/>
        <v>#DIV/0!</v>
      </c>
      <c r="DM169" s="11"/>
      <c r="DN169" s="12" t="e">
        <f t="shared" si="1073"/>
        <v>#DIV/0!</v>
      </c>
      <c r="DO169" s="13"/>
      <c r="DP169" s="11"/>
      <c r="DQ169" s="11"/>
      <c r="DR169" s="14"/>
      <c r="DS169" s="10"/>
      <c r="DT169" s="11"/>
      <c r="DU169" s="69">
        <f t="shared" si="1106"/>
        <v>0</v>
      </c>
      <c r="DV169" s="69">
        <f t="shared" si="1106"/>
        <v>0</v>
      </c>
      <c r="DW169" s="11"/>
      <c r="DX169" s="12" t="e">
        <f t="shared" si="1074"/>
        <v>#DIV/0!</v>
      </c>
      <c r="DY169" s="11"/>
      <c r="DZ169" s="12" t="e">
        <f t="shared" si="1075"/>
        <v>#DIV/0!</v>
      </c>
      <c r="EA169" s="13"/>
      <c r="EB169" s="11"/>
      <c r="EC169" s="11"/>
      <c r="ED169" s="14"/>
      <c r="EE169" s="10"/>
      <c r="EF169" s="11"/>
      <c r="EG169" s="69">
        <f t="shared" si="1107"/>
        <v>0</v>
      </c>
      <c r="EH169" s="69">
        <f t="shared" si="1107"/>
        <v>0</v>
      </c>
      <c r="EI169" s="11"/>
      <c r="EJ169" s="12" t="e">
        <f t="shared" si="1076"/>
        <v>#DIV/0!</v>
      </c>
      <c r="EK169" s="11"/>
      <c r="EL169" s="12" t="e">
        <f t="shared" si="1077"/>
        <v>#DIV/0!</v>
      </c>
      <c r="EM169" s="13"/>
      <c r="EN169" s="11"/>
      <c r="EO169" s="11"/>
      <c r="EP169" s="14"/>
      <c r="EQ169" s="10"/>
      <c r="ER169" s="11"/>
      <c r="ES169" s="69">
        <f t="shared" si="1108"/>
        <v>0</v>
      </c>
      <c r="ET169" s="69">
        <f t="shared" si="1108"/>
        <v>0</v>
      </c>
      <c r="EU169" s="11"/>
      <c r="EV169" s="12" t="e">
        <f t="shared" si="1078"/>
        <v>#DIV/0!</v>
      </c>
      <c r="EW169" s="11"/>
      <c r="EX169" s="12" t="e">
        <f t="shared" si="1079"/>
        <v>#DIV/0!</v>
      </c>
      <c r="EY169" s="13"/>
      <c r="EZ169" s="11"/>
      <c r="FA169" s="11"/>
      <c r="FB169" s="14"/>
      <c r="FC169" s="10"/>
      <c r="FD169" s="11"/>
      <c r="FE169" s="69">
        <f t="shared" si="1109"/>
        <v>0</v>
      </c>
      <c r="FF169" s="69">
        <f t="shared" si="1109"/>
        <v>0</v>
      </c>
      <c r="FG169" s="11"/>
      <c r="FH169" s="12" t="e">
        <f t="shared" si="1080"/>
        <v>#DIV/0!</v>
      </c>
      <c r="FI169" s="11"/>
      <c r="FJ169" s="12" t="e">
        <f t="shared" si="1081"/>
        <v>#DIV/0!</v>
      </c>
      <c r="FK169" s="13"/>
      <c r="FL169" s="11"/>
      <c r="FM169" s="11"/>
      <c r="FN169" s="14"/>
      <c r="FO169" s="10"/>
      <c r="FP169" s="11"/>
      <c r="FQ169" s="69">
        <f t="shared" si="1110"/>
        <v>0</v>
      </c>
      <c r="FR169" s="69">
        <f t="shared" si="1110"/>
        <v>0</v>
      </c>
      <c r="FS169" s="11"/>
      <c r="FT169" s="12" t="e">
        <f t="shared" si="1082"/>
        <v>#DIV/0!</v>
      </c>
      <c r="FU169" s="11"/>
      <c r="FV169" s="12" t="e">
        <f t="shared" si="1083"/>
        <v>#DIV/0!</v>
      </c>
      <c r="FW169" s="13"/>
      <c r="FX169" s="11"/>
      <c r="FY169" s="11"/>
      <c r="FZ169" s="14"/>
      <c r="GA169" s="10"/>
      <c r="GB169" s="11"/>
      <c r="GC169" s="69">
        <f t="shared" si="1111"/>
        <v>0</v>
      </c>
      <c r="GD169" s="69">
        <f t="shared" si="1111"/>
        <v>0</v>
      </c>
      <c r="GE169" s="11"/>
      <c r="GF169" s="12" t="e">
        <f t="shared" si="1084"/>
        <v>#DIV/0!</v>
      </c>
      <c r="GG169" s="11"/>
      <c r="GH169" s="12" t="e">
        <f t="shared" si="1085"/>
        <v>#DIV/0!</v>
      </c>
      <c r="GI169" s="13"/>
      <c r="GJ169" s="11"/>
      <c r="GK169" s="11"/>
      <c r="GL169" s="14"/>
      <c r="GM169" s="10"/>
      <c r="GN169" s="11"/>
      <c r="GO169" s="69">
        <f t="shared" si="1112"/>
        <v>0</v>
      </c>
      <c r="GP169" s="69">
        <f t="shared" si="1112"/>
        <v>0</v>
      </c>
      <c r="GQ169" s="11"/>
      <c r="GR169" s="12" t="e">
        <f t="shared" si="1086"/>
        <v>#DIV/0!</v>
      </c>
      <c r="GS169" s="11"/>
      <c r="GT169" s="12" t="e">
        <f t="shared" si="1087"/>
        <v>#DIV/0!</v>
      </c>
      <c r="GU169" s="13"/>
      <c r="GV169" s="11"/>
      <c r="GW169" s="11"/>
      <c r="GX169" s="14"/>
      <c r="GY169" s="10"/>
      <c r="GZ169" s="11"/>
      <c r="HA169" s="69">
        <f t="shared" si="1113"/>
        <v>0</v>
      </c>
      <c r="HB169" s="69">
        <f t="shared" si="1113"/>
        <v>0</v>
      </c>
      <c r="HC169" s="11"/>
      <c r="HD169" s="12" t="e">
        <f t="shared" si="1088"/>
        <v>#DIV/0!</v>
      </c>
      <c r="HE169" s="11"/>
      <c r="HF169" s="12" t="e">
        <f t="shared" si="1089"/>
        <v>#DIV/0!</v>
      </c>
      <c r="HG169" s="13"/>
      <c r="HH169" s="11"/>
      <c r="HI169" s="11"/>
      <c r="HJ169" s="14"/>
      <c r="HK169" s="10">
        <f t="shared" si="1090"/>
        <v>4</v>
      </c>
      <c r="HL169" s="11">
        <f t="shared" si="1090"/>
        <v>0</v>
      </c>
      <c r="HM169" s="11">
        <f t="shared" si="1090"/>
        <v>3515</v>
      </c>
      <c r="HN169" s="11">
        <f t="shared" si="1090"/>
        <v>297</v>
      </c>
      <c r="HO169" s="11">
        <f t="shared" si="1091"/>
        <v>1721</v>
      </c>
      <c r="HP169" s="95">
        <f t="shared" si="1092"/>
        <v>0.48961593172119489</v>
      </c>
      <c r="HQ169" s="15">
        <f t="shared" si="1093"/>
        <v>92</v>
      </c>
      <c r="HR169" s="12">
        <f t="shared" si="1114"/>
        <v>5.3457292271934923E-2</v>
      </c>
      <c r="HS169" s="16">
        <v>70.400000000000006</v>
      </c>
      <c r="HT169" s="17">
        <v>1558</v>
      </c>
      <c r="HU169" s="16">
        <f t="shared" si="1094"/>
        <v>90.528762347472409</v>
      </c>
      <c r="HV169" s="15"/>
      <c r="HW169" s="14"/>
    </row>
    <row r="170" spans="1:231" ht="18.75" x14ac:dyDescent="0.25">
      <c r="A170" s="374"/>
      <c r="B170" s="41">
        <f t="shared" si="814"/>
        <v>45070</v>
      </c>
      <c r="C170" s="10">
        <v>1</v>
      </c>
      <c r="D170" s="11"/>
      <c r="E170" s="69">
        <f t="shared" si="1095"/>
        <v>620</v>
      </c>
      <c r="F170" s="69">
        <f t="shared" si="1095"/>
        <v>51</v>
      </c>
      <c r="G170" s="11">
        <v>243</v>
      </c>
      <c r="H170" s="12">
        <f t="shared" si="1055"/>
        <v>0.4096774193548387</v>
      </c>
      <c r="I170" s="11">
        <v>11</v>
      </c>
      <c r="J170" s="12">
        <f t="shared" si="1096"/>
        <v>4.3307086614173228E-2</v>
      </c>
      <c r="K170" s="11"/>
      <c r="L170" s="11"/>
      <c r="M170" s="18"/>
      <c r="N170" s="20"/>
      <c r="O170" s="10"/>
      <c r="P170" s="11"/>
      <c r="Q170" s="69">
        <f t="shared" si="1097"/>
        <v>624</v>
      </c>
      <c r="R170" s="69">
        <f t="shared" si="1097"/>
        <v>53</v>
      </c>
      <c r="S170" s="11">
        <v>276</v>
      </c>
      <c r="T170" s="12">
        <f t="shared" si="1056"/>
        <v>0.46794871794871795</v>
      </c>
      <c r="U170" s="11">
        <v>16</v>
      </c>
      <c r="V170" s="12">
        <f t="shared" si="1057"/>
        <v>5.4794520547945202E-2</v>
      </c>
      <c r="W170" s="11"/>
      <c r="X170" s="11"/>
      <c r="Y170" s="18"/>
      <c r="Z170" s="20"/>
      <c r="AA170" s="10">
        <v>1</v>
      </c>
      <c r="AB170" s="11"/>
      <c r="AC170" s="69">
        <f t="shared" si="1098"/>
        <v>177</v>
      </c>
      <c r="AD170" s="69">
        <f t="shared" si="1098"/>
        <v>14</v>
      </c>
      <c r="AE170" s="11">
        <v>65</v>
      </c>
      <c r="AF170" s="12">
        <f t="shared" si="1058"/>
        <v>0.38983050847457629</v>
      </c>
      <c r="AG170" s="11">
        <v>4</v>
      </c>
      <c r="AH170" s="12">
        <f t="shared" si="1059"/>
        <v>5.7971014492753624E-2</v>
      </c>
      <c r="AI170" s="11"/>
      <c r="AJ170" s="11"/>
      <c r="AK170" s="18"/>
      <c r="AL170" s="20"/>
      <c r="AM170" s="10"/>
      <c r="AN170" s="11"/>
      <c r="AO170" s="69">
        <f t="shared" si="1099"/>
        <v>699</v>
      </c>
      <c r="AP170" s="69">
        <f t="shared" si="1099"/>
        <v>60</v>
      </c>
      <c r="AQ170" s="11">
        <v>284</v>
      </c>
      <c r="AR170" s="12">
        <f t="shared" si="1060"/>
        <v>0.43776824034334766</v>
      </c>
      <c r="AS170" s="11">
        <v>22</v>
      </c>
      <c r="AT170" s="12">
        <f t="shared" si="1061"/>
        <v>7.1895424836601302E-2</v>
      </c>
      <c r="AU170" s="11"/>
      <c r="AV170" s="11"/>
      <c r="AW170" s="18"/>
      <c r="AX170" s="20"/>
      <c r="AY170" s="10"/>
      <c r="AZ170" s="11"/>
      <c r="BA170" s="69">
        <f t="shared" si="1100"/>
        <v>693</v>
      </c>
      <c r="BB170" s="69">
        <f t="shared" si="1100"/>
        <v>60</v>
      </c>
      <c r="BC170" s="11">
        <v>289</v>
      </c>
      <c r="BD170" s="12">
        <f t="shared" si="1062"/>
        <v>0.44011544011544013</v>
      </c>
      <c r="BE170" s="11">
        <v>16</v>
      </c>
      <c r="BF170" s="12">
        <f t="shared" si="1063"/>
        <v>5.2459016393442623E-2</v>
      </c>
      <c r="BG170" s="11"/>
      <c r="BH170" s="11"/>
      <c r="BI170" s="18"/>
      <c r="BJ170" s="20"/>
      <c r="BK170" s="10"/>
      <c r="BL170" s="11"/>
      <c r="BM170" s="69">
        <f t="shared" si="1101"/>
        <v>700</v>
      </c>
      <c r="BN170" s="69">
        <f t="shared" si="1101"/>
        <v>59</v>
      </c>
      <c r="BO170" s="11">
        <v>278</v>
      </c>
      <c r="BP170" s="12">
        <f t="shared" si="1064"/>
        <v>0.41428571428571431</v>
      </c>
      <c r="BQ170" s="11">
        <v>12</v>
      </c>
      <c r="BR170" s="12">
        <f t="shared" si="1065"/>
        <v>4.1379310344827586E-2</v>
      </c>
      <c r="BS170" s="11"/>
      <c r="BT170" s="11"/>
      <c r="BU170" s="18"/>
      <c r="BV170" s="20"/>
      <c r="BW170" s="10"/>
      <c r="BX170" s="11"/>
      <c r="BY170" s="69">
        <f t="shared" si="1102"/>
        <v>0</v>
      </c>
      <c r="BZ170" s="69">
        <f t="shared" si="1102"/>
        <v>0</v>
      </c>
      <c r="CA170" s="11"/>
      <c r="CB170" s="12" t="e">
        <f t="shared" si="1066"/>
        <v>#DIV/0!</v>
      </c>
      <c r="CC170" s="11"/>
      <c r="CD170" s="12" t="e">
        <f t="shared" si="1067"/>
        <v>#DIV/0!</v>
      </c>
      <c r="CE170" s="11"/>
      <c r="CF170" s="11"/>
      <c r="CG170" s="18"/>
      <c r="CH170" s="20"/>
      <c r="CI170" s="10"/>
      <c r="CJ170" s="11"/>
      <c r="CK170" s="69">
        <f t="shared" si="1103"/>
        <v>0</v>
      </c>
      <c r="CL170" s="69">
        <f t="shared" si="1103"/>
        <v>0</v>
      </c>
      <c r="CM170" s="11"/>
      <c r="CN170" s="12" t="e">
        <f t="shared" si="1068"/>
        <v>#DIV/0!</v>
      </c>
      <c r="CO170" s="11"/>
      <c r="CP170" s="12" t="e">
        <f t="shared" si="1069"/>
        <v>#DIV/0!</v>
      </c>
      <c r="CQ170" s="11"/>
      <c r="CR170" s="11"/>
      <c r="CS170" s="18"/>
      <c r="CT170" s="20"/>
      <c r="CU170" s="10"/>
      <c r="CV170" s="11"/>
      <c r="CW170" s="69">
        <f t="shared" si="1104"/>
        <v>0</v>
      </c>
      <c r="CX170" s="69">
        <f t="shared" si="1104"/>
        <v>0</v>
      </c>
      <c r="CY170" s="11"/>
      <c r="CZ170" s="12" t="e">
        <f t="shared" si="1070"/>
        <v>#DIV/0!</v>
      </c>
      <c r="DA170" s="11"/>
      <c r="DB170" s="12" t="e">
        <f t="shared" si="1071"/>
        <v>#DIV/0!</v>
      </c>
      <c r="DC170" s="11"/>
      <c r="DD170" s="11"/>
      <c r="DE170" s="18"/>
      <c r="DF170" s="20"/>
      <c r="DG170" s="10"/>
      <c r="DH170" s="11"/>
      <c r="DI170" s="69">
        <f t="shared" si="1105"/>
        <v>0</v>
      </c>
      <c r="DJ170" s="69">
        <f t="shared" si="1105"/>
        <v>0</v>
      </c>
      <c r="DK170" s="11"/>
      <c r="DL170" s="12" t="e">
        <f t="shared" si="1072"/>
        <v>#DIV/0!</v>
      </c>
      <c r="DM170" s="11"/>
      <c r="DN170" s="12" t="e">
        <f t="shared" si="1073"/>
        <v>#DIV/0!</v>
      </c>
      <c r="DO170" s="11"/>
      <c r="DP170" s="11"/>
      <c r="DQ170" s="18"/>
      <c r="DR170" s="20"/>
      <c r="DS170" s="10"/>
      <c r="DT170" s="11"/>
      <c r="DU170" s="69">
        <f t="shared" si="1106"/>
        <v>0</v>
      </c>
      <c r="DV170" s="69">
        <f t="shared" si="1106"/>
        <v>0</v>
      </c>
      <c r="DW170" s="11"/>
      <c r="DX170" s="12" t="e">
        <f t="shared" si="1074"/>
        <v>#DIV/0!</v>
      </c>
      <c r="DY170" s="11"/>
      <c r="DZ170" s="12" t="e">
        <f t="shared" si="1075"/>
        <v>#DIV/0!</v>
      </c>
      <c r="EA170" s="11"/>
      <c r="EB170" s="11"/>
      <c r="EC170" s="18"/>
      <c r="ED170" s="20"/>
      <c r="EE170" s="10"/>
      <c r="EF170" s="11"/>
      <c r="EG170" s="69">
        <f t="shared" si="1107"/>
        <v>0</v>
      </c>
      <c r="EH170" s="69">
        <f t="shared" si="1107"/>
        <v>0</v>
      </c>
      <c r="EI170" s="11"/>
      <c r="EJ170" s="12" t="e">
        <f t="shared" si="1076"/>
        <v>#DIV/0!</v>
      </c>
      <c r="EK170" s="11"/>
      <c r="EL170" s="12" t="e">
        <f t="shared" si="1077"/>
        <v>#DIV/0!</v>
      </c>
      <c r="EM170" s="11"/>
      <c r="EN170" s="11"/>
      <c r="EO170" s="18"/>
      <c r="EP170" s="20"/>
      <c r="EQ170" s="10"/>
      <c r="ER170" s="11"/>
      <c r="ES170" s="69">
        <f t="shared" si="1108"/>
        <v>0</v>
      </c>
      <c r="ET170" s="69">
        <f t="shared" si="1108"/>
        <v>0</v>
      </c>
      <c r="EU170" s="11"/>
      <c r="EV170" s="12" t="e">
        <f t="shared" si="1078"/>
        <v>#DIV/0!</v>
      </c>
      <c r="EW170" s="11"/>
      <c r="EX170" s="12" t="e">
        <f t="shared" si="1079"/>
        <v>#DIV/0!</v>
      </c>
      <c r="EY170" s="11"/>
      <c r="EZ170" s="11"/>
      <c r="FA170" s="18"/>
      <c r="FB170" s="20"/>
      <c r="FC170" s="10"/>
      <c r="FD170" s="11"/>
      <c r="FE170" s="69">
        <f t="shared" si="1109"/>
        <v>0</v>
      </c>
      <c r="FF170" s="69">
        <f t="shared" si="1109"/>
        <v>0</v>
      </c>
      <c r="FG170" s="11"/>
      <c r="FH170" s="12" t="e">
        <f t="shared" si="1080"/>
        <v>#DIV/0!</v>
      </c>
      <c r="FI170" s="11"/>
      <c r="FJ170" s="12" t="e">
        <f t="shared" si="1081"/>
        <v>#DIV/0!</v>
      </c>
      <c r="FK170" s="11"/>
      <c r="FL170" s="11"/>
      <c r="FM170" s="18"/>
      <c r="FN170" s="20"/>
      <c r="FO170" s="10"/>
      <c r="FP170" s="11"/>
      <c r="FQ170" s="69">
        <f t="shared" si="1110"/>
        <v>0</v>
      </c>
      <c r="FR170" s="69">
        <f t="shared" si="1110"/>
        <v>0</v>
      </c>
      <c r="FS170" s="11"/>
      <c r="FT170" s="12" t="e">
        <f t="shared" si="1082"/>
        <v>#DIV/0!</v>
      </c>
      <c r="FU170" s="11"/>
      <c r="FV170" s="12" t="e">
        <f t="shared" si="1083"/>
        <v>#DIV/0!</v>
      </c>
      <c r="FW170" s="11"/>
      <c r="FX170" s="11"/>
      <c r="FY170" s="18"/>
      <c r="FZ170" s="20"/>
      <c r="GA170" s="10"/>
      <c r="GB170" s="11"/>
      <c r="GC170" s="69">
        <f t="shared" si="1111"/>
        <v>0</v>
      </c>
      <c r="GD170" s="69">
        <f t="shared" si="1111"/>
        <v>0</v>
      </c>
      <c r="GE170" s="11"/>
      <c r="GF170" s="12" t="e">
        <f t="shared" si="1084"/>
        <v>#DIV/0!</v>
      </c>
      <c r="GG170" s="11"/>
      <c r="GH170" s="12" t="e">
        <f t="shared" si="1085"/>
        <v>#DIV/0!</v>
      </c>
      <c r="GI170" s="11"/>
      <c r="GJ170" s="11"/>
      <c r="GK170" s="18"/>
      <c r="GL170" s="20"/>
      <c r="GM170" s="10"/>
      <c r="GN170" s="11"/>
      <c r="GO170" s="69">
        <f t="shared" si="1112"/>
        <v>0</v>
      </c>
      <c r="GP170" s="69">
        <f t="shared" si="1112"/>
        <v>0</v>
      </c>
      <c r="GQ170" s="11"/>
      <c r="GR170" s="12" t="e">
        <f t="shared" si="1086"/>
        <v>#DIV/0!</v>
      </c>
      <c r="GS170" s="11"/>
      <c r="GT170" s="12" t="e">
        <f t="shared" si="1087"/>
        <v>#DIV/0!</v>
      </c>
      <c r="GU170" s="11"/>
      <c r="GV170" s="11"/>
      <c r="GW170" s="18"/>
      <c r="GX170" s="20"/>
      <c r="GY170" s="10"/>
      <c r="GZ170" s="11"/>
      <c r="HA170" s="69">
        <f t="shared" si="1113"/>
        <v>0</v>
      </c>
      <c r="HB170" s="69">
        <f t="shared" si="1113"/>
        <v>0</v>
      </c>
      <c r="HC170" s="11"/>
      <c r="HD170" s="12" t="e">
        <f t="shared" si="1088"/>
        <v>#DIV/0!</v>
      </c>
      <c r="HE170" s="11"/>
      <c r="HF170" s="12" t="e">
        <f t="shared" si="1089"/>
        <v>#DIV/0!</v>
      </c>
      <c r="HG170" s="11"/>
      <c r="HH170" s="11"/>
      <c r="HI170" s="18"/>
      <c r="HJ170" s="20"/>
      <c r="HK170" s="10">
        <f t="shared" si="1090"/>
        <v>2</v>
      </c>
      <c r="HL170" s="11">
        <f t="shared" si="1090"/>
        <v>0</v>
      </c>
      <c r="HM170" s="11">
        <f t="shared" si="1090"/>
        <v>3513</v>
      </c>
      <c r="HN170" s="11">
        <f t="shared" si="1090"/>
        <v>297</v>
      </c>
      <c r="HO170" s="11">
        <f t="shared" si="1091"/>
        <v>1516</v>
      </c>
      <c r="HP170" s="95">
        <f t="shared" si="1092"/>
        <v>0.43153999430686024</v>
      </c>
      <c r="HQ170" s="15">
        <f t="shared" si="1093"/>
        <v>81</v>
      </c>
      <c r="HR170" s="12">
        <f t="shared" si="1114"/>
        <v>5.343007915567282E-2</v>
      </c>
      <c r="HS170" s="16">
        <v>70.099999999999994</v>
      </c>
      <c r="HT170" s="17">
        <v>1373</v>
      </c>
      <c r="HU170" s="16">
        <f t="shared" si="1094"/>
        <v>90.567282321899739</v>
      </c>
      <c r="HV170" s="18"/>
      <c r="HW170" s="20"/>
    </row>
    <row r="171" spans="1:231" ht="18.75" x14ac:dyDescent="0.25">
      <c r="A171" s="374"/>
      <c r="B171" s="41">
        <f t="shared" si="814"/>
        <v>45071</v>
      </c>
      <c r="C171" s="10"/>
      <c r="D171" s="11"/>
      <c r="E171" s="69">
        <f t="shared" si="1095"/>
        <v>620</v>
      </c>
      <c r="F171" s="69">
        <f t="shared" si="1095"/>
        <v>51</v>
      </c>
      <c r="G171" s="11">
        <v>250</v>
      </c>
      <c r="H171" s="12">
        <f t="shared" si="1055"/>
        <v>0.43548387096774194</v>
      </c>
      <c r="I171" s="11">
        <v>20</v>
      </c>
      <c r="J171" s="12">
        <f t="shared" si="1096"/>
        <v>7.407407407407407E-2</v>
      </c>
      <c r="K171" s="13"/>
      <c r="L171" s="13"/>
      <c r="M171" s="25"/>
      <c r="N171" s="38">
        <v>4520</v>
      </c>
      <c r="O171" s="10">
        <v>1</v>
      </c>
      <c r="P171" s="11"/>
      <c r="Q171" s="69">
        <f t="shared" si="1097"/>
        <v>623</v>
      </c>
      <c r="R171" s="69">
        <f t="shared" si="1097"/>
        <v>53</v>
      </c>
      <c r="S171" s="11">
        <v>277</v>
      </c>
      <c r="T171" s="12">
        <f t="shared" si="1056"/>
        <v>0.47351524879614765</v>
      </c>
      <c r="U171" s="11">
        <v>18</v>
      </c>
      <c r="V171" s="12">
        <f t="shared" si="1057"/>
        <v>6.1016949152542375E-2</v>
      </c>
      <c r="W171" s="13"/>
      <c r="X171" s="13"/>
      <c r="Y171" s="25"/>
      <c r="Z171" s="38">
        <v>4520</v>
      </c>
      <c r="AA171" s="10"/>
      <c r="AB171" s="11"/>
      <c r="AC171" s="69">
        <f t="shared" si="1098"/>
        <v>177</v>
      </c>
      <c r="AD171" s="69">
        <f t="shared" si="1098"/>
        <v>14</v>
      </c>
      <c r="AE171" s="11">
        <v>59</v>
      </c>
      <c r="AF171" s="12">
        <f t="shared" si="1058"/>
        <v>0.3559322033898305</v>
      </c>
      <c r="AG171" s="11">
        <v>4</v>
      </c>
      <c r="AH171" s="12">
        <f t="shared" si="1059"/>
        <v>6.3492063492063489E-2</v>
      </c>
      <c r="AI171" s="13"/>
      <c r="AJ171" s="13"/>
      <c r="AK171" s="25"/>
      <c r="AL171" s="38">
        <v>4520</v>
      </c>
      <c r="AM171" s="10"/>
      <c r="AN171" s="11"/>
      <c r="AO171" s="69">
        <f t="shared" si="1099"/>
        <v>699</v>
      </c>
      <c r="AP171" s="69">
        <f t="shared" si="1099"/>
        <v>60</v>
      </c>
      <c r="AQ171" s="11">
        <v>318</v>
      </c>
      <c r="AR171" s="12">
        <f t="shared" si="1060"/>
        <v>0.4792560801144492</v>
      </c>
      <c r="AS171" s="11">
        <v>17</v>
      </c>
      <c r="AT171" s="12">
        <f t="shared" si="1061"/>
        <v>5.0746268656716415E-2</v>
      </c>
      <c r="AU171" s="13"/>
      <c r="AV171" s="13"/>
      <c r="AW171" s="25"/>
      <c r="AX171" s="38">
        <v>4520</v>
      </c>
      <c r="AY171" s="10">
        <v>2</v>
      </c>
      <c r="AZ171" s="11"/>
      <c r="BA171" s="69">
        <f t="shared" si="1100"/>
        <v>691</v>
      </c>
      <c r="BB171" s="69">
        <f t="shared" si="1100"/>
        <v>60</v>
      </c>
      <c r="BC171" s="11">
        <v>299</v>
      </c>
      <c r="BD171" s="12">
        <f t="shared" si="1062"/>
        <v>0.46164978292329956</v>
      </c>
      <c r="BE171" s="11">
        <v>20</v>
      </c>
      <c r="BF171" s="12">
        <f t="shared" si="1063"/>
        <v>6.2695924764890276E-2</v>
      </c>
      <c r="BG171" s="13"/>
      <c r="BH171" s="13"/>
      <c r="BI171" s="25"/>
      <c r="BJ171" s="38">
        <v>4520</v>
      </c>
      <c r="BK171" s="10">
        <v>1</v>
      </c>
      <c r="BL171" s="11"/>
      <c r="BM171" s="69">
        <f t="shared" si="1101"/>
        <v>699</v>
      </c>
      <c r="BN171" s="69">
        <f t="shared" si="1101"/>
        <v>59</v>
      </c>
      <c r="BO171" s="11">
        <v>280</v>
      </c>
      <c r="BP171" s="12">
        <f t="shared" si="1064"/>
        <v>0.43061516452074394</v>
      </c>
      <c r="BQ171" s="11">
        <v>21</v>
      </c>
      <c r="BR171" s="12">
        <f t="shared" si="1065"/>
        <v>6.9767441860465115E-2</v>
      </c>
      <c r="BS171" s="13"/>
      <c r="BT171" s="13"/>
      <c r="BU171" s="25"/>
      <c r="BV171" s="38">
        <v>4520</v>
      </c>
      <c r="BW171" s="10"/>
      <c r="BX171" s="11"/>
      <c r="BY171" s="69">
        <f t="shared" si="1102"/>
        <v>0</v>
      </c>
      <c r="BZ171" s="69">
        <f t="shared" si="1102"/>
        <v>0</v>
      </c>
      <c r="CA171" s="11"/>
      <c r="CB171" s="12" t="e">
        <f t="shared" si="1066"/>
        <v>#DIV/0!</v>
      </c>
      <c r="CC171" s="11"/>
      <c r="CD171" s="12" t="e">
        <f t="shared" si="1067"/>
        <v>#DIV/0!</v>
      </c>
      <c r="CE171" s="13"/>
      <c r="CF171" s="13"/>
      <c r="CG171" s="25"/>
      <c r="CH171" s="38"/>
      <c r="CI171" s="10"/>
      <c r="CJ171" s="11"/>
      <c r="CK171" s="69">
        <f t="shared" si="1103"/>
        <v>0</v>
      </c>
      <c r="CL171" s="69">
        <f t="shared" si="1103"/>
        <v>0</v>
      </c>
      <c r="CM171" s="11"/>
      <c r="CN171" s="12" t="e">
        <f t="shared" si="1068"/>
        <v>#DIV/0!</v>
      </c>
      <c r="CO171" s="11"/>
      <c r="CP171" s="12" t="e">
        <f t="shared" si="1069"/>
        <v>#DIV/0!</v>
      </c>
      <c r="CQ171" s="13"/>
      <c r="CR171" s="13"/>
      <c r="CS171" s="25"/>
      <c r="CT171" s="38"/>
      <c r="CU171" s="10"/>
      <c r="CV171" s="11"/>
      <c r="CW171" s="69">
        <f t="shared" si="1104"/>
        <v>0</v>
      </c>
      <c r="CX171" s="69">
        <f t="shared" si="1104"/>
        <v>0</v>
      </c>
      <c r="CY171" s="11"/>
      <c r="CZ171" s="12" t="e">
        <f t="shared" si="1070"/>
        <v>#DIV/0!</v>
      </c>
      <c r="DA171" s="11"/>
      <c r="DB171" s="12" t="e">
        <f t="shared" si="1071"/>
        <v>#DIV/0!</v>
      </c>
      <c r="DC171" s="13"/>
      <c r="DD171" s="13"/>
      <c r="DE171" s="25"/>
      <c r="DF171" s="38"/>
      <c r="DG171" s="10"/>
      <c r="DH171" s="11"/>
      <c r="DI171" s="69">
        <f t="shared" si="1105"/>
        <v>0</v>
      </c>
      <c r="DJ171" s="69">
        <f t="shared" si="1105"/>
        <v>0</v>
      </c>
      <c r="DK171" s="11"/>
      <c r="DL171" s="12" t="e">
        <f t="shared" si="1072"/>
        <v>#DIV/0!</v>
      </c>
      <c r="DM171" s="11"/>
      <c r="DN171" s="12" t="e">
        <f t="shared" si="1073"/>
        <v>#DIV/0!</v>
      </c>
      <c r="DO171" s="13"/>
      <c r="DP171" s="13"/>
      <c r="DQ171" s="25"/>
      <c r="DR171" s="38"/>
      <c r="DS171" s="10"/>
      <c r="DT171" s="11"/>
      <c r="DU171" s="69">
        <f t="shared" si="1106"/>
        <v>0</v>
      </c>
      <c r="DV171" s="69">
        <f t="shared" si="1106"/>
        <v>0</v>
      </c>
      <c r="DW171" s="11"/>
      <c r="DX171" s="12" t="e">
        <f t="shared" si="1074"/>
        <v>#DIV/0!</v>
      </c>
      <c r="DY171" s="11"/>
      <c r="DZ171" s="12" t="e">
        <f t="shared" si="1075"/>
        <v>#DIV/0!</v>
      </c>
      <c r="EA171" s="13"/>
      <c r="EB171" s="13"/>
      <c r="EC171" s="25"/>
      <c r="ED171" s="38"/>
      <c r="EE171" s="10"/>
      <c r="EF171" s="11"/>
      <c r="EG171" s="69">
        <f t="shared" si="1107"/>
        <v>0</v>
      </c>
      <c r="EH171" s="69">
        <f t="shared" si="1107"/>
        <v>0</v>
      </c>
      <c r="EI171" s="11"/>
      <c r="EJ171" s="12" t="e">
        <f t="shared" si="1076"/>
        <v>#DIV/0!</v>
      </c>
      <c r="EK171" s="11"/>
      <c r="EL171" s="12" t="e">
        <f t="shared" si="1077"/>
        <v>#DIV/0!</v>
      </c>
      <c r="EM171" s="13"/>
      <c r="EN171" s="13"/>
      <c r="EO171" s="25"/>
      <c r="EP171" s="38"/>
      <c r="EQ171" s="10"/>
      <c r="ER171" s="11"/>
      <c r="ES171" s="69">
        <f t="shared" si="1108"/>
        <v>0</v>
      </c>
      <c r="ET171" s="69">
        <f t="shared" si="1108"/>
        <v>0</v>
      </c>
      <c r="EU171" s="11"/>
      <c r="EV171" s="12" t="e">
        <f t="shared" si="1078"/>
        <v>#DIV/0!</v>
      </c>
      <c r="EW171" s="11"/>
      <c r="EX171" s="12" t="e">
        <f t="shared" si="1079"/>
        <v>#DIV/0!</v>
      </c>
      <c r="EY171" s="13"/>
      <c r="EZ171" s="13"/>
      <c r="FA171" s="25"/>
      <c r="FB171" s="38"/>
      <c r="FC171" s="10"/>
      <c r="FD171" s="11"/>
      <c r="FE171" s="69">
        <f t="shared" si="1109"/>
        <v>0</v>
      </c>
      <c r="FF171" s="69">
        <f t="shared" si="1109"/>
        <v>0</v>
      </c>
      <c r="FG171" s="11"/>
      <c r="FH171" s="12" t="e">
        <f t="shared" si="1080"/>
        <v>#DIV/0!</v>
      </c>
      <c r="FI171" s="11"/>
      <c r="FJ171" s="12" t="e">
        <f t="shared" si="1081"/>
        <v>#DIV/0!</v>
      </c>
      <c r="FK171" s="13"/>
      <c r="FL171" s="13"/>
      <c r="FM171" s="25"/>
      <c r="FN171" s="38"/>
      <c r="FO171" s="10"/>
      <c r="FP171" s="11"/>
      <c r="FQ171" s="69">
        <f t="shared" si="1110"/>
        <v>0</v>
      </c>
      <c r="FR171" s="69">
        <f t="shared" si="1110"/>
        <v>0</v>
      </c>
      <c r="FS171" s="11"/>
      <c r="FT171" s="12" t="e">
        <f t="shared" si="1082"/>
        <v>#DIV/0!</v>
      </c>
      <c r="FU171" s="11"/>
      <c r="FV171" s="12" t="e">
        <f t="shared" si="1083"/>
        <v>#DIV/0!</v>
      </c>
      <c r="FW171" s="13"/>
      <c r="FX171" s="13"/>
      <c r="FY171" s="25"/>
      <c r="FZ171" s="38"/>
      <c r="GA171" s="10"/>
      <c r="GB171" s="11"/>
      <c r="GC171" s="69">
        <f t="shared" si="1111"/>
        <v>0</v>
      </c>
      <c r="GD171" s="69">
        <f t="shared" si="1111"/>
        <v>0</v>
      </c>
      <c r="GE171" s="11"/>
      <c r="GF171" s="12" t="e">
        <f t="shared" si="1084"/>
        <v>#DIV/0!</v>
      </c>
      <c r="GG171" s="11"/>
      <c r="GH171" s="12" t="e">
        <f t="shared" si="1085"/>
        <v>#DIV/0!</v>
      </c>
      <c r="GI171" s="13"/>
      <c r="GJ171" s="13"/>
      <c r="GK171" s="25"/>
      <c r="GL171" s="38"/>
      <c r="GM171" s="10"/>
      <c r="GN171" s="11"/>
      <c r="GO171" s="69">
        <f t="shared" si="1112"/>
        <v>0</v>
      </c>
      <c r="GP171" s="69">
        <f t="shared" si="1112"/>
        <v>0</v>
      </c>
      <c r="GQ171" s="11"/>
      <c r="GR171" s="12" t="e">
        <f t="shared" si="1086"/>
        <v>#DIV/0!</v>
      </c>
      <c r="GS171" s="11"/>
      <c r="GT171" s="12" t="e">
        <f t="shared" si="1087"/>
        <v>#DIV/0!</v>
      </c>
      <c r="GU171" s="13"/>
      <c r="GV171" s="13"/>
      <c r="GW171" s="25"/>
      <c r="GX171" s="38"/>
      <c r="GY171" s="10"/>
      <c r="GZ171" s="11"/>
      <c r="HA171" s="69">
        <f t="shared" si="1113"/>
        <v>0</v>
      </c>
      <c r="HB171" s="69">
        <f t="shared" si="1113"/>
        <v>0</v>
      </c>
      <c r="HC171" s="11"/>
      <c r="HD171" s="12" t="e">
        <f t="shared" si="1088"/>
        <v>#DIV/0!</v>
      </c>
      <c r="HE171" s="11"/>
      <c r="HF171" s="12" t="e">
        <f t="shared" si="1089"/>
        <v>#DIV/0!</v>
      </c>
      <c r="HG171" s="13"/>
      <c r="HH171" s="13"/>
      <c r="HI171" s="25"/>
      <c r="HJ171" s="38"/>
      <c r="HK171" s="10">
        <f t="shared" si="1090"/>
        <v>4</v>
      </c>
      <c r="HL171" s="11">
        <f t="shared" si="1090"/>
        <v>0</v>
      </c>
      <c r="HM171" s="11">
        <f t="shared" si="1090"/>
        <v>3509</v>
      </c>
      <c r="HN171" s="11">
        <f t="shared" si="1090"/>
        <v>297</v>
      </c>
      <c r="HO171" s="11">
        <f t="shared" si="1091"/>
        <v>1583</v>
      </c>
      <c r="HP171" s="95">
        <f t="shared" si="1092"/>
        <v>0.45112567683100596</v>
      </c>
      <c r="HQ171" s="15">
        <f t="shared" si="1093"/>
        <v>100</v>
      </c>
      <c r="HR171" s="12">
        <f t="shared" si="1114"/>
        <v>6.3171193935565376E-2</v>
      </c>
      <c r="HS171" s="16">
        <v>70.2</v>
      </c>
      <c r="HT171" s="17">
        <v>1426</v>
      </c>
      <c r="HU171" s="16">
        <f t="shared" si="1094"/>
        <v>90.082122552116246</v>
      </c>
      <c r="HV171" s="23"/>
      <c r="HW171" s="22">
        <v>4520</v>
      </c>
    </row>
    <row r="172" spans="1:231" ht="18.75" x14ac:dyDescent="0.25">
      <c r="A172" s="374"/>
      <c r="B172" s="41">
        <f t="shared" si="814"/>
        <v>45072</v>
      </c>
      <c r="C172" s="10">
        <v>1</v>
      </c>
      <c r="D172" s="11"/>
      <c r="E172" s="69">
        <f t="shared" si="1095"/>
        <v>619</v>
      </c>
      <c r="F172" s="69">
        <f t="shared" si="1095"/>
        <v>51</v>
      </c>
      <c r="G172" s="11">
        <v>243</v>
      </c>
      <c r="H172" s="12">
        <f t="shared" si="1055"/>
        <v>0.42164781906300486</v>
      </c>
      <c r="I172" s="11">
        <v>18</v>
      </c>
      <c r="J172" s="12">
        <f t="shared" si="1096"/>
        <v>6.8965517241379309E-2</v>
      </c>
      <c r="K172" s="13"/>
      <c r="L172" s="11"/>
      <c r="M172" s="25"/>
      <c r="N172" s="38">
        <v>5034.166666666667</v>
      </c>
      <c r="O172" s="10"/>
      <c r="P172" s="11"/>
      <c r="Q172" s="69">
        <f t="shared" si="1097"/>
        <v>623</v>
      </c>
      <c r="R172" s="69">
        <f t="shared" si="1097"/>
        <v>53</v>
      </c>
      <c r="S172" s="11">
        <v>260</v>
      </c>
      <c r="T172" s="12">
        <f t="shared" si="1056"/>
        <v>0.44301765650080255</v>
      </c>
      <c r="U172" s="11">
        <v>16</v>
      </c>
      <c r="V172" s="12">
        <f t="shared" si="1057"/>
        <v>5.7971014492753624E-2</v>
      </c>
      <c r="W172" s="13"/>
      <c r="X172" s="11"/>
      <c r="Y172" s="25"/>
      <c r="Z172" s="38">
        <v>4870</v>
      </c>
      <c r="AA172" s="10">
        <v>1</v>
      </c>
      <c r="AB172" s="11"/>
      <c r="AC172" s="69">
        <f t="shared" si="1098"/>
        <v>176</v>
      </c>
      <c r="AD172" s="69">
        <f t="shared" si="1098"/>
        <v>14</v>
      </c>
      <c r="AE172" s="11">
        <v>48</v>
      </c>
      <c r="AF172" s="12">
        <f t="shared" si="1058"/>
        <v>0.30681818181818182</v>
      </c>
      <c r="AG172" s="11">
        <v>6</v>
      </c>
      <c r="AH172" s="12">
        <f t="shared" si="1059"/>
        <v>0.1111111111111111</v>
      </c>
      <c r="AI172" s="13"/>
      <c r="AJ172" s="11"/>
      <c r="AK172" s="25"/>
      <c r="AL172" s="38">
        <v>4513.333333333333</v>
      </c>
      <c r="AM172" s="10"/>
      <c r="AN172" s="11"/>
      <c r="AO172" s="69">
        <f t="shared" si="1099"/>
        <v>699</v>
      </c>
      <c r="AP172" s="69">
        <f t="shared" si="1099"/>
        <v>60</v>
      </c>
      <c r="AQ172" s="11">
        <v>281</v>
      </c>
      <c r="AR172" s="12">
        <f t="shared" si="1060"/>
        <v>0.43204577968526464</v>
      </c>
      <c r="AS172" s="11">
        <v>21</v>
      </c>
      <c r="AT172" s="12">
        <f t="shared" si="1061"/>
        <v>6.9536423841059597E-2</v>
      </c>
      <c r="AU172" s="13"/>
      <c r="AV172" s="11"/>
      <c r="AW172" s="25"/>
      <c r="AX172" s="38">
        <v>4762.5</v>
      </c>
      <c r="AY172" s="10"/>
      <c r="AZ172" s="11"/>
      <c r="BA172" s="69">
        <f t="shared" si="1100"/>
        <v>691</v>
      </c>
      <c r="BB172" s="69">
        <f t="shared" si="1100"/>
        <v>60</v>
      </c>
      <c r="BC172" s="11">
        <v>273</v>
      </c>
      <c r="BD172" s="12">
        <f t="shared" si="1062"/>
        <v>0.42112879884225762</v>
      </c>
      <c r="BE172" s="11">
        <v>18</v>
      </c>
      <c r="BF172" s="12">
        <f t="shared" si="1063"/>
        <v>6.1855670103092786E-2</v>
      </c>
      <c r="BG172" s="13"/>
      <c r="BH172" s="11"/>
      <c r="BI172" s="25"/>
      <c r="BJ172" s="38">
        <v>4611</v>
      </c>
      <c r="BK172" s="10"/>
      <c r="BL172" s="11"/>
      <c r="BM172" s="69">
        <f t="shared" si="1101"/>
        <v>699</v>
      </c>
      <c r="BN172" s="69">
        <f t="shared" si="1101"/>
        <v>59</v>
      </c>
      <c r="BO172" s="11">
        <v>238</v>
      </c>
      <c r="BP172" s="12">
        <f t="shared" si="1064"/>
        <v>0.36623748211731044</v>
      </c>
      <c r="BQ172" s="11">
        <v>18</v>
      </c>
      <c r="BR172" s="12">
        <f t="shared" si="1065"/>
        <v>7.03125E-2</v>
      </c>
      <c r="BS172" s="13"/>
      <c r="BT172" s="11"/>
      <c r="BU172" s="25"/>
      <c r="BV172" s="38">
        <v>4805.7142857142853</v>
      </c>
      <c r="BW172" s="10"/>
      <c r="BX172" s="11"/>
      <c r="BY172" s="69">
        <f t="shared" si="1102"/>
        <v>0</v>
      </c>
      <c r="BZ172" s="69">
        <f t="shared" si="1102"/>
        <v>0</v>
      </c>
      <c r="CA172" s="11"/>
      <c r="CB172" s="12" t="e">
        <f t="shared" si="1066"/>
        <v>#DIV/0!</v>
      </c>
      <c r="CC172" s="11"/>
      <c r="CD172" s="12" t="e">
        <f t="shared" si="1067"/>
        <v>#DIV/0!</v>
      </c>
      <c r="CE172" s="13"/>
      <c r="CF172" s="11"/>
      <c r="CG172" s="25"/>
      <c r="CH172" s="38"/>
      <c r="CI172" s="10"/>
      <c r="CJ172" s="11"/>
      <c r="CK172" s="69">
        <f t="shared" si="1103"/>
        <v>0</v>
      </c>
      <c r="CL172" s="69">
        <f t="shared" si="1103"/>
        <v>0</v>
      </c>
      <c r="CM172" s="11"/>
      <c r="CN172" s="12" t="e">
        <f t="shared" si="1068"/>
        <v>#DIV/0!</v>
      </c>
      <c r="CO172" s="11"/>
      <c r="CP172" s="12" t="e">
        <f t="shared" si="1069"/>
        <v>#DIV/0!</v>
      </c>
      <c r="CQ172" s="13"/>
      <c r="CR172" s="11"/>
      <c r="CS172" s="25"/>
      <c r="CT172" s="38"/>
      <c r="CU172" s="10"/>
      <c r="CV172" s="11"/>
      <c r="CW172" s="69">
        <f t="shared" si="1104"/>
        <v>0</v>
      </c>
      <c r="CX172" s="69">
        <f t="shared" si="1104"/>
        <v>0</v>
      </c>
      <c r="CY172" s="11"/>
      <c r="CZ172" s="12" t="e">
        <f t="shared" si="1070"/>
        <v>#DIV/0!</v>
      </c>
      <c r="DA172" s="11"/>
      <c r="DB172" s="12" t="e">
        <f t="shared" si="1071"/>
        <v>#DIV/0!</v>
      </c>
      <c r="DC172" s="13"/>
      <c r="DD172" s="11"/>
      <c r="DE172" s="25"/>
      <c r="DF172" s="38"/>
      <c r="DG172" s="10"/>
      <c r="DH172" s="11"/>
      <c r="DI172" s="69">
        <f t="shared" si="1105"/>
        <v>0</v>
      </c>
      <c r="DJ172" s="69">
        <f t="shared" si="1105"/>
        <v>0</v>
      </c>
      <c r="DK172" s="11"/>
      <c r="DL172" s="12" t="e">
        <f t="shared" si="1072"/>
        <v>#DIV/0!</v>
      </c>
      <c r="DM172" s="11"/>
      <c r="DN172" s="12" t="e">
        <f t="shared" si="1073"/>
        <v>#DIV/0!</v>
      </c>
      <c r="DO172" s="13"/>
      <c r="DP172" s="11"/>
      <c r="DQ172" s="25"/>
      <c r="DR172" s="38"/>
      <c r="DS172" s="10"/>
      <c r="DT172" s="11"/>
      <c r="DU172" s="69">
        <f t="shared" si="1106"/>
        <v>0</v>
      </c>
      <c r="DV172" s="69">
        <f t="shared" si="1106"/>
        <v>0</v>
      </c>
      <c r="DW172" s="11"/>
      <c r="DX172" s="12" t="e">
        <f t="shared" si="1074"/>
        <v>#DIV/0!</v>
      </c>
      <c r="DY172" s="11"/>
      <c r="DZ172" s="12" t="e">
        <f t="shared" si="1075"/>
        <v>#DIV/0!</v>
      </c>
      <c r="EA172" s="13"/>
      <c r="EB172" s="11"/>
      <c r="EC172" s="25"/>
      <c r="ED172" s="38"/>
      <c r="EE172" s="10"/>
      <c r="EF172" s="11"/>
      <c r="EG172" s="69">
        <f t="shared" si="1107"/>
        <v>0</v>
      </c>
      <c r="EH172" s="69">
        <f t="shared" si="1107"/>
        <v>0</v>
      </c>
      <c r="EI172" s="11"/>
      <c r="EJ172" s="12" t="e">
        <f t="shared" si="1076"/>
        <v>#DIV/0!</v>
      </c>
      <c r="EK172" s="11"/>
      <c r="EL172" s="12" t="e">
        <f t="shared" si="1077"/>
        <v>#DIV/0!</v>
      </c>
      <c r="EM172" s="13"/>
      <c r="EN172" s="11"/>
      <c r="EO172" s="25"/>
      <c r="EP172" s="38"/>
      <c r="EQ172" s="10"/>
      <c r="ER172" s="11"/>
      <c r="ES172" s="69">
        <f t="shared" si="1108"/>
        <v>0</v>
      </c>
      <c r="ET172" s="69">
        <f t="shared" si="1108"/>
        <v>0</v>
      </c>
      <c r="EU172" s="11"/>
      <c r="EV172" s="12" t="e">
        <f t="shared" si="1078"/>
        <v>#DIV/0!</v>
      </c>
      <c r="EW172" s="11"/>
      <c r="EX172" s="12" t="e">
        <f t="shared" si="1079"/>
        <v>#DIV/0!</v>
      </c>
      <c r="EY172" s="13"/>
      <c r="EZ172" s="11"/>
      <c r="FA172" s="25"/>
      <c r="FB172" s="38"/>
      <c r="FC172" s="10"/>
      <c r="FD172" s="11"/>
      <c r="FE172" s="69">
        <f t="shared" si="1109"/>
        <v>0</v>
      </c>
      <c r="FF172" s="69">
        <f t="shared" si="1109"/>
        <v>0</v>
      </c>
      <c r="FG172" s="11"/>
      <c r="FH172" s="12" t="e">
        <f t="shared" si="1080"/>
        <v>#DIV/0!</v>
      </c>
      <c r="FI172" s="11"/>
      <c r="FJ172" s="12" t="e">
        <f t="shared" si="1081"/>
        <v>#DIV/0!</v>
      </c>
      <c r="FK172" s="13"/>
      <c r="FL172" s="11"/>
      <c r="FM172" s="25"/>
      <c r="FN172" s="38"/>
      <c r="FO172" s="10"/>
      <c r="FP172" s="11"/>
      <c r="FQ172" s="69">
        <f t="shared" si="1110"/>
        <v>0</v>
      </c>
      <c r="FR172" s="69">
        <f t="shared" si="1110"/>
        <v>0</v>
      </c>
      <c r="FS172" s="11"/>
      <c r="FT172" s="12" t="e">
        <f t="shared" si="1082"/>
        <v>#DIV/0!</v>
      </c>
      <c r="FU172" s="11"/>
      <c r="FV172" s="12" t="e">
        <f t="shared" si="1083"/>
        <v>#DIV/0!</v>
      </c>
      <c r="FW172" s="13"/>
      <c r="FX172" s="11"/>
      <c r="FY172" s="25"/>
      <c r="FZ172" s="38"/>
      <c r="GA172" s="10"/>
      <c r="GB172" s="11"/>
      <c r="GC172" s="69">
        <f t="shared" si="1111"/>
        <v>0</v>
      </c>
      <c r="GD172" s="69">
        <f t="shared" si="1111"/>
        <v>0</v>
      </c>
      <c r="GE172" s="11"/>
      <c r="GF172" s="12" t="e">
        <f t="shared" si="1084"/>
        <v>#DIV/0!</v>
      </c>
      <c r="GG172" s="11"/>
      <c r="GH172" s="12" t="e">
        <f t="shared" si="1085"/>
        <v>#DIV/0!</v>
      </c>
      <c r="GI172" s="13"/>
      <c r="GJ172" s="11"/>
      <c r="GK172" s="25"/>
      <c r="GL172" s="38"/>
      <c r="GM172" s="10"/>
      <c r="GN172" s="11"/>
      <c r="GO172" s="69">
        <f t="shared" si="1112"/>
        <v>0</v>
      </c>
      <c r="GP172" s="69">
        <f t="shared" si="1112"/>
        <v>0</v>
      </c>
      <c r="GQ172" s="11"/>
      <c r="GR172" s="12" t="e">
        <f t="shared" si="1086"/>
        <v>#DIV/0!</v>
      </c>
      <c r="GS172" s="11"/>
      <c r="GT172" s="12" t="e">
        <f t="shared" si="1087"/>
        <v>#DIV/0!</v>
      </c>
      <c r="GU172" s="13"/>
      <c r="GV172" s="11"/>
      <c r="GW172" s="25"/>
      <c r="GX172" s="38"/>
      <c r="GY172" s="10"/>
      <c r="GZ172" s="11"/>
      <c r="HA172" s="69">
        <f t="shared" si="1113"/>
        <v>0</v>
      </c>
      <c r="HB172" s="69">
        <f t="shared" si="1113"/>
        <v>0</v>
      </c>
      <c r="HC172" s="11"/>
      <c r="HD172" s="12" t="e">
        <f t="shared" si="1088"/>
        <v>#DIV/0!</v>
      </c>
      <c r="HE172" s="11"/>
      <c r="HF172" s="12" t="e">
        <f t="shared" si="1089"/>
        <v>#DIV/0!</v>
      </c>
      <c r="HG172" s="13"/>
      <c r="HH172" s="11"/>
      <c r="HI172" s="25"/>
      <c r="HJ172" s="38"/>
      <c r="HK172" s="10">
        <f t="shared" si="1090"/>
        <v>2</v>
      </c>
      <c r="HL172" s="11">
        <f t="shared" si="1090"/>
        <v>0</v>
      </c>
      <c r="HM172" s="11">
        <f t="shared" si="1090"/>
        <v>3507</v>
      </c>
      <c r="HN172" s="11">
        <f t="shared" si="1090"/>
        <v>297</v>
      </c>
      <c r="HO172" s="11">
        <f t="shared" si="1091"/>
        <v>1440</v>
      </c>
      <c r="HP172" s="95">
        <f t="shared" si="1092"/>
        <v>0.41060735671514115</v>
      </c>
      <c r="HQ172" s="15">
        <f t="shared" si="1093"/>
        <v>97</v>
      </c>
      <c r="HR172" s="12">
        <f t="shared" si="1114"/>
        <v>6.7361111111111108E-2</v>
      </c>
      <c r="HS172" s="16">
        <v>70.400000000000006</v>
      </c>
      <c r="HT172" s="17">
        <v>1284</v>
      </c>
      <c r="HU172" s="16">
        <f t="shared" si="1094"/>
        <v>89.166666666666671</v>
      </c>
      <c r="HV172" s="23"/>
      <c r="HW172" s="22">
        <v>4808.7755102040801</v>
      </c>
    </row>
    <row r="173" spans="1:231" ht="18.75" x14ac:dyDescent="0.25">
      <c r="A173" s="374"/>
      <c r="B173" s="41">
        <f t="shared" si="814"/>
        <v>45073</v>
      </c>
      <c r="C173" s="10"/>
      <c r="D173" s="11"/>
      <c r="E173" s="69">
        <f>E172-C173</f>
        <v>619</v>
      </c>
      <c r="F173" s="69">
        <f>F172-D173</f>
        <v>51</v>
      </c>
      <c r="G173" s="11">
        <v>247</v>
      </c>
      <c r="H173" s="12">
        <f t="shared" si="1055"/>
        <v>0.4394184168012924</v>
      </c>
      <c r="I173" s="11">
        <v>25</v>
      </c>
      <c r="J173" s="12">
        <f t="shared" si="1096"/>
        <v>9.1911764705882359E-2</v>
      </c>
      <c r="K173" s="13"/>
      <c r="L173" s="11"/>
      <c r="M173" s="39"/>
      <c r="N173" s="43">
        <v>100</v>
      </c>
      <c r="O173" s="10"/>
      <c r="P173" s="11"/>
      <c r="Q173" s="69">
        <f t="shared" si="1097"/>
        <v>623</v>
      </c>
      <c r="R173" s="69">
        <f t="shared" si="1097"/>
        <v>53</v>
      </c>
      <c r="S173" s="11">
        <v>247</v>
      </c>
      <c r="T173" s="12">
        <f t="shared" si="1056"/>
        <v>0.42536115569823435</v>
      </c>
      <c r="U173" s="11">
        <v>18</v>
      </c>
      <c r="V173" s="12">
        <f t="shared" si="1057"/>
        <v>6.7924528301886791E-2</v>
      </c>
      <c r="W173" s="13"/>
      <c r="X173" s="11"/>
      <c r="Y173" s="39"/>
      <c r="Z173" s="43">
        <v>100</v>
      </c>
      <c r="AA173" s="10">
        <v>1</v>
      </c>
      <c r="AB173" s="11"/>
      <c r="AC173" s="69">
        <f t="shared" si="1098"/>
        <v>175</v>
      </c>
      <c r="AD173" s="69">
        <f t="shared" si="1098"/>
        <v>14</v>
      </c>
      <c r="AE173" s="11">
        <v>42</v>
      </c>
      <c r="AF173" s="12">
        <f t="shared" si="1058"/>
        <v>0.28000000000000003</v>
      </c>
      <c r="AG173" s="11">
        <v>7</v>
      </c>
      <c r="AH173" s="12">
        <f t="shared" si="1059"/>
        <v>0.14285714285714285</v>
      </c>
      <c r="AI173" s="13"/>
      <c r="AJ173" s="11"/>
      <c r="AK173" s="39"/>
      <c r="AL173" s="43">
        <v>100</v>
      </c>
      <c r="AM173" s="10">
        <v>2</v>
      </c>
      <c r="AN173" s="11"/>
      <c r="AO173" s="69">
        <f t="shared" si="1099"/>
        <v>697</v>
      </c>
      <c r="AP173" s="69">
        <f t="shared" si="1099"/>
        <v>60</v>
      </c>
      <c r="AQ173" s="11">
        <v>258</v>
      </c>
      <c r="AR173" s="12">
        <f t="shared" si="1060"/>
        <v>0.39741750358680056</v>
      </c>
      <c r="AS173" s="11">
        <v>19</v>
      </c>
      <c r="AT173" s="12">
        <f t="shared" si="1061"/>
        <v>6.8592057761732855E-2</v>
      </c>
      <c r="AU173" s="13"/>
      <c r="AV173" s="11"/>
      <c r="AW173" s="39"/>
      <c r="AX173" s="43">
        <v>100</v>
      </c>
      <c r="AY173" s="10"/>
      <c r="AZ173" s="11"/>
      <c r="BA173" s="69">
        <f t="shared" si="1100"/>
        <v>691</v>
      </c>
      <c r="BB173" s="69">
        <f t="shared" si="1100"/>
        <v>60</v>
      </c>
      <c r="BC173" s="11">
        <v>259</v>
      </c>
      <c r="BD173" s="12">
        <f t="shared" si="1062"/>
        <v>0.41244573082489144</v>
      </c>
      <c r="BE173" s="11">
        <v>26</v>
      </c>
      <c r="BF173" s="12">
        <f t="shared" si="1063"/>
        <v>9.1228070175438603E-2</v>
      </c>
      <c r="BG173" s="13"/>
      <c r="BH173" s="11"/>
      <c r="BI173" s="39"/>
      <c r="BJ173" s="43">
        <v>90</v>
      </c>
      <c r="BK173" s="10"/>
      <c r="BL173" s="11"/>
      <c r="BM173" s="69">
        <f t="shared" si="1101"/>
        <v>699</v>
      </c>
      <c r="BN173" s="69">
        <f t="shared" si="1101"/>
        <v>59</v>
      </c>
      <c r="BO173" s="11">
        <v>258</v>
      </c>
      <c r="BP173" s="12">
        <f t="shared" si="1064"/>
        <v>0.38626609442060084</v>
      </c>
      <c r="BQ173" s="11">
        <v>12</v>
      </c>
      <c r="BR173" s="12">
        <f t="shared" si="1065"/>
        <v>4.4444444444444446E-2</v>
      </c>
      <c r="BS173" s="13"/>
      <c r="BT173" s="11"/>
      <c r="BU173" s="39"/>
      <c r="BV173" s="43">
        <v>100</v>
      </c>
      <c r="BW173" s="10"/>
      <c r="BX173" s="11"/>
      <c r="BY173" s="69">
        <f t="shared" si="1102"/>
        <v>0</v>
      </c>
      <c r="BZ173" s="69">
        <f t="shared" si="1102"/>
        <v>0</v>
      </c>
      <c r="CA173" s="11"/>
      <c r="CB173" s="12" t="e">
        <f t="shared" si="1066"/>
        <v>#DIV/0!</v>
      </c>
      <c r="CC173" s="11"/>
      <c r="CD173" s="12" t="e">
        <f t="shared" si="1067"/>
        <v>#DIV/0!</v>
      </c>
      <c r="CE173" s="13"/>
      <c r="CF173" s="11"/>
      <c r="CG173" s="39"/>
      <c r="CH173" s="43"/>
      <c r="CI173" s="10"/>
      <c r="CJ173" s="11"/>
      <c r="CK173" s="69">
        <f t="shared" si="1103"/>
        <v>0</v>
      </c>
      <c r="CL173" s="69">
        <f t="shared" si="1103"/>
        <v>0</v>
      </c>
      <c r="CM173" s="11"/>
      <c r="CN173" s="12" t="e">
        <f t="shared" si="1068"/>
        <v>#DIV/0!</v>
      </c>
      <c r="CO173" s="11"/>
      <c r="CP173" s="12" t="e">
        <f t="shared" si="1069"/>
        <v>#DIV/0!</v>
      </c>
      <c r="CQ173" s="13"/>
      <c r="CR173" s="11"/>
      <c r="CS173" s="39"/>
      <c r="CT173" s="43"/>
      <c r="CU173" s="10"/>
      <c r="CV173" s="11"/>
      <c r="CW173" s="69">
        <f t="shared" si="1104"/>
        <v>0</v>
      </c>
      <c r="CX173" s="69">
        <f t="shared" si="1104"/>
        <v>0</v>
      </c>
      <c r="CY173" s="11"/>
      <c r="CZ173" s="12" t="e">
        <f t="shared" si="1070"/>
        <v>#DIV/0!</v>
      </c>
      <c r="DA173" s="11"/>
      <c r="DB173" s="12" t="e">
        <f t="shared" si="1071"/>
        <v>#DIV/0!</v>
      </c>
      <c r="DC173" s="13"/>
      <c r="DD173" s="11"/>
      <c r="DE173" s="39"/>
      <c r="DF173" s="43"/>
      <c r="DG173" s="10"/>
      <c r="DH173" s="11"/>
      <c r="DI173" s="69">
        <f t="shared" si="1105"/>
        <v>0</v>
      </c>
      <c r="DJ173" s="69">
        <f t="shared" si="1105"/>
        <v>0</v>
      </c>
      <c r="DK173" s="11"/>
      <c r="DL173" s="12" t="e">
        <f t="shared" si="1072"/>
        <v>#DIV/0!</v>
      </c>
      <c r="DM173" s="11"/>
      <c r="DN173" s="12" t="e">
        <f t="shared" si="1073"/>
        <v>#DIV/0!</v>
      </c>
      <c r="DO173" s="13"/>
      <c r="DP173" s="11"/>
      <c r="DQ173" s="39"/>
      <c r="DR173" s="43"/>
      <c r="DS173" s="10"/>
      <c r="DT173" s="11"/>
      <c r="DU173" s="69">
        <f t="shared" si="1106"/>
        <v>0</v>
      </c>
      <c r="DV173" s="69">
        <f t="shared" si="1106"/>
        <v>0</v>
      </c>
      <c r="DW173" s="11"/>
      <c r="DX173" s="12" t="e">
        <f t="shared" si="1074"/>
        <v>#DIV/0!</v>
      </c>
      <c r="DY173" s="11"/>
      <c r="DZ173" s="12" t="e">
        <f t="shared" si="1075"/>
        <v>#DIV/0!</v>
      </c>
      <c r="EA173" s="13"/>
      <c r="EB173" s="11"/>
      <c r="EC173" s="39"/>
      <c r="ED173" s="43"/>
      <c r="EE173" s="10"/>
      <c r="EF173" s="11"/>
      <c r="EG173" s="69">
        <f t="shared" si="1107"/>
        <v>0</v>
      </c>
      <c r="EH173" s="69">
        <f t="shared" si="1107"/>
        <v>0</v>
      </c>
      <c r="EI173" s="11"/>
      <c r="EJ173" s="12" t="e">
        <f t="shared" si="1076"/>
        <v>#DIV/0!</v>
      </c>
      <c r="EK173" s="11"/>
      <c r="EL173" s="12" t="e">
        <f t="shared" si="1077"/>
        <v>#DIV/0!</v>
      </c>
      <c r="EM173" s="13"/>
      <c r="EN173" s="11"/>
      <c r="EO173" s="39"/>
      <c r="EP173" s="43"/>
      <c r="EQ173" s="10"/>
      <c r="ER173" s="11"/>
      <c r="ES173" s="69">
        <f t="shared" si="1108"/>
        <v>0</v>
      </c>
      <c r="ET173" s="69">
        <f t="shared" si="1108"/>
        <v>0</v>
      </c>
      <c r="EU173" s="11"/>
      <c r="EV173" s="12" t="e">
        <f t="shared" si="1078"/>
        <v>#DIV/0!</v>
      </c>
      <c r="EW173" s="11"/>
      <c r="EX173" s="12" t="e">
        <f t="shared" si="1079"/>
        <v>#DIV/0!</v>
      </c>
      <c r="EY173" s="13"/>
      <c r="EZ173" s="11"/>
      <c r="FA173" s="39"/>
      <c r="FB173" s="43"/>
      <c r="FC173" s="10"/>
      <c r="FD173" s="11"/>
      <c r="FE173" s="69">
        <f t="shared" si="1109"/>
        <v>0</v>
      </c>
      <c r="FF173" s="69">
        <f t="shared" si="1109"/>
        <v>0</v>
      </c>
      <c r="FG173" s="11"/>
      <c r="FH173" s="12" t="e">
        <f t="shared" si="1080"/>
        <v>#DIV/0!</v>
      </c>
      <c r="FI173" s="11"/>
      <c r="FJ173" s="12" t="e">
        <f t="shared" si="1081"/>
        <v>#DIV/0!</v>
      </c>
      <c r="FK173" s="13"/>
      <c r="FL173" s="11"/>
      <c r="FM173" s="39"/>
      <c r="FN173" s="43"/>
      <c r="FO173" s="10"/>
      <c r="FP173" s="11"/>
      <c r="FQ173" s="69">
        <f t="shared" si="1110"/>
        <v>0</v>
      </c>
      <c r="FR173" s="69">
        <f t="shared" si="1110"/>
        <v>0</v>
      </c>
      <c r="FS173" s="11"/>
      <c r="FT173" s="12" t="e">
        <f t="shared" si="1082"/>
        <v>#DIV/0!</v>
      </c>
      <c r="FU173" s="11"/>
      <c r="FV173" s="12" t="e">
        <f t="shared" si="1083"/>
        <v>#DIV/0!</v>
      </c>
      <c r="FW173" s="13"/>
      <c r="FX173" s="11"/>
      <c r="FY173" s="39"/>
      <c r="FZ173" s="43"/>
      <c r="GA173" s="10"/>
      <c r="GB173" s="11"/>
      <c r="GC173" s="69">
        <f t="shared" si="1111"/>
        <v>0</v>
      </c>
      <c r="GD173" s="69">
        <f t="shared" si="1111"/>
        <v>0</v>
      </c>
      <c r="GE173" s="11"/>
      <c r="GF173" s="12" t="e">
        <f t="shared" si="1084"/>
        <v>#DIV/0!</v>
      </c>
      <c r="GG173" s="11"/>
      <c r="GH173" s="12" t="e">
        <f t="shared" si="1085"/>
        <v>#DIV/0!</v>
      </c>
      <c r="GI173" s="13"/>
      <c r="GJ173" s="11"/>
      <c r="GK173" s="39"/>
      <c r="GL173" s="43"/>
      <c r="GM173" s="10"/>
      <c r="GN173" s="11"/>
      <c r="GO173" s="69">
        <f t="shared" si="1112"/>
        <v>0</v>
      </c>
      <c r="GP173" s="69">
        <f t="shared" si="1112"/>
        <v>0</v>
      </c>
      <c r="GQ173" s="11"/>
      <c r="GR173" s="12" t="e">
        <f t="shared" si="1086"/>
        <v>#DIV/0!</v>
      </c>
      <c r="GS173" s="11"/>
      <c r="GT173" s="12" t="e">
        <f t="shared" si="1087"/>
        <v>#DIV/0!</v>
      </c>
      <c r="GU173" s="13"/>
      <c r="GV173" s="11"/>
      <c r="GW173" s="39"/>
      <c r="GX173" s="43"/>
      <c r="GY173" s="10"/>
      <c r="GZ173" s="11"/>
      <c r="HA173" s="69">
        <f t="shared" si="1113"/>
        <v>0</v>
      </c>
      <c r="HB173" s="69">
        <f t="shared" si="1113"/>
        <v>0</v>
      </c>
      <c r="HC173" s="11"/>
      <c r="HD173" s="12" t="e">
        <f t="shared" si="1088"/>
        <v>#DIV/0!</v>
      </c>
      <c r="HE173" s="11"/>
      <c r="HF173" s="12" t="e">
        <f t="shared" si="1089"/>
        <v>#DIV/0!</v>
      </c>
      <c r="HG173" s="13"/>
      <c r="HH173" s="11"/>
      <c r="HI173" s="39"/>
      <c r="HJ173" s="43"/>
      <c r="HK173" s="10">
        <f t="shared" si="1090"/>
        <v>3</v>
      </c>
      <c r="HL173" s="11">
        <f t="shared" si="1090"/>
        <v>0</v>
      </c>
      <c r="HM173" s="11">
        <f t="shared" si="1090"/>
        <v>3504</v>
      </c>
      <c r="HN173" s="11">
        <f t="shared" si="1090"/>
        <v>297</v>
      </c>
      <c r="HO173" s="11">
        <f t="shared" si="1091"/>
        <v>1418</v>
      </c>
      <c r="HP173" s="95">
        <f t="shared" si="1092"/>
        <v>0.40468036529680368</v>
      </c>
      <c r="HQ173" s="15">
        <f t="shared" si="1093"/>
        <v>107</v>
      </c>
      <c r="HR173" s="12">
        <f t="shared" si="1114"/>
        <v>7.5458392101551475E-2</v>
      </c>
      <c r="HS173" s="16">
        <v>69.7</v>
      </c>
      <c r="HT173" s="17">
        <v>1249</v>
      </c>
      <c r="HU173" s="16">
        <f t="shared" si="1094"/>
        <v>88.081805359661487</v>
      </c>
      <c r="HV173" s="23"/>
      <c r="HW173" s="22">
        <v>89.795918367346943</v>
      </c>
    </row>
    <row r="174" spans="1:231" ht="19.5" thickBot="1" x14ac:dyDescent="0.3">
      <c r="A174" s="374"/>
      <c r="B174" s="42"/>
      <c r="C174" s="26">
        <f>SUM(C167:C173)</f>
        <v>5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0.43964920378490657</v>
      </c>
      <c r="I174" s="27">
        <f>SUM(I167:I173)</f>
        <v>134</v>
      </c>
      <c r="J174" s="28">
        <f>(I174/(I174+G174))</f>
        <v>7.0341207349081364E-2</v>
      </c>
      <c r="K174" s="27"/>
      <c r="L174" s="27"/>
      <c r="M174" s="29" t="e">
        <f>M172/M171*100-100</f>
        <v>#DIV/0!</v>
      </c>
      <c r="N174" s="67">
        <f>N172/N171*100-100</f>
        <v>11.375368731563412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1912</v>
      </c>
      <c r="T174" s="28">
        <f>((S174+U174)/7)/Q173</f>
        <v>0.4654895666131621</v>
      </c>
      <c r="U174" s="27">
        <f>SUM(U167:U173)</f>
        <v>118</v>
      </c>
      <c r="V174" s="28">
        <f>(U174/(U174+S174))</f>
        <v>5.8128078817733991E-2</v>
      </c>
      <c r="W174" s="27"/>
      <c r="X174" s="27"/>
      <c r="Y174" s="29" t="e">
        <f>Y172/Y171*100-100</f>
        <v>#DIV/0!</v>
      </c>
      <c r="Z174" s="67">
        <f>Z172/Z171*100-100</f>
        <v>7.7433628318584198</v>
      </c>
      <c r="AA174" s="26">
        <f>SUM(AA167:AA173)</f>
        <v>6</v>
      </c>
      <c r="AB174" s="27">
        <f>SUM(AB167:AB173)</f>
        <v>1</v>
      </c>
      <c r="AC174" s="27"/>
      <c r="AD174" s="27"/>
      <c r="AE174" s="27">
        <f>SUM(AE167:AE173)</f>
        <v>427</v>
      </c>
      <c r="AF174" s="28">
        <f>((AE174+AG174)/7)/AC173</f>
        <v>0.38285714285714284</v>
      </c>
      <c r="AG174" s="27">
        <f>SUM(AG167:AG173)</f>
        <v>42</v>
      </c>
      <c r="AH174" s="28">
        <f>(AG174/(AG174+AE174))</f>
        <v>8.9552238805970144E-2</v>
      </c>
      <c r="AI174" s="27"/>
      <c r="AJ174" s="27"/>
      <c r="AK174" s="29" t="e">
        <f>AK172/AK171*100-100</f>
        <v>#DIV/0!</v>
      </c>
      <c r="AL174" s="67">
        <f>AL172/AL171*100-100</f>
        <v>-0.14749262536874141</v>
      </c>
      <c r="AM174" s="26">
        <f>SUM(AM167:AM173)</f>
        <v>4</v>
      </c>
      <c r="AN174" s="27">
        <f>SUM(AN167:AN173)</f>
        <v>0</v>
      </c>
      <c r="AO174" s="27"/>
      <c r="AP174" s="27"/>
      <c r="AQ174" s="27">
        <f>SUM(AQ167:AQ173)</f>
        <v>2096</v>
      </c>
      <c r="AR174" s="28">
        <f>((AQ174+AS174)/7)/AO173</f>
        <v>0.45829063332650133</v>
      </c>
      <c r="AS174" s="27">
        <f>SUM(AS167:AS173)</f>
        <v>140</v>
      </c>
      <c r="AT174" s="28">
        <f>(AS174/(AS174+AQ174))</f>
        <v>6.2611806797853303E-2</v>
      </c>
      <c r="AU174" s="27"/>
      <c r="AV174" s="27"/>
      <c r="AW174" s="29" t="e">
        <f>AW172/AW171*100-100</f>
        <v>#DIV/0!</v>
      </c>
      <c r="AX174" s="67">
        <f>AX172/AX171*100-100</f>
        <v>5.3650442477876084</v>
      </c>
      <c r="AY174" s="26">
        <f>SUM(AY167:AY173)</f>
        <v>4</v>
      </c>
      <c r="AZ174" s="27">
        <f>SUM(AZ167:AZ173)</f>
        <v>0</v>
      </c>
      <c r="BA174" s="27"/>
      <c r="BB174" s="27"/>
      <c r="BC174" s="27">
        <f>SUM(BC167:BC173)</f>
        <v>2111</v>
      </c>
      <c r="BD174" s="28">
        <f>((BC174+BE174)/7)/BA173</f>
        <v>0.46619805664668185</v>
      </c>
      <c r="BE174" s="27">
        <f>SUM(BE167:BE173)</f>
        <v>144</v>
      </c>
      <c r="BF174" s="28">
        <f>(BE174/(BE174+BC174))</f>
        <v>6.3858093126385809E-2</v>
      </c>
      <c r="BG174" s="27"/>
      <c r="BH174" s="27"/>
      <c r="BI174" s="29" t="e">
        <f>BI172/BI171*100-100</f>
        <v>#DIV/0!</v>
      </c>
      <c r="BJ174" s="67">
        <f>BJ172/BJ171*100-100</f>
        <v>2.0132743362831746</v>
      </c>
      <c r="BK174" s="26">
        <f>SUM(BK167:BK173)</f>
        <v>3</v>
      </c>
      <c r="BL174" s="27">
        <f>SUM(BL167:BL173)</f>
        <v>0</v>
      </c>
      <c r="BM174" s="27"/>
      <c r="BN174" s="27"/>
      <c r="BO174" s="27">
        <f>SUM(BO167:BO173)</f>
        <v>1999</v>
      </c>
      <c r="BP174" s="28">
        <f>((BO174+BQ174)/7)/BM173</f>
        <v>0.42938892295115477</v>
      </c>
      <c r="BQ174" s="27">
        <f>SUM(BQ167:BQ173)</f>
        <v>102</v>
      </c>
      <c r="BR174" s="28">
        <f>(BQ174/(BQ174+BO174))</f>
        <v>4.8548310328415042E-2</v>
      </c>
      <c r="BS174" s="27"/>
      <c r="BT174" s="27"/>
      <c r="BU174" s="29" t="e">
        <f>BU172/BU171*100-100</f>
        <v>#DIV/0!</v>
      </c>
      <c r="BV174" s="67">
        <f>BV172/BV171*100-100</f>
        <v>6.321112515802767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7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7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7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7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7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7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7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7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7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7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7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7" t="e">
        <f>HJ172/HJ171*100-100</f>
        <v>#DIV/0!</v>
      </c>
      <c r="HK174" s="26">
        <f t="shared" si="1090"/>
        <v>24</v>
      </c>
      <c r="HL174" s="27">
        <f t="shared" si="1090"/>
        <v>1</v>
      </c>
      <c r="HM174" s="27">
        <f t="shared" si="1090"/>
        <v>0</v>
      </c>
      <c r="HN174" s="27">
        <f t="shared" si="1090"/>
        <v>0</v>
      </c>
      <c r="HO174" s="27">
        <f t="shared" si="1091"/>
        <v>10996</v>
      </c>
      <c r="HP174" s="96">
        <f>+((HO174)/HM173)/7</f>
        <v>0.44830397912589692</v>
      </c>
      <c r="HQ174" s="62">
        <f t="shared" si="1093"/>
        <v>680</v>
      </c>
      <c r="HR174" s="52">
        <f t="shared" si="1114"/>
        <v>6.1840669334303384E-2</v>
      </c>
      <c r="HS174" s="53">
        <f>SUM(HS167:HS173)/7</f>
        <v>70.214285714285708</v>
      </c>
      <c r="HT174" s="54">
        <f>SUM(HT167:HT173)</f>
        <v>9876</v>
      </c>
      <c r="HU174" s="53">
        <f>AVERAGE(HU167:HU173)</f>
        <v>89.778081402558499</v>
      </c>
      <c r="HV174" s="63" t="e">
        <f>HV172/HV171*100-100</f>
        <v>#DIV/0!</v>
      </c>
      <c r="HW174" s="67">
        <f>HW172/HW171*100-100</f>
        <v>6.3888387213292077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6.8027210884353739E-3</v>
      </c>
      <c r="HL175" s="66">
        <f>HL174/HN164</f>
        <v>3.3557046979865771E-3</v>
      </c>
      <c r="HM175" s="45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373">
        <v>44</v>
      </c>
      <c r="B176" s="68">
        <f>B173+1</f>
        <v>45074</v>
      </c>
      <c r="C176" s="33">
        <v>3</v>
      </c>
      <c r="D176" s="34"/>
      <c r="E176" s="34">
        <f>E173-C176</f>
        <v>616</v>
      </c>
      <c r="F176" s="34">
        <f>F173-D176</f>
        <v>51</v>
      </c>
      <c r="G176" s="34">
        <v>214</v>
      </c>
      <c r="H176" s="35">
        <f t="shared" ref="H176:H182" si="1115">((G176+I176)/E176)</f>
        <v>0.375</v>
      </c>
      <c r="I176" s="34">
        <v>17</v>
      </c>
      <c r="J176" s="35">
        <f>I176/(G176+I176)</f>
        <v>7.3593073593073599E-2</v>
      </c>
      <c r="K176" s="36"/>
      <c r="L176" s="34"/>
      <c r="M176" s="34"/>
      <c r="N176" s="37"/>
      <c r="O176" s="33"/>
      <c r="P176" s="34"/>
      <c r="Q176" s="34">
        <f>Q173-O176</f>
        <v>623</v>
      </c>
      <c r="R176" s="34">
        <f>R173-P176</f>
        <v>53</v>
      </c>
      <c r="S176" s="34">
        <v>227</v>
      </c>
      <c r="T176" s="35">
        <f t="shared" ref="T176:T182" si="1116">((S176+U176)/Q176)</f>
        <v>0.39325842696629215</v>
      </c>
      <c r="U176" s="34">
        <v>18</v>
      </c>
      <c r="V176" s="35">
        <f t="shared" ref="V176:V182" si="1117">U176/(S176+U176)</f>
        <v>7.3469387755102047E-2</v>
      </c>
      <c r="W176" s="36"/>
      <c r="X176" s="34"/>
      <c r="Y176" s="34"/>
      <c r="Z176" s="37"/>
      <c r="AA176" s="33"/>
      <c r="AB176" s="34">
        <v>1</v>
      </c>
      <c r="AC176" s="34">
        <f>AC173-AA176</f>
        <v>175</v>
      </c>
      <c r="AD176" s="34">
        <f>AD173-AB176</f>
        <v>13</v>
      </c>
      <c r="AE176" s="34">
        <v>34</v>
      </c>
      <c r="AF176" s="35">
        <f t="shared" ref="AF176:AF182" si="1118">((AE176+AG176)/AC176)</f>
        <v>0.22285714285714286</v>
      </c>
      <c r="AG176" s="34">
        <v>5</v>
      </c>
      <c r="AH176" s="35">
        <f t="shared" ref="AH176:AH182" si="1119">AG176/(AE176+AG176)</f>
        <v>0.12820512820512819</v>
      </c>
      <c r="AI176" s="36"/>
      <c r="AJ176" s="34"/>
      <c r="AK176" s="34"/>
      <c r="AL176" s="37"/>
      <c r="AM176" s="33">
        <v>1</v>
      </c>
      <c r="AN176" s="34"/>
      <c r="AO176" s="34">
        <f>AO173-AM176</f>
        <v>696</v>
      </c>
      <c r="AP176" s="34">
        <f>AP173-AN176</f>
        <v>60</v>
      </c>
      <c r="AQ176" s="34">
        <v>228</v>
      </c>
      <c r="AR176" s="35">
        <f t="shared" ref="AR176:AR182" si="1120">((AQ176+AS176)/AO176)</f>
        <v>0.35632183908045978</v>
      </c>
      <c r="AS176" s="34">
        <v>20</v>
      </c>
      <c r="AT176" s="35">
        <f t="shared" ref="AT176:AT182" si="1121">AS176/(AQ176+AS176)</f>
        <v>8.0645161290322578E-2</v>
      </c>
      <c r="AU176" s="36"/>
      <c r="AV176" s="34"/>
      <c r="AW176" s="34"/>
      <c r="AX176" s="37"/>
      <c r="AY176" s="33"/>
      <c r="AZ176" s="34"/>
      <c r="BA176" s="34">
        <f>BA173-AY176</f>
        <v>691</v>
      </c>
      <c r="BB176" s="34">
        <f>BB173-AZ176</f>
        <v>60</v>
      </c>
      <c r="BC176" s="34">
        <v>237</v>
      </c>
      <c r="BD176" s="35">
        <f t="shared" ref="BD176:BD182" si="1122">((BC176+BE176)/BA176)</f>
        <v>0.36179450072358899</v>
      </c>
      <c r="BE176" s="34">
        <v>13</v>
      </c>
      <c r="BF176" s="35">
        <f t="shared" ref="BF176:BF182" si="1123">BE176/(BC176+BE176)</f>
        <v>5.1999999999999998E-2</v>
      </c>
      <c r="BG176" s="36"/>
      <c r="BH176" s="34"/>
      <c r="BI176" s="34"/>
      <c r="BJ176" s="37"/>
      <c r="BK176" s="33"/>
      <c r="BL176" s="34"/>
      <c r="BM176" s="34">
        <f>BM173-BK176</f>
        <v>699</v>
      </c>
      <c r="BN176" s="34">
        <f>BN173-BL176</f>
        <v>59</v>
      </c>
      <c r="BO176" s="34">
        <v>242</v>
      </c>
      <c r="BP176" s="35">
        <f t="shared" ref="BP176:BP182" si="1124">((BO176+BQ176)/BM176)</f>
        <v>0.36194563662374823</v>
      </c>
      <c r="BQ176" s="34">
        <v>11</v>
      </c>
      <c r="BR176" s="35">
        <f t="shared" ref="BR176:BR182" si="1125">BQ176/(BO176+BQ176)</f>
        <v>4.3478260869565216E-2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126">((CA176+CC176)/BY176)</f>
        <v>#DIV/0!</v>
      </c>
      <c r="CC176" s="34"/>
      <c r="CD176" s="35" t="e">
        <f t="shared" ref="CD176:CD182" si="1127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128">((CM176+CO176)/CK176)</f>
        <v>#DIV/0!</v>
      </c>
      <c r="CO176" s="34"/>
      <c r="CP176" s="35" t="e">
        <f t="shared" ref="CP176:CP182" si="1129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130">((CY176+DA176)/CW176)</f>
        <v>#DIV/0!</v>
      </c>
      <c r="DA176" s="34"/>
      <c r="DB176" s="35" t="e">
        <f t="shared" ref="DB176:DB182" si="1131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132">((DK176+DM176)/DI176)</f>
        <v>#DIV/0!</v>
      </c>
      <c r="DM176" s="34"/>
      <c r="DN176" s="35" t="e">
        <f t="shared" ref="DN176:DN182" si="1133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134">((DW176+DY176)/DU176)</f>
        <v>#DIV/0!</v>
      </c>
      <c r="DY176" s="34"/>
      <c r="DZ176" s="35" t="e">
        <f t="shared" ref="DZ176:DZ182" si="1135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136">((EI176+EK176)/EG176)</f>
        <v>#DIV/0!</v>
      </c>
      <c r="EK176" s="34"/>
      <c r="EL176" s="35" t="e">
        <f t="shared" ref="EL176:EL182" si="1137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138">((EU176+EW176)/ES176)</f>
        <v>#DIV/0!</v>
      </c>
      <c r="EW176" s="34"/>
      <c r="EX176" s="35" t="e">
        <f t="shared" ref="EX176:EX182" si="1139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140">((FG176+FI176)/FE176)</f>
        <v>#DIV/0!</v>
      </c>
      <c r="FI176" s="34"/>
      <c r="FJ176" s="35" t="e">
        <f t="shared" ref="FJ176:FJ182" si="1141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142">((FS176+FU176)/FQ176)</f>
        <v>#DIV/0!</v>
      </c>
      <c r="FU176" s="34"/>
      <c r="FV176" s="35" t="e">
        <f t="shared" ref="FV176:FV182" si="1143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144">((GE176+GG176)/GC176)</f>
        <v>#DIV/0!</v>
      </c>
      <c r="GG176" s="34"/>
      <c r="GH176" s="35" t="e">
        <f t="shared" ref="GH176:GH182" si="1145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146">((GQ176+GS176)/GO176)</f>
        <v>#DIV/0!</v>
      </c>
      <c r="GS176" s="34"/>
      <c r="GT176" s="35" t="e">
        <f t="shared" ref="GT176:GT182" si="1147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148">((HC176+HE176)/HA176)</f>
        <v>#DIV/0!</v>
      </c>
      <c r="HE176" s="34"/>
      <c r="HF176" s="35" t="e">
        <f t="shared" ref="HF176:HF182" si="1149">HE176/(HC176+HE176)</f>
        <v>#DIV/0!</v>
      </c>
      <c r="HG176" s="36"/>
      <c r="HH176" s="34"/>
      <c r="HI176" s="34"/>
      <c r="HJ176" s="37"/>
      <c r="HK176" s="33">
        <f t="shared" ref="HK176:HN183" si="1150">+C176+O176+AA176+AM176+AY176+BK176+BW176+CI176+CU176+DG176+DS176+EE176+EQ176+FC176+FO176+GA176+GM176+GY176</f>
        <v>4</v>
      </c>
      <c r="HL176" s="34">
        <f t="shared" si="1150"/>
        <v>1</v>
      </c>
      <c r="HM176" s="34">
        <f t="shared" si="1150"/>
        <v>3500</v>
      </c>
      <c r="HN176" s="34">
        <f t="shared" si="1150"/>
        <v>296</v>
      </c>
      <c r="HO176" s="34">
        <f t="shared" ref="HO176:HO183" si="1151">+G176+S176+AE176+AQ176+BC176+BO176+CA176+CM176+CY176+DK176+DW176+EI176+EU176+FG176+FS176+GE176+GQ176+HC176+I176+U176+AG176+AS176+BE176+BQ176+CC176+CO176+DA176+DM176+DY176+EK176+EW176+FI176+FU176+GG176+GS176+HE176</f>
        <v>1266</v>
      </c>
      <c r="HP176" s="94">
        <f t="shared" ref="HP176:HP182" si="1152">+(HO176)/HM176</f>
        <v>0.36171428571428571</v>
      </c>
      <c r="HQ176" s="48">
        <f t="shared" ref="HQ176:HQ183" si="1153">+I176+U176+AG176+AS176+BE176+BQ176+CC176+CO176+DA176+DM176+DY176+EK176+EW176+FI176+FU176+GG176+GS176+HE176</f>
        <v>84</v>
      </c>
      <c r="HR176" s="35">
        <f>+(HQ176/(HO176))</f>
        <v>6.6350710900473939E-2</v>
      </c>
      <c r="HS176" s="49">
        <v>69.400000000000006</v>
      </c>
      <c r="HT176" s="50">
        <v>1128</v>
      </c>
      <c r="HU176" s="49">
        <f t="shared" ref="HU176:HU182" si="1154">+HT176/HO176*100</f>
        <v>89.099526066350705</v>
      </c>
      <c r="HV176" s="48"/>
      <c r="HW176" s="37"/>
    </row>
    <row r="177" spans="1:231" ht="18.75" x14ac:dyDescent="0.25">
      <c r="A177" s="374"/>
      <c r="B177" s="41">
        <f t="shared" si="814"/>
        <v>45075</v>
      </c>
      <c r="C177" s="10"/>
      <c r="D177" s="11"/>
      <c r="E177" s="69">
        <f t="shared" ref="E177:F181" si="1155">E176-C177</f>
        <v>616</v>
      </c>
      <c r="F177" s="69">
        <f t="shared" si="1155"/>
        <v>51</v>
      </c>
      <c r="G177" s="11">
        <v>203</v>
      </c>
      <c r="H177" s="12">
        <f t="shared" si="1115"/>
        <v>0.35714285714285715</v>
      </c>
      <c r="I177" s="11">
        <v>17</v>
      </c>
      <c r="J177" s="12">
        <f t="shared" ref="J177:J182" si="1156">I177/(G177+I177)</f>
        <v>7.7272727272727271E-2</v>
      </c>
      <c r="K177" s="13"/>
      <c r="L177" s="11"/>
      <c r="M177" s="11"/>
      <c r="N177" s="14"/>
      <c r="O177" s="10"/>
      <c r="P177" s="11"/>
      <c r="Q177" s="69">
        <f t="shared" ref="Q177:R182" si="1157">Q176-O177</f>
        <v>623</v>
      </c>
      <c r="R177" s="69">
        <f t="shared" si="1157"/>
        <v>53</v>
      </c>
      <c r="S177" s="11">
        <v>205</v>
      </c>
      <c r="T177" s="12">
        <f t="shared" si="1116"/>
        <v>0.3595505617977528</v>
      </c>
      <c r="U177" s="11">
        <v>19</v>
      </c>
      <c r="V177" s="12">
        <f t="shared" si="1117"/>
        <v>8.4821428571428575E-2</v>
      </c>
      <c r="W177" s="13"/>
      <c r="X177" s="11"/>
      <c r="Y177" s="11"/>
      <c r="Z177" s="14"/>
      <c r="AA177" s="10">
        <v>2</v>
      </c>
      <c r="AB177" s="11"/>
      <c r="AC177" s="69">
        <f t="shared" ref="AC177:AD182" si="1158">AC176-AA177</f>
        <v>173</v>
      </c>
      <c r="AD177" s="69">
        <f t="shared" si="1158"/>
        <v>13</v>
      </c>
      <c r="AE177" s="11">
        <v>32</v>
      </c>
      <c r="AF177" s="12">
        <f t="shared" si="1118"/>
        <v>0.22543352601156069</v>
      </c>
      <c r="AG177" s="11">
        <v>7</v>
      </c>
      <c r="AH177" s="12">
        <f t="shared" si="1119"/>
        <v>0.17948717948717949</v>
      </c>
      <c r="AI177" s="13"/>
      <c r="AJ177" s="11"/>
      <c r="AK177" s="11"/>
      <c r="AL177" s="14"/>
      <c r="AM177" s="10">
        <v>2</v>
      </c>
      <c r="AN177" s="11"/>
      <c r="AO177" s="69">
        <f t="shared" ref="AO177:AP182" si="1159">AO176-AM177</f>
        <v>694</v>
      </c>
      <c r="AP177" s="69">
        <f t="shared" si="1159"/>
        <v>60</v>
      </c>
      <c r="AQ177" s="11">
        <v>234</v>
      </c>
      <c r="AR177" s="12">
        <f t="shared" si="1120"/>
        <v>0.36887608069164263</v>
      </c>
      <c r="AS177" s="11">
        <v>22</v>
      </c>
      <c r="AT177" s="12">
        <f t="shared" si="1121"/>
        <v>8.59375E-2</v>
      </c>
      <c r="AU177" s="13"/>
      <c r="AV177" s="11"/>
      <c r="AW177" s="11"/>
      <c r="AX177" s="14"/>
      <c r="AY177" s="10"/>
      <c r="AZ177" s="11"/>
      <c r="BA177" s="69">
        <f t="shared" ref="BA177:BB182" si="1160">BA176-AY177</f>
        <v>691</v>
      </c>
      <c r="BB177" s="69">
        <f t="shared" si="1160"/>
        <v>60</v>
      </c>
      <c r="BC177" s="11">
        <v>229</v>
      </c>
      <c r="BD177" s="12">
        <f t="shared" si="1122"/>
        <v>0.36324167872648333</v>
      </c>
      <c r="BE177" s="11">
        <v>22</v>
      </c>
      <c r="BF177" s="12">
        <f t="shared" si="1123"/>
        <v>8.7649402390438252E-2</v>
      </c>
      <c r="BG177" s="13"/>
      <c r="BH177" s="11"/>
      <c r="BI177" s="11"/>
      <c r="BJ177" s="14"/>
      <c r="BK177" s="10">
        <v>2</v>
      </c>
      <c r="BL177" s="11"/>
      <c r="BM177" s="69">
        <f t="shared" ref="BM177:BN182" si="1161">BM176-BK177</f>
        <v>697</v>
      </c>
      <c r="BN177" s="69">
        <f t="shared" si="1161"/>
        <v>59</v>
      </c>
      <c r="BO177" s="11">
        <v>235</v>
      </c>
      <c r="BP177" s="12">
        <f t="shared" si="1124"/>
        <v>0.36441893830703015</v>
      </c>
      <c r="BQ177" s="11">
        <v>19</v>
      </c>
      <c r="BR177" s="12">
        <f t="shared" si="1125"/>
        <v>7.4803149606299218E-2</v>
      </c>
      <c r="BS177" s="13"/>
      <c r="BT177" s="11"/>
      <c r="BU177" s="11"/>
      <c r="BV177" s="14"/>
      <c r="BW177" s="10"/>
      <c r="BX177" s="11"/>
      <c r="BY177" s="69">
        <f t="shared" ref="BY177:BZ182" si="1162">BY176-BW177</f>
        <v>0</v>
      </c>
      <c r="BZ177" s="69">
        <f t="shared" si="1162"/>
        <v>0</v>
      </c>
      <c r="CA177" s="11"/>
      <c r="CB177" s="12" t="e">
        <f t="shared" si="1126"/>
        <v>#DIV/0!</v>
      </c>
      <c r="CC177" s="11"/>
      <c r="CD177" s="12" t="e">
        <f t="shared" si="1127"/>
        <v>#DIV/0!</v>
      </c>
      <c r="CE177" s="13"/>
      <c r="CF177" s="11"/>
      <c r="CG177" s="11"/>
      <c r="CH177" s="14"/>
      <c r="CI177" s="10"/>
      <c r="CJ177" s="11"/>
      <c r="CK177" s="69">
        <f t="shared" ref="CK177:CL182" si="1163">CK176-CI177</f>
        <v>0</v>
      </c>
      <c r="CL177" s="69">
        <f t="shared" si="1163"/>
        <v>0</v>
      </c>
      <c r="CM177" s="11"/>
      <c r="CN177" s="12" t="e">
        <f t="shared" si="1128"/>
        <v>#DIV/0!</v>
      </c>
      <c r="CO177" s="11"/>
      <c r="CP177" s="12" t="e">
        <f t="shared" si="1129"/>
        <v>#DIV/0!</v>
      </c>
      <c r="CQ177" s="13"/>
      <c r="CR177" s="11"/>
      <c r="CS177" s="11"/>
      <c r="CT177" s="14"/>
      <c r="CU177" s="10"/>
      <c r="CV177" s="11"/>
      <c r="CW177" s="69">
        <f t="shared" ref="CW177:CX182" si="1164">CW176-CU177</f>
        <v>0</v>
      </c>
      <c r="CX177" s="69">
        <f t="shared" si="1164"/>
        <v>0</v>
      </c>
      <c r="CY177" s="11"/>
      <c r="CZ177" s="12" t="e">
        <f t="shared" si="1130"/>
        <v>#DIV/0!</v>
      </c>
      <c r="DA177" s="11"/>
      <c r="DB177" s="12" t="e">
        <f t="shared" si="1131"/>
        <v>#DIV/0!</v>
      </c>
      <c r="DC177" s="13"/>
      <c r="DD177" s="11"/>
      <c r="DE177" s="11"/>
      <c r="DF177" s="14"/>
      <c r="DG177" s="10"/>
      <c r="DH177" s="11"/>
      <c r="DI177" s="69">
        <f t="shared" ref="DI177:DJ182" si="1165">DI176-DG177</f>
        <v>0</v>
      </c>
      <c r="DJ177" s="69">
        <f t="shared" si="1165"/>
        <v>0</v>
      </c>
      <c r="DK177" s="11"/>
      <c r="DL177" s="12" t="e">
        <f t="shared" si="1132"/>
        <v>#DIV/0!</v>
      </c>
      <c r="DM177" s="11"/>
      <c r="DN177" s="12" t="e">
        <f t="shared" si="1133"/>
        <v>#DIV/0!</v>
      </c>
      <c r="DO177" s="13"/>
      <c r="DP177" s="11"/>
      <c r="DQ177" s="11"/>
      <c r="DR177" s="14"/>
      <c r="DS177" s="10"/>
      <c r="DT177" s="11"/>
      <c r="DU177" s="69">
        <f t="shared" ref="DU177:DV182" si="1166">DU176-DS177</f>
        <v>0</v>
      </c>
      <c r="DV177" s="69">
        <f t="shared" si="1166"/>
        <v>0</v>
      </c>
      <c r="DW177" s="11"/>
      <c r="DX177" s="12" t="e">
        <f t="shared" si="1134"/>
        <v>#DIV/0!</v>
      </c>
      <c r="DY177" s="11"/>
      <c r="DZ177" s="12" t="e">
        <f t="shared" si="1135"/>
        <v>#DIV/0!</v>
      </c>
      <c r="EA177" s="13"/>
      <c r="EB177" s="11"/>
      <c r="EC177" s="11"/>
      <c r="ED177" s="14"/>
      <c r="EE177" s="10"/>
      <c r="EF177" s="11"/>
      <c r="EG177" s="69">
        <f t="shared" ref="EG177:EH182" si="1167">EG176-EE177</f>
        <v>0</v>
      </c>
      <c r="EH177" s="69">
        <f t="shared" si="1167"/>
        <v>0</v>
      </c>
      <c r="EI177" s="11"/>
      <c r="EJ177" s="12" t="e">
        <f t="shared" si="1136"/>
        <v>#DIV/0!</v>
      </c>
      <c r="EK177" s="11"/>
      <c r="EL177" s="12" t="e">
        <f t="shared" si="1137"/>
        <v>#DIV/0!</v>
      </c>
      <c r="EM177" s="13"/>
      <c r="EN177" s="11"/>
      <c r="EO177" s="11"/>
      <c r="EP177" s="14"/>
      <c r="EQ177" s="10"/>
      <c r="ER177" s="11"/>
      <c r="ES177" s="69">
        <f t="shared" ref="ES177:ET182" si="1168">ES176-EQ177</f>
        <v>0</v>
      </c>
      <c r="ET177" s="69">
        <f t="shared" si="1168"/>
        <v>0</v>
      </c>
      <c r="EU177" s="11"/>
      <c r="EV177" s="12" t="e">
        <f t="shared" si="1138"/>
        <v>#DIV/0!</v>
      </c>
      <c r="EW177" s="11"/>
      <c r="EX177" s="12" t="e">
        <f t="shared" si="1139"/>
        <v>#DIV/0!</v>
      </c>
      <c r="EY177" s="13"/>
      <c r="EZ177" s="11"/>
      <c r="FA177" s="11"/>
      <c r="FB177" s="14"/>
      <c r="FC177" s="10"/>
      <c r="FD177" s="11"/>
      <c r="FE177" s="69">
        <f t="shared" ref="FE177:FF182" si="1169">FE176-FC177</f>
        <v>0</v>
      </c>
      <c r="FF177" s="69">
        <f t="shared" si="1169"/>
        <v>0</v>
      </c>
      <c r="FG177" s="11"/>
      <c r="FH177" s="12" t="e">
        <f t="shared" si="1140"/>
        <v>#DIV/0!</v>
      </c>
      <c r="FI177" s="11"/>
      <c r="FJ177" s="12" t="e">
        <f t="shared" si="1141"/>
        <v>#DIV/0!</v>
      </c>
      <c r="FK177" s="13"/>
      <c r="FL177" s="11"/>
      <c r="FM177" s="11"/>
      <c r="FN177" s="14"/>
      <c r="FO177" s="10"/>
      <c r="FP177" s="11"/>
      <c r="FQ177" s="69">
        <f t="shared" ref="FQ177:FR182" si="1170">FQ176-FO177</f>
        <v>0</v>
      </c>
      <c r="FR177" s="69">
        <f t="shared" si="1170"/>
        <v>0</v>
      </c>
      <c r="FS177" s="11"/>
      <c r="FT177" s="12" t="e">
        <f t="shared" si="1142"/>
        <v>#DIV/0!</v>
      </c>
      <c r="FU177" s="11"/>
      <c r="FV177" s="12" t="e">
        <f t="shared" si="1143"/>
        <v>#DIV/0!</v>
      </c>
      <c r="FW177" s="13"/>
      <c r="FX177" s="11"/>
      <c r="FY177" s="11"/>
      <c r="FZ177" s="14"/>
      <c r="GA177" s="10"/>
      <c r="GB177" s="11"/>
      <c r="GC177" s="69">
        <f t="shared" ref="GC177:GD182" si="1171">GC176-GA177</f>
        <v>0</v>
      </c>
      <c r="GD177" s="69">
        <f t="shared" si="1171"/>
        <v>0</v>
      </c>
      <c r="GE177" s="11"/>
      <c r="GF177" s="12" t="e">
        <f t="shared" si="1144"/>
        <v>#DIV/0!</v>
      </c>
      <c r="GG177" s="11"/>
      <c r="GH177" s="12" t="e">
        <f t="shared" si="1145"/>
        <v>#DIV/0!</v>
      </c>
      <c r="GI177" s="13"/>
      <c r="GJ177" s="11"/>
      <c r="GK177" s="11"/>
      <c r="GL177" s="14"/>
      <c r="GM177" s="10"/>
      <c r="GN177" s="11"/>
      <c r="GO177" s="69">
        <f t="shared" ref="GO177:GP182" si="1172">GO176-GM177</f>
        <v>0</v>
      </c>
      <c r="GP177" s="69">
        <f t="shared" si="1172"/>
        <v>0</v>
      </c>
      <c r="GQ177" s="11"/>
      <c r="GR177" s="12" t="e">
        <f t="shared" si="1146"/>
        <v>#DIV/0!</v>
      </c>
      <c r="GS177" s="11"/>
      <c r="GT177" s="12" t="e">
        <f t="shared" si="1147"/>
        <v>#DIV/0!</v>
      </c>
      <c r="GU177" s="13"/>
      <c r="GV177" s="11"/>
      <c r="GW177" s="11"/>
      <c r="GX177" s="14"/>
      <c r="GY177" s="10"/>
      <c r="GZ177" s="11"/>
      <c r="HA177" s="69">
        <f t="shared" ref="HA177:HB182" si="1173">HA176-GY177</f>
        <v>0</v>
      </c>
      <c r="HB177" s="69">
        <f t="shared" si="1173"/>
        <v>0</v>
      </c>
      <c r="HC177" s="11"/>
      <c r="HD177" s="12" t="e">
        <f t="shared" si="1148"/>
        <v>#DIV/0!</v>
      </c>
      <c r="HE177" s="11"/>
      <c r="HF177" s="12" t="e">
        <f t="shared" si="1149"/>
        <v>#DIV/0!</v>
      </c>
      <c r="HG177" s="13"/>
      <c r="HH177" s="11"/>
      <c r="HI177" s="11"/>
      <c r="HJ177" s="14"/>
      <c r="HK177" s="10">
        <f t="shared" si="1150"/>
        <v>6</v>
      </c>
      <c r="HL177" s="11">
        <f t="shared" si="1150"/>
        <v>0</v>
      </c>
      <c r="HM177" s="11">
        <f t="shared" si="1150"/>
        <v>3494</v>
      </c>
      <c r="HN177" s="11">
        <f t="shared" si="1150"/>
        <v>296</v>
      </c>
      <c r="HO177" s="11">
        <f t="shared" si="1151"/>
        <v>1244</v>
      </c>
      <c r="HP177" s="95">
        <f t="shared" si="1152"/>
        <v>0.35603892386949054</v>
      </c>
      <c r="HQ177" s="15">
        <f t="shared" si="1153"/>
        <v>106</v>
      </c>
      <c r="HR177" s="12">
        <f t="shared" ref="HR177:HR183" si="1174">+(HQ177/(HO177))</f>
        <v>8.5209003215434079E-2</v>
      </c>
      <c r="HS177" s="16">
        <v>69.5</v>
      </c>
      <c r="HT177" s="17">
        <v>1079</v>
      </c>
      <c r="HU177" s="16">
        <f t="shared" si="1154"/>
        <v>86.736334405144703</v>
      </c>
      <c r="HV177" s="15"/>
      <c r="HW177" s="14"/>
    </row>
    <row r="178" spans="1:231" ht="18.75" x14ac:dyDescent="0.25">
      <c r="A178" s="374"/>
      <c r="B178" s="41">
        <f t="shared" si="814"/>
        <v>45076</v>
      </c>
      <c r="C178" s="10">
        <v>1</v>
      </c>
      <c r="D178" s="11"/>
      <c r="E178" s="69">
        <f t="shared" si="1155"/>
        <v>615</v>
      </c>
      <c r="F178" s="69">
        <f t="shared" si="1155"/>
        <v>51</v>
      </c>
      <c r="G178" s="11">
        <v>206</v>
      </c>
      <c r="H178" s="12">
        <f t="shared" si="1115"/>
        <v>0.37073170731707317</v>
      </c>
      <c r="I178" s="11">
        <v>22</v>
      </c>
      <c r="J178" s="12">
        <f t="shared" si="1156"/>
        <v>9.6491228070175433E-2</v>
      </c>
      <c r="K178" s="13"/>
      <c r="L178" s="11"/>
      <c r="M178" s="11"/>
      <c r="N178" s="14"/>
      <c r="O178" s="10"/>
      <c r="P178" s="11"/>
      <c r="Q178" s="69">
        <f t="shared" si="1157"/>
        <v>623</v>
      </c>
      <c r="R178" s="69">
        <f t="shared" si="1157"/>
        <v>53</v>
      </c>
      <c r="S178" s="11">
        <v>213</v>
      </c>
      <c r="T178" s="12">
        <f t="shared" si="1116"/>
        <v>0.36918138041733545</v>
      </c>
      <c r="U178" s="11">
        <v>17</v>
      </c>
      <c r="V178" s="12">
        <f t="shared" si="1117"/>
        <v>7.3913043478260873E-2</v>
      </c>
      <c r="W178" s="13"/>
      <c r="X178" s="11"/>
      <c r="Y178" s="11"/>
      <c r="Z178" s="14"/>
      <c r="AA178" s="10">
        <v>1</v>
      </c>
      <c r="AB178" s="11"/>
      <c r="AC178" s="69">
        <f t="shared" si="1158"/>
        <v>172</v>
      </c>
      <c r="AD178" s="69">
        <f t="shared" si="1158"/>
        <v>13</v>
      </c>
      <c r="AE178" s="11">
        <v>39</v>
      </c>
      <c r="AF178" s="12">
        <f t="shared" si="1118"/>
        <v>0.27325581395348836</v>
      </c>
      <c r="AG178" s="11">
        <v>8</v>
      </c>
      <c r="AH178" s="12">
        <f t="shared" si="1119"/>
        <v>0.1702127659574468</v>
      </c>
      <c r="AI178" s="13"/>
      <c r="AJ178" s="11"/>
      <c r="AK178" s="11"/>
      <c r="AL178" s="14"/>
      <c r="AM178" s="10"/>
      <c r="AN178" s="11"/>
      <c r="AO178" s="69">
        <f t="shared" si="1159"/>
        <v>694</v>
      </c>
      <c r="AP178" s="69">
        <f t="shared" si="1159"/>
        <v>60</v>
      </c>
      <c r="AQ178" s="11">
        <v>228</v>
      </c>
      <c r="AR178" s="12">
        <f t="shared" si="1120"/>
        <v>0.35446685878962536</v>
      </c>
      <c r="AS178" s="11">
        <v>18</v>
      </c>
      <c r="AT178" s="12">
        <f t="shared" si="1121"/>
        <v>7.3170731707317069E-2</v>
      </c>
      <c r="AU178" s="13"/>
      <c r="AV178" s="11"/>
      <c r="AW178" s="11"/>
      <c r="AX178" s="14"/>
      <c r="AY178" s="10"/>
      <c r="AZ178" s="11"/>
      <c r="BA178" s="69">
        <f t="shared" si="1160"/>
        <v>691</v>
      </c>
      <c r="BB178" s="69">
        <f t="shared" si="1160"/>
        <v>60</v>
      </c>
      <c r="BC178" s="11">
        <v>233</v>
      </c>
      <c r="BD178" s="12">
        <f t="shared" si="1122"/>
        <v>0.36613603473227208</v>
      </c>
      <c r="BE178" s="11">
        <v>20</v>
      </c>
      <c r="BF178" s="12">
        <f t="shared" si="1123"/>
        <v>7.9051383399209488E-2</v>
      </c>
      <c r="BG178" s="13"/>
      <c r="BH178" s="11"/>
      <c r="BI178" s="11"/>
      <c r="BJ178" s="14"/>
      <c r="BK178" s="10">
        <v>2</v>
      </c>
      <c r="BL178" s="11"/>
      <c r="BM178" s="69">
        <f t="shared" si="1161"/>
        <v>695</v>
      </c>
      <c r="BN178" s="69">
        <f t="shared" si="1161"/>
        <v>59</v>
      </c>
      <c r="BO178" s="11">
        <v>230</v>
      </c>
      <c r="BP178" s="12">
        <f t="shared" si="1124"/>
        <v>0.3683453237410072</v>
      </c>
      <c r="BQ178" s="11">
        <v>26</v>
      </c>
      <c r="BR178" s="12">
        <f t="shared" si="1125"/>
        <v>0.1015625</v>
      </c>
      <c r="BS178" s="13"/>
      <c r="BT178" s="11"/>
      <c r="BU178" s="11"/>
      <c r="BV178" s="14"/>
      <c r="BW178" s="10"/>
      <c r="BX178" s="11"/>
      <c r="BY178" s="69">
        <f t="shared" si="1162"/>
        <v>0</v>
      </c>
      <c r="BZ178" s="69">
        <f t="shared" si="1162"/>
        <v>0</v>
      </c>
      <c r="CA178" s="11"/>
      <c r="CB178" s="12" t="e">
        <f t="shared" si="1126"/>
        <v>#DIV/0!</v>
      </c>
      <c r="CC178" s="11"/>
      <c r="CD178" s="12" t="e">
        <f t="shared" si="1127"/>
        <v>#DIV/0!</v>
      </c>
      <c r="CE178" s="13"/>
      <c r="CF178" s="11"/>
      <c r="CG178" s="11"/>
      <c r="CH178" s="14"/>
      <c r="CI178" s="10"/>
      <c r="CJ178" s="11"/>
      <c r="CK178" s="69">
        <f t="shared" si="1163"/>
        <v>0</v>
      </c>
      <c r="CL178" s="69">
        <f t="shared" si="1163"/>
        <v>0</v>
      </c>
      <c r="CM178" s="11"/>
      <c r="CN178" s="12" t="e">
        <f t="shared" si="1128"/>
        <v>#DIV/0!</v>
      </c>
      <c r="CO178" s="11"/>
      <c r="CP178" s="12" t="e">
        <f t="shared" si="1129"/>
        <v>#DIV/0!</v>
      </c>
      <c r="CQ178" s="13"/>
      <c r="CR178" s="11"/>
      <c r="CS178" s="11"/>
      <c r="CT178" s="14"/>
      <c r="CU178" s="10"/>
      <c r="CV178" s="11"/>
      <c r="CW178" s="69">
        <f t="shared" si="1164"/>
        <v>0</v>
      </c>
      <c r="CX178" s="69">
        <f t="shared" si="1164"/>
        <v>0</v>
      </c>
      <c r="CY178" s="11"/>
      <c r="CZ178" s="12" t="e">
        <f t="shared" si="1130"/>
        <v>#DIV/0!</v>
      </c>
      <c r="DA178" s="11"/>
      <c r="DB178" s="12" t="e">
        <f t="shared" si="1131"/>
        <v>#DIV/0!</v>
      </c>
      <c r="DC178" s="13"/>
      <c r="DD178" s="11"/>
      <c r="DE178" s="11"/>
      <c r="DF178" s="14"/>
      <c r="DG178" s="10"/>
      <c r="DH178" s="11"/>
      <c r="DI178" s="69">
        <f t="shared" si="1165"/>
        <v>0</v>
      </c>
      <c r="DJ178" s="69">
        <f t="shared" si="1165"/>
        <v>0</v>
      </c>
      <c r="DK178" s="11"/>
      <c r="DL178" s="12" t="e">
        <f t="shared" si="1132"/>
        <v>#DIV/0!</v>
      </c>
      <c r="DM178" s="11"/>
      <c r="DN178" s="12" t="e">
        <f t="shared" si="1133"/>
        <v>#DIV/0!</v>
      </c>
      <c r="DO178" s="13"/>
      <c r="DP178" s="11"/>
      <c r="DQ178" s="11"/>
      <c r="DR178" s="14"/>
      <c r="DS178" s="10"/>
      <c r="DT178" s="11"/>
      <c r="DU178" s="69">
        <f t="shared" si="1166"/>
        <v>0</v>
      </c>
      <c r="DV178" s="69">
        <f t="shared" si="1166"/>
        <v>0</v>
      </c>
      <c r="DW178" s="11"/>
      <c r="DX178" s="12" t="e">
        <f t="shared" si="1134"/>
        <v>#DIV/0!</v>
      </c>
      <c r="DY178" s="11"/>
      <c r="DZ178" s="12" t="e">
        <f t="shared" si="1135"/>
        <v>#DIV/0!</v>
      </c>
      <c r="EA178" s="13"/>
      <c r="EB178" s="11"/>
      <c r="EC178" s="11"/>
      <c r="ED178" s="14"/>
      <c r="EE178" s="10"/>
      <c r="EF178" s="11"/>
      <c r="EG178" s="69">
        <f t="shared" si="1167"/>
        <v>0</v>
      </c>
      <c r="EH178" s="69">
        <f t="shared" si="1167"/>
        <v>0</v>
      </c>
      <c r="EI178" s="11"/>
      <c r="EJ178" s="12" t="e">
        <f t="shared" si="1136"/>
        <v>#DIV/0!</v>
      </c>
      <c r="EK178" s="11"/>
      <c r="EL178" s="12" t="e">
        <f t="shared" si="1137"/>
        <v>#DIV/0!</v>
      </c>
      <c r="EM178" s="13"/>
      <c r="EN178" s="11"/>
      <c r="EO178" s="11"/>
      <c r="EP178" s="14"/>
      <c r="EQ178" s="10"/>
      <c r="ER178" s="11"/>
      <c r="ES178" s="69">
        <f t="shared" si="1168"/>
        <v>0</v>
      </c>
      <c r="ET178" s="69">
        <f t="shared" si="1168"/>
        <v>0</v>
      </c>
      <c r="EU178" s="11"/>
      <c r="EV178" s="12" t="e">
        <f t="shared" si="1138"/>
        <v>#DIV/0!</v>
      </c>
      <c r="EW178" s="11"/>
      <c r="EX178" s="12" t="e">
        <f t="shared" si="1139"/>
        <v>#DIV/0!</v>
      </c>
      <c r="EY178" s="13"/>
      <c r="EZ178" s="11"/>
      <c r="FA178" s="11"/>
      <c r="FB178" s="14"/>
      <c r="FC178" s="10"/>
      <c r="FD178" s="11"/>
      <c r="FE178" s="69">
        <f t="shared" si="1169"/>
        <v>0</v>
      </c>
      <c r="FF178" s="69">
        <f t="shared" si="1169"/>
        <v>0</v>
      </c>
      <c r="FG178" s="11"/>
      <c r="FH178" s="12" t="e">
        <f t="shared" si="1140"/>
        <v>#DIV/0!</v>
      </c>
      <c r="FI178" s="11"/>
      <c r="FJ178" s="12" t="e">
        <f t="shared" si="1141"/>
        <v>#DIV/0!</v>
      </c>
      <c r="FK178" s="13"/>
      <c r="FL178" s="11"/>
      <c r="FM178" s="11"/>
      <c r="FN178" s="14"/>
      <c r="FO178" s="10"/>
      <c r="FP178" s="11"/>
      <c r="FQ178" s="69">
        <f t="shared" si="1170"/>
        <v>0</v>
      </c>
      <c r="FR178" s="69">
        <f t="shared" si="1170"/>
        <v>0</v>
      </c>
      <c r="FS178" s="11"/>
      <c r="FT178" s="12" t="e">
        <f t="shared" si="1142"/>
        <v>#DIV/0!</v>
      </c>
      <c r="FU178" s="11"/>
      <c r="FV178" s="12" t="e">
        <f t="shared" si="1143"/>
        <v>#DIV/0!</v>
      </c>
      <c r="FW178" s="13"/>
      <c r="FX178" s="11"/>
      <c r="FY178" s="11"/>
      <c r="FZ178" s="14"/>
      <c r="GA178" s="10"/>
      <c r="GB178" s="11"/>
      <c r="GC178" s="69">
        <f t="shared" si="1171"/>
        <v>0</v>
      </c>
      <c r="GD178" s="69">
        <f t="shared" si="1171"/>
        <v>0</v>
      </c>
      <c r="GE178" s="11"/>
      <c r="GF178" s="12" t="e">
        <f t="shared" si="1144"/>
        <v>#DIV/0!</v>
      </c>
      <c r="GG178" s="11"/>
      <c r="GH178" s="12" t="e">
        <f t="shared" si="1145"/>
        <v>#DIV/0!</v>
      </c>
      <c r="GI178" s="13"/>
      <c r="GJ178" s="11"/>
      <c r="GK178" s="11"/>
      <c r="GL178" s="14"/>
      <c r="GM178" s="10"/>
      <c r="GN178" s="11"/>
      <c r="GO178" s="69">
        <f t="shared" si="1172"/>
        <v>0</v>
      </c>
      <c r="GP178" s="69">
        <f t="shared" si="1172"/>
        <v>0</v>
      </c>
      <c r="GQ178" s="11"/>
      <c r="GR178" s="12" t="e">
        <f t="shared" si="1146"/>
        <v>#DIV/0!</v>
      </c>
      <c r="GS178" s="11"/>
      <c r="GT178" s="12" t="e">
        <f t="shared" si="1147"/>
        <v>#DIV/0!</v>
      </c>
      <c r="GU178" s="13"/>
      <c r="GV178" s="11"/>
      <c r="GW178" s="11"/>
      <c r="GX178" s="14"/>
      <c r="GY178" s="10"/>
      <c r="GZ178" s="11"/>
      <c r="HA178" s="69">
        <f t="shared" si="1173"/>
        <v>0</v>
      </c>
      <c r="HB178" s="69">
        <f t="shared" si="1173"/>
        <v>0</v>
      </c>
      <c r="HC178" s="11"/>
      <c r="HD178" s="12" t="e">
        <f t="shared" si="1148"/>
        <v>#DIV/0!</v>
      </c>
      <c r="HE178" s="11"/>
      <c r="HF178" s="12" t="e">
        <f t="shared" si="1149"/>
        <v>#DIV/0!</v>
      </c>
      <c r="HG178" s="13"/>
      <c r="HH178" s="11"/>
      <c r="HI178" s="11"/>
      <c r="HJ178" s="14"/>
      <c r="HK178" s="10">
        <f t="shared" si="1150"/>
        <v>4</v>
      </c>
      <c r="HL178" s="11">
        <f t="shared" si="1150"/>
        <v>0</v>
      </c>
      <c r="HM178" s="11">
        <f t="shared" si="1150"/>
        <v>3490</v>
      </c>
      <c r="HN178" s="11">
        <f t="shared" si="1150"/>
        <v>296</v>
      </c>
      <c r="HO178" s="11">
        <f t="shared" si="1151"/>
        <v>1260</v>
      </c>
      <c r="HP178" s="95">
        <f t="shared" si="1152"/>
        <v>0.36103151862464183</v>
      </c>
      <c r="HQ178" s="15">
        <f t="shared" si="1153"/>
        <v>111</v>
      </c>
      <c r="HR178" s="12">
        <f t="shared" si="1174"/>
        <v>8.8095238095238101E-2</v>
      </c>
      <c r="HS178" s="16">
        <v>69.8</v>
      </c>
      <c r="HT178" s="17">
        <v>1092</v>
      </c>
      <c r="HU178" s="16">
        <f t="shared" si="1154"/>
        <v>86.666666666666671</v>
      </c>
      <c r="HV178" s="15"/>
      <c r="HW178" s="14"/>
    </row>
    <row r="179" spans="1:231" ht="18.75" x14ac:dyDescent="0.25">
      <c r="A179" s="374"/>
      <c r="B179" s="41">
        <f t="shared" si="814"/>
        <v>45077</v>
      </c>
      <c r="C179" s="10"/>
      <c r="D179" s="11"/>
      <c r="E179" s="69">
        <f t="shared" si="1155"/>
        <v>615</v>
      </c>
      <c r="F179" s="69">
        <f t="shared" si="1155"/>
        <v>51</v>
      </c>
      <c r="G179" s="11">
        <v>188</v>
      </c>
      <c r="H179" s="12">
        <f t="shared" si="1115"/>
        <v>0.33983739837398375</v>
      </c>
      <c r="I179" s="11">
        <v>21</v>
      </c>
      <c r="J179" s="12">
        <f t="shared" si="1156"/>
        <v>0.10047846889952153</v>
      </c>
      <c r="K179" s="11"/>
      <c r="L179" s="11"/>
      <c r="M179" s="18"/>
      <c r="N179" s="20"/>
      <c r="O179" s="10"/>
      <c r="P179" s="11"/>
      <c r="Q179" s="69">
        <f t="shared" si="1157"/>
        <v>623</v>
      </c>
      <c r="R179" s="69">
        <f t="shared" si="1157"/>
        <v>53</v>
      </c>
      <c r="S179" s="11">
        <v>202</v>
      </c>
      <c r="T179" s="12">
        <f t="shared" si="1116"/>
        <v>0.3579454253611557</v>
      </c>
      <c r="U179" s="11">
        <v>21</v>
      </c>
      <c r="V179" s="12">
        <f t="shared" si="1117"/>
        <v>9.417040358744394E-2</v>
      </c>
      <c r="W179" s="11"/>
      <c r="X179" s="11"/>
      <c r="Y179" s="18"/>
      <c r="Z179" s="20"/>
      <c r="AA179" s="10"/>
      <c r="AB179" s="11"/>
      <c r="AC179" s="69">
        <f t="shared" si="1158"/>
        <v>172</v>
      </c>
      <c r="AD179" s="69">
        <f t="shared" si="1158"/>
        <v>13</v>
      </c>
      <c r="AE179" s="11">
        <v>26</v>
      </c>
      <c r="AF179" s="12">
        <f t="shared" si="1118"/>
        <v>0.18604651162790697</v>
      </c>
      <c r="AG179" s="11">
        <v>6</v>
      </c>
      <c r="AH179" s="12">
        <f t="shared" si="1119"/>
        <v>0.1875</v>
      </c>
      <c r="AI179" s="11"/>
      <c r="AJ179" s="11"/>
      <c r="AK179" s="18"/>
      <c r="AL179" s="20"/>
      <c r="AM179" s="10"/>
      <c r="AN179" s="11"/>
      <c r="AO179" s="69">
        <f t="shared" si="1159"/>
        <v>694</v>
      </c>
      <c r="AP179" s="69">
        <f t="shared" si="1159"/>
        <v>60</v>
      </c>
      <c r="AQ179" s="11">
        <v>202</v>
      </c>
      <c r="AR179" s="12">
        <f t="shared" si="1120"/>
        <v>0.32997118155619598</v>
      </c>
      <c r="AS179" s="11">
        <v>27</v>
      </c>
      <c r="AT179" s="12">
        <f t="shared" si="1121"/>
        <v>0.11790393013100436</v>
      </c>
      <c r="AU179" s="11"/>
      <c r="AV179" s="11"/>
      <c r="AW179" s="18"/>
      <c r="AX179" s="20"/>
      <c r="AY179" s="10"/>
      <c r="AZ179" s="11"/>
      <c r="BA179" s="69">
        <f t="shared" si="1160"/>
        <v>691</v>
      </c>
      <c r="BB179" s="69">
        <f t="shared" si="1160"/>
        <v>60</v>
      </c>
      <c r="BC179" s="11">
        <v>207</v>
      </c>
      <c r="BD179" s="12">
        <f t="shared" si="1122"/>
        <v>0.33574529667149061</v>
      </c>
      <c r="BE179" s="11">
        <v>25</v>
      </c>
      <c r="BF179" s="12">
        <f t="shared" si="1123"/>
        <v>0.10775862068965517</v>
      </c>
      <c r="BG179" s="11"/>
      <c r="BH179" s="11"/>
      <c r="BI179" s="18"/>
      <c r="BJ179" s="20"/>
      <c r="BK179" s="10">
        <v>1</v>
      </c>
      <c r="BL179" s="11"/>
      <c r="BM179" s="69">
        <f t="shared" si="1161"/>
        <v>694</v>
      </c>
      <c r="BN179" s="69">
        <f t="shared" si="1161"/>
        <v>59</v>
      </c>
      <c r="BO179" s="11">
        <v>222</v>
      </c>
      <c r="BP179" s="12">
        <f t="shared" si="1124"/>
        <v>0.33429394812680113</v>
      </c>
      <c r="BQ179" s="11">
        <v>10</v>
      </c>
      <c r="BR179" s="12">
        <f t="shared" si="1125"/>
        <v>4.3103448275862072E-2</v>
      </c>
      <c r="BS179" s="11"/>
      <c r="BT179" s="11"/>
      <c r="BU179" s="18"/>
      <c r="BV179" s="20"/>
      <c r="BW179" s="10"/>
      <c r="BX179" s="11"/>
      <c r="BY179" s="69">
        <f t="shared" si="1162"/>
        <v>0</v>
      </c>
      <c r="BZ179" s="69">
        <f t="shared" si="1162"/>
        <v>0</v>
      </c>
      <c r="CA179" s="11"/>
      <c r="CB179" s="12" t="e">
        <f t="shared" si="1126"/>
        <v>#DIV/0!</v>
      </c>
      <c r="CC179" s="11"/>
      <c r="CD179" s="12" t="e">
        <f t="shared" si="1127"/>
        <v>#DIV/0!</v>
      </c>
      <c r="CE179" s="11"/>
      <c r="CF179" s="11"/>
      <c r="CG179" s="18"/>
      <c r="CH179" s="20"/>
      <c r="CI179" s="10"/>
      <c r="CJ179" s="11"/>
      <c r="CK179" s="69">
        <f t="shared" si="1163"/>
        <v>0</v>
      </c>
      <c r="CL179" s="69">
        <f t="shared" si="1163"/>
        <v>0</v>
      </c>
      <c r="CM179" s="11"/>
      <c r="CN179" s="12" t="e">
        <f t="shared" si="1128"/>
        <v>#DIV/0!</v>
      </c>
      <c r="CO179" s="11"/>
      <c r="CP179" s="12" t="e">
        <f t="shared" si="1129"/>
        <v>#DIV/0!</v>
      </c>
      <c r="CQ179" s="11"/>
      <c r="CR179" s="11"/>
      <c r="CS179" s="18"/>
      <c r="CT179" s="20"/>
      <c r="CU179" s="10"/>
      <c r="CV179" s="11"/>
      <c r="CW179" s="69">
        <f t="shared" si="1164"/>
        <v>0</v>
      </c>
      <c r="CX179" s="69">
        <f t="shared" si="1164"/>
        <v>0</v>
      </c>
      <c r="CY179" s="11"/>
      <c r="CZ179" s="12" t="e">
        <f t="shared" si="1130"/>
        <v>#DIV/0!</v>
      </c>
      <c r="DA179" s="11"/>
      <c r="DB179" s="12" t="e">
        <f t="shared" si="1131"/>
        <v>#DIV/0!</v>
      </c>
      <c r="DC179" s="11"/>
      <c r="DD179" s="11"/>
      <c r="DE179" s="18"/>
      <c r="DF179" s="20"/>
      <c r="DG179" s="10"/>
      <c r="DH179" s="11"/>
      <c r="DI179" s="69">
        <f t="shared" si="1165"/>
        <v>0</v>
      </c>
      <c r="DJ179" s="69">
        <f t="shared" si="1165"/>
        <v>0</v>
      </c>
      <c r="DK179" s="11"/>
      <c r="DL179" s="12" t="e">
        <f t="shared" si="1132"/>
        <v>#DIV/0!</v>
      </c>
      <c r="DM179" s="11"/>
      <c r="DN179" s="12" t="e">
        <f t="shared" si="1133"/>
        <v>#DIV/0!</v>
      </c>
      <c r="DO179" s="11"/>
      <c r="DP179" s="11"/>
      <c r="DQ179" s="18"/>
      <c r="DR179" s="20"/>
      <c r="DS179" s="10"/>
      <c r="DT179" s="11"/>
      <c r="DU179" s="69">
        <f t="shared" si="1166"/>
        <v>0</v>
      </c>
      <c r="DV179" s="69">
        <f t="shared" si="1166"/>
        <v>0</v>
      </c>
      <c r="DW179" s="11"/>
      <c r="DX179" s="12" t="e">
        <f t="shared" si="1134"/>
        <v>#DIV/0!</v>
      </c>
      <c r="DY179" s="11"/>
      <c r="DZ179" s="12" t="e">
        <f t="shared" si="1135"/>
        <v>#DIV/0!</v>
      </c>
      <c r="EA179" s="11"/>
      <c r="EB179" s="11"/>
      <c r="EC179" s="18"/>
      <c r="ED179" s="20"/>
      <c r="EE179" s="10"/>
      <c r="EF179" s="11"/>
      <c r="EG179" s="69">
        <f t="shared" si="1167"/>
        <v>0</v>
      </c>
      <c r="EH179" s="69">
        <f t="shared" si="1167"/>
        <v>0</v>
      </c>
      <c r="EI179" s="11"/>
      <c r="EJ179" s="12" t="e">
        <f t="shared" si="1136"/>
        <v>#DIV/0!</v>
      </c>
      <c r="EK179" s="11"/>
      <c r="EL179" s="12" t="e">
        <f t="shared" si="1137"/>
        <v>#DIV/0!</v>
      </c>
      <c r="EM179" s="11"/>
      <c r="EN179" s="11"/>
      <c r="EO179" s="18"/>
      <c r="EP179" s="20"/>
      <c r="EQ179" s="10"/>
      <c r="ER179" s="11"/>
      <c r="ES179" s="69">
        <f t="shared" si="1168"/>
        <v>0</v>
      </c>
      <c r="ET179" s="69">
        <f t="shared" si="1168"/>
        <v>0</v>
      </c>
      <c r="EU179" s="11"/>
      <c r="EV179" s="12" t="e">
        <f t="shared" si="1138"/>
        <v>#DIV/0!</v>
      </c>
      <c r="EW179" s="11"/>
      <c r="EX179" s="12" t="e">
        <f t="shared" si="1139"/>
        <v>#DIV/0!</v>
      </c>
      <c r="EY179" s="11"/>
      <c r="EZ179" s="11"/>
      <c r="FA179" s="18"/>
      <c r="FB179" s="20"/>
      <c r="FC179" s="10"/>
      <c r="FD179" s="11"/>
      <c r="FE179" s="69">
        <f t="shared" si="1169"/>
        <v>0</v>
      </c>
      <c r="FF179" s="69">
        <f t="shared" si="1169"/>
        <v>0</v>
      </c>
      <c r="FG179" s="11"/>
      <c r="FH179" s="12" t="e">
        <f t="shared" si="1140"/>
        <v>#DIV/0!</v>
      </c>
      <c r="FI179" s="11"/>
      <c r="FJ179" s="12" t="e">
        <f t="shared" si="1141"/>
        <v>#DIV/0!</v>
      </c>
      <c r="FK179" s="11"/>
      <c r="FL179" s="11"/>
      <c r="FM179" s="18"/>
      <c r="FN179" s="20"/>
      <c r="FO179" s="10"/>
      <c r="FP179" s="11"/>
      <c r="FQ179" s="69">
        <f t="shared" si="1170"/>
        <v>0</v>
      </c>
      <c r="FR179" s="69">
        <f t="shared" si="1170"/>
        <v>0</v>
      </c>
      <c r="FS179" s="11"/>
      <c r="FT179" s="12" t="e">
        <f t="shared" si="1142"/>
        <v>#DIV/0!</v>
      </c>
      <c r="FU179" s="11"/>
      <c r="FV179" s="12" t="e">
        <f t="shared" si="1143"/>
        <v>#DIV/0!</v>
      </c>
      <c r="FW179" s="11"/>
      <c r="FX179" s="11"/>
      <c r="FY179" s="18"/>
      <c r="FZ179" s="20"/>
      <c r="GA179" s="10"/>
      <c r="GB179" s="11"/>
      <c r="GC179" s="69">
        <f t="shared" si="1171"/>
        <v>0</v>
      </c>
      <c r="GD179" s="69">
        <f t="shared" si="1171"/>
        <v>0</v>
      </c>
      <c r="GE179" s="11"/>
      <c r="GF179" s="12" t="e">
        <f t="shared" si="1144"/>
        <v>#DIV/0!</v>
      </c>
      <c r="GG179" s="11"/>
      <c r="GH179" s="12" t="e">
        <f t="shared" si="1145"/>
        <v>#DIV/0!</v>
      </c>
      <c r="GI179" s="11"/>
      <c r="GJ179" s="11"/>
      <c r="GK179" s="18"/>
      <c r="GL179" s="20"/>
      <c r="GM179" s="10"/>
      <c r="GN179" s="11"/>
      <c r="GO179" s="69">
        <f t="shared" si="1172"/>
        <v>0</v>
      </c>
      <c r="GP179" s="69">
        <f t="shared" si="1172"/>
        <v>0</v>
      </c>
      <c r="GQ179" s="11"/>
      <c r="GR179" s="12" t="e">
        <f t="shared" si="1146"/>
        <v>#DIV/0!</v>
      </c>
      <c r="GS179" s="11"/>
      <c r="GT179" s="12" t="e">
        <f t="shared" si="1147"/>
        <v>#DIV/0!</v>
      </c>
      <c r="GU179" s="11"/>
      <c r="GV179" s="11"/>
      <c r="GW179" s="18"/>
      <c r="GX179" s="20"/>
      <c r="GY179" s="10"/>
      <c r="GZ179" s="11"/>
      <c r="HA179" s="69">
        <f t="shared" si="1173"/>
        <v>0</v>
      </c>
      <c r="HB179" s="69">
        <f t="shared" si="1173"/>
        <v>0</v>
      </c>
      <c r="HC179" s="11"/>
      <c r="HD179" s="12" t="e">
        <f t="shared" si="1148"/>
        <v>#DIV/0!</v>
      </c>
      <c r="HE179" s="11"/>
      <c r="HF179" s="12" t="e">
        <f t="shared" si="1149"/>
        <v>#DIV/0!</v>
      </c>
      <c r="HG179" s="11"/>
      <c r="HH179" s="11"/>
      <c r="HI179" s="18"/>
      <c r="HJ179" s="20"/>
      <c r="HK179" s="10">
        <f t="shared" si="1150"/>
        <v>1</v>
      </c>
      <c r="HL179" s="11">
        <f t="shared" si="1150"/>
        <v>0</v>
      </c>
      <c r="HM179" s="11">
        <f t="shared" si="1150"/>
        <v>3489</v>
      </c>
      <c r="HN179" s="11">
        <f t="shared" si="1150"/>
        <v>296</v>
      </c>
      <c r="HO179" s="11">
        <f t="shared" si="1151"/>
        <v>1157</v>
      </c>
      <c r="HP179" s="95">
        <f t="shared" si="1152"/>
        <v>0.33161364287761536</v>
      </c>
      <c r="HQ179" s="15">
        <f t="shared" si="1153"/>
        <v>110</v>
      </c>
      <c r="HR179" s="12">
        <f t="shared" si="1174"/>
        <v>9.507346585998272E-2</v>
      </c>
      <c r="HS179" s="16">
        <v>69.7</v>
      </c>
      <c r="HT179" s="17">
        <v>1011</v>
      </c>
      <c r="HU179" s="16">
        <f t="shared" si="1154"/>
        <v>87.381158167675025</v>
      </c>
      <c r="HV179" s="18"/>
      <c r="HW179" s="20"/>
    </row>
    <row r="180" spans="1:231" ht="18.75" x14ac:dyDescent="0.25">
      <c r="A180" s="374"/>
      <c r="B180" s="41">
        <f t="shared" si="814"/>
        <v>45078</v>
      </c>
      <c r="C180" s="10"/>
      <c r="D180" s="11"/>
      <c r="E180" s="69">
        <f t="shared" si="1155"/>
        <v>615</v>
      </c>
      <c r="F180" s="69">
        <f t="shared" si="1155"/>
        <v>51</v>
      </c>
      <c r="G180" s="11">
        <v>206</v>
      </c>
      <c r="H180" s="12">
        <f t="shared" si="1115"/>
        <v>0.35934959349593498</v>
      </c>
      <c r="I180" s="11">
        <v>15</v>
      </c>
      <c r="J180" s="12">
        <f t="shared" si="1156"/>
        <v>6.7873303167420809E-2</v>
      </c>
      <c r="K180" s="13"/>
      <c r="L180" s="13"/>
      <c r="M180" s="25">
        <v>4145</v>
      </c>
      <c r="N180" s="38">
        <v>4540</v>
      </c>
      <c r="O180" s="10"/>
      <c r="P180" s="11"/>
      <c r="Q180" s="69">
        <f t="shared" si="1157"/>
        <v>623</v>
      </c>
      <c r="R180" s="69">
        <f t="shared" si="1157"/>
        <v>53</v>
      </c>
      <c r="S180" s="11">
        <v>206</v>
      </c>
      <c r="T180" s="12">
        <f t="shared" si="1116"/>
        <v>0.3467094703049759</v>
      </c>
      <c r="U180" s="11">
        <v>10</v>
      </c>
      <c r="V180" s="12">
        <f t="shared" si="1117"/>
        <v>4.6296296296296294E-2</v>
      </c>
      <c r="W180" s="13"/>
      <c r="X180" s="13"/>
      <c r="Y180" s="25">
        <v>4145</v>
      </c>
      <c r="Z180" s="38">
        <v>4540</v>
      </c>
      <c r="AA180" s="10">
        <v>1</v>
      </c>
      <c r="AB180" s="11"/>
      <c r="AC180" s="69">
        <f t="shared" si="1158"/>
        <v>171</v>
      </c>
      <c r="AD180" s="69">
        <f t="shared" si="1158"/>
        <v>13</v>
      </c>
      <c r="AE180" s="11">
        <v>41</v>
      </c>
      <c r="AF180" s="12">
        <f t="shared" si="1118"/>
        <v>0.25730994152046782</v>
      </c>
      <c r="AG180" s="11">
        <v>3</v>
      </c>
      <c r="AH180" s="12">
        <f t="shared" si="1119"/>
        <v>6.8181818181818177E-2</v>
      </c>
      <c r="AI180" s="13"/>
      <c r="AJ180" s="13"/>
      <c r="AK180" s="25">
        <v>4145</v>
      </c>
      <c r="AL180" s="38">
        <v>4540</v>
      </c>
      <c r="AM180" s="10"/>
      <c r="AN180" s="11"/>
      <c r="AO180" s="69">
        <f t="shared" si="1159"/>
        <v>694</v>
      </c>
      <c r="AP180" s="69">
        <f t="shared" si="1159"/>
        <v>60</v>
      </c>
      <c r="AQ180" s="11">
        <v>223</v>
      </c>
      <c r="AR180" s="12">
        <f t="shared" si="1120"/>
        <v>0.34870317002881845</v>
      </c>
      <c r="AS180" s="11">
        <v>19</v>
      </c>
      <c r="AT180" s="12">
        <f t="shared" si="1121"/>
        <v>7.8512396694214878E-2</v>
      </c>
      <c r="AU180" s="13"/>
      <c r="AV180" s="13"/>
      <c r="AW180" s="25">
        <v>4145</v>
      </c>
      <c r="AX180" s="38">
        <v>4540</v>
      </c>
      <c r="AY180" s="10"/>
      <c r="AZ180" s="11"/>
      <c r="BA180" s="69">
        <f t="shared" si="1160"/>
        <v>691</v>
      </c>
      <c r="BB180" s="69">
        <f t="shared" si="1160"/>
        <v>60</v>
      </c>
      <c r="BC180" s="11">
        <v>228</v>
      </c>
      <c r="BD180" s="12">
        <f t="shared" si="1122"/>
        <v>0.35021707670043417</v>
      </c>
      <c r="BE180" s="11">
        <v>14</v>
      </c>
      <c r="BF180" s="12">
        <f t="shared" si="1123"/>
        <v>5.7851239669421489E-2</v>
      </c>
      <c r="BG180" s="13"/>
      <c r="BH180" s="13"/>
      <c r="BI180" s="25">
        <v>4145</v>
      </c>
      <c r="BJ180" s="38">
        <v>4540</v>
      </c>
      <c r="BK180" s="10"/>
      <c r="BL180" s="11"/>
      <c r="BM180" s="69">
        <f t="shared" si="1161"/>
        <v>694</v>
      </c>
      <c r="BN180" s="69">
        <f t="shared" si="1161"/>
        <v>59</v>
      </c>
      <c r="BO180" s="11">
        <v>225</v>
      </c>
      <c r="BP180" s="12">
        <f t="shared" si="1124"/>
        <v>0.34438040345821325</v>
      </c>
      <c r="BQ180" s="11">
        <v>14</v>
      </c>
      <c r="BR180" s="12">
        <f t="shared" si="1125"/>
        <v>5.8577405857740586E-2</v>
      </c>
      <c r="BS180" s="13"/>
      <c r="BT180" s="13"/>
      <c r="BU180" s="25">
        <v>4145</v>
      </c>
      <c r="BV180" s="38">
        <v>4540</v>
      </c>
      <c r="BW180" s="10"/>
      <c r="BX180" s="11"/>
      <c r="BY180" s="69">
        <f t="shared" si="1162"/>
        <v>0</v>
      </c>
      <c r="BZ180" s="69">
        <f t="shared" si="1162"/>
        <v>0</v>
      </c>
      <c r="CA180" s="11"/>
      <c r="CB180" s="12" t="e">
        <f t="shared" si="1126"/>
        <v>#DIV/0!</v>
      </c>
      <c r="CC180" s="11"/>
      <c r="CD180" s="12" t="e">
        <f t="shared" si="1127"/>
        <v>#DIV/0!</v>
      </c>
      <c r="CE180" s="13"/>
      <c r="CF180" s="13"/>
      <c r="CG180" s="25"/>
      <c r="CH180" s="38"/>
      <c r="CI180" s="10"/>
      <c r="CJ180" s="11"/>
      <c r="CK180" s="69">
        <f t="shared" si="1163"/>
        <v>0</v>
      </c>
      <c r="CL180" s="69">
        <f t="shared" si="1163"/>
        <v>0</v>
      </c>
      <c r="CM180" s="11"/>
      <c r="CN180" s="12" t="e">
        <f t="shared" si="1128"/>
        <v>#DIV/0!</v>
      </c>
      <c r="CO180" s="11"/>
      <c r="CP180" s="12" t="e">
        <f t="shared" si="1129"/>
        <v>#DIV/0!</v>
      </c>
      <c r="CQ180" s="13"/>
      <c r="CR180" s="13"/>
      <c r="CS180" s="25"/>
      <c r="CT180" s="38"/>
      <c r="CU180" s="10"/>
      <c r="CV180" s="11"/>
      <c r="CW180" s="69">
        <f t="shared" si="1164"/>
        <v>0</v>
      </c>
      <c r="CX180" s="69">
        <f t="shared" si="1164"/>
        <v>0</v>
      </c>
      <c r="CY180" s="11"/>
      <c r="CZ180" s="12" t="e">
        <f t="shared" si="1130"/>
        <v>#DIV/0!</v>
      </c>
      <c r="DA180" s="11"/>
      <c r="DB180" s="12" t="e">
        <f t="shared" si="1131"/>
        <v>#DIV/0!</v>
      </c>
      <c r="DC180" s="13"/>
      <c r="DD180" s="13"/>
      <c r="DE180" s="25"/>
      <c r="DF180" s="38"/>
      <c r="DG180" s="10"/>
      <c r="DH180" s="11"/>
      <c r="DI180" s="69">
        <f t="shared" si="1165"/>
        <v>0</v>
      </c>
      <c r="DJ180" s="69">
        <f t="shared" si="1165"/>
        <v>0</v>
      </c>
      <c r="DK180" s="11"/>
      <c r="DL180" s="12" t="e">
        <f t="shared" si="1132"/>
        <v>#DIV/0!</v>
      </c>
      <c r="DM180" s="11"/>
      <c r="DN180" s="12" t="e">
        <f t="shared" si="1133"/>
        <v>#DIV/0!</v>
      </c>
      <c r="DO180" s="13"/>
      <c r="DP180" s="13"/>
      <c r="DQ180" s="25"/>
      <c r="DR180" s="38"/>
      <c r="DS180" s="10"/>
      <c r="DT180" s="11"/>
      <c r="DU180" s="69">
        <f t="shared" si="1166"/>
        <v>0</v>
      </c>
      <c r="DV180" s="69">
        <f t="shared" si="1166"/>
        <v>0</v>
      </c>
      <c r="DW180" s="11"/>
      <c r="DX180" s="12" t="e">
        <f t="shared" si="1134"/>
        <v>#DIV/0!</v>
      </c>
      <c r="DY180" s="11"/>
      <c r="DZ180" s="12" t="e">
        <f t="shared" si="1135"/>
        <v>#DIV/0!</v>
      </c>
      <c r="EA180" s="13"/>
      <c r="EB180" s="13"/>
      <c r="EC180" s="25"/>
      <c r="ED180" s="38"/>
      <c r="EE180" s="10"/>
      <c r="EF180" s="11"/>
      <c r="EG180" s="69">
        <f t="shared" si="1167"/>
        <v>0</v>
      </c>
      <c r="EH180" s="69">
        <f t="shared" si="1167"/>
        <v>0</v>
      </c>
      <c r="EI180" s="11"/>
      <c r="EJ180" s="12" t="e">
        <f t="shared" si="1136"/>
        <v>#DIV/0!</v>
      </c>
      <c r="EK180" s="11"/>
      <c r="EL180" s="12" t="e">
        <f t="shared" si="1137"/>
        <v>#DIV/0!</v>
      </c>
      <c r="EM180" s="13"/>
      <c r="EN180" s="13"/>
      <c r="EO180" s="25"/>
      <c r="EP180" s="38"/>
      <c r="EQ180" s="10"/>
      <c r="ER180" s="11"/>
      <c r="ES180" s="69">
        <f t="shared" si="1168"/>
        <v>0</v>
      </c>
      <c r="ET180" s="69">
        <f t="shared" si="1168"/>
        <v>0</v>
      </c>
      <c r="EU180" s="11"/>
      <c r="EV180" s="12" t="e">
        <f t="shared" si="1138"/>
        <v>#DIV/0!</v>
      </c>
      <c r="EW180" s="11"/>
      <c r="EX180" s="12" t="e">
        <f t="shared" si="1139"/>
        <v>#DIV/0!</v>
      </c>
      <c r="EY180" s="13"/>
      <c r="EZ180" s="13"/>
      <c r="FA180" s="25"/>
      <c r="FB180" s="38"/>
      <c r="FC180" s="10"/>
      <c r="FD180" s="11"/>
      <c r="FE180" s="69">
        <f t="shared" si="1169"/>
        <v>0</v>
      </c>
      <c r="FF180" s="69">
        <f t="shared" si="1169"/>
        <v>0</v>
      </c>
      <c r="FG180" s="11"/>
      <c r="FH180" s="12" t="e">
        <f t="shared" si="1140"/>
        <v>#DIV/0!</v>
      </c>
      <c r="FI180" s="11"/>
      <c r="FJ180" s="12" t="e">
        <f t="shared" si="1141"/>
        <v>#DIV/0!</v>
      </c>
      <c r="FK180" s="13"/>
      <c r="FL180" s="13"/>
      <c r="FM180" s="25"/>
      <c r="FN180" s="38"/>
      <c r="FO180" s="10"/>
      <c r="FP180" s="11"/>
      <c r="FQ180" s="69">
        <f t="shared" si="1170"/>
        <v>0</v>
      </c>
      <c r="FR180" s="69">
        <f t="shared" si="1170"/>
        <v>0</v>
      </c>
      <c r="FS180" s="11"/>
      <c r="FT180" s="12" t="e">
        <f t="shared" si="1142"/>
        <v>#DIV/0!</v>
      </c>
      <c r="FU180" s="11"/>
      <c r="FV180" s="12" t="e">
        <f t="shared" si="1143"/>
        <v>#DIV/0!</v>
      </c>
      <c r="FW180" s="13"/>
      <c r="FX180" s="13"/>
      <c r="FY180" s="25"/>
      <c r="FZ180" s="38"/>
      <c r="GA180" s="10"/>
      <c r="GB180" s="11"/>
      <c r="GC180" s="69">
        <f t="shared" si="1171"/>
        <v>0</v>
      </c>
      <c r="GD180" s="69">
        <f t="shared" si="1171"/>
        <v>0</v>
      </c>
      <c r="GE180" s="11"/>
      <c r="GF180" s="12" t="e">
        <f t="shared" si="1144"/>
        <v>#DIV/0!</v>
      </c>
      <c r="GG180" s="11"/>
      <c r="GH180" s="12" t="e">
        <f t="shared" si="1145"/>
        <v>#DIV/0!</v>
      </c>
      <c r="GI180" s="13"/>
      <c r="GJ180" s="13"/>
      <c r="GK180" s="25"/>
      <c r="GL180" s="38"/>
      <c r="GM180" s="10"/>
      <c r="GN180" s="11"/>
      <c r="GO180" s="69">
        <f t="shared" si="1172"/>
        <v>0</v>
      </c>
      <c r="GP180" s="69">
        <f t="shared" si="1172"/>
        <v>0</v>
      </c>
      <c r="GQ180" s="11"/>
      <c r="GR180" s="12" t="e">
        <f t="shared" si="1146"/>
        <v>#DIV/0!</v>
      </c>
      <c r="GS180" s="11"/>
      <c r="GT180" s="12" t="e">
        <f t="shared" si="1147"/>
        <v>#DIV/0!</v>
      </c>
      <c r="GU180" s="13"/>
      <c r="GV180" s="13"/>
      <c r="GW180" s="25"/>
      <c r="GX180" s="38"/>
      <c r="GY180" s="10"/>
      <c r="GZ180" s="11"/>
      <c r="HA180" s="69">
        <f t="shared" si="1173"/>
        <v>0</v>
      </c>
      <c r="HB180" s="69">
        <f t="shared" si="1173"/>
        <v>0</v>
      </c>
      <c r="HC180" s="11"/>
      <c r="HD180" s="12" t="e">
        <f t="shared" si="1148"/>
        <v>#DIV/0!</v>
      </c>
      <c r="HE180" s="11"/>
      <c r="HF180" s="12" t="e">
        <f t="shared" si="1149"/>
        <v>#DIV/0!</v>
      </c>
      <c r="HG180" s="13"/>
      <c r="HH180" s="13"/>
      <c r="HI180" s="25"/>
      <c r="HJ180" s="38"/>
      <c r="HK180" s="10">
        <f t="shared" si="1150"/>
        <v>1</v>
      </c>
      <c r="HL180" s="11">
        <f t="shared" si="1150"/>
        <v>0</v>
      </c>
      <c r="HM180" s="11">
        <f t="shared" si="1150"/>
        <v>3488</v>
      </c>
      <c r="HN180" s="11">
        <f t="shared" si="1150"/>
        <v>296</v>
      </c>
      <c r="HO180" s="11">
        <f t="shared" si="1151"/>
        <v>1204</v>
      </c>
      <c r="HP180" s="95">
        <f t="shared" si="1152"/>
        <v>0.34518348623853212</v>
      </c>
      <c r="HQ180" s="15">
        <f t="shared" si="1153"/>
        <v>75</v>
      </c>
      <c r="HR180" s="12">
        <f t="shared" si="1174"/>
        <v>6.229235880398671E-2</v>
      </c>
      <c r="HS180" s="16">
        <v>69.599999999999994</v>
      </c>
      <c r="HT180" s="17">
        <v>1079</v>
      </c>
      <c r="HU180" s="16">
        <f t="shared" si="1154"/>
        <v>89.61794019933555</v>
      </c>
      <c r="HV180" s="23">
        <v>4145</v>
      </c>
      <c r="HW180" s="22">
        <v>4540</v>
      </c>
    </row>
    <row r="181" spans="1:231" ht="18.75" x14ac:dyDescent="0.25">
      <c r="A181" s="374"/>
      <c r="B181" s="41">
        <f t="shared" si="814"/>
        <v>45079</v>
      </c>
      <c r="C181" s="10">
        <v>1</v>
      </c>
      <c r="D181" s="11"/>
      <c r="E181" s="69">
        <f t="shared" si="1155"/>
        <v>614</v>
      </c>
      <c r="F181" s="69">
        <f t="shared" si="1155"/>
        <v>51</v>
      </c>
      <c r="G181" s="11">
        <v>191</v>
      </c>
      <c r="H181" s="12">
        <f t="shared" si="1115"/>
        <v>0.34364820846905536</v>
      </c>
      <c r="I181" s="11">
        <v>20</v>
      </c>
      <c r="J181" s="12">
        <f t="shared" si="1156"/>
        <v>9.4786729857819899E-2</v>
      </c>
      <c r="K181" s="13"/>
      <c r="L181" s="11"/>
      <c r="M181" s="25">
        <v>4621.3900000000003</v>
      </c>
      <c r="N181" s="38">
        <v>4980</v>
      </c>
      <c r="O181" s="10"/>
      <c r="P181" s="11"/>
      <c r="Q181" s="69">
        <f t="shared" si="1157"/>
        <v>623</v>
      </c>
      <c r="R181" s="69">
        <f t="shared" si="1157"/>
        <v>53</v>
      </c>
      <c r="S181" s="11">
        <v>220</v>
      </c>
      <c r="T181" s="12">
        <f t="shared" si="1116"/>
        <v>0.3739967897271268</v>
      </c>
      <c r="U181" s="11">
        <v>13</v>
      </c>
      <c r="V181" s="12">
        <f t="shared" si="1117"/>
        <v>5.5793991416309016E-2</v>
      </c>
      <c r="W181" s="13"/>
      <c r="X181" s="11"/>
      <c r="Y181" s="25">
        <v>4552.5</v>
      </c>
      <c r="Z181" s="38">
        <v>4797.5</v>
      </c>
      <c r="AA181" s="10"/>
      <c r="AB181" s="11"/>
      <c r="AC181" s="69">
        <f t="shared" si="1158"/>
        <v>171</v>
      </c>
      <c r="AD181" s="69">
        <f t="shared" si="1158"/>
        <v>13</v>
      </c>
      <c r="AE181" s="11">
        <v>29</v>
      </c>
      <c r="AF181" s="12">
        <f t="shared" si="1118"/>
        <v>0.21637426900584794</v>
      </c>
      <c r="AG181" s="11">
        <v>8</v>
      </c>
      <c r="AH181" s="12">
        <f t="shared" si="1119"/>
        <v>0.21621621621621623</v>
      </c>
      <c r="AI181" s="13"/>
      <c r="AJ181" s="11"/>
      <c r="AK181" s="25">
        <v>4380</v>
      </c>
      <c r="AL181" s="38">
        <v>4358</v>
      </c>
      <c r="AM181" s="10">
        <v>2</v>
      </c>
      <c r="AN181" s="11"/>
      <c r="AO181" s="69">
        <f t="shared" si="1159"/>
        <v>692</v>
      </c>
      <c r="AP181" s="69">
        <f t="shared" si="1159"/>
        <v>60</v>
      </c>
      <c r="AQ181" s="11">
        <v>222</v>
      </c>
      <c r="AR181" s="12">
        <f t="shared" si="1120"/>
        <v>0.34971098265895956</v>
      </c>
      <c r="AS181" s="11">
        <v>20</v>
      </c>
      <c r="AT181" s="12">
        <f t="shared" si="1121"/>
        <v>8.2644628099173556E-2</v>
      </c>
      <c r="AU181" s="13"/>
      <c r="AV181" s="11"/>
      <c r="AW181" s="25">
        <v>4618.4799999999996</v>
      </c>
      <c r="AX181" s="38">
        <v>4833.33</v>
      </c>
      <c r="AY181" s="10"/>
      <c r="AZ181" s="11"/>
      <c r="BA181" s="69">
        <f t="shared" si="1160"/>
        <v>691</v>
      </c>
      <c r="BB181" s="69">
        <f t="shared" si="1160"/>
        <v>60</v>
      </c>
      <c r="BC181" s="11">
        <v>220</v>
      </c>
      <c r="BD181" s="12">
        <f t="shared" si="1122"/>
        <v>0.34876989869753977</v>
      </c>
      <c r="BE181" s="11">
        <v>21</v>
      </c>
      <c r="BF181" s="12">
        <f t="shared" si="1123"/>
        <v>8.7136929460580909E-2</v>
      </c>
      <c r="BG181" s="13"/>
      <c r="BH181" s="11"/>
      <c r="BI181" s="25">
        <v>4508.4399999999996</v>
      </c>
      <c r="BJ181" s="38">
        <v>4940</v>
      </c>
      <c r="BK181" s="10">
        <v>1</v>
      </c>
      <c r="BL181" s="11"/>
      <c r="BM181" s="69">
        <f t="shared" si="1161"/>
        <v>693</v>
      </c>
      <c r="BN181" s="69">
        <f t="shared" si="1161"/>
        <v>59</v>
      </c>
      <c r="BO181" s="11">
        <v>252</v>
      </c>
      <c r="BP181" s="12">
        <f t="shared" si="1124"/>
        <v>0.39249639249639251</v>
      </c>
      <c r="BQ181" s="11">
        <v>20</v>
      </c>
      <c r="BR181" s="12">
        <f t="shared" si="1125"/>
        <v>7.3529411764705885E-2</v>
      </c>
      <c r="BS181" s="13"/>
      <c r="BT181" s="11"/>
      <c r="BU181" s="25">
        <v>4857.1899999999996</v>
      </c>
      <c r="BV181" s="38">
        <v>4965</v>
      </c>
      <c r="BW181" s="10"/>
      <c r="BX181" s="11"/>
      <c r="BY181" s="69">
        <f t="shared" si="1162"/>
        <v>0</v>
      </c>
      <c r="BZ181" s="69">
        <f t="shared" si="1162"/>
        <v>0</v>
      </c>
      <c r="CA181" s="11"/>
      <c r="CB181" s="12" t="e">
        <f t="shared" si="1126"/>
        <v>#DIV/0!</v>
      </c>
      <c r="CC181" s="11"/>
      <c r="CD181" s="12" t="e">
        <f t="shared" si="1127"/>
        <v>#DIV/0!</v>
      </c>
      <c r="CE181" s="13"/>
      <c r="CF181" s="11"/>
      <c r="CG181" s="25"/>
      <c r="CH181" s="38"/>
      <c r="CI181" s="10"/>
      <c r="CJ181" s="11"/>
      <c r="CK181" s="69">
        <f t="shared" si="1163"/>
        <v>0</v>
      </c>
      <c r="CL181" s="69">
        <f t="shared" si="1163"/>
        <v>0</v>
      </c>
      <c r="CM181" s="11"/>
      <c r="CN181" s="12" t="e">
        <f t="shared" si="1128"/>
        <v>#DIV/0!</v>
      </c>
      <c r="CO181" s="11"/>
      <c r="CP181" s="12" t="e">
        <f t="shared" si="1129"/>
        <v>#DIV/0!</v>
      </c>
      <c r="CQ181" s="13"/>
      <c r="CR181" s="11"/>
      <c r="CS181" s="25"/>
      <c r="CT181" s="38"/>
      <c r="CU181" s="10"/>
      <c r="CV181" s="11"/>
      <c r="CW181" s="69">
        <f t="shared" si="1164"/>
        <v>0</v>
      </c>
      <c r="CX181" s="69">
        <f t="shared" si="1164"/>
        <v>0</v>
      </c>
      <c r="CY181" s="11"/>
      <c r="CZ181" s="12" t="e">
        <f t="shared" si="1130"/>
        <v>#DIV/0!</v>
      </c>
      <c r="DA181" s="11"/>
      <c r="DB181" s="12" t="e">
        <f t="shared" si="1131"/>
        <v>#DIV/0!</v>
      </c>
      <c r="DC181" s="13"/>
      <c r="DD181" s="11"/>
      <c r="DE181" s="25"/>
      <c r="DF181" s="38"/>
      <c r="DG181" s="10"/>
      <c r="DH181" s="11"/>
      <c r="DI181" s="69">
        <f t="shared" si="1165"/>
        <v>0</v>
      </c>
      <c r="DJ181" s="69">
        <f t="shared" si="1165"/>
        <v>0</v>
      </c>
      <c r="DK181" s="11"/>
      <c r="DL181" s="12" t="e">
        <f t="shared" si="1132"/>
        <v>#DIV/0!</v>
      </c>
      <c r="DM181" s="11"/>
      <c r="DN181" s="12" t="e">
        <f t="shared" si="1133"/>
        <v>#DIV/0!</v>
      </c>
      <c r="DO181" s="13"/>
      <c r="DP181" s="11"/>
      <c r="DQ181" s="25"/>
      <c r="DR181" s="38"/>
      <c r="DS181" s="10"/>
      <c r="DT181" s="11"/>
      <c r="DU181" s="69">
        <f t="shared" si="1166"/>
        <v>0</v>
      </c>
      <c r="DV181" s="69">
        <f t="shared" si="1166"/>
        <v>0</v>
      </c>
      <c r="DW181" s="11"/>
      <c r="DX181" s="12" t="e">
        <f t="shared" si="1134"/>
        <v>#DIV/0!</v>
      </c>
      <c r="DY181" s="11"/>
      <c r="DZ181" s="12" t="e">
        <f t="shared" si="1135"/>
        <v>#DIV/0!</v>
      </c>
      <c r="EA181" s="13"/>
      <c r="EB181" s="11"/>
      <c r="EC181" s="25"/>
      <c r="ED181" s="38"/>
      <c r="EE181" s="10"/>
      <c r="EF181" s="11"/>
      <c r="EG181" s="69">
        <f t="shared" si="1167"/>
        <v>0</v>
      </c>
      <c r="EH181" s="69">
        <f t="shared" si="1167"/>
        <v>0</v>
      </c>
      <c r="EI181" s="11"/>
      <c r="EJ181" s="12" t="e">
        <f t="shared" si="1136"/>
        <v>#DIV/0!</v>
      </c>
      <c r="EK181" s="11"/>
      <c r="EL181" s="12" t="e">
        <f t="shared" si="1137"/>
        <v>#DIV/0!</v>
      </c>
      <c r="EM181" s="13"/>
      <c r="EN181" s="11"/>
      <c r="EO181" s="25"/>
      <c r="EP181" s="38"/>
      <c r="EQ181" s="10"/>
      <c r="ER181" s="11"/>
      <c r="ES181" s="69">
        <f t="shared" si="1168"/>
        <v>0</v>
      </c>
      <c r="ET181" s="69">
        <f t="shared" si="1168"/>
        <v>0</v>
      </c>
      <c r="EU181" s="11"/>
      <c r="EV181" s="12" t="e">
        <f t="shared" si="1138"/>
        <v>#DIV/0!</v>
      </c>
      <c r="EW181" s="11"/>
      <c r="EX181" s="12" t="e">
        <f t="shared" si="1139"/>
        <v>#DIV/0!</v>
      </c>
      <c r="EY181" s="13"/>
      <c r="EZ181" s="11"/>
      <c r="FA181" s="25"/>
      <c r="FB181" s="38"/>
      <c r="FC181" s="10"/>
      <c r="FD181" s="11"/>
      <c r="FE181" s="69">
        <f t="shared" si="1169"/>
        <v>0</v>
      </c>
      <c r="FF181" s="69">
        <f t="shared" si="1169"/>
        <v>0</v>
      </c>
      <c r="FG181" s="11"/>
      <c r="FH181" s="12" t="e">
        <f t="shared" si="1140"/>
        <v>#DIV/0!</v>
      </c>
      <c r="FI181" s="11"/>
      <c r="FJ181" s="12" t="e">
        <f t="shared" si="1141"/>
        <v>#DIV/0!</v>
      </c>
      <c r="FK181" s="13"/>
      <c r="FL181" s="11"/>
      <c r="FM181" s="25"/>
      <c r="FN181" s="38"/>
      <c r="FO181" s="10"/>
      <c r="FP181" s="11"/>
      <c r="FQ181" s="69">
        <f t="shared" si="1170"/>
        <v>0</v>
      </c>
      <c r="FR181" s="69">
        <f t="shared" si="1170"/>
        <v>0</v>
      </c>
      <c r="FS181" s="11"/>
      <c r="FT181" s="12" t="e">
        <f t="shared" si="1142"/>
        <v>#DIV/0!</v>
      </c>
      <c r="FU181" s="11"/>
      <c r="FV181" s="12" t="e">
        <f t="shared" si="1143"/>
        <v>#DIV/0!</v>
      </c>
      <c r="FW181" s="13"/>
      <c r="FX181" s="11"/>
      <c r="FY181" s="25"/>
      <c r="FZ181" s="38"/>
      <c r="GA181" s="10"/>
      <c r="GB181" s="11"/>
      <c r="GC181" s="69">
        <f t="shared" si="1171"/>
        <v>0</v>
      </c>
      <c r="GD181" s="69">
        <f t="shared" si="1171"/>
        <v>0</v>
      </c>
      <c r="GE181" s="11"/>
      <c r="GF181" s="12" t="e">
        <f t="shared" si="1144"/>
        <v>#DIV/0!</v>
      </c>
      <c r="GG181" s="11"/>
      <c r="GH181" s="12" t="e">
        <f t="shared" si="1145"/>
        <v>#DIV/0!</v>
      </c>
      <c r="GI181" s="13"/>
      <c r="GJ181" s="11"/>
      <c r="GK181" s="25"/>
      <c r="GL181" s="38"/>
      <c r="GM181" s="10"/>
      <c r="GN181" s="11"/>
      <c r="GO181" s="69">
        <f t="shared" si="1172"/>
        <v>0</v>
      </c>
      <c r="GP181" s="69">
        <f t="shared" si="1172"/>
        <v>0</v>
      </c>
      <c r="GQ181" s="11"/>
      <c r="GR181" s="12" t="e">
        <f t="shared" si="1146"/>
        <v>#DIV/0!</v>
      </c>
      <c r="GS181" s="11"/>
      <c r="GT181" s="12" t="e">
        <f t="shared" si="1147"/>
        <v>#DIV/0!</v>
      </c>
      <c r="GU181" s="13"/>
      <c r="GV181" s="11"/>
      <c r="GW181" s="25"/>
      <c r="GX181" s="38"/>
      <c r="GY181" s="10"/>
      <c r="GZ181" s="11"/>
      <c r="HA181" s="69">
        <f t="shared" si="1173"/>
        <v>0</v>
      </c>
      <c r="HB181" s="69">
        <f t="shared" si="1173"/>
        <v>0</v>
      </c>
      <c r="HC181" s="11"/>
      <c r="HD181" s="12" t="e">
        <f t="shared" si="1148"/>
        <v>#DIV/0!</v>
      </c>
      <c r="HE181" s="11"/>
      <c r="HF181" s="12" t="e">
        <f t="shared" si="1149"/>
        <v>#DIV/0!</v>
      </c>
      <c r="HG181" s="13"/>
      <c r="HH181" s="11"/>
      <c r="HI181" s="25"/>
      <c r="HJ181" s="38"/>
      <c r="HK181" s="10">
        <f t="shared" si="1150"/>
        <v>4</v>
      </c>
      <c r="HL181" s="11">
        <f t="shared" si="1150"/>
        <v>0</v>
      </c>
      <c r="HM181" s="11">
        <f t="shared" si="1150"/>
        <v>3484</v>
      </c>
      <c r="HN181" s="11">
        <f t="shared" si="1150"/>
        <v>296</v>
      </c>
      <c r="HO181" s="11">
        <f t="shared" si="1151"/>
        <v>1236</v>
      </c>
      <c r="HP181" s="95">
        <f t="shared" si="1152"/>
        <v>0.35476463834672789</v>
      </c>
      <c r="HQ181" s="15">
        <f t="shared" si="1153"/>
        <v>102</v>
      </c>
      <c r="HR181" s="12">
        <f t="shared" si="1174"/>
        <v>8.2524271844660199E-2</v>
      </c>
      <c r="HS181" s="16">
        <v>69.5</v>
      </c>
      <c r="HT181" s="17">
        <v>1080</v>
      </c>
      <c r="HU181" s="16">
        <f t="shared" si="1154"/>
        <v>87.378640776699029</v>
      </c>
      <c r="HV181" s="23">
        <v>4616.8</v>
      </c>
      <c r="HW181" s="22">
        <v>4857.8</v>
      </c>
    </row>
    <row r="182" spans="1:231" ht="18.75" x14ac:dyDescent="0.25">
      <c r="A182" s="374"/>
      <c r="B182" s="41">
        <f t="shared" si="814"/>
        <v>45080</v>
      </c>
      <c r="C182" s="10"/>
      <c r="D182" s="11"/>
      <c r="E182" s="69">
        <f>E181-C182</f>
        <v>614</v>
      </c>
      <c r="F182" s="69">
        <f>F181-D182</f>
        <v>51</v>
      </c>
      <c r="G182" s="11">
        <v>183</v>
      </c>
      <c r="H182" s="12">
        <f t="shared" si="1115"/>
        <v>0.32410423452768727</v>
      </c>
      <c r="I182" s="11">
        <v>16</v>
      </c>
      <c r="J182" s="12">
        <f t="shared" si="1156"/>
        <v>8.0402010050251257E-2</v>
      </c>
      <c r="K182" s="13"/>
      <c r="L182" s="11"/>
      <c r="M182" s="39">
        <v>86.1</v>
      </c>
      <c r="N182" s="43">
        <v>83.3</v>
      </c>
      <c r="O182" s="10"/>
      <c r="P182" s="11"/>
      <c r="Q182" s="69">
        <f t="shared" si="1157"/>
        <v>623</v>
      </c>
      <c r="R182" s="69">
        <f t="shared" si="1157"/>
        <v>53</v>
      </c>
      <c r="S182" s="11">
        <v>186</v>
      </c>
      <c r="T182" s="12">
        <f t="shared" si="1116"/>
        <v>0.3258426966292135</v>
      </c>
      <c r="U182" s="11">
        <v>17</v>
      </c>
      <c r="V182" s="12">
        <f t="shared" si="1117"/>
        <v>8.3743842364532015E-2</v>
      </c>
      <c r="W182" s="13"/>
      <c r="X182" s="11"/>
      <c r="Y182" s="39">
        <v>86.11</v>
      </c>
      <c r="Z182" s="43">
        <v>58.33</v>
      </c>
      <c r="AA182" s="10"/>
      <c r="AB182" s="11"/>
      <c r="AC182" s="69">
        <f t="shared" si="1158"/>
        <v>171</v>
      </c>
      <c r="AD182" s="69">
        <f t="shared" si="1158"/>
        <v>13</v>
      </c>
      <c r="AE182" s="11">
        <v>35</v>
      </c>
      <c r="AF182" s="12">
        <f t="shared" si="1118"/>
        <v>0.22807017543859648</v>
      </c>
      <c r="AG182" s="11">
        <v>4</v>
      </c>
      <c r="AH182" s="12">
        <f t="shared" si="1119"/>
        <v>0.10256410256410256</v>
      </c>
      <c r="AI182" s="13"/>
      <c r="AJ182" s="11"/>
      <c r="AK182" s="39">
        <v>100</v>
      </c>
      <c r="AL182" s="43">
        <v>100</v>
      </c>
      <c r="AM182" s="10"/>
      <c r="AN182" s="11"/>
      <c r="AO182" s="69">
        <f t="shared" si="1159"/>
        <v>692</v>
      </c>
      <c r="AP182" s="69">
        <f t="shared" si="1159"/>
        <v>60</v>
      </c>
      <c r="AQ182" s="11">
        <v>208</v>
      </c>
      <c r="AR182" s="12">
        <f t="shared" si="1120"/>
        <v>0.32947976878612717</v>
      </c>
      <c r="AS182" s="11">
        <v>20</v>
      </c>
      <c r="AT182" s="12">
        <f t="shared" si="1121"/>
        <v>8.771929824561403E-2</v>
      </c>
      <c r="AU182" s="13"/>
      <c r="AV182" s="11"/>
      <c r="AW182" s="39">
        <v>66.7</v>
      </c>
      <c r="AX182" s="43">
        <v>100</v>
      </c>
      <c r="AY182" s="10"/>
      <c r="AZ182" s="11"/>
      <c r="BA182" s="69">
        <f t="shared" si="1160"/>
        <v>691</v>
      </c>
      <c r="BB182" s="69">
        <f t="shared" si="1160"/>
        <v>60</v>
      </c>
      <c r="BC182" s="11">
        <v>221</v>
      </c>
      <c r="BD182" s="12">
        <f t="shared" si="1122"/>
        <v>0.35021707670043417</v>
      </c>
      <c r="BE182" s="11">
        <v>21</v>
      </c>
      <c r="BF182" s="12">
        <f t="shared" si="1123"/>
        <v>8.6776859504132234E-2</v>
      </c>
      <c r="BG182" s="13"/>
      <c r="BH182" s="11"/>
      <c r="BI182" s="39">
        <v>81.25</v>
      </c>
      <c r="BJ182" s="43">
        <v>100</v>
      </c>
      <c r="BK182" s="10"/>
      <c r="BL182" s="11"/>
      <c r="BM182" s="69">
        <f t="shared" si="1161"/>
        <v>693</v>
      </c>
      <c r="BN182" s="69">
        <f t="shared" si="1161"/>
        <v>59</v>
      </c>
      <c r="BO182" s="11">
        <v>265</v>
      </c>
      <c r="BP182" s="12">
        <f t="shared" si="1124"/>
        <v>0.39971139971139968</v>
      </c>
      <c r="BQ182" s="11">
        <v>12</v>
      </c>
      <c r="BR182" s="12">
        <f t="shared" si="1125"/>
        <v>4.3321299638989168E-2</v>
      </c>
      <c r="BS182" s="13"/>
      <c r="BT182" s="11"/>
      <c r="BU182" s="39">
        <v>78.13</v>
      </c>
      <c r="BV182" s="43">
        <v>100</v>
      </c>
      <c r="BW182" s="10"/>
      <c r="BX182" s="11"/>
      <c r="BY182" s="69">
        <f t="shared" si="1162"/>
        <v>0</v>
      </c>
      <c r="BZ182" s="69">
        <f t="shared" si="1162"/>
        <v>0</v>
      </c>
      <c r="CA182" s="11"/>
      <c r="CB182" s="12" t="e">
        <f t="shared" si="1126"/>
        <v>#DIV/0!</v>
      </c>
      <c r="CC182" s="11"/>
      <c r="CD182" s="12" t="e">
        <f t="shared" si="1127"/>
        <v>#DIV/0!</v>
      </c>
      <c r="CE182" s="13"/>
      <c r="CF182" s="11"/>
      <c r="CG182" s="39"/>
      <c r="CH182" s="43"/>
      <c r="CI182" s="10"/>
      <c r="CJ182" s="11"/>
      <c r="CK182" s="69">
        <f t="shared" si="1163"/>
        <v>0</v>
      </c>
      <c r="CL182" s="69">
        <f t="shared" si="1163"/>
        <v>0</v>
      </c>
      <c r="CM182" s="11"/>
      <c r="CN182" s="12" t="e">
        <f t="shared" si="1128"/>
        <v>#DIV/0!</v>
      </c>
      <c r="CO182" s="11"/>
      <c r="CP182" s="12" t="e">
        <f t="shared" si="1129"/>
        <v>#DIV/0!</v>
      </c>
      <c r="CQ182" s="13"/>
      <c r="CR182" s="11"/>
      <c r="CS182" s="39"/>
      <c r="CT182" s="43"/>
      <c r="CU182" s="10"/>
      <c r="CV182" s="11"/>
      <c r="CW182" s="69">
        <f t="shared" si="1164"/>
        <v>0</v>
      </c>
      <c r="CX182" s="69">
        <f t="shared" si="1164"/>
        <v>0</v>
      </c>
      <c r="CY182" s="11"/>
      <c r="CZ182" s="12" t="e">
        <f t="shared" si="1130"/>
        <v>#DIV/0!</v>
      </c>
      <c r="DA182" s="11"/>
      <c r="DB182" s="12" t="e">
        <f t="shared" si="1131"/>
        <v>#DIV/0!</v>
      </c>
      <c r="DC182" s="13"/>
      <c r="DD182" s="11"/>
      <c r="DE182" s="39"/>
      <c r="DF182" s="43"/>
      <c r="DG182" s="10"/>
      <c r="DH182" s="11"/>
      <c r="DI182" s="69">
        <f t="shared" si="1165"/>
        <v>0</v>
      </c>
      <c r="DJ182" s="69">
        <f t="shared" si="1165"/>
        <v>0</v>
      </c>
      <c r="DK182" s="11"/>
      <c r="DL182" s="12" t="e">
        <f t="shared" si="1132"/>
        <v>#DIV/0!</v>
      </c>
      <c r="DM182" s="11"/>
      <c r="DN182" s="12" t="e">
        <f t="shared" si="1133"/>
        <v>#DIV/0!</v>
      </c>
      <c r="DO182" s="13"/>
      <c r="DP182" s="11"/>
      <c r="DQ182" s="39"/>
      <c r="DR182" s="43"/>
      <c r="DS182" s="10"/>
      <c r="DT182" s="11"/>
      <c r="DU182" s="69">
        <f t="shared" si="1166"/>
        <v>0</v>
      </c>
      <c r="DV182" s="69">
        <f t="shared" si="1166"/>
        <v>0</v>
      </c>
      <c r="DW182" s="11"/>
      <c r="DX182" s="12" t="e">
        <f t="shared" si="1134"/>
        <v>#DIV/0!</v>
      </c>
      <c r="DY182" s="11"/>
      <c r="DZ182" s="12" t="e">
        <f t="shared" si="1135"/>
        <v>#DIV/0!</v>
      </c>
      <c r="EA182" s="13"/>
      <c r="EB182" s="11"/>
      <c r="EC182" s="39"/>
      <c r="ED182" s="43"/>
      <c r="EE182" s="10"/>
      <c r="EF182" s="11"/>
      <c r="EG182" s="69">
        <f t="shared" si="1167"/>
        <v>0</v>
      </c>
      <c r="EH182" s="69">
        <f t="shared" si="1167"/>
        <v>0</v>
      </c>
      <c r="EI182" s="11"/>
      <c r="EJ182" s="12" t="e">
        <f t="shared" si="1136"/>
        <v>#DIV/0!</v>
      </c>
      <c r="EK182" s="11"/>
      <c r="EL182" s="12" t="e">
        <f t="shared" si="1137"/>
        <v>#DIV/0!</v>
      </c>
      <c r="EM182" s="13"/>
      <c r="EN182" s="11"/>
      <c r="EO182" s="39"/>
      <c r="EP182" s="43"/>
      <c r="EQ182" s="10"/>
      <c r="ER182" s="11"/>
      <c r="ES182" s="69">
        <f t="shared" si="1168"/>
        <v>0</v>
      </c>
      <c r="ET182" s="69">
        <f t="shared" si="1168"/>
        <v>0</v>
      </c>
      <c r="EU182" s="11"/>
      <c r="EV182" s="12" t="e">
        <f t="shared" si="1138"/>
        <v>#DIV/0!</v>
      </c>
      <c r="EW182" s="11"/>
      <c r="EX182" s="12" t="e">
        <f t="shared" si="1139"/>
        <v>#DIV/0!</v>
      </c>
      <c r="EY182" s="13"/>
      <c r="EZ182" s="11"/>
      <c r="FA182" s="39"/>
      <c r="FB182" s="43"/>
      <c r="FC182" s="10"/>
      <c r="FD182" s="11"/>
      <c r="FE182" s="69">
        <f t="shared" si="1169"/>
        <v>0</v>
      </c>
      <c r="FF182" s="69">
        <f t="shared" si="1169"/>
        <v>0</v>
      </c>
      <c r="FG182" s="11"/>
      <c r="FH182" s="12" t="e">
        <f t="shared" si="1140"/>
        <v>#DIV/0!</v>
      </c>
      <c r="FI182" s="11"/>
      <c r="FJ182" s="12" t="e">
        <f t="shared" si="1141"/>
        <v>#DIV/0!</v>
      </c>
      <c r="FK182" s="13"/>
      <c r="FL182" s="11"/>
      <c r="FM182" s="39"/>
      <c r="FN182" s="43"/>
      <c r="FO182" s="10"/>
      <c r="FP182" s="11"/>
      <c r="FQ182" s="69">
        <f t="shared" si="1170"/>
        <v>0</v>
      </c>
      <c r="FR182" s="69">
        <f t="shared" si="1170"/>
        <v>0</v>
      </c>
      <c r="FS182" s="11"/>
      <c r="FT182" s="12" t="e">
        <f t="shared" si="1142"/>
        <v>#DIV/0!</v>
      </c>
      <c r="FU182" s="11"/>
      <c r="FV182" s="12" t="e">
        <f t="shared" si="1143"/>
        <v>#DIV/0!</v>
      </c>
      <c r="FW182" s="13"/>
      <c r="FX182" s="11"/>
      <c r="FY182" s="39"/>
      <c r="FZ182" s="43"/>
      <c r="GA182" s="10"/>
      <c r="GB182" s="11"/>
      <c r="GC182" s="69">
        <f t="shared" si="1171"/>
        <v>0</v>
      </c>
      <c r="GD182" s="69">
        <f t="shared" si="1171"/>
        <v>0</v>
      </c>
      <c r="GE182" s="11"/>
      <c r="GF182" s="12" t="e">
        <f t="shared" si="1144"/>
        <v>#DIV/0!</v>
      </c>
      <c r="GG182" s="11"/>
      <c r="GH182" s="12" t="e">
        <f t="shared" si="1145"/>
        <v>#DIV/0!</v>
      </c>
      <c r="GI182" s="13"/>
      <c r="GJ182" s="11"/>
      <c r="GK182" s="39"/>
      <c r="GL182" s="43"/>
      <c r="GM182" s="10"/>
      <c r="GN182" s="11"/>
      <c r="GO182" s="69">
        <f t="shared" si="1172"/>
        <v>0</v>
      </c>
      <c r="GP182" s="69">
        <f t="shared" si="1172"/>
        <v>0</v>
      </c>
      <c r="GQ182" s="11"/>
      <c r="GR182" s="12" t="e">
        <f t="shared" si="1146"/>
        <v>#DIV/0!</v>
      </c>
      <c r="GS182" s="11"/>
      <c r="GT182" s="12" t="e">
        <f t="shared" si="1147"/>
        <v>#DIV/0!</v>
      </c>
      <c r="GU182" s="13"/>
      <c r="GV182" s="11"/>
      <c r="GW182" s="39"/>
      <c r="GX182" s="43"/>
      <c r="GY182" s="10"/>
      <c r="GZ182" s="11"/>
      <c r="HA182" s="69">
        <f t="shared" si="1173"/>
        <v>0</v>
      </c>
      <c r="HB182" s="69">
        <f t="shared" si="1173"/>
        <v>0</v>
      </c>
      <c r="HC182" s="11"/>
      <c r="HD182" s="12" t="e">
        <f t="shared" si="1148"/>
        <v>#DIV/0!</v>
      </c>
      <c r="HE182" s="11"/>
      <c r="HF182" s="12" t="e">
        <f t="shared" si="1149"/>
        <v>#DIV/0!</v>
      </c>
      <c r="HG182" s="13"/>
      <c r="HH182" s="11"/>
      <c r="HI182" s="39"/>
      <c r="HJ182" s="43"/>
      <c r="HK182" s="10">
        <f t="shared" si="1150"/>
        <v>0</v>
      </c>
      <c r="HL182" s="11">
        <f t="shared" si="1150"/>
        <v>0</v>
      </c>
      <c r="HM182" s="11">
        <f t="shared" si="1150"/>
        <v>3484</v>
      </c>
      <c r="HN182" s="11">
        <f t="shared" si="1150"/>
        <v>296</v>
      </c>
      <c r="HO182" s="11">
        <f t="shared" si="1151"/>
        <v>1188</v>
      </c>
      <c r="HP182" s="95">
        <f t="shared" si="1152"/>
        <v>0.34098737083811709</v>
      </c>
      <c r="HQ182" s="15">
        <f t="shared" si="1153"/>
        <v>90</v>
      </c>
      <c r="HR182" s="12">
        <f t="shared" si="1174"/>
        <v>7.575757575757576E-2</v>
      </c>
      <c r="HS182" s="16">
        <v>69.599999999999994</v>
      </c>
      <c r="HT182" s="17">
        <v>1050</v>
      </c>
      <c r="HU182" s="16">
        <f t="shared" si="1154"/>
        <v>88.383838383838381</v>
      </c>
      <c r="HV182" s="23">
        <v>74.16</v>
      </c>
      <c r="HW182" s="22">
        <v>81.36</v>
      </c>
    </row>
    <row r="183" spans="1:231" ht="19.5" thickBot="1" x14ac:dyDescent="0.3">
      <c r="A183" s="374"/>
      <c r="B183" s="42"/>
      <c r="C183" s="26">
        <f>SUM(C176:C182)</f>
        <v>5</v>
      </c>
      <c r="D183" s="27">
        <f>SUM(D176:D182)</f>
        <v>0</v>
      </c>
      <c r="E183" s="27"/>
      <c r="F183" s="27"/>
      <c r="G183" s="27">
        <f>SUM(G176:G182)</f>
        <v>1391</v>
      </c>
      <c r="H183" s="28">
        <f>((G183+I183)/7)/E182</f>
        <v>0.3534201954397394</v>
      </c>
      <c r="I183" s="27">
        <f>SUM(I176:I182)</f>
        <v>128</v>
      </c>
      <c r="J183" s="28">
        <f>(I183/(I183+G183))</f>
        <v>8.4265964450296243E-2</v>
      </c>
      <c r="K183" s="27"/>
      <c r="L183" s="27"/>
      <c r="M183" s="29">
        <f>M181/M180*100-100</f>
        <v>11.493124246079617</v>
      </c>
      <c r="N183" s="67">
        <f>N181/N180*100-100</f>
        <v>9.6916299559471497</v>
      </c>
      <c r="O183" s="26">
        <f>SUM(O176:O182)</f>
        <v>0</v>
      </c>
      <c r="P183" s="27">
        <f>SUM(P176:P182)</f>
        <v>0</v>
      </c>
      <c r="Q183" s="27"/>
      <c r="R183" s="27"/>
      <c r="S183" s="27">
        <f>SUM(S176:S182)</f>
        <v>1459</v>
      </c>
      <c r="T183" s="28">
        <f>((S183+U183)/7)/Q182</f>
        <v>0.36092639302912177</v>
      </c>
      <c r="U183" s="27">
        <f>SUM(U176:U182)</f>
        <v>115</v>
      </c>
      <c r="V183" s="28">
        <f>(U183/(U183+S183))</f>
        <v>7.3062261753494284E-2</v>
      </c>
      <c r="W183" s="27"/>
      <c r="X183" s="27"/>
      <c r="Y183" s="29">
        <f>Y181/Y180*100-100</f>
        <v>9.8311218335343824</v>
      </c>
      <c r="Z183" s="67">
        <f>Z181/Z180*100-100</f>
        <v>5.6718061674008879</v>
      </c>
      <c r="AA183" s="26">
        <f>SUM(AA176:AA182)</f>
        <v>4</v>
      </c>
      <c r="AB183" s="27">
        <f>SUM(AB176:AB182)</f>
        <v>1</v>
      </c>
      <c r="AC183" s="27"/>
      <c r="AD183" s="27"/>
      <c r="AE183" s="27">
        <f>SUM(AE176:AE182)</f>
        <v>236</v>
      </c>
      <c r="AF183" s="28">
        <f>((AE183+AG183)/7)/AC182</f>
        <v>0.23141186299081035</v>
      </c>
      <c r="AG183" s="27">
        <f>SUM(AG176:AG182)</f>
        <v>41</v>
      </c>
      <c r="AH183" s="28">
        <f>(AG183/(AG183+AE183))</f>
        <v>0.14801444043321299</v>
      </c>
      <c r="AI183" s="27"/>
      <c r="AJ183" s="27"/>
      <c r="AK183" s="29">
        <f>AK181/AK180*100-100</f>
        <v>5.6694813027744289</v>
      </c>
      <c r="AL183" s="67">
        <f>AL181/AL180*100-100</f>
        <v>-4.0088105726872243</v>
      </c>
      <c r="AM183" s="26">
        <f>SUM(AM176:AM182)</f>
        <v>5</v>
      </c>
      <c r="AN183" s="27">
        <f>SUM(AN176:AN182)</f>
        <v>0</v>
      </c>
      <c r="AO183" s="27"/>
      <c r="AP183" s="27"/>
      <c r="AQ183" s="27">
        <f>SUM(AQ176:AQ182)</f>
        <v>1545</v>
      </c>
      <c r="AR183" s="28">
        <f>((AQ183+AS183)/7)/AO182</f>
        <v>0.34909165978530143</v>
      </c>
      <c r="AS183" s="27">
        <f>SUM(AS176:AS182)</f>
        <v>146</v>
      </c>
      <c r="AT183" s="28">
        <f>(AS183/(AS183+AQ183))</f>
        <v>8.6339444115907743E-2</v>
      </c>
      <c r="AU183" s="27"/>
      <c r="AV183" s="27"/>
      <c r="AW183" s="29">
        <f>AW181/AW180*100-100</f>
        <v>11.42291917973462</v>
      </c>
      <c r="AX183" s="67">
        <f>AX181/AX180*100-100</f>
        <v>6.4610132158590403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1575</v>
      </c>
      <c r="BD183" s="28">
        <f>((BC183+BE183)/7)/BA182</f>
        <v>0.35373165185032041</v>
      </c>
      <c r="BE183" s="27">
        <f>SUM(BE176:BE182)</f>
        <v>136</v>
      </c>
      <c r="BF183" s="28">
        <f>(BE183/(BE183+BC183))</f>
        <v>7.9485680888369381E-2</v>
      </c>
      <c r="BG183" s="27"/>
      <c r="BH183" s="27"/>
      <c r="BI183" s="29">
        <f>BI181/BI180*100-100</f>
        <v>8.7681544028950498</v>
      </c>
      <c r="BJ183" s="67">
        <f>BJ181/BJ180*100-100</f>
        <v>8.8105726872246777</v>
      </c>
      <c r="BK183" s="26">
        <f>SUM(BK176:BK182)</f>
        <v>6</v>
      </c>
      <c r="BL183" s="27">
        <f>SUM(BL176:BL182)</f>
        <v>0</v>
      </c>
      <c r="BM183" s="27"/>
      <c r="BN183" s="27"/>
      <c r="BO183" s="27">
        <f>SUM(BO176:BO182)</f>
        <v>1671</v>
      </c>
      <c r="BP183" s="28">
        <f>((BO183+BQ183)/7)/BM182</f>
        <v>0.36755308183879615</v>
      </c>
      <c r="BQ183" s="27">
        <f>SUM(BQ176:BQ182)</f>
        <v>112</v>
      </c>
      <c r="BR183" s="28">
        <f>(BQ183/(BQ183+BO183))</f>
        <v>6.2815479528883902E-2</v>
      </c>
      <c r="BS183" s="27"/>
      <c r="BT183" s="27"/>
      <c r="BU183" s="29">
        <f>BU181/BU180*100-100</f>
        <v>17.181905910735807</v>
      </c>
      <c r="BV183" s="67">
        <f>BV181/BV180*100-100</f>
        <v>9.3612334801762103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7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7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7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7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7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7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7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7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7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7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7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7" t="e">
        <f>HJ181/HJ180*100-100</f>
        <v>#DIV/0!</v>
      </c>
      <c r="HK183" s="26">
        <f t="shared" si="1150"/>
        <v>20</v>
      </c>
      <c r="HL183" s="27">
        <f t="shared" si="1150"/>
        <v>1</v>
      </c>
      <c r="HM183" s="27">
        <f t="shared" si="1150"/>
        <v>0</v>
      </c>
      <c r="HN183" s="27">
        <f t="shared" si="1150"/>
        <v>0</v>
      </c>
      <c r="HO183" s="27">
        <f t="shared" si="1151"/>
        <v>8555</v>
      </c>
      <c r="HP183" s="96">
        <f>+((HO183)/HM182)/7</f>
        <v>0.35078727242906343</v>
      </c>
      <c r="HQ183" s="62">
        <f t="shared" si="1153"/>
        <v>678</v>
      </c>
      <c r="HR183" s="52">
        <f t="shared" si="1174"/>
        <v>7.9251899473991819E-2</v>
      </c>
      <c r="HS183" s="53">
        <f>SUM(HS176:HS182)/7</f>
        <v>69.585714285714289</v>
      </c>
      <c r="HT183" s="54">
        <f>SUM(HT176:HT182)</f>
        <v>7519</v>
      </c>
      <c r="HU183" s="53">
        <f>AVERAGE(HU176:HU182)</f>
        <v>87.894872095101434</v>
      </c>
      <c r="HV183" s="63">
        <f>HV181/HV180*100-100</f>
        <v>11.38238841978287</v>
      </c>
      <c r="HW183" s="67">
        <f>HW181/HW180*100-100</f>
        <v>7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5.7077625570776253E-3</v>
      </c>
      <c r="HL184" s="66">
        <f>HL183/HN173</f>
        <v>3.3670033670033669E-3</v>
      </c>
      <c r="HM184" s="45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373">
        <v>45</v>
      </c>
      <c r="B185" s="68">
        <f>B182+1</f>
        <v>45081</v>
      </c>
      <c r="C185" s="33"/>
      <c r="D185" s="34"/>
      <c r="E185" s="34">
        <f>E182-C185</f>
        <v>614</v>
      </c>
      <c r="F185" s="34">
        <f>F182-D185</f>
        <v>51</v>
      </c>
      <c r="G185" s="34">
        <v>180</v>
      </c>
      <c r="H185" s="35">
        <f t="shared" ref="H185:H191" si="1175">((G185+I185)/E185)</f>
        <v>0.33713355048859933</v>
      </c>
      <c r="I185" s="34">
        <v>27</v>
      </c>
      <c r="J185" s="35">
        <f>I185/(G185+I185)</f>
        <v>0.13043478260869565</v>
      </c>
      <c r="K185" s="36"/>
      <c r="L185" s="34"/>
      <c r="M185" s="34"/>
      <c r="N185" s="37"/>
      <c r="O185" s="33"/>
      <c r="P185" s="34"/>
      <c r="Q185" s="34">
        <f>Q182-O185</f>
        <v>623</v>
      </c>
      <c r="R185" s="34">
        <f>R182-P185</f>
        <v>53</v>
      </c>
      <c r="S185" s="34">
        <v>195</v>
      </c>
      <c r="T185" s="35">
        <f t="shared" ref="T185:T191" si="1176">((S185+U185)/Q185)</f>
        <v>0.33707865168539325</v>
      </c>
      <c r="U185" s="34">
        <v>15</v>
      </c>
      <c r="V185" s="35">
        <f t="shared" ref="V185:V191" si="1177">U185/(S185+U185)</f>
        <v>7.1428571428571425E-2</v>
      </c>
      <c r="W185" s="36"/>
      <c r="X185" s="34"/>
      <c r="Y185" s="34"/>
      <c r="Z185" s="37"/>
      <c r="AA185" s="33"/>
      <c r="AB185" s="34"/>
      <c r="AC185" s="34">
        <f>AC182-AA185</f>
        <v>171</v>
      </c>
      <c r="AD185" s="34">
        <f>AD182-AB185</f>
        <v>13</v>
      </c>
      <c r="AE185" s="34">
        <v>32</v>
      </c>
      <c r="AF185" s="35">
        <f t="shared" ref="AF185:AF191" si="1178">((AE185+AG185)/AC185)</f>
        <v>0.19883040935672514</v>
      </c>
      <c r="AG185" s="34">
        <v>2</v>
      </c>
      <c r="AH185" s="35">
        <f t="shared" ref="AH185:AH191" si="1179">AG185/(AE185+AG185)</f>
        <v>5.8823529411764705E-2</v>
      </c>
      <c r="AI185" s="36"/>
      <c r="AJ185" s="34"/>
      <c r="AK185" s="34"/>
      <c r="AL185" s="37"/>
      <c r="AM185" s="33"/>
      <c r="AN185" s="34"/>
      <c r="AO185" s="34">
        <f>AO182-AM185</f>
        <v>692</v>
      </c>
      <c r="AP185" s="34">
        <f>AP182-AN185</f>
        <v>60</v>
      </c>
      <c r="AQ185" s="34">
        <v>200</v>
      </c>
      <c r="AR185" s="35">
        <f t="shared" ref="AR185:AR191" si="1180">((AQ185+AS185)/AO185)</f>
        <v>0.3222543352601156</v>
      </c>
      <c r="AS185" s="34">
        <v>23</v>
      </c>
      <c r="AT185" s="35">
        <f t="shared" ref="AT185:AT191" si="1181">AS185/(AQ185+AS185)</f>
        <v>0.1031390134529148</v>
      </c>
      <c r="AU185" s="36"/>
      <c r="AV185" s="34"/>
      <c r="AW185" s="34"/>
      <c r="AX185" s="37"/>
      <c r="AY185" s="33"/>
      <c r="AZ185" s="34"/>
      <c r="BA185" s="34">
        <f>BA182-AY185</f>
        <v>691</v>
      </c>
      <c r="BB185" s="34">
        <f>BB182-AZ185</f>
        <v>60</v>
      </c>
      <c r="BC185" s="34">
        <v>235</v>
      </c>
      <c r="BD185" s="35">
        <f t="shared" ref="BD185:BD191" si="1182">((BC185+BE185)/BA185)</f>
        <v>0.37337192474674386</v>
      </c>
      <c r="BE185" s="34">
        <v>23</v>
      </c>
      <c r="BF185" s="35">
        <f t="shared" ref="BF185:BF191" si="1183">BE185/(BC185+BE185)</f>
        <v>8.9147286821705432E-2</v>
      </c>
      <c r="BG185" s="36"/>
      <c r="BH185" s="34"/>
      <c r="BI185" s="34"/>
      <c r="BJ185" s="37"/>
      <c r="BK185" s="33">
        <v>1</v>
      </c>
      <c r="BL185" s="34"/>
      <c r="BM185" s="34">
        <f>BM182-BK185</f>
        <v>692</v>
      </c>
      <c r="BN185" s="34">
        <f>BN182-BL185</f>
        <v>59</v>
      </c>
      <c r="BO185" s="34">
        <v>237</v>
      </c>
      <c r="BP185" s="35">
        <f t="shared" ref="BP185:BP191" si="1184">((BO185+BQ185)/BM185)</f>
        <v>0.36849710982658962</v>
      </c>
      <c r="BQ185" s="34">
        <v>18</v>
      </c>
      <c r="BR185" s="35">
        <f t="shared" ref="BR185:BR191" si="1185">BQ185/(BO185+BQ185)</f>
        <v>7.0588235294117646E-2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186">((CA185+CC185)/BY185)</f>
        <v>#DIV/0!</v>
      </c>
      <c r="CC185" s="34"/>
      <c r="CD185" s="35" t="e">
        <f t="shared" ref="CD185:CD191" si="1187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188">((CM185+CO185)/CK185)</f>
        <v>#DIV/0!</v>
      </c>
      <c r="CO185" s="34"/>
      <c r="CP185" s="35" t="e">
        <f t="shared" ref="CP185:CP191" si="1189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190">((CY185+DA185)/CW185)</f>
        <v>#DIV/0!</v>
      </c>
      <c r="DA185" s="34"/>
      <c r="DB185" s="35" t="e">
        <f t="shared" ref="DB185:DB191" si="1191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192">((DK185+DM185)/DI185)</f>
        <v>#DIV/0!</v>
      </c>
      <c r="DM185" s="34"/>
      <c r="DN185" s="35" t="e">
        <f t="shared" ref="DN185:DN191" si="1193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194">((DW185+DY185)/DU185)</f>
        <v>#DIV/0!</v>
      </c>
      <c r="DY185" s="34"/>
      <c r="DZ185" s="35" t="e">
        <f t="shared" ref="DZ185:DZ191" si="1195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196">((EI185+EK185)/EG185)</f>
        <v>#DIV/0!</v>
      </c>
      <c r="EK185" s="34"/>
      <c r="EL185" s="35" t="e">
        <f t="shared" ref="EL185:EL191" si="1197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198">((EU185+EW185)/ES185)</f>
        <v>#DIV/0!</v>
      </c>
      <c r="EW185" s="34"/>
      <c r="EX185" s="35" t="e">
        <f t="shared" ref="EX185:EX191" si="1199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200">((FG185+FI185)/FE185)</f>
        <v>#DIV/0!</v>
      </c>
      <c r="FI185" s="34"/>
      <c r="FJ185" s="35" t="e">
        <f t="shared" ref="FJ185:FJ191" si="1201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202">((FS185+FU185)/FQ185)</f>
        <v>#DIV/0!</v>
      </c>
      <c r="FU185" s="34"/>
      <c r="FV185" s="35" t="e">
        <f t="shared" ref="FV185:FV191" si="1203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204">((GE185+GG185)/GC185)</f>
        <v>#DIV/0!</v>
      </c>
      <c r="GG185" s="34"/>
      <c r="GH185" s="35" t="e">
        <f t="shared" ref="GH185:GH191" si="1205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206">((GQ185+GS185)/GO185)</f>
        <v>#DIV/0!</v>
      </c>
      <c r="GS185" s="34"/>
      <c r="GT185" s="35" t="e">
        <f t="shared" ref="GT185:GT191" si="1207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208">((HC185+HE185)/HA185)</f>
        <v>#DIV/0!</v>
      </c>
      <c r="HE185" s="34"/>
      <c r="HF185" s="35" t="e">
        <f t="shared" ref="HF185:HF191" si="1209">HE185/(HC185+HE185)</f>
        <v>#DIV/0!</v>
      </c>
      <c r="HG185" s="36"/>
      <c r="HH185" s="34"/>
      <c r="HI185" s="34"/>
      <c r="HJ185" s="37"/>
      <c r="HK185" s="33">
        <f t="shared" ref="HK185:HN192" si="1210">+C185+O185+AA185+AM185+AY185+BK185+BW185+CI185+CU185+DG185+DS185+EE185+EQ185+FC185+FO185+GA185+GM185+GY185</f>
        <v>1</v>
      </c>
      <c r="HL185" s="34">
        <f t="shared" si="1210"/>
        <v>0</v>
      </c>
      <c r="HM185" s="34">
        <f t="shared" si="1210"/>
        <v>3483</v>
      </c>
      <c r="HN185" s="34">
        <f t="shared" si="1210"/>
        <v>296</v>
      </c>
      <c r="HO185" s="34">
        <f t="shared" ref="HO185:HO192" si="1211">+G185+S185+AE185+AQ185+BC185+BO185+CA185+CM185+CY185+DK185+DW185+EI185+EU185+FG185+FS185+GE185+GQ185+HC185+I185+U185+AG185+AS185+BE185+BQ185+CC185+CO185+DA185+DM185+DY185+EK185+EW185+FI185+FU185+GG185+GS185+HE185</f>
        <v>1187</v>
      </c>
      <c r="HP185" s="94">
        <f t="shared" ref="HP185:HP191" si="1212">+(HO185)/HM185</f>
        <v>0.34079816250358885</v>
      </c>
      <c r="HQ185" s="48">
        <f t="shared" ref="HQ185:HQ192" si="1213">+I185+U185+AG185+AS185+BE185+BQ185+CC185+CO185+DA185+DM185+DY185+EK185+EW185+FI185+FU185+GG185+GS185+HE185</f>
        <v>108</v>
      </c>
      <c r="HR185" s="35">
        <f>+(HQ185/(HO185))</f>
        <v>9.0985678180286439E-2</v>
      </c>
      <c r="HS185" s="49">
        <v>69.8</v>
      </c>
      <c r="HT185" s="50">
        <v>1005</v>
      </c>
      <c r="HU185" s="49">
        <f t="shared" ref="HU185:HU191" si="1214">+HT185/HO185*100</f>
        <v>84.667228306655431</v>
      </c>
      <c r="HV185" s="48"/>
      <c r="HW185" s="37"/>
    </row>
    <row r="186" spans="1:231" ht="18.75" x14ac:dyDescent="0.25">
      <c r="A186" s="374"/>
      <c r="B186" s="41">
        <f t="shared" si="814"/>
        <v>45082</v>
      </c>
      <c r="C186" s="10"/>
      <c r="D186" s="11"/>
      <c r="E186" s="69">
        <f t="shared" ref="E186:F190" si="1215">E185-C186</f>
        <v>614</v>
      </c>
      <c r="F186" s="69">
        <f t="shared" si="1215"/>
        <v>51</v>
      </c>
      <c r="G186" s="11">
        <v>213</v>
      </c>
      <c r="H186" s="12">
        <f t="shared" si="1175"/>
        <v>0.37133550488599348</v>
      </c>
      <c r="I186" s="11">
        <v>15</v>
      </c>
      <c r="J186" s="12">
        <f t="shared" ref="J186:J191" si="1216">I186/(G186+I186)</f>
        <v>6.5789473684210523E-2</v>
      </c>
      <c r="K186" s="13"/>
      <c r="L186" s="11"/>
      <c r="M186" s="11"/>
      <c r="N186" s="14"/>
      <c r="O186" s="10"/>
      <c r="P186" s="11"/>
      <c r="Q186" s="69">
        <f t="shared" ref="Q186:R191" si="1217">Q185-O186</f>
        <v>623</v>
      </c>
      <c r="R186" s="69">
        <f t="shared" si="1217"/>
        <v>53</v>
      </c>
      <c r="S186" s="11">
        <v>219</v>
      </c>
      <c r="T186" s="12">
        <f t="shared" si="1176"/>
        <v>0.3756019261637239</v>
      </c>
      <c r="U186" s="11">
        <v>15</v>
      </c>
      <c r="V186" s="12">
        <f t="shared" si="1177"/>
        <v>6.4102564102564097E-2</v>
      </c>
      <c r="W186" s="13"/>
      <c r="X186" s="11"/>
      <c r="Y186" s="11"/>
      <c r="Z186" s="14"/>
      <c r="AA186" s="10">
        <v>1</v>
      </c>
      <c r="AB186" s="11"/>
      <c r="AC186" s="69">
        <f t="shared" ref="AC186:AD191" si="1218">AC185-AA186</f>
        <v>170</v>
      </c>
      <c r="AD186" s="69">
        <f t="shared" si="1218"/>
        <v>13</v>
      </c>
      <c r="AE186" s="11">
        <v>36</v>
      </c>
      <c r="AF186" s="12">
        <f t="shared" si="1178"/>
        <v>0.22941176470588234</v>
      </c>
      <c r="AG186" s="11">
        <v>3</v>
      </c>
      <c r="AH186" s="12">
        <f t="shared" si="1179"/>
        <v>7.6923076923076927E-2</v>
      </c>
      <c r="AI186" s="13"/>
      <c r="AJ186" s="11"/>
      <c r="AK186" s="11"/>
      <c r="AL186" s="14"/>
      <c r="AM186" s="10"/>
      <c r="AN186" s="11"/>
      <c r="AO186" s="69">
        <f t="shared" ref="AO186:AP191" si="1219">AO185-AM186</f>
        <v>692</v>
      </c>
      <c r="AP186" s="69">
        <f t="shared" si="1219"/>
        <v>60</v>
      </c>
      <c r="AQ186" s="11">
        <v>105</v>
      </c>
      <c r="AR186" s="12">
        <f t="shared" si="1180"/>
        <v>0.18208092485549132</v>
      </c>
      <c r="AS186" s="11">
        <v>21</v>
      </c>
      <c r="AT186" s="12">
        <f t="shared" si="1181"/>
        <v>0.16666666666666666</v>
      </c>
      <c r="AU186" s="13"/>
      <c r="AV186" s="11"/>
      <c r="AW186" s="11"/>
      <c r="AX186" s="14"/>
      <c r="AY186" s="10"/>
      <c r="AZ186" s="11"/>
      <c r="BA186" s="69">
        <f t="shared" ref="BA186:BB191" si="1220">BA185-AY186</f>
        <v>691</v>
      </c>
      <c r="BB186" s="69">
        <f t="shared" si="1220"/>
        <v>60</v>
      </c>
      <c r="BC186" s="11">
        <v>251</v>
      </c>
      <c r="BD186" s="12">
        <f t="shared" si="1182"/>
        <v>0.3921852387843705</v>
      </c>
      <c r="BE186" s="11">
        <v>20</v>
      </c>
      <c r="BF186" s="12">
        <f t="shared" si="1183"/>
        <v>7.3800738007380073E-2</v>
      </c>
      <c r="BG186" s="13"/>
      <c r="BH186" s="11"/>
      <c r="BI186" s="11"/>
      <c r="BJ186" s="14"/>
      <c r="BK186" s="10"/>
      <c r="BL186" s="11">
        <v>1</v>
      </c>
      <c r="BM186" s="69">
        <f t="shared" ref="BM186:BN191" si="1221">BM185-BK186</f>
        <v>692</v>
      </c>
      <c r="BN186" s="69">
        <f t="shared" si="1221"/>
        <v>58</v>
      </c>
      <c r="BO186" s="11">
        <v>263</v>
      </c>
      <c r="BP186" s="12">
        <f t="shared" si="1184"/>
        <v>0.40173410404624277</v>
      </c>
      <c r="BQ186" s="11">
        <v>15</v>
      </c>
      <c r="BR186" s="12">
        <f t="shared" si="1185"/>
        <v>5.3956834532374098E-2</v>
      </c>
      <c r="BS186" s="13"/>
      <c r="BT186" s="11"/>
      <c r="BU186" s="11"/>
      <c r="BV186" s="14"/>
      <c r="BW186" s="10"/>
      <c r="BX186" s="11"/>
      <c r="BY186" s="69">
        <f t="shared" ref="BY186:BZ191" si="1222">BY185-BW186</f>
        <v>0</v>
      </c>
      <c r="BZ186" s="69">
        <f t="shared" si="1222"/>
        <v>0</v>
      </c>
      <c r="CA186" s="11"/>
      <c r="CB186" s="12" t="e">
        <f t="shared" si="1186"/>
        <v>#DIV/0!</v>
      </c>
      <c r="CC186" s="11"/>
      <c r="CD186" s="12" t="e">
        <f t="shared" si="1187"/>
        <v>#DIV/0!</v>
      </c>
      <c r="CE186" s="13"/>
      <c r="CF186" s="11"/>
      <c r="CG186" s="11"/>
      <c r="CH186" s="14"/>
      <c r="CI186" s="10"/>
      <c r="CJ186" s="11"/>
      <c r="CK186" s="69">
        <f t="shared" ref="CK186:CL191" si="1223">CK185-CI186</f>
        <v>0</v>
      </c>
      <c r="CL186" s="69">
        <f t="shared" si="1223"/>
        <v>0</v>
      </c>
      <c r="CM186" s="11"/>
      <c r="CN186" s="12" t="e">
        <f t="shared" si="1188"/>
        <v>#DIV/0!</v>
      </c>
      <c r="CO186" s="11"/>
      <c r="CP186" s="12" t="e">
        <f t="shared" si="1189"/>
        <v>#DIV/0!</v>
      </c>
      <c r="CQ186" s="13"/>
      <c r="CR186" s="11"/>
      <c r="CS186" s="11"/>
      <c r="CT186" s="14"/>
      <c r="CU186" s="10"/>
      <c r="CV186" s="11"/>
      <c r="CW186" s="69">
        <f t="shared" ref="CW186:CX191" si="1224">CW185-CU186</f>
        <v>0</v>
      </c>
      <c r="CX186" s="69">
        <f t="shared" si="1224"/>
        <v>0</v>
      </c>
      <c r="CY186" s="11"/>
      <c r="CZ186" s="12" t="e">
        <f t="shared" si="1190"/>
        <v>#DIV/0!</v>
      </c>
      <c r="DA186" s="11"/>
      <c r="DB186" s="12" t="e">
        <f t="shared" si="1191"/>
        <v>#DIV/0!</v>
      </c>
      <c r="DC186" s="13"/>
      <c r="DD186" s="11"/>
      <c r="DE186" s="11"/>
      <c r="DF186" s="14"/>
      <c r="DG186" s="10"/>
      <c r="DH186" s="11"/>
      <c r="DI186" s="69">
        <f t="shared" ref="DI186:DJ191" si="1225">DI185-DG186</f>
        <v>0</v>
      </c>
      <c r="DJ186" s="69">
        <f t="shared" si="1225"/>
        <v>0</v>
      </c>
      <c r="DK186" s="11"/>
      <c r="DL186" s="12" t="e">
        <f t="shared" si="1192"/>
        <v>#DIV/0!</v>
      </c>
      <c r="DM186" s="11"/>
      <c r="DN186" s="12" t="e">
        <f t="shared" si="1193"/>
        <v>#DIV/0!</v>
      </c>
      <c r="DO186" s="13"/>
      <c r="DP186" s="11"/>
      <c r="DQ186" s="11"/>
      <c r="DR186" s="14"/>
      <c r="DS186" s="10"/>
      <c r="DT186" s="11"/>
      <c r="DU186" s="69">
        <f t="shared" ref="DU186:DV191" si="1226">DU185-DS186</f>
        <v>0</v>
      </c>
      <c r="DV186" s="69">
        <f t="shared" si="1226"/>
        <v>0</v>
      </c>
      <c r="DW186" s="11"/>
      <c r="DX186" s="12" t="e">
        <f t="shared" si="1194"/>
        <v>#DIV/0!</v>
      </c>
      <c r="DY186" s="11"/>
      <c r="DZ186" s="12" t="e">
        <f t="shared" si="1195"/>
        <v>#DIV/0!</v>
      </c>
      <c r="EA186" s="13"/>
      <c r="EB186" s="11"/>
      <c r="EC186" s="11"/>
      <c r="ED186" s="14"/>
      <c r="EE186" s="10"/>
      <c r="EF186" s="11"/>
      <c r="EG186" s="69">
        <f t="shared" ref="EG186:EH191" si="1227">EG185-EE186</f>
        <v>0</v>
      </c>
      <c r="EH186" s="69">
        <f t="shared" si="1227"/>
        <v>0</v>
      </c>
      <c r="EI186" s="11"/>
      <c r="EJ186" s="12" t="e">
        <f t="shared" si="1196"/>
        <v>#DIV/0!</v>
      </c>
      <c r="EK186" s="11"/>
      <c r="EL186" s="12" t="e">
        <f t="shared" si="1197"/>
        <v>#DIV/0!</v>
      </c>
      <c r="EM186" s="13"/>
      <c r="EN186" s="11"/>
      <c r="EO186" s="11"/>
      <c r="EP186" s="14"/>
      <c r="EQ186" s="10"/>
      <c r="ER186" s="11"/>
      <c r="ES186" s="69">
        <f t="shared" ref="ES186:ET191" si="1228">ES185-EQ186</f>
        <v>0</v>
      </c>
      <c r="ET186" s="69">
        <f t="shared" si="1228"/>
        <v>0</v>
      </c>
      <c r="EU186" s="11"/>
      <c r="EV186" s="12" t="e">
        <f t="shared" si="1198"/>
        <v>#DIV/0!</v>
      </c>
      <c r="EW186" s="11"/>
      <c r="EX186" s="12" t="e">
        <f t="shared" si="1199"/>
        <v>#DIV/0!</v>
      </c>
      <c r="EY186" s="13"/>
      <c r="EZ186" s="11"/>
      <c r="FA186" s="11"/>
      <c r="FB186" s="14"/>
      <c r="FC186" s="10"/>
      <c r="FD186" s="11"/>
      <c r="FE186" s="69">
        <f t="shared" ref="FE186:FF191" si="1229">FE185-FC186</f>
        <v>0</v>
      </c>
      <c r="FF186" s="69">
        <f t="shared" si="1229"/>
        <v>0</v>
      </c>
      <c r="FG186" s="11"/>
      <c r="FH186" s="12" t="e">
        <f t="shared" si="1200"/>
        <v>#DIV/0!</v>
      </c>
      <c r="FI186" s="11"/>
      <c r="FJ186" s="12" t="e">
        <f t="shared" si="1201"/>
        <v>#DIV/0!</v>
      </c>
      <c r="FK186" s="13"/>
      <c r="FL186" s="11"/>
      <c r="FM186" s="11"/>
      <c r="FN186" s="14"/>
      <c r="FO186" s="10"/>
      <c r="FP186" s="11"/>
      <c r="FQ186" s="69">
        <f t="shared" ref="FQ186:FR191" si="1230">FQ185-FO186</f>
        <v>0</v>
      </c>
      <c r="FR186" s="69">
        <f t="shared" si="1230"/>
        <v>0</v>
      </c>
      <c r="FS186" s="11"/>
      <c r="FT186" s="12" t="e">
        <f t="shared" si="1202"/>
        <v>#DIV/0!</v>
      </c>
      <c r="FU186" s="11"/>
      <c r="FV186" s="12" t="e">
        <f t="shared" si="1203"/>
        <v>#DIV/0!</v>
      </c>
      <c r="FW186" s="13"/>
      <c r="FX186" s="11"/>
      <c r="FY186" s="11"/>
      <c r="FZ186" s="14"/>
      <c r="GA186" s="10"/>
      <c r="GB186" s="11"/>
      <c r="GC186" s="69">
        <f t="shared" ref="GC186:GD191" si="1231">GC185-GA186</f>
        <v>0</v>
      </c>
      <c r="GD186" s="69">
        <f t="shared" si="1231"/>
        <v>0</v>
      </c>
      <c r="GE186" s="11"/>
      <c r="GF186" s="12" t="e">
        <f t="shared" si="1204"/>
        <v>#DIV/0!</v>
      </c>
      <c r="GG186" s="11"/>
      <c r="GH186" s="12" t="e">
        <f t="shared" si="1205"/>
        <v>#DIV/0!</v>
      </c>
      <c r="GI186" s="13"/>
      <c r="GJ186" s="11"/>
      <c r="GK186" s="11"/>
      <c r="GL186" s="14"/>
      <c r="GM186" s="10"/>
      <c r="GN186" s="11"/>
      <c r="GO186" s="69">
        <f t="shared" ref="GO186:GP191" si="1232">GO185-GM186</f>
        <v>0</v>
      </c>
      <c r="GP186" s="69">
        <f t="shared" si="1232"/>
        <v>0</v>
      </c>
      <c r="GQ186" s="11"/>
      <c r="GR186" s="12" t="e">
        <f t="shared" si="1206"/>
        <v>#DIV/0!</v>
      </c>
      <c r="GS186" s="11"/>
      <c r="GT186" s="12" t="e">
        <f t="shared" si="1207"/>
        <v>#DIV/0!</v>
      </c>
      <c r="GU186" s="13"/>
      <c r="GV186" s="11"/>
      <c r="GW186" s="11"/>
      <c r="GX186" s="14"/>
      <c r="GY186" s="10"/>
      <c r="GZ186" s="11"/>
      <c r="HA186" s="69">
        <f t="shared" ref="HA186:HB191" si="1233">HA185-GY186</f>
        <v>0</v>
      </c>
      <c r="HB186" s="69">
        <f t="shared" si="1233"/>
        <v>0</v>
      </c>
      <c r="HC186" s="11"/>
      <c r="HD186" s="12" t="e">
        <f t="shared" si="1208"/>
        <v>#DIV/0!</v>
      </c>
      <c r="HE186" s="11"/>
      <c r="HF186" s="12" t="e">
        <f t="shared" si="1209"/>
        <v>#DIV/0!</v>
      </c>
      <c r="HG186" s="13"/>
      <c r="HH186" s="11"/>
      <c r="HI186" s="11"/>
      <c r="HJ186" s="14"/>
      <c r="HK186" s="10">
        <f t="shared" si="1210"/>
        <v>1</v>
      </c>
      <c r="HL186" s="11">
        <f t="shared" si="1210"/>
        <v>1</v>
      </c>
      <c r="HM186" s="11">
        <f t="shared" si="1210"/>
        <v>3482</v>
      </c>
      <c r="HN186" s="11">
        <f t="shared" si="1210"/>
        <v>295</v>
      </c>
      <c r="HO186" s="11">
        <f t="shared" si="1211"/>
        <v>1176</v>
      </c>
      <c r="HP186" s="95">
        <f t="shared" si="1212"/>
        <v>0.33773693279724298</v>
      </c>
      <c r="HQ186" s="15">
        <f t="shared" si="1213"/>
        <v>89</v>
      </c>
      <c r="HR186" s="12">
        <f t="shared" ref="HR186:HR192" si="1234">+(HQ186/(HO186))</f>
        <v>7.5680272108843538E-2</v>
      </c>
      <c r="HS186" s="16">
        <v>69.2</v>
      </c>
      <c r="HT186" s="17">
        <v>1145</v>
      </c>
      <c r="HU186" s="16">
        <f t="shared" si="1214"/>
        <v>97.363945578231295</v>
      </c>
      <c r="HV186" s="15"/>
      <c r="HW186" s="14"/>
    </row>
    <row r="187" spans="1:231" ht="18.75" x14ac:dyDescent="0.25">
      <c r="A187" s="374"/>
      <c r="B187" s="41">
        <f t="shared" si="814"/>
        <v>45083</v>
      </c>
      <c r="C187" s="10"/>
      <c r="D187" s="11"/>
      <c r="E187" s="69">
        <f t="shared" si="1215"/>
        <v>614</v>
      </c>
      <c r="F187" s="69">
        <f t="shared" si="1215"/>
        <v>51</v>
      </c>
      <c r="G187" s="11">
        <v>209</v>
      </c>
      <c r="H187" s="12">
        <f t="shared" si="1175"/>
        <v>0.38762214983713356</v>
      </c>
      <c r="I187" s="11">
        <v>29</v>
      </c>
      <c r="J187" s="12">
        <f t="shared" si="1216"/>
        <v>0.12184873949579832</v>
      </c>
      <c r="K187" s="13"/>
      <c r="L187" s="11"/>
      <c r="M187" s="11"/>
      <c r="N187" s="14"/>
      <c r="O187" s="10"/>
      <c r="P187" s="11"/>
      <c r="Q187" s="69">
        <f t="shared" si="1217"/>
        <v>623</v>
      </c>
      <c r="R187" s="69">
        <f t="shared" si="1217"/>
        <v>53</v>
      </c>
      <c r="S187" s="11">
        <v>209</v>
      </c>
      <c r="T187" s="12">
        <f t="shared" si="1176"/>
        <v>0.3723916532905297</v>
      </c>
      <c r="U187" s="11">
        <v>23</v>
      </c>
      <c r="V187" s="12">
        <f t="shared" si="1177"/>
        <v>9.9137931034482762E-2</v>
      </c>
      <c r="W187" s="13"/>
      <c r="X187" s="11"/>
      <c r="Y187" s="11"/>
      <c r="Z187" s="14"/>
      <c r="AA187" s="10">
        <v>1</v>
      </c>
      <c r="AB187" s="11">
        <v>1</v>
      </c>
      <c r="AC187" s="69">
        <f t="shared" si="1218"/>
        <v>169</v>
      </c>
      <c r="AD187" s="69">
        <f t="shared" si="1218"/>
        <v>12</v>
      </c>
      <c r="AE187" s="11">
        <v>46</v>
      </c>
      <c r="AF187" s="12">
        <f t="shared" si="1178"/>
        <v>0.30769230769230771</v>
      </c>
      <c r="AG187" s="11">
        <v>6</v>
      </c>
      <c r="AH187" s="12">
        <f t="shared" si="1179"/>
        <v>0.11538461538461539</v>
      </c>
      <c r="AI187" s="13"/>
      <c r="AJ187" s="11"/>
      <c r="AK187" s="11"/>
      <c r="AL187" s="14"/>
      <c r="AM187" s="10"/>
      <c r="AN187" s="11"/>
      <c r="AO187" s="69">
        <f t="shared" si="1219"/>
        <v>692</v>
      </c>
      <c r="AP187" s="69">
        <f t="shared" si="1219"/>
        <v>60</v>
      </c>
      <c r="AQ187" s="11">
        <v>237</v>
      </c>
      <c r="AR187" s="12">
        <f t="shared" si="1180"/>
        <v>0.3945086705202312</v>
      </c>
      <c r="AS187" s="11">
        <v>36</v>
      </c>
      <c r="AT187" s="12">
        <f t="shared" si="1181"/>
        <v>0.13186813186813187</v>
      </c>
      <c r="AU187" s="13"/>
      <c r="AV187" s="11"/>
      <c r="AW187" s="11"/>
      <c r="AX187" s="14"/>
      <c r="AY187" s="10">
        <v>1</v>
      </c>
      <c r="AZ187" s="11"/>
      <c r="BA187" s="69">
        <f t="shared" si="1220"/>
        <v>690</v>
      </c>
      <c r="BB187" s="69">
        <f t="shared" si="1220"/>
        <v>60</v>
      </c>
      <c r="BC187" s="11">
        <v>239</v>
      </c>
      <c r="BD187" s="12">
        <f t="shared" si="1182"/>
        <v>0.37971014492753624</v>
      </c>
      <c r="BE187" s="11">
        <v>23</v>
      </c>
      <c r="BF187" s="12">
        <f t="shared" si="1183"/>
        <v>8.7786259541984726E-2</v>
      </c>
      <c r="BG187" s="13"/>
      <c r="BH187" s="11"/>
      <c r="BI187" s="11"/>
      <c r="BJ187" s="14"/>
      <c r="BK187" s="10"/>
      <c r="BL187" s="11"/>
      <c r="BM187" s="69">
        <f t="shared" si="1221"/>
        <v>692</v>
      </c>
      <c r="BN187" s="69">
        <f t="shared" si="1221"/>
        <v>58</v>
      </c>
      <c r="BO187" s="11">
        <v>260</v>
      </c>
      <c r="BP187" s="12">
        <f t="shared" si="1184"/>
        <v>0.40895953757225434</v>
      </c>
      <c r="BQ187" s="11">
        <v>23</v>
      </c>
      <c r="BR187" s="12">
        <f t="shared" si="1185"/>
        <v>8.1272084805653705E-2</v>
      </c>
      <c r="BS187" s="13"/>
      <c r="BT187" s="11"/>
      <c r="BU187" s="11"/>
      <c r="BV187" s="14"/>
      <c r="BW187" s="10"/>
      <c r="BX187" s="11"/>
      <c r="BY187" s="69">
        <f t="shared" si="1222"/>
        <v>0</v>
      </c>
      <c r="BZ187" s="69">
        <f t="shared" si="1222"/>
        <v>0</v>
      </c>
      <c r="CA187" s="11"/>
      <c r="CB187" s="12" t="e">
        <f t="shared" si="1186"/>
        <v>#DIV/0!</v>
      </c>
      <c r="CC187" s="11"/>
      <c r="CD187" s="12" t="e">
        <f t="shared" si="1187"/>
        <v>#DIV/0!</v>
      </c>
      <c r="CE187" s="13"/>
      <c r="CF187" s="11"/>
      <c r="CG187" s="11"/>
      <c r="CH187" s="14"/>
      <c r="CI187" s="10"/>
      <c r="CJ187" s="11"/>
      <c r="CK187" s="69">
        <f t="shared" si="1223"/>
        <v>0</v>
      </c>
      <c r="CL187" s="69">
        <f t="shared" si="1223"/>
        <v>0</v>
      </c>
      <c r="CM187" s="11"/>
      <c r="CN187" s="12" t="e">
        <f t="shared" si="1188"/>
        <v>#DIV/0!</v>
      </c>
      <c r="CO187" s="11"/>
      <c r="CP187" s="12" t="e">
        <f t="shared" si="1189"/>
        <v>#DIV/0!</v>
      </c>
      <c r="CQ187" s="13"/>
      <c r="CR187" s="11"/>
      <c r="CS187" s="11"/>
      <c r="CT187" s="14"/>
      <c r="CU187" s="10"/>
      <c r="CV187" s="11"/>
      <c r="CW187" s="69">
        <f t="shared" si="1224"/>
        <v>0</v>
      </c>
      <c r="CX187" s="69">
        <f t="shared" si="1224"/>
        <v>0</v>
      </c>
      <c r="CY187" s="11"/>
      <c r="CZ187" s="12" t="e">
        <f t="shared" si="1190"/>
        <v>#DIV/0!</v>
      </c>
      <c r="DA187" s="11"/>
      <c r="DB187" s="12" t="e">
        <f t="shared" si="1191"/>
        <v>#DIV/0!</v>
      </c>
      <c r="DC187" s="13"/>
      <c r="DD187" s="11"/>
      <c r="DE187" s="11"/>
      <c r="DF187" s="14"/>
      <c r="DG187" s="10"/>
      <c r="DH187" s="11"/>
      <c r="DI187" s="69">
        <f t="shared" si="1225"/>
        <v>0</v>
      </c>
      <c r="DJ187" s="69">
        <f t="shared" si="1225"/>
        <v>0</v>
      </c>
      <c r="DK187" s="11"/>
      <c r="DL187" s="12" t="e">
        <f t="shared" si="1192"/>
        <v>#DIV/0!</v>
      </c>
      <c r="DM187" s="11"/>
      <c r="DN187" s="12" t="e">
        <f t="shared" si="1193"/>
        <v>#DIV/0!</v>
      </c>
      <c r="DO187" s="13"/>
      <c r="DP187" s="11"/>
      <c r="DQ187" s="11"/>
      <c r="DR187" s="14"/>
      <c r="DS187" s="10"/>
      <c r="DT187" s="11"/>
      <c r="DU187" s="69">
        <f t="shared" si="1226"/>
        <v>0</v>
      </c>
      <c r="DV187" s="69">
        <f t="shared" si="1226"/>
        <v>0</v>
      </c>
      <c r="DW187" s="11"/>
      <c r="DX187" s="12" t="e">
        <f t="shared" si="1194"/>
        <v>#DIV/0!</v>
      </c>
      <c r="DY187" s="11"/>
      <c r="DZ187" s="12" t="e">
        <f t="shared" si="1195"/>
        <v>#DIV/0!</v>
      </c>
      <c r="EA187" s="13"/>
      <c r="EB187" s="11"/>
      <c r="EC187" s="11"/>
      <c r="ED187" s="14"/>
      <c r="EE187" s="10"/>
      <c r="EF187" s="11"/>
      <c r="EG187" s="69">
        <f t="shared" si="1227"/>
        <v>0</v>
      </c>
      <c r="EH187" s="69">
        <f t="shared" si="1227"/>
        <v>0</v>
      </c>
      <c r="EI187" s="11"/>
      <c r="EJ187" s="12" t="e">
        <f t="shared" si="1196"/>
        <v>#DIV/0!</v>
      </c>
      <c r="EK187" s="11"/>
      <c r="EL187" s="12" t="e">
        <f t="shared" si="1197"/>
        <v>#DIV/0!</v>
      </c>
      <c r="EM187" s="13"/>
      <c r="EN187" s="11"/>
      <c r="EO187" s="11"/>
      <c r="EP187" s="14"/>
      <c r="EQ187" s="10"/>
      <c r="ER187" s="11"/>
      <c r="ES187" s="69">
        <f t="shared" si="1228"/>
        <v>0</v>
      </c>
      <c r="ET187" s="69">
        <f t="shared" si="1228"/>
        <v>0</v>
      </c>
      <c r="EU187" s="11"/>
      <c r="EV187" s="12" t="e">
        <f t="shared" si="1198"/>
        <v>#DIV/0!</v>
      </c>
      <c r="EW187" s="11"/>
      <c r="EX187" s="12" t="e">
        <f t="shared" si="1199"/>
        <v>#DIV/0!</v>
      </c>
      <c r="EY187" s="13"/>
      <c r="EZ187" s="11"/>
      <c r="FA187" s="11"/>
      <c r="FB187" s="14"/>
      <c r="FC187" s="10"/>
      <c r="FD187" s="11"/>
      <c r="FE187" s="69">
        <f t="shared" si="1229"/>
        <v>0</v>
      </c>
      <c r="FF187" s="69">
        <f t="shared" si="1229"/>
        <v>0</v>
      </c>
      <c r="FG187" s="11"/>
      <c r="FH187" s="12" t="e">
        <f t="shared" si="1200"/>
        <v>#DIV/0!</v>
      </c>
      <c r="FI187" s="11"/>
      <c r="FJ187" s="12" t="e">
        <f t="shared" si="1201"/>
        <v>#DIV/0!</v>
      </c>
      <c r="FK187" s="13"/>
      <c r="FL187" s="11"/>
      <c r="FM187" s="11"/>
      <c r="FN187" s="14"/>
      <c r="FO187" s="10"/>
      <c r="FP187" s="11"/>
      <c r="FQ187" s="69">
        <f t="shared" si="1230"/>
        <v>0</v>
      </c>
      <c r="FR187" s="69">
        <f t="shared" si="1230"/>
        <v>0</v>
      </c>
      <c r="FS187" s="11"/>
      <c r="FT187" s="12" t="e">
        <f t="shared" si="1202"/>
        <v>#DIV/0!</v>
      </c>
      <c r="FU187" s="11"/>
      <c r="FV187" s="12" t="e">
        <f t="shared" si="1203"/>
        <v>#DIV/0!</v>
      </c>
      <c r="FW187" s="13"/>
      <c r="FX187" s="11"/>
      <c r="FY187" s="11"/>
      <c r="FZ187" s="14"/>
      <c r="GA187" s="10"/>
      <c r="GB187" s="11"/>
      <c r="GC187" s="69">
        <f t="shared" si="1231"/>
        <v>0</v>
      </c>
      <c r="GD187" s="69">
        <f t="shared" si="1231"/>
        <v>0</v>
      </c>
      <c r="GE187" s="11"/>
      <c r="GF187" s="12" t="e">
        <f t="shared" si="1204"/>
        <v>#DIV/0!</v>
      </c>
      <c r="GG187" s="11"/>
      <c r="GH187" s="12" t="e">
        <f t="shared" si="1205"/>
        <v>#DIV/0!</v>
      </c>
      <c r="GI187" s="13"/>
      <c r="GJ187" s="11"/>
      <c r="GK187" s="11"/>
      <c r="GL187" s="14"/>
      <c r="GM187" s="10"/>
      <c r="GN187" s="11"/>
      <c r="GO187" s="69">
        <f t="shared" si="1232"/>
        <v>0</v>
      </c>
      <c r="GP187" s="69">
        <f t="shared" si="1232"/>
        <v>0</v>
      </c>
      <c r="GQ187" s="11"/>
      <c r="GR187" s="12" t="e">
        <f t="shared" si="1206"/>
        <v>#DIV/0!</v>
      </c>
      <c r="GS187" s="11"/>
      <c r="GT187" s="12" t="e">
        <f t="shared" si="1207"/>
        <v>#DIV/0!</v>
      </c>
      <c r="GU187" s="13"/>
      <c r="GV187" s="11"/>
      <c r="GW187" s="11"/>
      <c r="GX187" s="14"/>
      <c r="GY187" s="10"/>
      <c r="GZ187" s="11"/>
      <c r="HA187" s="69">
        <f t="shared" si="1233"/>
        <v>0</v>
      </c>
      <c r="HB187" s="69">
        <f t="shared" si="1233"/>
        <v>0</v>
      </c>
      <c r="HC187" s="11"/>
      <c r="HD187" s="12" t="e">
        <f t="shared" si="1208"/>
        <v>#DIV/0!</v>
      </c>
      <c r="HE187" s="11"/>
      <c r="HF187" s="12" t="e">
        <f t="shared" si="1209"/>
        <v>#DIV/0!</v>
      </c>
      <c r="HG187" s="13"/>
      <c r="HH187" s="11"/>
      <c r="HI187" s="11"/>
      <c r="HJ187" s="14"/>
      <c r="HK187" s="10">
        <f t="shared" si="1210"/>
        <v>2</v>
      </c>
      <c r="HL187" s="11">
        <f t="shared" si="1210"/>
        <v>1</v>
      </c>
      <c r="HM187" s="11">
        <f t="shared" si="1210"/>
        <v>3480</v>
      </c>
      <c r="HN187" s="11">
        <f t="shared" si="1210"/>
        <v>294</v>
      </c>
      <c r="HO187" s="11">
        <f t="shared" si="1211"/>
        <v>1340</v>
      </c>
      <c r="HP187" s="95">
        <f t="shared" si="1212"/>
        <v>0.38505747126436779</v>
      </c>
      <c r="HQ187" s="15">
        <f t="shared" si="1213"/>
        <v>140</v>
      </c>
      <c r="HR187" s="12">
        <f t="shared" si="1234"/>
        <v>0.1044776119402985</v>
      </c>
      <c r="HS187" s="16">
        <v>69.599999999999994</v>
      </c>
      <c r="HT187" s="17">
        <v>1148</v>
      </c>
      <c r="HU187" s="16">
        <f t="shared" si="1214"/>
        <v>85.671641791044777</v>
      </c>
      <c r="HV187" s="15"/>
      <c r="HW187" s="14"/>
    </row>
    <row r="188" spans="1:231" ht="18.75" x14ac:dyDescent="0.25">
      <c r="A188" s="374"/>
      <c r="B188" s="41">
        <f t="shared" ref="B188:B251" si="1235">+B187+1</f>
        <v>45084</v>
      </c>
      <c r="C188" s="10"/>
      <c r="D188" s="11"/>
      <c r="E188" s="69">
        <f t="shared" si="1215"/>
        <v>614</v>
      </c>
      <c r="F188" s="69">
        <f t="shared" si="1215"/>
        <v>51</v>
      </c>
      <c r="G188" s="11">
        <v>204</v>
      </c>
      <c r="H188" s="12">
        <f t="shared" si="1175"/>
        <v>0.35830618892508143</v>
      </c>
      <c r="I188" s="11">
        <v>16</v>
      </c>
      <c r="J188" s="12">
        <f t="shared" si="1216"/>
        <v>7.2727272727272724E-2</v>
      </c>
      <c r="K188" s="11"/>
      <c r="L188" s="11"/>
      <c r="M188" s="18"/>
      <c r="N188" s="20"/>
      <c r="O188" s="10">
        <v>1</v>
      </c>
      <c r="P188" s="11"/>
      <c r="Q188" s="69">
        <f t="shared" si="1217"/>
        <v>622</v>
      </c>
      <c r="R188" s="69">
        <f t="shared" si="1217"/>
        <v>53</v>
      </c>
      <c r="S188" s="11">
        <v>201</v>
      </c>
      <c r="T188" s="12">
        <f t="shared" si="1176"/>
        <v>0.34887459807073956</v>
      </c>
      <c r="U188" s="11">
        <v>16</v>
      </c>
      <c r="V188" s="12">
        <f t="shared" si="1177"/>
        <v>7.3732718894009217E-2</v>
      </c>
      <c r="W188" s="11"/>
      <c r="X188" s="11"/>
      <c r="Y188" s="18"/>
      <c r="Z188" s="20"/>
      <c r="AA188" s="10">
        <v>2</v>
      </c>
      <c r="AB188" s="11"/>
      <c r="AC188" s="69">
        <f t="shared" si="1218"/>
        <v>167</v>
      </c>
      <c r="AD188" s="69">
        <f t="shared" si="1218"/>
        <v>12</v>
      </c>
      <c r="AE188" s="11">
        <v>47</v>
      </c>
      <c r="AF188" s="12">
        <f t="shared" si="1178"/>
        <v>0.29341317365269459</v>
      </c>
      <c r="AG188" s="11">
        <v>2</v>
      </c>
      <c r="AH188" s="12">
        <f t="shared" si="1179"/>
        <v>4.0816326530612242E-2</v>
      </c>
      <c r="AI188" s="11"/>
      <c r="AJ188" s="11"/>
      <c r="AK188" s="18"/>
      <c r="AL188" s="20"/>
      <c r="AM188" s="10"/>
      <c r="AN188" s="11"/>
      <c r="AO188" s="69">
        <f t="shared" si="1219"/>
        <v>692</v>
      </c>
      <c r="AP188" s="69">
        <f t="shared" si="1219"/>
        <v>60</v>
      </c>
      <c r="AQ188" s="11">
        <v>227</v>
      </c>
      <c r="AR188" s="12">
        <f t="shared" si="1180"/>
        <v>0.36271676300578037</v>
      </c>
      <c r="AS188" s="11">
        <v>24</v>
      </c>
      <c r="AT188" s="12">
        <f t="shared" si="1181"/>
        <v>9.5617529880478086E-2</v>
      </c>
      <c r="AU188" s="11"/>
      <c r="AV188" s="11"/>
      <c r="AW188" s="18"/>
      <c r="AX188" s="20"/>
      <c r="AY188" s="10"/>
      <c r="AZ188" s="11"/>
      <c r="BA188" s="69">
        <f t="shared" si="1220"/>
        <v>690</v>
      </c>
      <c r="BB188" s="69">
        <f t="shared" si="1220"/>
        <v>60</v>
      </c>
      <c r="BC188" s="11">
        <v>237</v>
      </c>
      <c r="BD188" s="12">
        <f t="shared" si="1182"/>
        <v>0.36521739130434783</v>
      </c>
      <c r="BE188" s="11">
        <v>15</v>
      </c>
      <c r="BF188" s="12">
        <f t="shared" si="1183"/>
        <v>5.9523809523809521E-2</v>
      </c>
      <c r="BG188" s="11"/>
      <c r="BH188" s="11"/>
      <c r="BI188" s="18"/>
      <c r="BJ188" s="20"/>
      <c r="BK188" s="10"/>
      <c r="BL188" s="11"/>
      <c r="BM188" s="69">
        <f t="shared" si="1221"/>
        <v>692</v>
      </c>
      <c r="BN188" s="69">
        <f t="shared" si="1221"/>
        <v>58</v>
      </c>
      <c r="BO188" s="11">
        <v>245</v>
      </c>
      <c r="BP188" s="12">
        <f t="shared" si="1184"/>
        <v>0.37861271676300579</v>
      </c>
      <c r="BQ188" s="11">
        <v>17</v>
      </c>
      <c r="BR188" s="12">
        <f t="shared" si="1185"/>
        <v>6.4885496183206104E-2</v>
      </c>
      <c r="BS188" s="11"/>
      <c r="BT188" s="11"/>
      <c r="BU188" s="18"/>
      <c r="BV188" s="20"/>
      <c r="BW188" s="10"/>
      <c r="BX188" s="11"/>
      <c r="BY188" s="69">
        <f t="shared" si="1222"/>
        <v>0</v>
      </c>
      <c r="BZ188" s="69">
        <f t="shared" si="1222"/>
        <v>0</v>
      </c>
      <c r="CA188" s="11"/>
      <c r="CB188" s="12" t="e">
        <f t="shared" si="1186"/>
        <v>#DIV/0!</v>
      </c>
      <c r="CC188" s="11"/>
      <c r="CD188" s="12" t="e">
        <f t="shared" si="1187"/>
        <v>#DIV/0!</v>
      </c>
      <c r="CE188" s="11"/>
      <c r="CF188" s="11"/>
      <c r="CG188" s="18"/>
      <c r="CH188" s="20"/>
      <c r="CI188" s="10"/>
      <c r="CJ188" s="11"/>
      <c r="CK188" s="69">
        <f t="shared" si="1223"/>
        <v>0</v>
      </c>
      <c r="CL188" s="69">
        <f t="shared" si="1223"/>
        <v>0</v>
      </c>
      <c r="CM188" s="11"/>
      <c r="CN188" s="12" t="e">
        <f t="shared" si="1188"/>
        <v>#DIV/0!</v>
      </c>
      <c r="CO188" s="11"/>
      <c r="CP188" s="12" t="e">
        <f t="shared" si="1189"/>
        <v>#DIV/0!</v>
      </c>
      <c r="CQ188" s="11"/>
      <c r="CR188" s="11"/>
      <c r="CS188" s="18"/>
      <c r="CT188" s="20"/>
      <c r="CU188" s="10"/>
      <c r="CV188" s="11"/>
      <c r="CW188" s="69">
        <f t="shared" si="1224"/>
        <v>0</v>
      </c>
      <c r="CX188" s="69">
        <f t="shared" si="1224"/>
        <v>0</v>
      </c>
      <c r="CY188" s="11"/>
      <c r="CZ188" s="12" t="e">
        <f t="shared" si="1190"/>
        <v>#DIV/0!</v>
      </c>
      <c r="DA188" s="11"/>
      <c r="DB188" s="12" t="e">
        <f t="shared" si="1191"/>
        <v>#DIV/0!</v>
      </c>
      <c r="DC188" s="11"/>
      <c r="DD188" s="11"/>
      <c r="DE188" s="18"/>
      <c r="DF188" s="20"/>
      <c r="DG188" s="10"/>
      <c r="DH188" s="11"/>
      <c r="DI188" s="69">
        <f t="shared" si="1225"/>
        <v>0</v>
      </c>
      <c r="DJ188" s="69">
        <f t="shared" si="1225"/>
        <v>0</v>
      </c>
      <c r="DK188" s="11"/>
      <c r="DL188" s="12" t="e">
        <f t="shared" si="1192"/>
        <v>#DIV/0!</v>
      </c>
      <c r="DM188" s="11"/>
      <c r="DN188" s="12" t="e">
        <f t="shared" si="1193"/>
        <v>#DIV/0!</v>
      </c>
      <c r="DO188" s="11"/>
      <c r="DP188" s="11"/>
      <c r="DQ188" s="18"/>
      <c r="DR188" s="20"/>
      <c r="DS188" s="10"/>
      <c r="DT188" s="11"/>
      <c r="DU188" s="69">
        <f t="shared" si="1226"/>
        <v>0</v>
      </c>
      <c r="DV188" s="69">
        <f t="shared" si="1226"/>
        <v>0</v>
      </c>
      <c r="DW188" s="11"/>
      <c r="DX188" s="12" t="e">
        <f t="shared" si="1194"/>
        <v>#DIV/0!</v>
      </c>
      <c r="DY188" s="11"/>
      <c r="DZ188" s="12" t="e">
        <f t="shared" si="1195"/>
        <v>#DIV/0!</v>
      </c>
      <c r="EA188" s="11"/>
      <c r="EB188" s="11"/>
      <c r="EC188" s="18"/>
      <c r="ED188" s="20"/>
      <c r="EE188" s="10"/>
      <c r="EF188" s="11"/>
      <c r="EG188" s="69">
        <f t="shared" si="1227"/>
        <v>0</v>
      </c>
      <c r="EH188" s="69">
        <f t="shared" si="1227"/>
        <v>0</v>
      </c>
      <c r="EI188" s="11"/>
      <c r="EJ188" s="12" t="e">
        <f t="shared" si="1196"/>
        <v>#DIV/0!</v>
      </c>
      <c r="EK188" s="11"/>
      <c r="EL188" s="12" t="e">
        <f t="shared" si="1197"/>
        <v>#DIV/0!</v>
      </c>
      <c r="EM188" s="11"/>
      <c r="EN188" s="11"/>
      <c r="EO188" s="18"/>
      <c r="EP188" s="20"/>
      <c r="EQ188" s="10"/>
      <c r="ER188" s="11"/>
      <c r="ES188" s="69">
        <f t="shared" si="1228"/>
        <v>0</v>
      </c>
      <c r="ET188" s="69">
        <f t="shared" si="1228"/>
        <v>0</v>
      </c>
      <c r="EU188" s="11"/>
      <c r="EV188" s="12" t="e">
        <f t="shared" si="1198"/>
        <v>#DIV/0!</v>
      </c>
      <c r="EW188" s="11"/>
      <c r="EX188" s="12" t="e">
        <f t="shared" si="1199"/>
        <v>#DIV/0!</v>
      </c>
      <c r="EY188" s="11"/>
      <c r="EZ188" s="11"/>
      <c r="FA188" s="18"/>
      <c r="FB188" s="20"/>
      <c r="FC188" s="10"/>
      <c r="FD188" s="11"/>
      <c r="FE188" s="69">
        <f t="shared" si="1229"/>
        <v>0</v>
      </c>
      <c r="FF188" s="69">
        <f t="shared" si="1229"/>
        <v>0</v>
      </c>
      <c r="FG188" s="11"/>
      <c r="FH188" s="12" t="e">
        <f t="shared" si="1200"/>
        <v>#DIV/0!</v>
      </c>
      <c r="FI188" s="11"/>
      <c r="FJ188" s="12" t="e">
        <f t="shared" si="1201"/>
        <v>#DIV/0!</v>
      </c>
      <c r="FK188" s="11"/>
      <c r="FL188" s="11"/>
      <c r="FM188" s="18"/>
      <c r="FN188" s="20"/>
      <c r="FO188" s="10"/>
      <c r="FP188" s="11"/>
      <c r="FQ188" s="69">
        <f t="shared" si="1230"/>
        <v>0</v>
      </c>
      <c r="FR188" s="69">
        <f t="shared" si="1230"/>
        <v>0</v>
      </c>
      <c r="FS188" s="11"/>
      <c r="FT188" s="12" t="e">
        <f t="shared" si="1202"/>
        <v>#DIV/0!</v>
      </c>
      <c r="FU188" s="11"/>
      <c r="FV188" s="12" t="e">
        <f t="shared" si="1203"/>
        <v>#DIV/0!</v>
      </c>
      <c r="FW188" s="11"/>
      <c r="FX188" s="11"/>
      <c r="FY188" s="18"/>
      <c r="FZ188" s="20"/>
      <c r="GA188" s="10"/>
      <c r="GB188" s="11"/>
      <c r="GC188" s="69">
        <f t="shared" si="1231"/>
        <v>0</v>
      </c>
      <c r="GD188" s="69">
        <f t="shared" si="1231"/>
        <v>0</v>
      </c>
      <c r="GE188" s="11"/>
      <c r="GF188" s="12" t="e">
        <f t="shared" si="1204"/>
        <v>#DIV/0!</v>
      </c>
      <c r="GG188" s="11"/>
      <c r="GH188" s="12" t="e">
        <f t="shared" si="1205"/>
        <v>#DIV/0!</v>
      </c>
      <c r="GI188" s="11"/>
      <c r="GJ188" s="11"/>
      <c r="GK188" s="18"/>
      <c r="GL188" s="20"/>
      <c r="GM188" s="10"/>
      <c r="GN188" s="11"/>
      <c r="GO188" s="69">
        <f t="shared" si="1232"/>
        <v>0</v>
      </c>
      <c r="GP188" s="69">
        <f t="shared" si="1232"/>
        <v>0</v>
      </c>
      <c r="GQ188" s="11"/>
      <c r="GR188" s="12" t="e">
        <f t="shared" si="1206"/>
        <v>#DIV/0!</v>
      </c>
      <c r="GS188" s="11"/>
      <c r="GT188" s="12" t="e">
        <f t="shared" si="1207"/>
        <v>#DIV/0!</v>
      </c>
      <c r="GU188" s="11"/>
      <c r="GV188" s="11"/>
      <c r="GW188" s="18"/>
      <c r="GX188" s="20"/>
      <c r="GY188" s="10"/>
      <c r="GZ188" s="11"/>
      <c r="HA188" s="69">
        <f t="shared" si="1233"/>
        <v>0</v>
      </c>
      <c r="HB188" s="69">
        <f t="shared" si="1233"/>
        <v>0</v>
      </c>
      <c r="HC188" s="11"/>
      <c r="HD188" s="12" t="e">
        <f t="shared" si="1208"/>
        <v>#DIV/0!</v>
      </c>
      <c r="HE188" s="11"/>
      <c r="HF188" s="12" t="e">
        <f t="shared" si="1209"/>
        <v>#DIV/0!</v>
      </c>
      <c r="HG188" s="11"/>
      <c r="HH188" s="11"/>
      <c r="HI188" s="18"/>
      <c r="HJ188" s="20"/>
      <c r="HK188" s="10">
        <f t="shared" si="1210"/>
        <v>3</v>
      </c>
      <c r="HL188" s="11">
        <f t="shared" si="1210"/>
        <v>0</v>
      </c>
      <c r="HM188" s="11">
        <f t="shared" si="1210"/>
        <v>3477</v>
      </c>
      <c r="HN188" s="11">
        <f t="shared" si="1210"/>
        <v>294</v>
      </c>
      <c r="HO188" s="11">
        <f t="shared" si="1211"/>
        <v>1251</v>
      </c>
      <c r="HP188" s="95">
        <f t="shared" si="1212"/>
        <v>0.35979292493528903</v>
      </c>
      <c r="HQ188" s="15">
        <f t="shared" si="1213"/>
        <v>90</v>
      </c>
      <c r="HR188" s="12">
        <f t="shared" si="1234"/>
        <v>7.1942446043165464E-2</v>
      </c>
      <c r="HS188" s="16">
        <v>69.099999999999994</v>
      </c>
      <c r="HT188" s="17">
        <v>1098</v>
      </c>
      <c r="HU188" s="16">
        <f t="shared" si="1214"/>
        <v>87.769784172661872</v>
      </c>
      <c r="HV188" s="18"/>
      <c r="HW188" s="20"/>
    </row>
    <row r="189" spans="1:231" ht="18.75" x14ac:dyDescent="0.25">
      <c r="A189" s="374"/>
      <c r="B189" s="41">
        <f t="shared" si="1235"/>
        <v>45085</v>
      </c>
      <c r="C189" s="10"/>
      <c r="D189" s="11"/>
      <c r="E189" s="69">
        <f t="shared" si="1215"/>
        <v>614</v>
      </c>
      <c r="F189" s="69">
        <f t="shared" si="1215"/>
        <v>51</v>
      </c>
      <c r="G189" s="11">
        <v>224</v>
      </c>
      <c r="H189" s="12">
        <f t="shared" si="1175"/>
        <v>0.40716612377850164</v>
      </c>
      <c r="I189" s="11">
        <v>26</v>
      </c>
      <c r="J189" s="12">
        <f t="shared" si="1216"/>
        <v>0.104</v>
      </c>
      <c r="K189" s="13"/>
      <c r="L189" s="13"/>
      <c r="M189" s="25"/>
      <c r="N189" s="38">
        <v>4560</v>
      </c>
      <c r="O189" s="10"/>
      <c r="P189" s="11"/>
      <c r="Q189" s="69">
        <f t="shared" si="1217"/>
        <v>622</v>
      </c>
      <c r="R189" s="69">
        <f t="shared" si="1217"/>
        <v>53</v>
      </c>
      <c r="S189" s="11">
        <v>232</v>
      </c>
      <c r="T189" s="12">
        <f t="shared" si="1176"/>
        <v>0.40192926045016075</v>
      </c>
      <c r="U189" s="11">
        <v>18</v>
      </c>
      <c r="V189" s="12">
        <f t="shared" si="1177"/>
        <v>7.1999999999999995E-2</v>
      </c>
      <c r="W189" s="13"/>
      <c r="X189" s="13"/>
      <c r="Y189" s="25"/>
      <c r="Z189" s="38">
        <v>4560</v>
      </c>
      <c r="AA189" s="10">
        <v>2</v>
      </c>
      <c r="AB189" s="11"/>
      <c r="AC189" s="69">
        <f t="shared" si="1218"/>
        <v>165</v>
      </c>
      <c r="AD189" s="69">
        <f t="shared" si="1218"/>
        <v>12</v>
      </c>
      <c r="AE189" s="11">
        <v>48</v>
      </c>
      <c r="AF189" s="12">
        <f t="shared" si="1178"/>
        <v>0.30303030303030304</v>
      </c>
      <c r="AG189" s="11">
        <v>2</v>
      </c>
      <c r="AH189" s="12">
        <f t="shared" si="1179"/>
        <v>0.04</v>
      </c>
      <c r="AI189" s="13"/>
      <c r="AJ189" s="13"/>
      <c r="AK189" s="25"/>
      <c r="AL189" s="38">
        <v>4560</v>
      </c>
      <c r="AM189" s="10">
        <v>2</v>
      </c>
      <c r="AN189" s="11"/>
      <c r="AO189" s="69">
        <f t="shared" si="1219"/>
        <v>690</v>
      </c>
      <c r="AP189" s="69">
        <f t="shared" si="1219"/>
        <v>60</v>
      </c>
      <c r="AQ189" s="11">
        <v>253</v>
      </c>
      <c r="AR189" s="12">
        <f t="shared" si="1180"/>
        <v>0.38115942028985506</v>
      </c>
      <c r="AS189" s="11">
        <v>10</v>
      </c>
      <c r="AT189" s="12">
        <f t="shared" si="1181"/>
        <v>3.8022813688212927E-2</v>
      </c>
      <c r="AU189" s="13"/>
      <c r="AV189" s="13"/>
      <c r="AW189" s="25"/>
      <c r="AX189" s="38">
        <v>4560</v>
      </c>
      <c r="AY189" s="10"/>
      <c r="AZ189" s="11"/>
      <c r="BA189" s="69">
        <f t="shared" si="1220"/>
        <v>690</v>
      </c>
      <c r="BB189" s="69">
        <f t="shared" si="1220"/>
        <v>60</v>
      </c>
      <c r="BC189" s="11">
        <v>252</v>
      </c>
      <c r="BD189" s="12">
        <f t="shared" si="1182"/>
        <v>0.40144927536231884</v>
      </c>
      <c r="BE189" s="11">
        <v>25</v>
      </c>
      <c r="BF189" s="12">
        <f t="shared" si="1183"/>
        <v>9.0252707581227443E-2</v>
      </c>
      <c r="BG189" s="13"/>
      <c r="BH189" s="13"/>
      <c r="BI189" s="25"/>
      <c r="BJ189" s="38">
        <v>4560</v>
      </c>
      <c r="BK189" s="10">
        <v>1</v>
      </c>
      <c r="BL189" s="11"/>
      <c r="BM189" s="69">
        <f t="shared" si="1221"/>
        <v>691</v>
      </c>
      <c r="BN189" s="69">
        <f t="shared" si="1221"/>
        <v>58</v>
      </c>
      <c r="BO189" s="11">
        <v>284</v>
      </c>
      <c r="BP189" s="12">
        <f t="shared" si="1184"/>
        <v>0.44283646888567296</v>
      </c>
      <c r="BQ189" s="11">
        <v>22</v>
      </c>
      <c r="BR189" s="12">
        <f t="shared" si="1185"/>
        <v>7.1895424836601302E-2</v>
      </c>
      <c r="BS189" s="13"/>
      <c r="BT189" s="13"/>
      <c r="BU189" s="25"/>
      <c r="BV189" s="38">
        <v>4560</v>
      </c>
      <c r="BW189" s="10"/>
      <c r="BX189" s="11"/>
      <c r="BY189" s="69">
        <f t="shared" si="1222"/>
        <v>0</v>
      </c>
      <c r="BZ189" s="69">
        <f t="shared" si="1222"/>
        <v>0</v>
      </c>
      <c r="CA189" s="11"/>
      <c r="CB189" s="12" t="e">
        <f t="shared" si="1186"/>
        <v>#DIV/0!</v>
      </c>
      <c r="CC189" s="11"/>
      <c r="CD189" s="12" t="e">
        <f t="shared" si="1187"/>
        <v>#DIV/0!</v>
      </c>
      <c r="CE189" s="13"/>
      <c r="CF189" s="13"/>
      <c r="CG189" s="25"/>
      <c r="CH189" s="38"/>
      <c r="CI189" s="10"/>
      <c r="CJ189" s="11"/>
      <c r="CK189" s="69">
        <f t="shared" si="1223"/>
        <v>0</v>
      </c>
      <c r="CL189" s="69">
        <f t="shared" si="1223"/>
        <v>0</v>
      </c>
      <c r="CM189" s="11"/>
      <c r="CN189" s="12" t="e">
        <f t="shared" si="1188"/>
        <v>#DIV/0!</v>
      </c>
      <c r="CO189" s="11"/>
      <c r="CP189" s="12" t="e">
        <f t="shared" si="1189"/>
        <v>#DIV/0!</v>
      </c>
      <c r="CQ189" s="13"/>
      <c r="CR189" s="13"/>
      <c r="CS189" s="25"/>
      <c r="CT189" s="38"/>
      <c r="CU189" s="10"/>
      <c r="CV189" s="11"/>
      <c r="CW189" s="69">
        <f t="shared" si="1224"/>
        <v>0</v>
      </c>
      <c r="CX189" s="69">
        <f t="shared" si="1224"/>
        <v>0</v>
      </c>
      <c r="CY189" s="11"/>
      <c r="CZ189" s="12" t="e">
        <f t="shared" si="1190"/>
        <v>#DIV/0!</v>
      </c>
      <c r="DA189" s="11"/>
      <c r="DB189" s="12" t="e">
        <f t="shared" si="1191"/>
        <v>#DIV/0!</v>
      </c>
      <c r="DC189" s="13"/>
      <c r="DD189" s="13"/>
      <c r="DE189" s="25"/>
      <c r="DF189" s="38"/>
      <c r="DG189" s="10"/>
      <c r="DH189" s="11"/>
      <c r="DI189" s="69">
        <f t="shared" si="1225"/>
        <v>0</v>
      </c>
      <c r="DJ189" s="69">
        <f t="shared" si="1225"/>
        <v>0</v>
      </c>
      <c r="DK189" s="11"/>
      <c r="DL189" s="12" t="e">
        <f t="shared" si="1192"/>
        <v>#DIV/0!</v>
      </c>
      <c r="DM189" s="11"/>
      <c r="DN189" s="12" t="e">
        <f t="shared" si="1193"/>
        <v>#DIV/0!</v>
      </c>
      <c r="DO189" s="13"/>
      <c r="DP189" s="13"/>
      <c r="DQ189" s="25"/>
      <c r="DR189" s="38"/>
      <c r="DS189" s="10"/>
      <c r="DT189" s="11"/>
      <c r="DU189" s="69">
        <f t="shared" si="1226"/>
        <v>0</v>
      </c>
      <c r="DV189" s="69">
        <f t="shared" si="1226"/>
        <v>0</v>
      </c>
      <c r="DW189" s="11"/>
      <c r="DX189" s="12" t="e">
        <f t="shared" si="1194"/>
        <v>#DIV/0!</v>
      </c>
      <c r="DY189" s="11"/>
      <c r="DZ189" s="12" t="e">
        <f t="shared" si="1195"/>
        <v>#DIV/0!</v>
      </c>
      <c r="EA189" s="13"/>
      <c r="EB189" s="13"/>
      <c r="EC189" s="25"/>
      <c r="ED189" s="38"/>
      <c r="EE189" s="10"/>
      <c r="EF189" s="11"/>
      <c r="EG189" s="69">
        <f t="shared" si="1227"/>
        <v>0</v>
      </c>
      <c r="EH189" s="69">
        <f t="shared" si="1227"/>
        <v>0</v>
      </c>
      <c r="EI189" s="11"/>
      <c r="EJ189" s="12" t="e">
        <f t="shared" si="1196"/>
        <v>#DIV/0!</v>
      </c>
      <c r="EK189" s="11"/>
      <c r="EL189" s="12" t="e">
        <f t="shared" si="1197"/>
        <v>#DIV/0!</v>
      </c>
      <c r="EM189" s="13"/>
      <c r="EN189" s="13"/>
      <c r="EO189" s="25"/>
      <c r="EP189" s="38"/>
      <c r="EQ189" s="10"/>
      <c r="ER189" s="11"/>
      <c r="ES189" s="69">
        <f t="shared" si="1228"/>
        <v>0</v>
      </c>
      <c r="ET189" s="69">
        <f t="shared" si="1228"/>
        <v>0</v>
      </c>
      <c r="EU189" s="11"/>
      <c r="EV189" s="12" t="e">
        <f t="shared" si="1198"/>
        <v>#DIV/0!</v>
      </c>
      <c r="EW189" s="11"/>
      <c r="EX189" s="12" t="e">
        <f t="shared" si="1199"/>
        <v>#DIV/0!</v>
      </c>
      <c r="EY189" s="13"/>
      <c r="EZ189" s="13"/>
      <c r="FA189" s="25"/>
      <c r="FB189" s="38"/>
      <c r="FC189" s="10"/>
      <c r="FD189" s="11"/>
      <c r="FE189" s="69">
        <f t="shared" si="1229"/>
        <v>0</v>
      </c>
      <c r="FF189" s="69">
        <f t="shared" si="1229"/>
        <v>0</v>
      </c>
      <c r="FG189" s="11"/>
      <c r="FH189" s="12" t="e">
        <f t="shared" si="1200"/>
        <v>#DIV/0!</v>
      </c>
      <c r="FI189" s="11"/>
      <c r="FJ189" s="12" t="e">
        <f t="shared" si="1201"/>
        <v>#DIV/0!</v>
      </c>
      <c r="FK189" s="13"/>
      <c r="FL189" s="13"/>
      <c r="FM189" s="25"/>
      <c r="FN189" s="38"/>
      <c r="FO189" s="10"/>
      <c r="FP189" s="11"/>
      <c r="FQ189" s="69">
        <f t="shared" si="1230"/>
        <v>0</v>
      </c>
      <c r="FR189" s="69">
        <f t="shared" si="1230"/>
        <v>0</v>
      </c>
      <c r="FS189" s="11"/>
      <c r="FT189" s="12" t="e">
        <f t="shared" si="1202"/>
        <v>#DIV/0!</v>
      </c>
      <c r="FU189" s="11"/>
      <c r="FV189" s="12" t="e">
        <f t="shared" si="1203"/>
        <v>#DIV/0!</v>
      </c>
      <c r="FW189" s="13"/>
      <c r="FX189" s="13"/>
      <c r="FY189" s="25"/>
      <c r="FZ189" s="38"/>
      <c r="GA189" s="10"/>
      <c r="GB189" s="11"/>
      <c r="GC189" s="69">
        <f t="shared" si="1231"/>
        <v>0</v>
      </c>
      <c r="GD189" s="69">
        <f t="shared" si="1231"/>
        <v>0</v>
      </c>
      <c r="GE189" s="11"/>
      <c r="GF189" s="12" t="e">
        <f t="shared" si="1204"/>
        <v>#DIV/0!</v>
      </c>
      <c r="GG189" s="11"/>
      <c r="GH189" s="12" t="e">
        <f t="shared" si="1205"/>
        <v>#DIV/0!</v>
      </c>
      <c r="GI189" s="13"/>
      <c r="GJ189" s="13"/>
      <c r="GK189" s="25"/>
      <c r="GL189" s="38"/>
      <c r="GM189" s="10"/>
      <c r="GN189" s="11"/>
      <c r="GO189" s="69">
        <f t="shared" si="1232"/>
        <v>0</v>
      </c>
      <c r="GP189" s="69">
        <f t="shared" si="1232"/>
        <v>0</v>
      </c>
      <c r="GQ189" s="11"/>
      <c r="GR189" s="12" t="e">
        <f t="shared" si="1206"/>
        <v>#DIV/0!</v>
      </c>
      <c r="GS189" s="11"/>
      <c r="GT189" s="12" t="e">
        <f t="shared" si="1207"/>
        <v>#DIV/0!</v>
      </c>
      <c r="GU189" s="13"/>
      <c r="GV189" s="13"/>
      <c r="GW189" s="25"/>
      <c r="GX189" s="38"/>
      <c r="GY189" s="10"/>
      <c r="GZ189" s="11"/>
      <c r="HA189" s="69">
        <f t="shared" si="1233"/>
        <v>0</v>
      </c>
      <c r="HB189" s="69">
        <f t="shared" si="1233"/>
        <v>0</v>
      </c>
      <c r="HC189" s="11"/>
      <c r="HD189" s="12" t="e">
        <f t="shared" si="1208"/>
        <v>#DIV/0!</v>
      </c>
      <c r="HE189" s="11"/>
      <c r="HF189" s="12" t="e">
        <f t="shared" si="1209"/>
        <v>#DIV/0!</v>
      </c>
      <c r="HG189" s="13"/>
      <c r="HH189" s="13"/>
      <c r="HI189" s="25"/>
      <c r="HJ189" s="38"/>
      <c r="HK189" s="10">
        <f t="shared" si="1210"/>
        <v>5</v>
      </c>
      <c r="HL189" s="11">
        <f t="shared" si="1210"/>
        <v>0</v>
      </c>
      <c r="HM189" s="11">
        <f t="shared" si="1210"/>
        <v>3472</v>
      </c>
      <c r="HN189" s="11">
        <f t="shared" si="1210"/>
        <v>294</v>
      </c>
      <c r="HO189" s="11">
        <f t="shared" si="1211"/>
        <v>1396</v>
      </c>
      <c r="HP189" s="95">
        <f t="shared" si="1212"/>
        <v>0.40207373271889402</v>
      </c>
      <c r="HQ189" s="15">
        <f t="shared" si="1213"/>
        <v>103</v>
      </c>
      <c r="HR189" s="12">
        <f t="shared" si="1234"/>
        <v>7.3782234957020063E-2</v>
      </c>
      <c r="HS189" s="16">
        <v>69.3</v>
      </c>
      <c r="HT189" s="17">
        <v>1241</v>
      </c>
      <c r="HU189" s="16">
        <f t="shared" si="1214"/>
        <v>88.896848137535827</v>
      </c>
      <c r="HV189" s="23"/>
      <c r="HW189" s="22">
        <v>4560</v>
      </c>
    </row>
    <row r="190" spans="1:231" ht="18.75" x14ac:dyDescent="0.25">
      <c r="A190" s="374"/>
      <c r="B190" s="41">
        <f t="shared" si="1235"/>
        <v>45086</v>
      </c>
      <c r="C190" s="10"/>
      <c r="D190" s="11"/>
      <c r="E190" s="69">
        <f t="shared" si="1215"/>
        <v>614</v>
      </c>
      <c r="F190" s="69">
        <f t="shared" si="1215"/>
        <v>51</v>
      </c>
      <c r="G190" s="11">
        <v>236</v>
      </c>
      <c r="H190" s="12">
        <f t="shared" si="1175"/>
        <v>0.42182410423452771</v>
      </c>
      <c r="I190" s="11">
        <v>23</v>
      </c>
      <c r="J190" s="12">
        <f t="shared" si="1216"/>
        <v>8.8803088803088806E-2</v>
      </c>
      <c r="K190" s="13"/>
      <c r="L190" s="11"/>
      <c r="M190" s="25"/>
      <c r="N190" s="38">
        <v>4570</v>
      </c>
      <c r="O190" s="10"/>
      <c r="P190" s="11"/>
      <c r="Q190" s="69">
        <f t="shared" si="1217"/>
        <v>622</v>
      </c>
      <c r="R190" s="69">
        <f t="shared" si="1217"/>
        <v>53</v>
      </c>
      <c r="S190" s="11">
        <v>234</v>
      </c>
      <c r="T190" s="12">
        <f t="shared" si="1176"/>
        <v>0.41961414790996787</v>
      </c>
      <c r="U190" s="11">
        <v>27</v>
      </c>
      <c r="V190" s="12">
        <f t="shared" si="1177"/>
        <v>0.10344827586206896</v>
      </c>
      <c r="W190" s="13"/>
      <c r="X190" s="11"/>
      <c r="Y190" s="25"/>
      <c r="Z190" s="38">
        <v>4758.333333333333</v>
      </c>
      <c r="AA190" s="10"/>
      <c r="AB190" s="11"/>
      <c r="AC190" s="69">
        <f t="shared" si="1218"/>
        <v>165</v>
      </c>
      <c r="AD190" s="69">
        <f t="shared" si="1218"/>
        <v>12</v>
      </c>
      <c r="AE190" s="11">
        <v>42</v>
      </c>
      <c r="AF190" s="12">
        <f t="shared" si="1178"/>
        <v>0.27272727272727271</v>
      </c>
      <c r="AG190" s="11">
        <v>3</v>
      </c>
      <c r="AH190" s="12">
        <f t="shared" si="1179"/>
        <v>6.6666666666666666E-2</v>
      </c>
      <c r="AI190" s="13"/>
      <c r="AJ190" s="11"/>
      <c r="AK190" s="25"/>
      <c r="AL190" s="38">
        <v>4343.333333333333</v>
      </c>
      <c r="AM190" s="10"/>
      <c r="AN190" s="11"/>
      <c r="AO190" s="69">
        <f t="shared" si="1219"/>
        <v>690</v>
      </c>
      <c r="AP190" s="69">
        <f t="shared" si="1219"/>
        <v>60</v>
      </c>
      <c r="AQ190" s="11">
        <v>256</v>
      </c>
      <c r="AR190" s="12">
        <f t="shared" si="1180"/>
        <v>0.40434782608695652</v>
      </c>
      <c r="AS190" s="11">
        <v>23</v>
      </c>
      <c r="AT190" s="12">
        <f t="shared" si="1181"/>
        <v>8.2437275985663083E-2</v>
      </c>
      <c r="AU190" s="13"/>
      <c r="AV190" s="11"/>
      <c r="AW190" s="25"/>
      <c r="AX190" s="38">
        <v>4675</v>
      </c>
      <c r="AY190" s="10"/>
      <c r="AZ190" s="11"/>
      <c r="BA190" s="69">
        <f t="shared" si="1220"/>
        <v>690</v>
      </c>
      <c r="BB190" s="69">
        <f t="shared" si="1220"/>
        <v>60</v>
      </c>
      <c r="BC190" s="11">
        <v>254</v>
      </c>
      <c r="BD190" s="12">
        <f t="shared" si="1182"/>
        <v>0.40144927536231884</v>
      </c>
      <c r="BE190" s="11">
        <v>23</v>
      </c>
      <c r="BF190" s="12">
        <f t="shared" si="1183"/>
        <v>8.3032490974729242E-2</v>
      </c>
      <c r="BG190" s="13"/>
      <c r="BH190" s="11"/>
      <c r="BI190" s="25"/>
      <c r="BJ190" s="38">
        <v>4740</v>
      </c>
      <c r="BK190" s="10"/>
      <c r="BL190" s="11"/>
      <c r="BM190" s="69">
        <f t="shared" si="1221"/>
        <v>691</v>
      </c>
      <c r="BN190" s="69">
        <f t="shared" si="1221"/>
        <v>58</v>
      </c>
      <c r="BO190" s="11">
        <v>274</v>
      </c>
      <c r="BP190" s="12">
        <f t="shared" si="1184"/>
        <v>0.42547033285094066</v>
      </c>
      <c r="BQ190" s="11">
        <v>20</v>
      </c>
      <c r="BR190" s="12">
        <f t="shared" si="1185"/>
        <v>6.8027210884353748E-2</v>
      </c>
      <c r="BS190" s="13"/>
      <c r="BT190" s="11"/>
      <c r="BU190" s="25"/>
      <c r="BV190" s="38">
        <v>5026.25</v>
      </c>
      <c r="BW190" s="10"/>
      <c r="BX190" s="11"/>
      <c r="BY190" s="69">
        <f t="shared" si="1222"/>
        <v>0</v>
      </c>
      <c r="BZ190" s="69">
        <f t="shared" si="1222"/>
        <v>0</v>
      </c>
      <c r="CA190" s="11"/>
      <c r="CB190" s="12" t="e">
        <f t="shared" si="1186"/>
        <v>#DIV/0!</v>
      </c>
      <c r="CC190" s="11"/>
      <c r="CD190" s="12" t="e">
        <f t="shared" si="1187"/>
        <v>#DIV/0!</v>
      </c>
      <c r="CE190" s="13"/>
      <c r="CF190" s="11"/>
      <c r="CG190" s="25"/>
      <c r="CH190" s="38"/>
      <c r="CI190" s="10"/>
      <c r="CJ190" s="11"/>
      <c r="CK190" s="69">
        <f t="shared" si="1223"/>
        <v>0</v>
      </c>
      <c r="CL190" s="69">
        <f t="shared" si="1223"/>
        <v>0</v>
      </c>
      <c r="CM190" s="11"/>
      <c r="CN190" s="12" t="e">
        <f t="shared" si="1188"/>
        <v>#DIV/0!</v>
      </c>
      <c r="CO190" s="11"/>
      <c r="CP190" s="12" t="e">
        <f t="shared" si="1189"/>
        <v>#DIV/0!</v>
      </c>
      <c r="CQ190" s="13"/>
      <c r="CR190" s="11"/>
      <c r="CS190" s="25"/>
      <c r="CT190" s="38"/>
      <c r="CU190" s="10"/>
      <c r="CV190" s="11"/>
      <c r="CW190" s="69">
        <f t="shared" si="1224"/>
        <v>0</v>
      </c>
      <c r="CX190" s="69">
        <f t="shared" si="1224"/>
        <v>0</v>
      </c>
      <c r="CY190" s="11"/>
      <c r="CZ190" s="12" t="e">
        <f t="shared" si="1190"/>
        <v>#DIV/0!</v>
      </c>
      <c r="DA190" s="11"/>
      <c r="DB190" s="12" t="e">
        <f t="shared" si="1191"/>
        <v>#DIV/0!</v>
      </c>
      <c r="DC190" s="13"/>
      <c r="DD190" s="11"/>
      <c r="DE190" s="25"/>
      <c r="DF190" s="38"/>
      <c r="DG190" s="10"/>
      <c r="DH190" s="11"/>
      <c r="DI190" s="69">
        <f t="shared" si="1225"/>
        <v>0</v>
      </c>
      <c r="DJ190" s="69">
        <f t="shared" si="1225"/>
        <v>0</v>
      </c>
      <c r="DK190" s="11"/>
      <c r="DL190" s="12" t="e">
        <f t="shared" si="1192"/>
        <v>#DIV/0!</v>
      </c>
      <c r="DM190" s="11"/>
      <c r="DN190" s="12" t="e">
        <f t="shared" si="1193"/>
        <v>#DIV/0!</v>
      </c>
      <c r="DO190" s="13"/>
      <c r="DP190" s="11"/>
      <c r="DQ190" s="25"/>
      <c r="DR190" s="38"/>
      <c r="DS190" s="10"/>
      <c r="DT190" s="11"/>
      <c r="DU190" s="69">
        <f t="shared" si="1226"/>
        <v>0</v>
      </c>
      <c r="DV190" s="69">
        <f t="shared" si="1226"/>
        <v>0</v>
      </c>
      <c r="DW190" s="11"/>
      <c r="DX190" s="12" t="e">
        <f t="shared" si="1194"/>
        <v>#DIV/0!</v>
      </c>
      <c r="DY190" s="11"/>
      <c r="DZ190" s="12" t="e">
        <f t="shared" si="1195"/>
        <v>#DIV/0!</v>
      </c>
      <c r="EA190" s="13"/>
      <c r="EB190" s="11"/>
      <c r="EC190" s="25"/>
      <c r="ED190" s="38"/>
      <c r="EE190" s="10"/>
      <c r="EF190" s="11"/>
      <c r="EG190" s="69">
        <f t="shared" si="1227"/>
        <v>0</v>
      </c>
      <c r="EH190" s="69">
        <f t="shared" si="1227"/>
        <v>0</v>
      </c>
      <c r="EI190" s="11"/>
      <c r="EJ190" s="12" t="e">
        <f t="shared" si="1196"/>
        <v>#DIV/0!</v>
      </c>
      <c r="EK190" s="11"/>
      <c r="EL190" s="12" t="e">
        <f t="shared" si="1197"/>
        <v>#DIV/0!</v>
      </c>
      <c r="EM190" s="13"/>
      <c r="EN190" s="11"/>
      <c r="EO190" s="25"/>
      <c r="EP190" s="38"/>
      <c r="EQ190" s="10"/>
      <c r="ER190" s="11"/>
      <c r="ES190" s="69">
        <f t="shared" si="1228"/>
        <v>0</v>
      </c>
      <c r="ET190" s="69">
        <f t="shared" si="1228"/>
        <v>0</v>
      </c>
      <c r="EU190" s="11"/>
      <c r="EV190" s="12" t="e">
        <f t="shared" si="1198"/>
        <v>#DIV/0!</v>
      </c>
      <c r="EW190" s="11"/>
      <c r="EX190" s="12" t="e">
        <f t="shared" si="1199"/>
        <v>#DIV/0!</v>
      </c>
      <c r="EY190" s="13"/>
      <c r="EZ190" s="11"/>
      <c r="FA190" s="25"/>
      <c r="FB190" s="38"/>
      <c r="FC190" s="10"/>
      <c r="FD190" s="11"/>
      <c r="FE190" s="69">
        <f t="shared" si="1229"/>
        <v>0</v>
      </c>
      <c r="FF190" s="69">
        <f t="shared" si="1229"/>
        <v>0</v>
      </c>
      <c r="FG190" s="11"/>
      <c r="FH190" s="12" t="e">
        <f t="shared" si="1200"/>
        <v>#DIV/0!</v>
      </c>
      <c r="FI190" s="11"/>
      <c r="FJ190" s="12" t="e">
        <f t="shared" si="1201"/>
        <v>#DIV/0!</v>
      </c>
      <c r="FK190" s="13"/>
      <c r="FL190" s="11"/>
      <c r="FM190" s="25"/>
      <c r="FN190" s="38"/>
      <c r="FO190" s="10"/>
      <c r="FP190" s="11"/>
      <c r="FQ190" s="69">
        <f t="shared" si="1230"/>
        <v>0</v>
      </c>
      <c r="FR190" s="69">
        <f t="shared" si="1230"/>
        <v>0</v>
      </c>
      <c r="FS190" s="11"/>
      <c r="FT190" s="12" t="e">
        <f t="shared" si="1202"/>
        <v>#DIV/0!</v>
      </c>
      <c r="FU190" s="11"/>
      <c r="FV190" s="12" t="e">
        <f t="shared" si="1203"/>
        <v>#DIV/0!</v>
      </c>
      <c r="FW190" s="13"/>
      <c r="FX190" s="11"/>
      <c r="FY190" s="25"/>
      <c r="FZ190" s="38"/>
      <c r="GA190" s="10"/>
      <c r="GB190" s="11"/>
      <c r="GC190" s="69">
        <f t="shared" si="1231"/>
        <v>0</v>
      </c>
      <c r="GD190" s="69">
        <f t="shared" si="1231"/>
        <v>0</v>
      </c>
      <c r="GE190" s="11"/>
      <c r="GF190" s="12" t="e">
        <f t="shared" si="1204"/>
        <v>#DIV/0!</v>
      </c>
      <c r="GG190" s="11"/>
      <c r="GH190" s="12" t="e">
        <f t="shared" si="1205"/>
        <v>#DIV/0!</v>
      </c>
      <c r="GI190" s="13"/>
      <c r="GJ190" s="11"/>
      <c r="GK190" s="25"/>
      <c r="GL190" s="38"/>
      <c r="GM190" s="10"/>
      <c r="GN190" s="11"/>
      <c r="GO190" s="69">
        <f t="shared" si="1232"/>
        <v>0</v>
      </c>
      <c r="GP190" s="69">
        <f t="shared" si="1232"/>
        <v>0</v>
      </c>
      <c r="GQ190" s="11"/>
      <c r="GR190" s="12" t="e">
        <f t="shared" si="1206"/>
        <v>#DIV/0!</v>
      </c>
      <c r="GS190" s="11"/>
      <c r="GT190" s="12" t="e">
        <f t="shared" si="1207"/>
        <v>#DIV/0!</v>
      </c>
      <c r="GU190" s="13"/>
      <c r="GV190" s="11"/>
      <c r="GW190" s="25"/>
      <c r="GX190" s="38"/>
      <c r="GY190" s="10"/>
      <c r="GZ190" s="11"/>
      <c r="HA190" s="69">
        <f t="shared" si="1233"/>
        <v>0</v>
      </c>
      <c r="HB190" s="69">
        <f t="shared" si="1233"/>
        <v>0</v>
      </c>
      <c r="HC190" s="11"/>
      <c r="HD190" s="12" t="e">
        <f t="shared" si="1208"/>
        <v>#DIV/0!</v>
      </c>
      <c r="HE190" s="11"/>
      <c r="HF190" s="12" t="e">
        <f t="shared" si="1209"/>
        <v>#DIV/0!</v>
      </c>
      <c r="HG190" s="13"/>
      <c r="HH190" s="11"/>
      <c r="HI190" s="25"/>
      <c r="HJ190" s="38"/>
      <c r="HK190" s="10">
        <f t="shared" si="1210"/>
        <v>0</v>
      </c>
      <c r="HL190" s="11">
        <f t="shared" si="1210"/>
        <v>0</v>
      </c>
      <c r="HM190" s="11">
        <f t="shared" si="1210"/>
        <v>3472</v>
      </c>
      <c r="HN190" s="11">
        <f t="shared" si="1210"/>
        <v>294</v>
      </c>
      <c r="HO190" s="11">
        <f t="shared" si="1211"/>
        <v>1415</v>
      </c>
      <c r="HP190" s="95">
        <f t="shared" si="1212"/>
        <v>0.40754608294930877</v>
      </c>
      <c r="HQ190" s="15">
        <f t="shared" si="1213"/>
        <v>119</v>
      </c>
      <c r="HR190" s="12">
        <f t="shared" si="1234"/>
        <v>8.4098939929328625E-2</v>
      </c>
      <c r="HS190" s="16">
        <v>69.400000000000006</v>
      </c>
      <c r="HT190" s="17">
        <v>1236</v>
      </c>
      <c r="HU190" s="16">
        <f t="shared" si="1214"/>
        <v>87.349823321554766</v>
      </c>
      <c r="HV190" s="23"/>
      <c r="HW190" s="22">
        <v>4721.3207547169814</v>
      </c>
    </row>
    <row r="191" spans="1:231" ht="18.75" x14ac:dyDescent="0.25">
      <c r="A191" s="374"/>
      <c r="B191" s="41">
        <f t="shared" si="1235"/>
        <v>45087</v>
      </c>
      <c r="C191" s="10"/>
      <c r="D191" s="11"/>
      <c r="E191" s="69">
        <f>E190-C191</f>
        <v>614</v>
      </c>
      <c r="F191" s="69">
        <f>F190-D191</f>
        <v>51</v>
      </c>
      <c r="G191" s="11">
        <v>232</v>
      </c>
      <c r="H191" s="12">
        <f t="shared" si="1175"/>
        <v>0.40716612377850164</v>
      </c>
      <c r="I191" s="11">
        <v>18</v>
      </c>
      <c r="J191" s="12">
        <f t="shared" si="1216"/>
        <v>7.1999999999999995E-2</v>
      </c>
      <c r="K191" s="13"/>
      <c r="L191" s="11"/>
      <c r="M191" s="39"/>
      <c r="N191" s="43">
        <v>100</v>
      </c>
      <c r="O191" s="10"/>
      <c r="P191" s="11"/>
      <c r="Q191" s="69">
        <f t="shared" si="1217"/>
        <v>622</v>
      </c>
      <c r="R191" s="69">
        <f t="shared" si="1217"/>
        <v>53</v>
      </c>
      <c r="S191" s="11">
        <v>246</v>
      </c>
      <c r="T191" s="12">
        <f t="shared" si="1176"/>
        <v>0.42604501607717044</v>
      </c>
      <c r="U191" s="11">
        <v>19</v>
      </c>
      <c r="V191" s="12">
        <f t="shared" si="1177"/>
        <v>7.1698113207547168E-2</v>
      </c>
      <c r="W191" s="13"/>
      <c r="X191" s="11"/>
      <c r="Y191" s="39"/>
      <c r="Z191" s="43">
        <v>41.666666666666664</v>
      </c>
      <c r="AA191" s="10"/>
      <c r="AB191" s="11"/>
      <c r="AC191" s="69">
        <f t="shared" si="1218"/>
        <v>165</v>
      </c>
      <c r="AD191" s="69">
        <f t="shared" si="1218"/>
        <v>12</v>
      </c>
      <c r="AE191" s="11">
        <v>54</v>
      </c>
      <c r="AF191" s="12">
        <f t="shared" si="1178"/>
        <v>0.33939393939393941</v>
      </c>
      <c r="AG191" s="11">
        <v>2</v>
      </c>
      <c r="AH191" s="12">
        <f t="shared" si="1179"/>
        <v>3.5714285714285712E-2</v>
      </c>
      <c r="AI191" s="13"/>
      <c r="AJ191" s="11"/>
      <c r="AK191" s="39"/>
      <c r="AL191" s="43">
        <v>33.333333333333336</v>
      </c>
      <c r="AM191" s="10"/>
      <c r="AN191" s="11"/>
      <c r="AO191" s="69">
        <f t="shared" si="1219"/>
        <v>690</v>
      </c>
      <c r="AP191" s="69">
        <f t="shared" si="1219"/>
        <v>60</v>
      </c>
      <c r="AQ191" s="11">
        <v>264</v>
      </c>
      <c r="AR191" s="12">
        <f t="shared" si="1180"/>
        <v>0.40144927536231884</v>
      </c>
      <c r="AS191" s="11">
        <v>13</v>
      </c>
      <c r="AT191" s="12">
        <f t="shared" si="1181"/>
        <v>4.6931407942238268E-2</v>
      </c>
      <c r="AU191" s="13"/>
      <c r="AV191" s="11"/>
      <c r="AW191" s="39"/>
      <c r="AX191" s="43">
        <v>83.333333333333329</v>
      </c>
      <c r="AY191" s="10"/>
      <c r="AZ191" s="11"/>
      <c r="BA191" s="69">
        <f t="shared" si="1220"/>
        <v>690</v>
      </c>
      <c r="BB191" s="69">
        <f t="shared" si="1220"/>
        <v>60</v>
      </c>
      <c r="BC191" s="11">
        <v>273</v>
      </c>
      <c r="BD191" s="12">
        <f t="shared" si="1182"/>
        <v>0.42028985507246375</v>
      </c>
      <c r="BE191" s="11">
        <v>17</v>
      </c>
      <c r="BF191" s="12">
        <f t="shared" si="1183"/>
        <v>5.8620689655172413E-2</v>
      </c>
      <c r="BG191" s="13"/>
      <c r="BH191" s="11"/>
      <c r="BI191" s="39"/>
      <c r="BJ191" s="43">
        <v>100</v>
      </c>
      <c r="BK191" s="10"/>
      <c r="BL191" s="11"/>
      <c r="BM191" s="69">
        <f t="shared" si="1221"/>
        <v>691</v>
      </c>
      <c r="BN191" s="69">
        <f t="shared" si="1221"/>
        <v>58</v>
      </c>
      <c r="BO191" s="11">
        <v>281</v>
      </c>
      <c r="BP191" s="12">
        <f t="shared" si="1184"/>
        <v>0.42547033285094066</v>
      </c>
      <c r="BQ191" s="11">
        <v>13</v>
      </c>
      <c r="BR191" s="12">
        <f t="shared" si="1185"/>
        <v>4.4217687074829932E-2</v>
      </c>
      <c r="BS191" s="13"/>
      <c r="BT191" s="11"/>
      <c r="BU191" s="39"/>
      <c r="BV191" s="43">
        <v>100</v>
      </c>
      <c r="BW191" s="10"/>
      <c r="BX191" s="11"/>
      <c r="BY191" s="69">
        <f t="shared" si="1222"/>
        <v>0</v>
      </c>
      <c r="BZ191" s="69">
        <f t="shared" si="1222"/>
        <v>0</v>
      </c>
      <c r="CA191" s="11"/>
      <c r="CB191" s="12" t="e">
        <f t="shared" si="1186"/>
        <v>#DIV/0!</v>
      </c>
      <c r="CC191" s="11"/>
      <c r="CD191" s="12" t="e">
        <f t="shared" si="1187"/>
        <v>#DIV/0!</v>
      </c>
      <c r="CE191" s="13"/>
      <c r="CF191" s="11"/>
      <c r="CG191" s="39"/>
      <c r="CH191" s="43"/>
      <c r="CI191" s="10"/>
      <c r="CJ191" s="11"/>
      <c r="CK191" s="69">
        <f t="shared" si="1223"/>
        <v>0</v>
      </c>
      <c r="CL191" s="69">
        <f t="shared" si="1223"/>
        <v>0</v>
      </c>
      <c r="CM191" s="11"/>
      <c r="CN191" s="12" t="e">
        <f t="shared" si="1188"/>
        <v>#DIV/0!</v>
      </c>
      <c r="CO191" s="11"/>
      <c r="CP191" s="12" t="e">
        <f t="shared" si="1189"/>
        <v>#DIV/0!</v>
      </c>
      <c r="CQ191" s="13"/>
      <c r="CR191" s="11"/>
      <c r="CS191" s="39"/>
      <c r="CT191" s="43"/>
      <c r="CU191" s="10"/>
      <c r="CV191" s="11"/>
      <c r="CW191" s="69">
        <f t="shared" si="1224"/>
        <v>0</v>
      </c>
      <c r="CX191" s="69">
        <f t="shared" si="1224"/>
        <v>0</v>
      </c>
      <c r="CY191" s="11"/>
      <c r="CZ191" s="12" t="e">
        <f t="shared" si="1190"/>
        <v>#DIV/0!</v>
      </c>
      <c r="DA191" s="11"/>
      <c r="DB191" s="12" t="e">
        <f t="shared" si="1191"/>
        <v>#DIV/0!</v>
      </c>
      <c r="DC191" s="13"/>
      <c r="DD191" s="11"/>
      <c r="DE191" s="39"/>
      <c r="DF191" s="43"/>
      <c r="DG191" s="10"/>
      <c r="DH191" s="11"/>
      <c r="DI191" s="69">
        <f t="shared" si="1225"/>
        <v>0</v>
      </c>
      <c r="DJ191" s="69">
        <f t="shared" si="1225"/>
        <v>0</v>
      </c>
      <c r="DK191" s="11"/>
      <c r="DL191" s="12" t="e">
        <f t="shared" si="1192"/>
        <v>#DIV/0!</v>
      </c>
      <c r="DM191" s="11"/>
      <c r="DN191" s="12" t="e">
        <f t="shared" si="1193"/>
        <v>#DIV/0!</v>
      </c>
      <c r="DO191" s="13"/>
      <c r="DP191" s="11"/>
      <c r="DQ191" s="39"/>
      <c r="DR191" s="43"/>
      <c r="DS191" s="10"/>
      <c r="DT191" s="11"/>
      <c r="DU191" s="69">
        <f t="shared" si="1226"/>
        <v>0</v>
      </c>
      <c r="DV191" s="69">
        <f t="shared" si="1226"/>
        <v>0</v>
      </c>
      <c r="DW191" s="11"/>
      <c r="DX191" s="12" t="e">
        <f t="shared" si="1194"/>
        <v>#DIV/0!</v>
      </c>
      <c r="DY191" s="11"/>
      <c r="DZ191" s="12" t="e">
        <f t="shared" si="1195"/>
        <v>#DIV/0!</v>
      </c>
      <c r="EA191" s="13"/>
      <c r="EB191" s="11"/>
      <c r="EC191" s="39"/>
      <c r="ED191" s="43"/>
      <c r="EE191" s="10"/>
      <c r="EF191" s="11"/>
      <c r="EG191" s="69">
        <f t="shared" si="1227"/>
        <v>0</v>
      </c>
      <c r="EH191" s="69">
        <f t="shared" si="1227"/>
        <v>0</v>
      </c>
      <c r="EI191" s="11"/>
      <c r="EJ191" s="12" t="e">
        <f t="shared" si="1196"/>
        <v>#DIV/0!</v>
      </c>
      <c r="EK191" s="11"/>
      <c r="EL191" s="12" t="e">
        <f t="shared" si="1197"/>
        <v>#DIV/0!</v>
      </c>
      <c r="EM191" s="13"/>
      <c r="EN191" s="11"/>
      <c r="EO191" s="39"/>
      <c r="EP191" s="43"/>
      <c r="EQ191" s="10"/>
      <c r="ER191" s="11"/>
      <c r="ES191" s="69">
        <f t="shared" si="1228"/>
        <v>0</v>
      </c>
      <c r="ET191" s="69">
        <f t="shared" si="1228"/>
        <v>0</v>
      </c>
      <c r="EU191" s="11"/>
      <c r="EV191" s="12" t="e">
        <f t="shared" si="1198"/>
        <v>#DIV/0!</v>
      </c>
      <c r="EW191" s="11"/>
      <c r="EX191" s="12" t="e">
        <f t="shared" si="1199"/>
        <v>#DIV/0!</v>
      </c>
      <c r="EY191" s="13"/>
      <c r="EZ191" s="11"/>
      <c r="FA191" s="39"/>
      <c r="FB191" s="43"/>
      <c r="FC191" s="10"/>
      <c r="FD191" s="11"/>
      <c r="FE191" s="69">
        <f t="shared" si="1229"/>
        <v>0</v>
      </c>
      <c r="FF191" s="69">
        <f t="shared" si="1229"/>
        <v>0</v>
      </c>
      <c r="FG191" s="11"/>
      <c r="FH191" s="12" t="e">
        <f t="shared" si="1200"/>
        <v>#DIV/0!</v>
      </c>
      <c r="FI191" s="11"/>
      <c r="FJ191" s="12" t="e">
        <f t="shared" si="1201"/>
        <v>#DIV/0!</v>
      </c>
      <c r="FK191" s="13"/>
      <c r="FL191" s="11"/>
      <c r="FM191" s="39"/>
      <c r="FN191" s="43"/>
      <c r="FO191" s="10"/>
      <c r="FP191" s="11"/>
      <c r="FQ191" s="69">
        <f t="shared" si="1230"/>
        <v>0</v>
      </c>
      <c r="FR191" s="69">
        <f t="shared" si="1230"/>
        <v>0</v>
      </c>
      <c r="FS191" s="11"/>
      <c r="FT191" s="12" t="e">
        <f t="shared" si="1202"/>
        <v>#DIV/0!</v>
      </c>
      <c r="FU191" s="11"/>
      <c r="FV191" s="12" t="e">
        <f t="shared" si="1203"/>
        <v>#DIV/0!</v>
      </c>
      <c r="FW191" s="13"/>
      <c r="FX191" s="11"/>
      <c r="FY191" s="39"/>
      <c r="FZ191" s="43"/>
      <c r="GA191" s="10"/>
      <c r="GB191" s="11"/>
      <c r="GC191" s="69">
        <f t="shared" si="1231"/>
        <v>0</v>
      </c>
      <c r="GD191" s="69">
        <f t="shared" si="1231"/>
        <v>0</v>
      </c>
      <c r="GE191" s="11"/>
      <c r="GF191" s="12" t="e">
        <f t="shared" si="1204"/>
        <v>#DIV/0!</v>
      </c>
      <c r="GG191" s="11"/>
      <c r="GH191" s="12" t="e">
        <f t="shared" si="1205"/>
        <v>#DIV/0!</v>
      </c>
      <c r="GI191" s="13"/>
      <c r="GJ191" s="11"/>
      <c r="GK191" s="39"/>
      <c r="GL191" s="43"/>
      <c r="GM191" s="10"/>
      <c r="GN191" s="11"/>
      <c r="GO191" s="69">
        <f t="shared" si="1232"/>
        <v>0</v>
      </c>
      <c r="GP191" s="69">
        <f t="shared" si="1232"/>
        <v>0</v>
      </c>
      <c r="GQ191" s="11"/>
      <c r="GR191" s="12" t="e">
        <f t="shared" si="1206"/>
        <v>#DIV/0!</v>
      </c>
      <c r="GS191" s="11"/>
      <c r="GT191" s="12" t="e">
        <f t="shared" si="1207"/>
        <v>#DIV/0!</v>
      </c>
      <c r="GU191" s="13"/>
      <c r="GV191" s="11"/>
      <c r="GW191" s="39"/>
      <c r="GX191" s="43"/>
      <c r="GY191" s="10"/>
      <c r="GZ191" s="11"/>
      <c r="HA191" s="69">
        <f t="shared" si="1233"/>
        <v>0</v>
      </c>
      <c r="HB191" s="69">
        <f t="shared" si="1233"/>
        <v>0</v>
      </c>
      <c r="HC191" s="11"/>
      <c r="HD191" s="12" t="e">
        <f t="shared" si="1208"/>
        <v>#DIV/0!</v>
      </c>
      <c r="HE191" s="11"/>
      <c r="HF191" s="12" t="e">
        <f t="shared" si="1209"/>
        <v>#DIV/0!</v>
      </c>
      <c r="HG191" s="13"/>
      <c r="HH191" s="11"/>
      <c r="HI191" s="39"/>
      <c r="HJ191" s="43"/>
      <c r="HK191" s="10">
        <f t="shared" si="1210"/>
        <v>0</v>
      </c>
      <c r="HL191" s="11">
        <f t="shared" si="1210"/>
        <v>0</v>
      </c>
      <c r="HM191" s="11">
        <f t="shared" si="1210"/>
        <v>3472</v>
      </c>
      <c r="HN191" s="11">
        <f t="shared" si="1210"/>
        <v>294</v>
      </c>
      <c r="HO191" s="11">
        <f t="shared" si="1211"/>
        <v>1432</v>
      </c>
      <c r="HP191" s="95">
        <f t="shared" si="1212"/>
        <v>0.41244239631336405</v>
      </c>
      <c r="HQ191" s="15">
        <f t="shared" si="1213"/>
        <v>82</v>
      </c>
      <c r="HR191" s="12">
        <f t="shared" si="1234"/>
        <v>5.7262569832402237E-2</v>
      </c>
      <c r="HS191" s="16">
        <v>69.400000000000006</v>
      </c>
      <c r="HT191" s="17">
        <v>1283</v>
      </c>
      <c r="HU191" s="16">
        <f t="shared" si="1214"/>
        <v>89.594972067039109</v>
      </c>
      <c r="HV191" s="23"/>
      <c r="HW191" s="22">
        <v>79.245283018867923</v>
      </c>
    </row>
    <row r="192" spans="1:231" ht="19.5" thickBot="1" x14ac:dyDescent="0.3">
      <c r="A192" s="374"/>
      <c r="B192" s="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1498</v>
      </c>
      <c r="H192" s="28">
        <f>((G192+I192)/7)/E191</f>
        <v>0.38436482084690554</v>
      </c>
      <c r="I192" s="27">
        <f>SUM(I185:I191)</f>
        <v>154</v>
      </c>
      <c r="J192" s="28">
        <f>(I192/(I192+G192))</f>
        <v>9.3220338983050849E-2</v>
      </c>
      <c r="K192" s="27"/>
      <c r="L192" s="27"/>
      <c r="M192" s="29" t="e">
        <f>M190/M189*100-100</f>
        <v>#DIV/0!</v>
      </c>
      <c r="N192" s="67">
        <f>N190/N189*100-100</f>
        <v>0.21929824561404132</v>
      </c>
      <c r="O192" s="26">
        <f>SUM(O185:O191)</f>
        <v>1</v>
      </c>
      <c r="P192" s="27">
        <f>SUM(P185:P191)</f>
        <v>0</v>
      </c>
      <c r="Q192" s="27"/>
      <c r="R192" s="27"/>
      <c r="S192" s="27">
        <f>SUM(S185:S191)</f>
        <v>1536</v>
      </c>
      <c r="T192" s="28">
        <f>((S192+U192)/7)/Q191</f>
        <v>0.38332567753789615</v>
      </c>
      <c r="U192" s="27">
        <f>SUM(U185:U191)</f>
        <v>133</v>
      </c>
      <c r="V192" s="28">
        <f>(U192/(U192+S192))</f>
        <v>7.9688436189334938E-2</v>
      </c>
      <c r="W192" s="27"/>
      <c r="X192" s="27"/>
      <c r="Y192" s="29" t="e">
        <f>Y190/Y189*100-100</f>
        <v>#DIV/0!</v>
      </c>
      <c r="Z192" s="67">
        <f>Z190/Z189*100-100</f>
        <v>4.3494152046783512</v>
      </c>
      <c r="AA192" s="26">
        <f>SUM(AA185:AA191)</f>
        <v>6</v>
      </c>
      <c r="AB192" s="27">
        <f>SUM(AB185:AB191)</f>
        <v>1</v>
      </c>
      <c r="AC192" s="27"/>
      <c r="AD192" s="27"/>
      <c r="AE192" s="27">
        <f>SUM(AE185:AE191)</f>
        <v>305</v>
      </c>
      <c r="AF192" s="28">
        <f>((AE192+AG192)/7)/AC191</f>
        <v>0.2813852813852814</v>
      </c>
      <c r="AG192" s="27">
        <f>SUM(AG185:AG191)</f>
        <v>20</v>
      </c>
      <c r="AH192" s="28">
        <f>(AG192/(AG192+AE192))</f>
        <v>6.1538461538461542E-2</v>
      </c>
      <c r="AI192" s="27"/>
      <c r="AJ192" s="27"/>
      <c r="AK192" s="29" t="e">
        <f>AK190/AK189*100-100</f>
        <v>#DIV/0!</v>
      </c>
      <c r="AL192" s="67">
        <f>AL190/AL189*100-100</f>
        <v>-4.7514619883041007</v>
      </c>
      <c r="AM192" s="26">
        <f>SUM(AM185:AM191)</f>
        <v>2</v>
      </c>
      <c r="AN192" s="27">
        <f>SUM(AN185:AN191)</f>
        <v>0</v>
      </c>
      <c r="AO192" s="27"/>
      <c r="AP192" s="27"/>
      <c r="AQ192" s="27">
        <f>SUM(AQ185:AQ191)</f>
        <v>1542</v>
      </c>
      <c r="AR192" s="28">
        <f>((AQ192+AS192)/7)/AO191</f>
        <v>0.35031055900621122</v>
      </c>
      <c r="AS192" s="27">
        <f>SUM(AS185:AS191)</f>
        <v>150</v>
      </c>
      <c r="AT192" s="28">
        <f>(AS192/(AS192+AQ192))</f>
        <v>8.8652482269503549E-2</v>
      </c>
      <c r="AU192" s="27"/>
      <c r="AV192" s="27"/>
      <c r="AW192" s="29" t="e">
        <f>AW190/AW189*100-100</f>
        <v>#DIV/0!</v>
      </c>
      <c r="AX192" s="67">
        <f>AX190/AX189*100-100</f>
        <v>2.5219298245614112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1741</v>
      </c>
      <c r="BD192" s="28">
        <f>((BC192+BE192)/7)/BA191</f>
        <v>0.39068322981366455</v>
      </c>
      <c r="BE192" s="27">
        <f>SUM(BE185:BE191)</f>
        <v>146</v>
      </c>
      <c r="BF192" s="28">
        <f>(BE192/(BE192+BC192))</f>
        <v>7.7371489136195015E-2</v>
      </c>
      <c r="BG192" s="27"/>
      <c r="BH192" s="27"/>
      <c r="BI192" s="29" t="e">
        <f>BI190/BI189*100-100</f>
        <v>#DIV/0!</v>
      </c>
      <c r="BJ192" s="67">
        <f>BJ190/BJ189*100-100</f>
        <v>3.9473684210526301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1844</v>
      </c>
      <c r="BP192" s="28">
        <f>((BO192+BQ192)/7)/BM191</f>
        <v>0.40769071738681001</v>
      </c>
      <c r="BQ192" s="27">
        <f>SUM(BQ185:BQ191)</f>
        <v>128</v>
      </c>
      <c r="BR192" s="28">
        <f>(BQ192/(BQ192+BO192))</f>
        <v>6.4908722109533468E-2</v>
      </c>
      <c r="BS192" s="27"/>
      <c r="BT192" s="27"/>
      <c r="BU192" s="29" t="e">
        <f>BU190/BU189*100-100</f>
        <v>#DIV/0!</v>
      </c>
      <c r="BV192" s="67">
        <f>BV190/BV189*100-100</f>
        <v>10.224780701754383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7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7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7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7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7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7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7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7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7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7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7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7" t="e">
        <f>HJ190/HJ189*100-100</f>
        <v>#DIV/0!</v>
      </c>
      <c r="HK192" s="26">
        <f t="shared" si="1210"/>
        <v>12</v>
      </c>
      <c r="HL192" s="27">
        <f t="shared" si="1210"/>
        <v>2</v>
      </c>
      <c r="HM192" s="27">
        <f t="shared" si="1210"/>
        <v>0</v>
      </c>
      <c r="HN192" s="27">
        <f t="shared" si="1210"/>
        <v>0</v>
      </c>
      <c r="HO192" s="27">
        <f t="shared" si="1211"/>
        <v>9197</v>
      </c>
      <c r="HP192" s="96">
        <f>+((HO192)/HM191)/7</f>
        <v>0.37841507570770244</v>
      </c>
      <c r="HQ192" s="62">
        <f t="shared" si="1213"/>
        <v>731</v>
      </c>
      <c r="HR192" s="52">
        <f t="shared" si="1234"/>
        <v>7.9482439926062853E-2</v>
      </c>
      <c r="HS192" s="53">
        <f>SUM(HS185:HS191)/7</f>
        <v>69.399999999999991</v>
      </c>
      <c r="HT192" s="54">
        <f>SUM(HT185:HT191)</f>
        <v>8156</v>
      </c>
      <c r="HU192" s="53">
        <f>AVERAGE(HU185:HU191)</f>
        <v>88.759177624960444</v>
      </c>
      <c r="HV192" s="63" t="e">
        <f>HV190/HV189*100-100</f>
        <v>#DIV/0!</v>
      </c>
      <c r="HW192" s="67">
        <f>HW190/HW189*100-100</f>
        <v>3.5377358490566166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3.4443168771526979E-3</v>
      </c>
      <c r="HL193" s="66">
        <f>HL192/HN182</f>
        <v>6.7567567567567571E-3</v>
      </c>
      <c r="HM193" s="45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373">
        <v>46</v>
      </c>
      <c r="B194" s="68">
        <f>B191+1</f>
        <v>45088</v>
      </c>
      <c r="C194" s="33"/>
      <c r="D194" s="34">
        <v>1</v>
      </c>
      <c r="E194" s="34">
        <f>E191-C194</f>
        <v>614</v>
      </c>
      <c r="F194" s="34">
        <f>F191-D194</f>
        <v>50</v>
      </c>
      <c r="G194" s="34">
        <v>232</v>
      </c>
      <c r="H194" s="35">
        <f t="shared" ref="H194:H200" si="1236">((G194+I194)/E194)</f>
        <v>0.41205211726384366</v>
      </c>
      <c r="I194" s="34">
        <v>21</v>
      </c>
      <c r="J194" s="35">
        <f>I194/(G194+I194)</f>
        <v>8.3003952569169967E-2</v>
      </c>
      <c r="K194" s="36"/>
      <c r="L194" s="34"/>
      <c r="M194" s="34"/>
      <c r="N194" s="37"/>
      <c r="O194" s="33"/>
      <c r="P194" s="34"/>
      <c r="Q194" s="34">
        <f>Q191-O194</f>
        <v>622</v>
      </c>
      <c r="R194" s="34">
        <f>R191-P194</f>
        <v>53</v>
      </c>
      <c r="S194" s="34">
        <v>213</v>
      </c>
      <c r="T194" s="35">
        <f t="shared" ref="T194:T200" si="1237">((S194+U194)/Q194)</f>
        <v>0.36816720257234725</v>
      </c>
      <c r="U194" s="34">
        <v>16</v>
      </c>
      <c r="V194" s="35">
        <f t="shared" ref="V194:V200" si="1238">U194/(S194+U194)</f>
        <v>6.9868995633187769E-2</v>
      </c>
      <c r="W194" s="36"/>
      <c r="X194" s="34"/>
      <c r="Y194" s="34"/>
      <c r="Z194" s="37"/>
      <c r="AA194" s="33"/>
      <c r="AB194" s="34"/>
      <c r="AC194" s="34">
        <f>AC191-AA194</f>
        <v>165</v>
      </c>
      <c r="AD194" s="34">
        <f>AD191-AB194</f>
        <v>12</v>
      </c>
      <c r="AE194" s="34">
        <v>42</v>
      </c>
      <c r="AF194" s="35">
        <f t="shared" ref="AF194:AF200" si="1239">((AE194+AG194)/AC194)</f>
        <v>0.29696969696969699</v>
      </c>
      <c r="AG194" s="34">
        <v>7</v>
      </c>
      <c r="AH194" s="35">
        <f t="shared" ref="AH194:AH200" si="1240">AG194/(AE194+AG194)</f>
        <v>0.14285714285714285</v>
      </c>
      <c r="AI194" s="36"/>
      <c r="AJ194" s="34"/>
      <c r="AK194" s="34"/>
      <c r="AL194" s="37"/>
      <c r="AM194" s="33"/>
      <c r="AN194" s="34"/>
      <c r="AO194" s="34">
        <f>AO191-AM194</f>
        <v>690</v>
      </c>
      <c r="AP194" s="34">
        <f>AP191-AN194</f>
        <v>60</v>
      </c>
      <c r="AQ194" s="34">
        <v>253</v>
      </c>
      <c r="AR194" s="35">
        <f t="shared" ref="AR194:AR200" si="1241">((AQ194+AS194)/AO194)</f>
        <v>0.39855072463768115</v>
      </c>
      <c r="AS194" s="34">
        <v>22</v>
      </c>
      <c r="AT194" s="35">
        <f t="shared" ref="AT194:AT200" si="1242">AS194/(AQ194+AS194)</f>
        <v>0.08</v>
      </c>
      <c r="AU194" s="36"/>
      <c r="AV194" s="34"/>
      <c r="AW194" s="34"/>
      <c r="AX194" s="37"/>
      <c r="AY194" s="33"/>
      <c r="AZ194" s="34"/>
      <c r="BA194" s="34">
        <f>BA191-AY194</f>
        <v>690</v>
      </c>
      <c r="BB194" s="34">
        <f>BB191-AZ194</f>
        <v>60</v>
      </c>
      <c r="BC194" s="34">
        <v>260</v>
      </c>
      <c r="BD194" s="35">
        <f t="shared" ref="BD194:BD200" si="1243">((BC194+BE194)/BA194)</f>
        <v>0.39275362318840579</v>
      </c>
      <c r="BE194" s="34">
        <v>11</v>
      </c>
      <c r="BF194" s="35">
        <f t="shared" ref="BF194:BF200" si="1244">BE194/(BC194+BE194)</f>
        <v>4.0590405904059039E-2</v>
      </c>
      <c r="BG194" s="36"/>
      <c r="BH194" s="34"/>
      <c r="BI194" s="34"/>
      <c r="BJ194" s="37"/>
      <c r="BK194" s="33">
        <v>1</v>
      </c>
      <c r="BL194" s="34"/>
      <c r="BM194" s="34">
        <f>BM191-BK194</f>
        <v>690</v>
      </c>
      <c r="BN194" s="34">
        <f>BN191-BL194</f>
        <v>58</v>
      </c>
      <c r="BO194" s="34">
        <v>263</v>
      </c>
      <c r="BP194" s="35">
        <f t="shared" ref="BP194:BP200" si="1245">((BO194+BQ194)/BM194)</f>
        <v>0.39855072463768115</v>
      </c>
      <c r="BQ194" s="34">
        <v>12</v>
      </c>
      <c r="BR194" s="35">
        <f t="shared" ref="BR194:BR200" si="1246">BQ194/(BO194+BQ194)</f>
        <v>4.363636363636364E-2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247">((CA194+CC194)/BY194)</f>
        <v>#DIV/0!</v>
      </c>
      <c r="CC194" s="34"/>
      <c r="CD194" s="35" t="e">
        <f t="shared" ref="CD194:CD200" si="1248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249">((CM194+CO194)/CK194)</f>
        <v>#DIV/0!</v>
      </c>
      <c r="CO194" s="34"/>
      <c r="CP194" s="35" t="e">
        <f t="shared" ref="CP194:CP200" si="1250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251">((CY194+DA194)/CW194)</f>
        <v>#DIV/0!</v>
      </c>
      <c r="DA194" s="34"/>
      <c r="DB194" s="35" t="e">
        <f t="shared" ref="DB194:DB200" si="1252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253">((DK194+DM194)/DI194)</f>
        <v>#DIV/0!</v>
      </c>
      <c r="DM194" s="34"/>
      <c r="DN194" s="35" t="e">
        <f t="shared" ref="DN194:DN200" si="1254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255">((DW194+DY194)/DU194)</f>
        <v>#DIV/0!</v>
      </c>
      <c r="DY194" s="34"/>
      <c r="DZ194" s="35" t="e">
        <f t="shared" ref="DZ194:DZ200" si="1256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257">((EI194+EK194)/EG194)</f>
        <v>#DIV/0!</v>
      </c>
      <c r="EK194" s="34"/>
      <c r="EL194" s="35" t="e">
        <f t="shared" ref="EL194:EL200" si="1258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259">((EU194+EW194)/ES194)</f>
        <v>#DIV/0!</v>
      </c>
      <c r="EW194" s="34"/>
      <c r="EX194" s="35" t="e">
        <f t="shared" ref="EX194:EX200" si="1260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261">((FG194+FI194)/FE194)</f>
        <v>#DIV/0!</v>
      </c>
      <c r="FI194" s="34"/>
      <c r="FJ194" s="35" t="e">
        <f t="shared" ref="FJ194:FJ200" si="1262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263">((FS194+FU194)/FQ194)</f>
        <v>#DIV/0!</v>
      </c>
      <c r="FU194" s="34"/>
      <c r="FV194" s="35" t="e">
        <f t="shared" ref="FV194:FV200" si="1264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265">((GE194+GG194)/GC194)</f>
        <v>#DIV/0!</v>
      </c>
      <c r="GG194" s="34"/>
      <c r="GH194" s="35" t="e">
        <f t="shared" ref="GH194:GH200" si="1266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267">((GQ194+GS194)/GO194)</f>
        <v>#DIV/0!</v>
      </c>
      <c r="GS194" s="34"/>
      <c r="GT194" s="35" t="e">
        <f t="shared" ref="GT194:GT200" si="1268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269">((HC194+HE194)/HA194)</f>
        <v>#DIV/0!</v>
      </c>
      <c r="HE194" s="34"/>
      <c r="HF194" s="35" t="e">
        <f t="shared" ref="HF194:HF200" si="1270">HE194/(HC194+HE194)</f>
        <v>#DIV/0!</v>
      </c>
      <c r="HG194" s="36"/>
      <c r="HH194" s="34"/>
      <c r="HI194" s="34"/>
      <c r="HJ194" s="37"/>
      <c r="HK194" s="33">
        <f t="shared" ref="HK194:HN201" si="1271">+C194+O194+AA194+AM194+AY194+BK194+BW194+CI194+CU194+DG194+DS194+EE194+EQ194+FC194+FO194+GA194+GM194+GY194</f>
        <v>1</v>
      </c>
      <c r="HL194" s="34">
        <f t="shared" si="1271"/>
        <v>1</v>
      </c>
      <c r="HM194" s="34">
        <f t="shared" si="1271"/>
        <v>3471</v>
      </c>
      <c r="HN194" s="34">
        <f t="shared" si="1271"/>
        <v>293</v>
      </c>
      <c r="HO194" s="34">
        <f t="shared" ref="HO194:HO201" si="1272">+G194+S194+AE194+AQ194+BC194+BO194+CA194+CM194+CY194+DK194+DW194+EI194+EU194+FG194+FS194+GE194+GQ194+HC194+I194+U194+AG194+AS194+BE194+BQ194+CC194+CO194+DA194+DM194+DY194+EK194+EW194+FI194+FU194+GG194+GS194+HE194</f>
        <v>1352</v>
      </c>
      <c r="HP194" s="94">
        <f t="shared" ref="HP194:HP200" si="1273">+(HO194)/HM194</f>
        <v>0.38951310861423222</v>
      </c>
      <c r="HQ194" s="48">
        <f t="shared" ref="HQ194:HQ201" si="1274">+I194+U194+AG194+AS194+BE194+BQ194+CC194+CO194+DA194+DM194+DY194+EK194+EW194+FI194+FU194+GG194+GS194+HE194</f>
        <v>89</v>
      </c>
      <c r="HR194" s="35">
        <f>+(HQ194/(HO194))</f>
        <v>6.5828402366863908E-2</v>
      </c>
      <c r="HS194" s="49">
        <v>68.5</v>
      </c>
      <c r="HT194" s="50">
        <v>1212</v>
      </c>
      <c r="HU194" s="49">
        <f t="shared" ref="HU194:HU200" si="1275">+HT194/HO194*100</f>
        <v>89.644970414201183</v>
      </c>
      <c r="HV194" s="48"/>
      <c r="HW194" s="37"/>
    </row>
    <row r="195" spans="1:231" ht="18.75" x14ac:dyDescent="0.25">
      <c r="A195" s="374"/>
      <c r="B195" s="41">
        <f t="shared" si="1235"/>
        <v>45089</v>
      </c>
      <c r="C195" s="10"/>
      <c r="D195" s="11"/>
      <c r="E195" s="69">
        <f t="shared" ref="E195:F199" si="1276">E194-C195</f>
        <v>614</v>
      </c>
      <c r="F195" s="69">
        <f t="shared" si="1276"/>
        <v>50</v>
      </c>
      <c r="G195" s="11">
        <v>216</v>
      </c>
      <c r="H195" s="12">
        <f t="shared" si="1236"/>
        <v>0.38762214983713356</v>
      </c>
      <c r="I195" s="11">
        <v>22</v>
      </c>
      <c r="J195" s="12">
        <f t="shared" ref="J195:J200" si="1277">I195/(G195+I195)</f>
        <v>9.2436974789915971E-2</v>
      </c>
      <c r="K195" s="13"/>
      <c r="L195" s="11"/>
      <c r="M195" s="11"/>
      <c r="N195" s="14"/>
      <c r="O195" s="10"/>
      <c r="P195" s="11"/>
      <c r="Q195" s="69">
        <f t="shared" ref="Q195:R200" si="1278">Q194-O195</f>
        <v>622</v>
      </c>
      <c r="R195" s="69">
        <f t="shared" si="1278"/>
        <v>53</v>
      </c>
      <c r="S195" s="11">
        <v>242</v>
      </c>
      <c r="T195" s="12">
        <f t="shared" si="1237"/>
        <v>0.40836012861736337</v>
      </c>
      <c r="U195" s="11">
        <v>12</v>
      </c>
      <c r="V195" s="12">
        <f t="shared" si="1238"/>
        <v>4.7244094488188976E-2</v>
      </c>
      <c r="W195" s="13"/>
      <c r="X195" s="11"/>
      <c r="Y195" s="11"/>
      <c r="Z195" s="14"/>
      <c r="AA195" s="10">
        <v>4</v>
      </c>
      <c r="AB195" s="11">
        <v>1</v>
      </c>
      <c r="AC195" s="69">
        <f t="shared" ref="AC195:AD200" si="1279">AC194-AA195</f>
        <v>161</v>
      </c>
      <c r="AD195" s="69">
        <f t="shared" si="1279"/>
        <v>11</v>
      </c>
      <c r="AE195" s="11">
        <v>32</v>
      </c>
      <c r="AF195" s="12">
        <f t="shared" si="1239"/>
        <v>0.22981366459627328</v>
      </c>
      <c r="AG195" s="11">
        <v>5</v>
      </c>
      <c r="AH195" s="12">
        <f t="shared" si="1240"/>
        <v>0.13513513513513514</v>
      </c>
      <c r="AI195" s="13"/>
      <c r="AJ195" s="11"/>
      <c r="AK195" s="11"/>
      <c r="AL195" s="14"/>
      <c r="AM195" s="10">
        <v>1</v>
      </c>
      <c r="AN195" s="11"/>
      <c r="AO195" s="69">
        <f t="shared" ref="AO195:AP200" si="1280">AO194-AM195</f>
        <v>689</v>
      </c>
      <c r="AP195" s="69">
        <f t="shared" si="1280"/>
        <v>60</v>
      </c>
      <c r="AQ195" s="11">
        <v>252</v>
      </c>
      <c r="AR195" s="12">
        <f t="shared" si="1241"/>
        <v>0.38316400580551524</v>
      </c>
      <c r="AS195" s="11">
        <v>12</v>
      </c>
      <c r="AT195" s="12">
        <f t="shared" si="1242"/>
        <v>4.5454545454545456E-2</v>
      </c>
      <c r="AU195" s="13"/>
      <c r="AV195" s="11"/>
      <c r="AW195" s="11"/>
      <c r="AX195" s="14"/>
      <c r="AY195" s="10"/>
      <c r="AZ195" s="11"/>
      <c r="BA195" s="69">
        <f t="shared" ref="BA195:BB200" si="1281">BA194-AY195</f>
        <v>690</v>
      </c>
      <c r="BB195" s="69">
        <f t="shared" si="1281"/>
        <v>60</v>
      </c>
      <c r="BC195" s="11">
        <v>257</v>
      </c>
      <c r="BD195" s="12">
        <f t="shared" si="1243"/>
        <v>0.40289855072463771</v>
      </c>
      <c r="BE195" s="11">
        <v>21</v>
      </c>
      <c r="BF195" s="12">
        <f t="shared" si="1244"/>
        <v>7.5539568345323743E-2</v>
      </c>
      <c r="BG195" s="13"/>
      <c r="BH195" s="11"/>
      <c r="BI195" s="11"/>
      <c r="BJ195" s="14"/>
      <c r="BK195" s="10"/>
      <c r="BL195" s="11"/>
      <c r="BM195" s="69">
        <f t="shared" ref="BM195:BN200" si="1282">BM194-BK195</f>
        <v>690</v>
      </c>
      <c r="BN195" s="69">
        <f t="shared" si="1282"/>
        <v>58</v>
      </c>
      <c r="BO195" s="11">
        <v>271</v>
      </c>
      <c r="BP195" s="12">
        <f t="shared" si="1245"/>
        <v>0.42028985507246375</v>
      </c>
      <c r="BQ195" s="11">
        <v>19</v>
      </c>
      <c r="BR195" s="12">
        <f t="shared" si="1246"/>
        <v>6.5517241379310351E-2</v>
      </c>
      <c r="BS195" s="13"/>
      <c r="BT195" s="11"/>
      <c r="BU195" s="11"/>
      <c r="BV195" s="14"/>
      <c r="BW195" s="10"/>
      <c r="BX195" s="11"/>
      <c r="BY195" s="69">
        <f t="shared" ref="BY195:BZ200" si="1283">BY194-BW195</f>
        <v>0</v>
      </c>
      <c r="BZ195" s="69">
        <f t="shared" si="1283"/>
        <v>0</v>
      </c>
      <c r="CA195" s="11"/>
      <c r="CB195" s="12" t="e">
        <f t="shared" si="1247"/>
        <v>#DIV/0!</v>
      </c>
      <c r="CC195" s="11"/>
      <c r="CD195" s="12" t="e">
        <f t="shared" si="1248"/>
        <v>#DIV/0!</v>
      </c>
      <c r="CE195" s="13"/>
      <c r="CF195" s="11"/>
      <c r="CG195" s="11"/>
      <c r="CH195" s="14"/>
      <c r="CI195" s="10"/>
      <c r="CJ195" s="11"/>
      <c r="CK195" s="69">
        <f t="shared" ref="CK195:CL200" si="1284">CK194-CI195</f>
        <v>0</v>
      </c>
      <c r="CL195" s="69">
        <f t="shared" si="1284"/>
        <v>0</v>
      </c>
      <c r="CM195" s="11"/>
      <c r="CN195" s="12" t="e">
        <f t="shared" si="1249"/>
        <v>#DIV/0!</v>
      </c>
      <c r="CO195" s="11"/>
      <c r="CP195" s="12" t="e">
        <f t="shared" si="1250"/>
        <v>#DIV/0!</v>
      </c>
      <c r="CQ195" s="13"/>
      <c r="CR195" s="11"/>
      <c r="CS195" s="11"/>
      <c r="CT195" s="14"/>
      <c r="CU195" s="10"/>
      <c r="CV195" s="11"/>
      <c r="CW195" s="69">
        <f t="shared" ref="CW195:CX200" si="1285">CW194-CU195</f>
        <v>0</v>
      </c>
      <c r="CX195" s="69">
        <f t="shared" si="1285"/>
        <v>0</v>
      </c>
      <c r="CY195" s="11"/>
      <c r="CZ195" s="12" t="e">
        <f t="shared" si="1251"/>
        <v>#DIV/0!</v>
      </c>
      <c r="DA195" s="11"/>
      <c r="DB195" s="12" t="e">
        <f t="shared" si="1252"/>
        <v>#DIV/0!</v>
      </c>
      <c r="DC195" s="13"/>
      <c r="DD195" s="11"/>
      <c r="DE195" s="11"/>
      <c r="DF195" s="14"/>
      <c r="DG195" s="10"/>
      <c r="DH195" s="11"/>
      <c r="DI195" s="69">
        <f t="shared" ref="DI195:DJ200" si="1286">DI194-DG195</f>
        <v>0</v>
      </c>
      <c r="DJ195" s="69">
        <f t="shared" si="1286"/>
        <v>0</v>
      </c>
      <c r="DK195" s="11"/>
      <c r="DL195" s="12" t="e">
        <f t="shared" si="1253"/>
        <v>#DIV/0!</v>
      </c>
      <c r="DM195" s="11"/>
      <c r="DN195" s="12" t="e">
        <f t="shared" si="1254"/>
        <v>#DIV/0!</v>
      </c>
      <c r="DO195" s="13"/>
      <c r="DP195" s="11"/>
      <c r="DQ195" s="11"/>
      <c r="DR195" s="14"/>
      <c r="DS195" s="10"/>
      <c r="DT195" s="11"/>
      <c r="DU195" s="69">
        <f t="shared" ref="DU195:DV200" si="1287">DU194-DS195</f>
        <v>0</v>
      </c>
      <c r="DV195" s="69">
        <f t="shared" si="1287"/>
        <v>0</v>
      </c>
      <c r="DW195" s="11"/>
      <c r="DX195" s="12" t="e">
        <f t="shared" si="1255"/>
        <v>#DIV/0!</v>
      </c>
      <c r="DY195" s="11"/>
      <c r="DZ195" s="12" t="e">
        <f t="shared" si="1256"/>
        <v>#DIV/0!</v>
      </c>
      <c r="EA195" s="13"/>
      <c r="EB195" s="11"/>
      <c r="EC195" s="11"/>
      <c r="ED195" s="14"/>
      <c r="EE195" s="10"/>
      <c r="EF195" s="11"/>
      <c r="EG195" s="69">
        <f t="shared" ref="EG195:EH200" si="1288">EG194-EE195</f>
        <v>0</v>
      </c>
      <c r="EH195" s="69">
        <f t="shared" si="1288"/>
        <v>0</v>
      </c>
      <c r="EI195" s="11"/>
      <c r="EJ195" s="12" t="e">
        <f t="shared" si="1257"/>
        <v>#DIV/0!</v>
      </c>
      <c r="EK195" s="11"/>
      <c r="EL195" s="12" t="e">
        <f t="shared" si="1258"/>
        <v>#DIV/0!</v>
      </c>
      <c r="EM195" s="13"/>
      <c r="EN195" s="11"/>
      <c r="EO195" s="11"/>
      <c r="EP195" s="14"/>
      <c r="EQ195" s="10"/>
      <c r="ER195" s="11"/>
      <c r="ES195" s="69">
        <f t="shared" ref="ES195:ET200" si="1289">ES194-EQ195</f>
        <v>0</v>
      </c>
      <c r="ET195" s="69">
        <f t="shared" si="1289"/>
        <v>0</v>
      </c>
      <c r="EU195" s="11"/>
      <c r="EV195" s="12" t="e">
        <f t="shared" si="1259"/>
        <v>#DIV/0!</v>
      </c>
      <c r="EW195" s="11"/>
      <c r="EX195" s="12" t="e">
        <f t="shared" si="1260"/>
        <v>#DIV/0!</v>
      </c>
      <c r="EY195" s="13"/>
      <c r="EZ195" s="11"/>
      <c r="FA195" s="11"/>
      <c r="FB195" s="14"/>
      <c r="FC195" s="10"/>
      <c r="FD195" s="11"/>
      <c r="FE195" s="69">
        <f t="shared" ref="FE195:FF200" si="1290">FE194-FC195</f>
        <v>0</v>
      </c>
      <c r="FF195" s="69">
        <f t="shared" si="1290"/>
        <v>0</v>
      </c>
      <c r="FG195" s="11"/>
      <c r="FH195" s="12" t="e">
        <f t="shared" si="1261"/>
        <v>#DIV/0!</v>
      </c>
      <c r="FI195" s="11"/>
      <c r="FJ195" s="12" t="e">
        <f t="shared" si="1262"/>
        <v>#DIV/0!</v>
      </c>
      <c r="FK195" s="13"/>
      <c r="FL195" s="11"/>
      <c r="FM195" s="11"/>
      <c r="FN195" s="14"/>
      <c r="FO195" s="10"/>
      <c r="FP195" s="11"/>
      <c r="FQ195" s="69">
        <f t="shared" ref="FQ195:FR200" si="1291">FQ194-FO195</f>
        <v>0</v>
      </c>
      <c r="FR195" s="69">
        <f t="shared" si="1291"/>
        <v>0</v>
      </c>
      <c r="FS195" s="11"/>
      <c r="FT195" s="12" t="e">
        <f t="shared" si="1263"/>
        <v>#DIV/0!</v>
      </c>
      <c r="FU195" s="11"/>
      <c r="FV195" s="12" t="e">
        <f t="shared" si="1264"/>
        <v>#DIV/0!</v>
      </c>
      <c r="FW195" s="13"/>
      <c r="FX195" s="11"/>
      <c r="FY195" s="11"/>
      <c r="FZ195" s="14"/>
      <c r="GA195" s="10"/>
      <c r="GB195" s="11"/>
      <c r="GC195" s="69">
        <f t="shared" ref="GC195:GD200" si="1292">GC194-GA195</f>
        <v>0</v>
      </c>
      <c r="GD195" s="69">
        <f t="shared" si="1292"/>
        <v>0</v>
      </c>
      <c r="GE195" s="11"/>
      <c r="GF195" s="12" t="e">
        <f t="shared" si="1265"/>
        <v>#DIV/0!</v>
      </c>
      <c r="GG195" s="11"/>
      <c r="GH195" s="12" t="e">
        <f t="shared" si="1266"/>
        <v>#DIV/0!</v>
      </c>
      <c r="GI195" s="13"/>
      <c r="GJ195" s="11"/>
      <c r="GK195" s="11"/>
      <c r="GL195" s="14"/>
      <c r="GM195" s="10"/>
      <c r="GN195" s="11"/>
      <c r="GO195" s="69">
        <f t="shared" ref="GO195:GP200" si="1293">GO194-GM195</f>
        <v>0</v>
      </c>
      <c r="GP195" s="69">
        <f t="shared" si="1293"/>
        <v>0</v>
      </c>
      <c r="GQ195" s="11"/>
      <c r="GR195" s="12" t="e">
        <f t="shared" si="1267"/>
        <v>#DIV/0!</v>
      </c>
      <c r="GS195" s="11"/>
      <c r="GT195" s="12" t="e">
        <f t="shared" si="1268"/>
        <v>#DIV/0!</v>
      </c>
      <c r="GU195" s="13"/>
      <c r="GV195" s="11"/>
      <c r="GW195" s="11"/>
      <c r="GX195" s="14"/>
      <c r="GY195" s="10"/>
      <c r="GZ195" s="11"/>
      <c r="HA195" s="69">
        <f t="shared" ref="HA195:HB200" si="1294">HA194-GY195</f>
        <v>0</v>
      </c>
      <c r="HB195" s="69">
        <f t="shared" si="1294"/>
        <v>0</v>
      </c>
      <c r="HC195" s="11"/>
      <c r="HD195" s="12" t="e">
        <f t="shared" si="1269"/>
        <v>#DIV/0!</v>
      </c>
      <c r="HE195" s="11"/>
      <c r="HF195" s="12" t="e">
        <f t="shared" si="1270"/>
        <v>#DIV/0!</v>
      </c>
      <c r="HG195" s="13"/>
      <c r="HH195" s="11"/>
      <c r="HI195" s="11"/>
      <c r="HJ195" s="14"/>
      <c r="HK195" s="10">
        <f t="shared" si="1271"/>
        <v>5</v>
      </c>
      <c r="HL195" s="11">
        <f t="shared" si="1271"/>
        <v>1</v>
      </c>
      <c r="HM195" s="11">
        <f t="shared" si="1271"/>
        <v>3466</v>
      </c>
      <c r="HN195" s="11">
        <f t="shared" si="1271"/>
        <v>292</v>
      </c>
      <c r="HO195" s="11">
        <f t="shared" si="1272"/>
        <v>1361</v>
      </c>
      <c r="HP195" s="95">
        <f t="shared" si="1273"/>
        <v>0.39267166762839006</v>
      </c>
      <c r="HQ195" s="15">
        <f t="shared" si="1274"/>
        <v>91</v>
      </c>
      <c r="HR195" s="12">
        <f t="shared" ref="HR195:HR201" si="1295">+(HQ195/(HO195))</f>
        <v>6.6862601028655405E-2</v>
      </c>
      <c r="HS195" s="16">
        <v>69.3</v>
      </c>
      <c r="HT195" s="17">
        <v>1212</v>
      </c>
      <c r="HU195" s="16">
        <f t="shared" si="1275"/>
        <v>89.052167523879504</v>
      </c>
      <c r="HV195" s="15"/>
      <c r="HW195" s="14"/>
    </row>
    <row r="196" spans="1:231" ht="18.75" x14ac:dyDescent="0.25">
      <c r="A196" s="374"/>
      <c r="B196" s="41">
        <f t="shared" si="1235"/>
        <v>45090</v>
      </c>
      <c r="C196" s="10"/>
      <c r="D196" s="11"/>
      <c r="E196" s="69">
        <f t="shared" si="1276"/>
        <v>614</v>
      </c>
      <c r="F196" s="69">
        <f t="shared" si="1276"/>
        <v>50</v>
      </c>
      <c r="G196" s="11">
        <v>251</v>
      </c>
      <c r="H196" s="12">
        <f t="shared" si="1236"/>
        <v>0.43811074918566772</v>
      </c>
      <c r="I196" s="11">
        <v>18</v>
      </c>
      <c r="J196" s="12">
        <f t="shared" si="1277"/>
        <v>6.6914498141263934E-2</v>
      </c>
      <c r="K196" s="13"/>
      <c r="L196" s="11"/>
      <c r="M196" s="11"/>
      <c r="N196" s="14"/>
      <c r="O196" s="10"/>
      <c r="P196" s="11"/>
      <c r="Q196" s="69">
        <f t="shared" si="1278"/>
        <v>622</v>
      </c>
      <c r="R196" s="69">
        <f t="shared" si="1278"/>
        <v>53</v>
      </c>
      <c r="S196" s="11">
        <v>233</v>
      </c>
      <c r="T196" s="12">
        <f t="shared" si="1237"/>
        <v>0.409967845659164</v>
      </c>
      <c r="U196" s="11">
        <v>22</v>
      </c>
      <c r="V196" s="12">
        <f t="shared" si="1238"/>
        <v>8.6274509803921567E-2</v>
      </c>
      <c r="W196" s="13"/>
      <c r="X196" s="11"/>
      <c r="Y196" s="11"/>
      <c r="Z196" s="14"/>
      <c r="AA196" s="10"/>
      <c r="AB196" s="11"/>
      <c r="AC196" s="69">
        <f t="shared" si="1279"/>
        <v>161</v>
      </c>
      <c r="AD196" s="69">
        <f t="shared" si="1279"/>
        <v>11</v>
      </c>
      <c r="AE196" s="11">
        <v>42</v>
      </c>
      <c r="AF196" s="12">
        <f t="shared" si="1239"/>
        <v>0.29192546583850931</v>
      </c>
      <c r="AG196" s="11">
        <v>5</v>
      </c>
      <c r="AH196" s="12">
        <f t="shared" si="1240"/>
        <v>0.10638297872340426</v>
      </c>
      <c r="AI196" s="13"/>
      <c r="AJ196" s="11"/>
      <c r="AK196" s="11"/>
      <c r="AL196" s="14"/>
      <c r="AM196" s="10"/>
      <c r="AN196" s="11"/>
      <c r="AO196" s="69">
        <f t="shared" si="1280"/>
        <v>689</v>
      </c>
      <c r="AP196" s="69">
        <f t="shared" si="1280"/>
        <v>60</v>
      </c>
      <c r="AQ196" s="11">
        <v>256</v>
      </c>
      <c r="AR196" s="12">
        <f t="shared" si="1241"/>
        <v>0.39767779390420899</v>
      </c>
      <c r="AS196" s="11">
        <v>18</v>
      </c>
      <c r="AT196" s="12">
        <f t="shared" si="1242"/>
        <v>6.569343065693431E-2</v>
      </c>
      <c r="AU196" s="13"/>
      <c r="AV196" s="11"/>
      <c r="AW196" s="11"/>
      <c r="AX196" s="14"/>
      <c r="AY196" s="10"/>
      <c r="AZ196" s="11"/>
      <c r="BA196" s="69">
        <f t="shared" si="1281"/>
        <v>690</v>
      </c>
      <c r="BB196" s="69">
        <f t="shared" si="1281"/>
        <v>60</v>
      </c>
      <c r="BC196" s="11">
        <v>255</v>
      </c>
      <c r="BD196" s="12">
        <f t="shared" si="1243"/>
        <v>0.39275362318840579</v>
      </c>
      <c r="BE196" s="11">
        <v>16</v>
      </c>
      <c r="BF196" s="12">
        <f t="shared" si="1244"/>
        <v>5.9040590405904057E-2</v>
      </c>
      <c r="BG196" s="13"/>
      <c r="BH196" s="11"/>
      <c r="BI196" s="11"/>
      <c r="BJ196" s="14"/>
      <c r="BK196" s="10"/>
      <c r="BL196" s="11"/>
      <c r="BM196" s="69">
        <f t="shared" si="1282"/>
        <v>690</v>
      </c>
      <c r="BN196" s="69">
        <f t="shared" si="1282"/>
        <v>58</v>
      </c>
      <c r="BO196" s="11">
        <v>271</v>
      </c>
      <c r="BP196" s="12">
        <f t="shared" si="1245"/>
        <v>0.4115942028985507</v>
      </c>
      <c r="BQ196" s="11">
        <v>13</v>
      </c>
      <c r="BR196" s="12">
        <f t="shared" si="1246"/>
        <v>4.5774647887323945E-2</v>
      </c>
      <c r="BS196" s="13"/>
      <c r="BT196" s="11"/>
      <c r="BU196" s="11"/>
      <c r="BV196" s="14"/>
      <c r="BW196" s="10"/>
      <c r="BX196" s="11"/>
      <c r="BY196" s="69">
        <f t="shared" si="1283"/>
        <v>0</v>
      </c>
      <c r="BZ196" s="69">
        <f t="shared" si="1283"/>
        <v>0</v>
      </c>
      <c r="CA196" s="11"/>
      <c r="CB196" s="12" t="e">
        <f t="shared" si="1247"/>
        <v>#DIV/0!</v>
      </c>
      <c r="CC196" s="11"/>
      <c r="CD196" s="12" t="e">
        <f t="shared" si="1248"/>
        <v>#DIV/0!</v>
      </c>
      <c r="CE196" s="13"/>
      <c r="CF196" s="11"/>
      <c r="CG196" s="11"/>
      <c r="CH196" s="14"/>
      <c r="CI196" s="10"/>
      <c r="CJ196" s="11"/>
      <c r="CK196" s="69">
        <f t="shared" si="1284"/>
        <v>0</v>
      </c>
      <c r="CL196" s="69">
        <f t="shared" si="1284"/>
        <v>0</v>
      </c>
      <c r="CM196" s="11"/>
      <c r="CN196" s="12" t="e">
        <f t="shared" si="1249"/>
        <v>#DIV/0!</v>
      </c>
      <c r="CO196" s="11"/>
      <c r="CP196" s="12" t="e">
        <f t="shared" si="1250"/>
        <v>#DIV/0!</v>
      </c>
      <c r="CQ196" s="13"/>
      <c r="CR196" s="11"/>
      <c r="CS196" s="11"/>
      <c r="CT196" s="14"/>
      <c r="CU196" s="10"/>
      <c r="CV196" s="11"/>
      <c r="CW196" s="69">
        <f t="shared" si="1285"/>
        <v>0</v>
      </c>
      <c r="CX196" s="69">
        <f t="shared" si="1285"/>
        <v>0</v>
      </c>
      <c r="CY196" s="11"/>
      <c r="CZ196" s="12" t="e">
        <f t="shared" si="1251"/>
        <v>#DIV/0!</v>
      </c>
      <c r="DA196" s="11"/>
      <c r="DB196" s="12" t="e">
        <f t="shared" si="1252"/>
        <v>#DIV/0!</v>
      </c>
      <c r="DC196" s="13"/>
      <c r="DD196" s="11"/>
      <c r="DE196" s="11"/>
      <c r="DF196" s="14"/>
      <c r="DG196" s="10"/>
      <c r="DH196" s="11"/>
      <c r="DI196" s="69">
        <f t="shared" si="1286"/>
        <v>0</v>
      </c>
      <c r="DJ196" s="69">
        <f t="shared" si="1286"/>
        <v>0</v>
      </c>
      <c r="DK196" s="11"/>
      <c r="DL196" s="12" t="e">
        <f t="shared" si="1253"/>
        <v>#DIV/0!</v>
      </c>
      <c r="DM196" s="11"/>
      <c r="DN196" s="12" t="e">
        <f t="shared" si="1254"/>
        <v>#DIV/0!</v>
      </c>
      <c r="DO196" s="13"/>
      <c r="DP196" s="11"/>
      <c r="DQ196" s="11"/>
      <c r="DR196" s="14"/>
      <c r="DS196" s="10"/>
      <c r="DT196" s="11"/>
      <c r="DU196" s="69">
        <f t="shared" si="1287"/>
        <v>0</v>
      </c>
      <c r="DV196" s="69">
        <f t="shared" si="1287"/>
        <v>0</v>
      </c>
      <c r="DW196" s="11"/>
      <c r="DX196" s="12" t="e">
        <f t="shared" si="1255"/>
        <v>#DIV/0!</v>
      </c>
      <c r="DY196" s="11"/>
      <c r="DZ196" s="12" t="e">
        <f t="shared" si="1256"/>
        <v>#DIV/0!</v>
      </c>
      <c r="EA196" s="13"/>
      <c r="EB196" s="11"/>
      <c r="EC196" s="11"/>
      <c r="ED196" s="14"/>
      <c r="EE196" s="10"/>
      <c r="EF196" s="11"/>
      <c r="EG196" s="69">
        <f t="shared" si="1288"/>
        <v>0</v>
      </c>
      <c r="EH196" s="69">
        <f t="shared" si="1288"/>
        <v>0</v>
      </c>
      <c r="EI196" s="11"/>
      <c r="EJ196" s="12" t="e">
        <f t="shared" si="1257"/>
        <v>#DIV/0!</v>
      </c>
      <c r="EK196" s="11"/>
      <c r="EL196" s="12" t="e">
        <f t="shared" si="1258"/>
        <v>#DIV/0!</v>
      </c>
      <c r="EM196" s="13"/>
      <c r="EN196" s="11"/>
      <c r="EO196" s="11"/>
      <c r="EP196" s="14"/>
      <c r="EQ196" s="10"/>
      <c r="ER196" s="11"/>
      <c r="ES196" s="69">
        <f t="shared" si="1289"/>
        <v>0</v>
      </c>
      <c r="ET196" s="69">
        <f t="shared" si="1289"/>
        <v>0</v>
      </c>
      <c r="EU196" s="11"/>
      <c r="EV196" s="12" t="e">
        <f t="shared" si="1259"/>
        <v>#DIV/0!</v>
      </c>
      <c r="EW196" s="11"/>
      <c r="EX196" s="12" t="e">
        <f t="shared" si="1260"/>
        <v>#DIV/0!</v>
      </c>
      <c r="EY196" s="13"/>
      <c r="EZ196" s="11"/>
      <c r="FA196" s="11"/>
      <c r="FB196" s="14"/>
      <c r="FC196" s="10"/>
      <c r="FD196" s="11"/>
      <c r="FE196" s="69">
        <f t="shared" si="1290"/>
        <v>0</v>
      </c>
      <c r="FF196" s="69">
        <f t="shared" si="1290"/>
        <v>0</v>
      </c>
      <c r="FG196" s="11"/>
      <c r="FH196" s="12" t="e">
        <f t="shared" si="1261"/>
        <v>#DIV/0!</v>
      </c>
      <c r="FI196" s="11"/>
      <c r="FJ196" s="12" t="e">
        <f t="shared" si="1262"/>
        <v>#DIV/0!</v>
      </c>
      <c r="FK196" s="13"/>
      <c r="FL196" s="11"/>
      <c r="FM196" s="11"/>
      <c r="FN196" s="14"/>
      <c r="FO196" s="10"/>
      <c r="FP196" s="11"/>
      <c r="FQ196" s="69">
        <f t="shared" si="1291"/>
        <v>0</v>
      </c>
      <c r="FR196" s="69">
        <f t="shared" si="1291"/>
        <v>0</v>
      </c>
      <c r="FS196" s="11"/>
      <c r="FT196" s="12" t="e">
        <f t="shared" si="1263"/>
        <v>#DIV/0!</v>
      </c>
      <c r="FU196" s="11"/>
      <c r="FV196" s="12" t="e">
        <f t="shared" si="1264"/>
        <v>#DIV/0!</v>
      </c>
      <c r="FW196" s="13"/>
      <c r="FX196" s="11"/>
      <c r="FY196" s="11"/>
      <c r="FZ196" s="14"/>
      <c r="GA196" s="10"/>
      <c r="GB196" s="11"/>
      <c r="GC196" s="69">
        <f t="shared" si="1292"/>
        <v>0</v>
      </c>
      <c r="GD196" s="69">
        <f t="shared" si="1292"/>
        <v>0</v>
      </c>
      <c r="GE196" s="11"/>
      <c r="GF196" s="12" t="e">
        <f t="shared" si="1265"/>
        <v>#DIV/0!</v>
      </c>
      <c r="GG196" s="11"/>
      <c r="GH196" s="12" t="e">
        <f t="shared" si="1266"/>
        <v>#DIV/0!</v>
      </c>
      <c r="GI196" s="13"/>
      <c r="GJ196" s="11"/>
      <c r="GK196" s="11"/>
      <c r="GL196" s="14"/>
      <c r="GM196" s="10"/>
      <c r="GN196" s="11"/>
      <c r="GO196" s="69">
        <f t="shared" si="1293"/>
        <v>0</v>
      </c>
      <c r="GP196" s="69">
        <f t="shared" si="1293"/>
        <v>0</v>
      </c>
      <c r="GQ196" s="11"/>
      <c r="GR196" s="12" t="e">
        <f t="shared" si="1267"/>
        <v>#DIV/0!</v>
      </c>
      <c r="GS196" s="11"/>
      <c r="GT196" s="12" t="e">
        <f t="shared" si="1268"/>
        <v>#DIV/0!</v>
      </c>
      <c r="GU196" s="13"/>
      <c r="GV196" s="11"/>
      <c r="GW196" s="11"/>
      <c r="GX196" s="14"/>
      <c r="GY196" s="10"/>
      <c r="GZ196" s="11"/>
      <c r="HA196" s="69">
        <f t="shared" si="1294"/>
        <v>0</v>
      </c>
      <c r="HB196" s="69">
        <f t="shared" si="1294"/>
        <v>0</v>
      </c>
      <c r="HC196" s="11"/>
      <c r="HD196" s="12" t="e">
        <f t="shared" si="1269"/>
        <v>#DIV/0!</v>
      </c>
      <c r="HE196" s="11"/>
      <c r="HF196" s="12" t="e">
        <f t="shared" si="1270"/>
        <v>#DIV/0!</v>
      </c>
      <c r="HG196" s="13"/>
      <c r="HH196" s="11"/>
      <c r="HI196" s="11"/>
      <c r="HJ196" s="14"/>
      <c r="HK196" s="10">
        <f t="shared" si="1271"/>
        <v>0</v>
      </c>
      <c r="HL196" s="11">
        <f t="shared" si="1271"/>
        <v>0</v>
      </c>
      <c r="HM196" s="11">
        <f t="shared" si="1271"/>
        <v>3466</v>
      </c>
      <c r="HN196" s="11">
        <f t="shared" si="1271"/>
        <v>292</v>
      </c>
      <c r="HO196" s="11">
        <f t="shared" si="1272"/>
        <v>1400</v>
      </c>
      <c r="HP196" s="95">
        <f t="shared" si="1273"/>
        <v>0.40392383150605887</v>
      </c>
      <c r="HQ196" s="15">
        <f t="shared" si="1274"/>
        <v>92</v>
      </c>
      <c r="HR196" s="12">
        <f t="shared" si="1295"/>
        <v>6.5714285714285711E-2</v>
      </c>
      <c r="HS196" s="16">
        <v>70</v>
      </c>
      <c r="HT196" s="17">
        <v>1237</v>
      </c>
      <c r="HU196" s="16">
        <f t="shared" si="1275"/>
        <v>88.357142857142861</v>
      </c>
      <c r="HV196" s="15"/>
      <c r="HW196" s="14"/>
    </row>
    <row r="197" spans="1:231" ht="18.75" x14ac:dyDescent="0.25">
      <c r="A197" s="374"/>
      <c r="B197" s="41">
        <f t="shared" si="1235"/>
        <v>45091</v>
      </c>
      <c r="C197" s="10"/>
      <c r="D197" s="11"/>
      <c r="E197" s="11">
        <f>E196-C197</f>
        <v>614</v>
      </c>
      <c r="F197" s="69">
        <f t="shared" si="1276"/>
        <v>50</v>
      </c>
      <c r="G197" s="11">
        <v>223</v>
      </c>
      <c r="H197" s="12">
        <f t="shared" si="1236"/>
        <v>0.40879478827361565</v>
      </c>
      <c r="I197" s="11">
        <v>28</v>
      </c>
      <c r="J197" s="12">
        <f t="shared" si="1277"/>
        <v>0.11155378486055777</v>
      </c>
      <c r="K197" s="11"/>
      <c r="L197" s="11"/>
      <c r="M197" s="18"/>
      <c r="N197" s="20"/>
      <c r="O197" s="10"/>
      <c r="P197" s="11"/>
      <c r="Q197" s="69">
        <f t="shared" si="1278"/>
        <v>622</v>
      </c>
      <c r="R197" s="69">
        <f t="shared" si="1278"/>
        <v>53</v>
      </c>
      <c r="S197" s="11">
        <v>237</v>
      </c>
      <c r="T197" s="12">
        <f t="shared" si="1237"/>
        <v>0.39710610932475882</v>
      </c>
      <c r="U197" s="11">
        <v>10</v>
      </c>
      <c r="V197" s="12">
        <f t="shared" si="1238"/>
        <v>4.048582995951417E-2</v>
      </c>
      <c r="W197" s="11"/>
      <c r="X197" s="11"/>
      <c r="Y197" s="18"/>
      <c r="Z197" s="20"/>
      <c r="AA197" s="10">
        <v>1</v>
      </c>
      <c r="AB197" s="11"/>
      <c r="AC197" s="69">
        <f t="shared" si="1279"/>
        <v>160</v>
      </c>
      <c r="AD197" s="69">
        <f t="shared" si="1279"/>
        <v>11</v>
      </c>
      <c r="AE197" s="11">
        <v>36</v>
      </c>
      <c r="AF197" s="12">
        <f t="shared" si="1239"/>
        <v>0.25624999999999998</v>
      </c>
      <c r="AG197" s="11">
        <v>5</v>
      </c>
      <c r="AH197" s="12">
        <f t="shared" si="1240"/>
        <v>0.12195121951219512</v>
      </c>
      <c r="AI197" s="11"/>
      <c r="AJ197" s="11"/>
      <c r="AK197" s="18"/>
      <c r="AL197" s="20"/>
      <c r="AM197" s="10"/>
      <c r="AN197" s="11"/>
      <c r="AO197" s="69">
        <f t="shared" si="1280"/>
        <v>689</v>
      </c>
      <c r="AP197" s="69">
        <f t="shared" si="1280"/>
        <v>60</v>
      </c>
      <c r="AQ197" s="11">
        <v>267</v>
      </c>
      <c r="AR197" s="12">
        <f t="shared" si="1241"/>
        <v>0.40058055152394773</v>
      </c>
      <c r="AS197" s="11">
        <v>9</v>
      </c>
      <c r="AT197" s="12">
        <f t="shared" si="1242"/>
        <v>3.2608695652173912E-2</v>
      </c>
      <c r="AU197" s="11"/>
      <c r="AV197" s="11"/>
      <c r="AW197" s="18"/>
      <c r="AX197" s="20"/>
      <c r="AY197" s="10"/>
      <c r="AZ197" s="11"/>
      <c r="BA197" s="69">
        <f t="shared" si="1281"/>
        <v>690</v>
      </c>
      <c r="BB197" s="69">
        <f t="shared" si="1281"/>
        <v>60</v>
      </c>
      <c r="BC197" s="11">
        <v>240</v>
      </c>
      <c r="BD197" s="12">
        <f t="shared" si="1243"/>
        <v>0.36521739130434783</v>
      </c>
      <c r="BE197" s="11">
        <v>12</v>
      </c>
      <c r="BF197" s="12">
        <f t="shared" si="1244"/>
        <v>4.7619047619047616E-2</v>
      </c>
      <c r="BG197" s="11"/>
      <c r="BH197" s="11"/>
      <c r="BI197" s="18"/>
      <c r="BJ197" s="20"/>
      <c r="BK197" s="10"/>
      <c r="BL197" s="11"/>
      <c r="BM197" s="69">
        <f t="shared" si="1282"/>
        <v>690</v>
      </c>
      <c r="BN197" s="69">
        <f t="shared" si="1282"/>
        <v>58</v>
      </c>
      <c r="BO197" s="11">
        <v>243</v>
      </c>
      <c r="BP197" s="12">
        <f t="shared" si="1245"/>
        <v>0.37391304347826088</v>
      </c>
      <c r="BQ197" s="11">
        <v>15</v>
      </c>
      <c r="BR197" s="12">
        <f t="shared" si="1246"/>
        <v>5.8139534883720929E-2</v>
      </c>
      <c r="BS197" s="11"/>
      <c r="BT197" s="11"/>
      <c r="BU197" s="18"/>
      <c r="BV197" s="20"/>
      <c r="BW197" s="10"/>
      <c r="BX197" s="11"/>
      <c r="BY197" s="69">
        <f t="shared" si="1283"/>
        <v>0</v>
      </c>
      <c r="BZ197" s="69">
        <f t="shared" si="1283"/>
        <v>0</v>
      </c>
      <c r="CA197" s="11"/>
      <c r="CB197" s="12" t="e">
        <f t="shared" si="1247"/>
        <v>#DIV/0!</v>
      </c>
      <c r="CC197" s="11"/>
      <c r="CD197" s="12" t="e">
        <f t="shared" si="1248"/>
        <v>#DIV/0!</v>
      </c>
      <c r="CE197" s="11"/>
      <c r="CF197" s="11"/>
      <c r="CG197" s="18"/>
      <c r="CH197" s="20"/>
      <c r="CI197" s="10"/>
      <c r="CJ197" s="11"/>
      <c r="CK197" s="69">
        <f t="shared" si="1284"/>
        <v>0</v>
      </c>
      <c r="CL197" s="69">
        <f t="shared" si="1284"/>
        <v>0</v>
      </c>
      <c r="CM197" s="11"/>
      <c r="CN197" s="12" t="e">
        <f t="shared" si="1249"/>
        <v>#DIV/0!</v>
      </c>
      <c r="CO197" s="11"/>
      <c r="CP197" s="12" t="e">
        <f t="shared" si="1250"/>
        <v>#DIV/0!</v>
      </c>
      <c r="CQ197" s="11"/>
      <c r="CR197" s="11"/>
      <c r="CS197" s="18"/>
      <c r="CT197" s="20"/>
      <c r="CU197" s="10"/>
      <c r="CV197" s="11"/>
      <c r="CW197" s="69">
        <f t="shared" si="1285"/>
        <v>0</v>
      </c>
      <c r="CX197" s="69">
        <f t="shared" si="1285"/>
        <v>0</v>
      </c>
      <c r="CY197" s="11"/>
      <c r="CZ197" s="12" t="e">
        <f t="shared" si="1251"/>
        <v>#DIV/0!</v>
      </c>
      <c r="DA197" s="11"/>
      <c r="DB197" s="12" t="e">
        <f t="shared" si="1252"/>
        <v>#DIV/0!</v>
      </c>
      <c r="DC197" s="11"/>
      <c r="DD197" s="11"/>
      <c r="DE197" s="18"/>
      <c r="DF197" s="20"/>
      <c r="DG197" s="10"/>
      <c r="DH197" s="11"/>
      <c r="DI197" s="69">
        <f t="shared" si="1286"/>
        <v>0</v>
      </c>
      <c r="DJ197" s="69">
        <f t="shared" si="1286"/>
        <v>0</v>
      </c>
      <c r="DK197" s="11"/>
      <c r="DL197" s="12" t="e">
        <f t="shared" si="1253"/>
        <v>#DIV/0!</v>
      </c>
      <c r="DM197" s="11"/>
      <c r="DN197" s="12" t="e">
        <f t="shared" si="1254"/>
        <v>#DIV/0!</v>
      </c>
      <c r="DO197" s="11"/>
      <c r="DP197" s="11"/>
      <c r="DQ197" s="18"/>
      <c r="DR197" s="20"/>
      <c r="DS197" s="10"/>
      <c r="DT197" s="11"/>
      <c r="DU197" s="69">
        <f t="shared" si="1287"/>
        <v>0</v>
      </c>
      <c r="DV197" s="69">
        <f t="shared" si="1287"/>
        <v>0</v>
      </c>
      <c r="DW197" s="11"/>
      <c r="DX197" s="12" t="e">
        <f t="shared" si="1255"/>
        <v>#DIV/0!</v>
      </c>
      <c r="DY197" s="11"/>
      <c r="DZ197" s="12" t="e">
        <f t="shared" si="1256"/>
        <v>#DIV/0!</v>
      </c>
      <c r="EA197" s="11"/>
      <c r="EB197" s="11"/>
      <c r="EC197" s="18"/>
      <c r="ED197" s="20"/>
      <c r="EE197" s="10"/>
      <c r="EF197" s="11"/>
      <c r="EG197" s="69">
        <f t="shared" si="1288"/>
        <v>0</v>
      </c>
      <c r="EH197" s="69">
        <f t="shared" si="1288"/>
        <v>0</v>
      </c>
      <c r="EI197" s="11"/>
      <c r="EJ197" s="12" t="e">
        <f t="shared" si="1257"/>
        <v>#DIV/0!</v>
      </c>
      <c r="EK197" s="11"/>
      <c r="EL197" s="12" t="e">
        <f t="shared" si="1258"/>
        <v>#DIV/0!</v>
      </c>
      <c r="EM197" s="11"/>
      <c r="EN197" s="11"/>
      <c r="EO197" s="18"/>
      <c r="EP197" s="20"/>
      <c r="EQ197" s="10"/>
      <c r="ER197" s="11"/>
      <c r="ES197" s="69">
        <f t="shared" si="1289"/>
        <v>0</v>
      </c>
      <c r="ET197" s="69">
        <f t="shared" si="1289"/>
        <v>0</v>
      </c>
      <c r="EU197" s="11"/>
      <c r="EV197" s="12" t="e">
        <f t="shared" si="1259"/>
        <v>#DIV/0!</v>
      </c>
      <c r="EW197" s="11"/>
      <c r="EX197" s="12" t="e">
        <f t="shared" si="1260"/>
        <v>#DIV/0!</v>
      </c>
      <c r="EY197" s="11"/>
      <c r="EZ197" s="11"/>
      <c r="FA197" s="18"/>
      <c r="FB197" s="20"/>
      <c r="FC197" s="10"/>
      <c r="FD197" s="11"/>
      <c r="FE197" s="69">
        <f t="shared" si="1290"/>
        <v>0</v>
      </c>
      <c r="FF197" s="69">
        <f t="shared" si="1290"/>
        <v>0</v>
      </c>
      <c r="FG197" s="11"/>
      <c r="FH197" s="12" t="e">
        <f t="shared" si="1261"/>
        <v>#DIV/0!</v>
      </c>
      <c r="FI197" s="11"/>
      <c r="FJ197" s="12" t="e">
        <f t="shared" si="1262"/>
        <v>#DIV/0!</v>
      </c>
      <c r="FK197" s="11"/>
      <c r="FL197" s="11"/>
      <c r="FM197" s="18"/>
      <c r="FN197" s="20"/>
      <c r="FO197" s="10"/>
      <c r="FP197" s="11"/>
      <c r="FQ197" s="69">
        <f t="shared" si="1291"/>
        <v>0</v>
      </c>
      <c r="FR197" s="69">
        <f t="shared" si="1291"/>
        <v>0</v>
      </c>
      <c r="FS197" s="11"/>
      <c r="FT197" s="12" t="e">
        <f t="shared" si="1263"/>
        <v>#DIV/0!</v>
      </c>
      <c r="FU197" s="11"/>
      <c r="FV197" s="12" t="e">
        <f t="shared" si="1264"/>
        <v>#DIV/0!</v>
      </c>
      <c r="FW197" s="11"/>
      <c r="FX197" s="11"/>
      <c r="FY197" s="18"/>
      <c r="FZ197" s="20"/>
      <c r="GA197" s="10"/>
      <c r="GB197" s="11"/>
      <c r="GC197" s="69">
        <f t="shared" si="1292"/>
        <v>0</v>
      </c>
      <c r="GD197" s="69">
        <f t="shared" si="1292"/>
        <v>0</v>
      </c>
      <c r="GE197" s="11"/>
      <c r="GF197" s="12" t="e">
        <f t="shared" si="1265"/>
        <v>#DIV/0!</v>
      </c>
      <c r="GG197" s="11"/>
      <c r="GH197" s="12" t="e">
        <f t="shared" si="1266"/>
        <v>#DIV/0!</v>
      </c>
      <c r="GI197" s="11"/>
      <c r="GJ197" s="11"/>
      <c r="GK197" s="18"/>
      <c r="GL197" s="20"/>
      <c r="GM197" s="10"/>
      <c r="GN197" s="11"/>
      <c r="GO197" s="69">
        <f t="shared" si="1293"/>
        <v>0</v>
      </c>
      <c r="GP197" s="69">
        <f t="shared" si="1293"/>
        <v>0</v>
      </c>
      <c r="GQ197" s="11"/>
      <c r="GR197" s="12" t="e">
        <f t="shared" si="1267"/>
        <v>#DIV/0!</v>
      </c>
      <c r="GS197" s="11"/>
      <c r="GT197" s="12" t="e">
        <f t="shared" si="1268"/>
        <v>#DIV/0!</v>
      </c>
      <c r="GU197" s="11"/>
      <c r="GV197" s="11"/>
      <c r="GW197" s="18"/>
      <c r="GX197" s="20"/>
      <c r="GY197" s="10"/>
      <c r="GZ197" s="11"/>
      <c r="HA197" s="69">
        <f t="shared" si="1294"/>
        <v>0</v>
      </c>
      <c r="HB197" s="69">
        <f t="shared" si="1294"/>
        <v>0</v>
      </c>
      <c r="HC197" s="11"/>
      <c r="HD197" s="12" t="e">
        <f t="shared" si="1269"/>
        <v>#DIV/0!</v>
      </c>
      <c r="HE197" s="11"/>
      <c r="HF197" s="12" t="e">
        <f t="shared" si="1270"/>
        <v>#DIV/0!</v>
      </c>
      <c r="HG197" s="11"/>
      <c r="HH197" s="11"/>
      <c r="HI197" s="18"/>
      <c r="HJ197" s="20"/>
      <c r="HK197" s="10">
        <f t="shared" si="1271"/>
        <v>1</v>
      </c>
      <c r="HL197" s="11">
        <f t="shared" si="1271"/>
        <v>0</v>
      </c>
      <c r="HM197" s="11">
        <f t="shared" si="1271"/>
        <v>3465</v>
      </c>
      <c r="HN197" s="11">
        <f t="shared" si="1271"/>
        <v>292</v>
      </c>
      <c r="HO197" s="11">
        <f t="shared" si="1272"/>
        <v>1325</v>
      </c>
      <c r="HP197" s="95">
        <f t="shared" si="1273"/>
        <v>0.3823953823953824</v>
      </c>
      <c r="HQ197" s="15">
        <f t="shared" si="1274"/>
        <v>79</v>
      </c>
      <c r="HR197" s="12">
        <f t="shared" si="1295"/>
        <v>5.9622641509433964E-2</v>
      </c>
      <c r="HS197" s="16">
        <v>69.400000000000006</v>
      </c>
      <c r="HT197" s="17">
        <v>1197</v>
      </c>
      <c r="HU197" s="16">
        <f t="shared" si="1275"/>
        <v>90.339622641509436</v>
      </c>
      <c r="HV197" s="18"/>
      <c r="HW197" s="20"/>
    </row>
    <row r="198" spans="1:231" ht="18.75" x14ac:dyDescent="0.25">
      <c r="A198" s="374"/>
      <c r="B198" s="339">
        <f t="shared" si="1235"/>
        <v>45092</v>
      </c>
      <c r="C198" s="10"/>
      <c r="D198" s="11"/>
      <c r="E198" s="69">
        <f t="shared" si="1276"/>
        <v>614</v>
      </c>
      <c r="F198" s="69">
        <f t="shared" si="1276"/>
        <v>50</v>
      </c>
      <c r="G198" s="11">
        <v>254</v>
      </c>
      <c r="H198" s="12">
        <f t="shared" si="1236"/>
        <v>0.43648208469055377</v>
      </c>
      <c r="I198" s="11">
        <v>14</v>
      </c>
      <c r="J198" s="12">
        <f t="shared" si="1277"/>
        <v>5.2238805970149252E-2</v>
      </c>
      <c r="K198" s="13"/>
      <c r="L198" s="13"/>
      <c r="M198" s="25">
        <v>4185</v>
      </c>
      <c r="N198" s="38">
        <v>4580</v>
      </c>
      <c r="O198" s="10">
        <v>1</v>
      </c>
      <c r="P198" s="11"/>
      <c r="Q198" s="69">
        <f t="shared" si="1278"/>
        <v>621</v>
      </c>
      <c r="R198" s="69">
        <f t="shared" si="1278"/>
        <v>53</v>
      </c>
      <c r="S198" s="11">
        <v>241</v>
      </c>
      <c r="T198" s="12">
        <f t="shared" si="1237"/>
        <v>0.4251207729468599</v>
      </c>
      <c r="U198" s="11">
        <v>23</v>
      </c>
      <c r="V198" s="12">
        <f t="shared" si="1238"/>
        <v>8.7121212121212127E-2</v>
      </c>
      <c r="W198" s="13"/>
      <c r="X198" s="13"/>
      <c r="Y198" s="25">
        <v>4185</v>
      </c>
      <c r="Z198" s="38">
        <v>4580</v>
      </c>
      <c r="AA198" s="10">
        <v>1</v>
      </c>
      <c r="AB198" s="11"/>
      <c r="AC198" s="69">
        <f t="shared" si="1279"/>
        <v>159</v>
      </c>
      <c r="AD198" s="69">
        <f t="shared" si="1279"/>
        <v>11</v>
      </c>
      <c r="AE198" s="11">
        <v>35</v>
      </c>
      <c r="AF198" s="12">
        <f t="shared" si="1239"/>
        <v>0.25157232704402516</v>
      </c>
      <c r="AG198" s="11">
        <v>5</v>
      </c>
      <c r="AH198" s="12">
        <f t="shared" si="1240"/>
        <v>0.125</v>
      </c>
      <c r="AI198" s="13"/>
      <c r="AJ198" s="13"/>
      <c r="AK198" s="25">
        <v>4185</v>
      </c>
      <c r="AL198" s="38">
        <v>4580</v>
      </c>
      <c r="AM198" s="10"/>
      <c r="AN198" s="11"/>
      <c r="AO198" s="69">
        <f t="shared" si="1280"/>
        <v>689</v>
      </c>
      <c r="AP198" s="69">
        <f t="shared" si="1280"/>
        <v>60</v>
      </c>
      <c r="AQ198" s="11">
        <v>256</v>
      </c>
      <c r="AR198" s="12">
        <f t="shared" si="1241"/>
        <v>0.39912917271407838</v>
      </c>
      <c r="AS198" s="11">
        <v>19</v>
      </c>
      <c r="AT198" s="12">
        <f t="shared" si="1242"/>
        <v>6.9090909090909092E-2</v>
      </c>
      <c r="AU198" s="13"/>
      <c r="AV198" s="13"/>
      <c r="AW198" s="25">
        <v>4185</v>
      </c>
      <c r="AX198" s="38">
        <v>4580</v>
      </c>
      <c r="AY198" s="10"/>
      <c r="AZ198" s="11"/>
      <c r="BA198" s="69">
        <f t="shared" si="1281"/>
        <v>690</v>
      </c>
      <c r="BB198" s="69">
        <f t="shared" si="1281"/>
        <v>60</v>
      </c>
      <c r="BC198" s="11">
        <v>268</v>
      </c>
      <c r="BD198" s="12">
        <f t="shared" si="1243"/>
        <v>0.41449275362318838</v>
      </c>
      <c r="BE198" s="11">
        <v>18</v>
      </c>
      <c r="BF198" s="12">
        <f t="shared" si="1244"/>
        <v>6.2937062937062943E-2</v>
      </c>
      <c r="BG198" s="13"/>
      <c r="BH198" s="13"/>
      <c r="BI198" s="25">
        <v>4185</v>
      </c>
      <c r="BJ198" s="38">
        <v>4580</v>
      </c>
      <c r="BK198" s="10"/>
      <c r="BL198" s="11"/>
      <c r="BM198" s="69">
        <f t="shared" si="1282"/>
        <v>690</v>
      </c>
      <c r="BN198" s="69">
        <f t="shared" si="1282"/>
        <v>58</v>
      </c>
      <c r="BO198" s="11">
        <v>287</v>
      </c>
      <c r="BP198" s="12">
        <f t="shared" si="1245"/>
        <v>0.43768115942028984</v>
      </c>
      <c r="BQ198" s="11">
        <v>15</v>
      </c>
      <c r="BR198" s="12">
        <f t="shared" si="1246"/>
        <v>4.9668874172185427E-2</v>
      </c>
      <c r="BS198" s="13"/>
      <c r="BT198" s="13"/>
      <c r="BU198" s="25">
        <v>4185</v>
      </c>
      <c r="BV198" s="38">
        <v>4580</v>
      </c>
      <c r="BW198" s="10"/>
      <c r="BX198" s="11"/>
      <c r="BY198" s="69">
        <f t="shared" si="1283"/>
        <v>0</v>
      </c>
      <c r="BZ198" s="69">
        <f t="shared" si="1283"/>
        <v>0</v>
      </c>
      <c r="CA198" s="11"/>
      <c r="CB198" s="12" t="e">
        <f t="shared" si="1247"/>
        <v>#DIV/0!</v>
      </c>
      <c r="CC198" s="11"/>
      <c r="CD198" s="12" t="e">
        <f t="shared" si="1248"/>
        <v>#DIV/0!</v>
      </c>
      <c r="CE198" s="13"/>
      <c r="CF198" s="13"/>
      <c r="CG198" s="25"/>
      <c r="CH198" s="38"/>
      <c r="CI198" s="10"/>
      <c r="CJ198" s="11"/>
      <c r="CK198" s="69">
        <f t="shared" si="1284"/>
        <v>0</v>
      </c>
      <c r="CL198" s="69">
        <f t="shared" si="1284"/>
        <v>0</v>
      </c>
      <c r="CM198" s="11"/>
      <c r="CN198" s="12" t="e">
        <f t="shared" si="1249"/>
        <v>#DIV/0!</v>
      </c>
      <c r="CO198" s="11"/>
      <c r="CP198" s="12" t="e">
        <f t="shared" si="1250"/>
        <v>#DIV/0!</v>
      </c>
      <c r="CQ198" s="13"/>
      <c r="CR198" s="13"/>
      <c r="CS198" s="25"/>
      <c r="CT198" s="38"/>
      <c r="CU198" s="10"/>
      <c r="CV198" s="11"/>
      <c r="CW198" s="69">
        <f t="shared" si="1285"/>
        <v>0</v>
      </c>
      <c r="CX198" s="69">
        <f t="shared" si="1285"/>
        <v>0</v>
      </c>
      <c r="CY198" s="11"/>
      <c r="CZ198" s="12" t="e">
        <f t="shared" si="1251"/>
        <v>#DIV/0!</v>
      </c>
      <c r="DA198" s="11"/>
      <c r="DB198" s="12" t="e">
        <f t="shared" si="1252"/>
        <v>#DIV/0!</v>
      </c>
      <c r="DC198" s="13"/>
      <c r="DD198" s="13"/>
      <c r="DE198" s="25"/>
      <c r="DF198" s="38"/>
      <c r="DG198" s="10"/>
      <c r="DH198" s="11"/>
      <c r="DI198" s="69">
        <f t="shared" si="1286"/>
        <v>0</v>
      </c>
      <c r="DJ198" s="69">
        <f t="shared" si="1286"/>
        <v>0</v>
      </c>
      <c r="DK198" s="11"/>
      <c r="DL198" s="12" t="e">
        <f t="shared" si="1253"/>
        <v>#DIV/0!</v>
      </c>
      <c r="DM198" s="11"/>
      <c r="DN198" s="12" t="e">
        <f t="shared" si="1254"/>
        <v>#DIV/0!</v>
      </c>
      <c r="DO198" s="13"/>
      <c r="DP198" s="13"/>
      <c r="DQ198" s="25"/>
      <c r="DR198" s="38"/>
      <c r="DS198" s="10"/>
      <c r="DT198" s="11"/>
      <c r="DU198" s="69">
        <f t="shared" si="1287"/>
        <v>0</v>
      </c>
      <c r="DV198" s="69">
        <f t="shared" si="1287"/>
        <v>0</v>
      </c>
      <c r="DW198" s="11"/>
      <c r="DX198" s="12" t="e">
        <f t="shared" si="1255"/>
        <v>#DIV/0!</v>
      </c>
      <c r="DY198" s="11"/>
      <c r="DZ198" s="12" t="e">
        <f t="shared" si="1256"/>
        <v>#DIV/0!</v>
      </c>
      <c r="EA198" s="13"/>
      <c r="EB198" s="13"/>
      <c r="EC198" s="25"/>
      <c r="ED198" s="38"/>
      <c r="EE198" s="10"/>
      <c r="EF198" s="11"/>
      <c r="EG198" s="69">
        <f t="shared" si="1288"/>
        <v>0</v>
      </c>
      <c r="EH198" s="69">
        <f t="shared" si="1288"/>
        <v>0</v>
      </c>
      <c r="EI198" s="11"/>
      <c r="EJ198" s="12" t="e">
        <f t="shared" si="1257"/>
        <v>#DIV/0!</v>
      </c>
      <c r="EK198" s="11"/>
      <c r="EL198" s="12" t="e">
        <f t="shared" si="1258"/>
        <v>#DIV/0!</v>
      </c>
      <c r="EM198" s="13"/>
      <c r="EN198" s="13"/>
      <c r="EO198" s="25"/>
      <c r="EP198" s="38"/>
      <c r="EQ198" s="10"/>
      <c r="ER198" s="11"/>
      <c r="ES198" s="69">
        <f t="shared" si="1289"/>
        <v>0</v>
      </c>
      <c r="ET198" s="69">
        <f t="shared" si="1289"/>
        <v>0</v>
      </c>
      <c r="EU198" s="11"/>
      <c r="EV198" s="12" t="e">
        <f t="shared" si="1259"/>
        <v>#DIV/0!</v>
      </c>
      <c r="EW198" s="11"/>
      <c r="EX198" s="12" t="e">
        <f t="shared" si="1260"/>
        <v>#DIV/0!</v>
      </c>
      <c r="EY198" s="13"/>
      <c r="EZ198" s="13"/>
      <c r="FA198" s="25"/>
      <c r="FB198" s="38"/>
      <c r="FC198" s="10"/>
      <c r="FD198" s="11"/>
      <c r="FE198" s="69">
        <f t="shared" si="1290"/>
        <v>0</v>
      </c>
      <c r="FF198" s="69">
        <f t="shared" si="1290"/>
        <v>0</v>
      </c>
      <c r="FG198" s="11"/>
      <c r="FH198" s="12" t="e">
        <f t="shared" si="1261"/>
        <v>#DIV/0!</v>
      </c>
      <c r="FI198" s="11"/>
      <c r="FJ198" s="12" t="e">
        <f t="shared" si="1262"/>
        <v>#DIV/0!</v>
      </c>
      <c r="FK198" s="13"/>
      <c r="FL198" s="13"/>
      <c r="FM198" s="25"/>
      <c r="FN198" s="38"/>
      <c r="FO198" s="10"/>
      <c r="FP198" s="11"/>
      <c r="FQ198" s="69">
        <f t="shared" si="1291"/>
        <v>0</v>
      </c>
      <c r="FR198" s="69">
        <f t="shared" si="1291"/>
        <v>0</v>
      </c>
      <c r="FS198" s="11"/>
      <c r="FT198" s="12" t="e">
        <f t="shared" si="1263"/>
        <v>#DIV/0!</v>
      </c>
      <c r="FU198" s="11"/>
      <c r="FV198" s="12" t="e">
        <f t="shared" si="1264"/>
        <v>#DIV/0!</v>
      </c>
      <c r="FW198" s="13"/>
      <c r="FX198" s="13"/>
      <c r="FY198" s="25"/>
      <c r="FZ198" s="38"/>
      <c r="GA198" s="10"/>
      <c r="GB198" s="11"/>
      <c r="GC198" s="69">
        <f t="shared" si="1292"/>
        <v>0</v>
      </c>
      <c r="GD198" s="69">
        <f t="shared" si="1292"/>
        <v>0</v>
      </c>
      <c r="GE198" s="11"/>
      <c r="GF198" s="12" t="e">
        <f t="shared" si="1265"/>
        <v>#DIV/0!</v>
      </c>
      <c r="GG198" s="11"/>
      <c r="GH198" s="12" t="e">
        <f t="shared" si="1266"/>
        <v>#DIV/0!</v>
      </c>
      <c r="GI198" s="13"/>
      <c r="GJ198" s="13"/>
      <c r="GK198" s="25"/>
      <c r="GL198" s="38"/>
      <c r="GM198" s="10"/>
      <c r="GN198" s="11"/>
      <c r="GO198" s="69">
        <f t="shared" si="1293"/>
        <v>0</v>
      </c>
      <c r="GP198" s="69">
        <f t="shared" si="1293"/>
        <v>0</v>
      </c>
      <c r="GQ198" s="11"/>
      <c r="GR198" s="12" t="e">
        <f t="shared" si="1267"/>
        <v>#DIV/0!</v>
      </c>
      <c r="GS198" s="11"/>
      <c r="GT198" s="12" t="e">
        <f t="shared" si="1268"/>
        <v>#DIV/0!</v>
      </c>
      <c r="GU198" s="13"/>
      <c r="GV198" s="13"/>
      <c r="GW198" s="25"/>
      <c r="GX198" s="38"/>
      <c r="GY198" s="10"/>
      <c r="GZ198" s="11"/>
      <c r="HA198" s="69">
        <f t="shared" si="1294"/>
        <v>0</v>
      </c>
      <c r="HB198" s="69">
        <f t="shared" si="1294"/>
        <v>0</v>
      </c>
      <c r="HC198" s="11"/>
      <c r="HD198" s="12" t="e">
        <f t="shared" si="1269"/>
        <v>#DIV/0!</v>
      </c>
      <c r="HE198" s="11"/>
      <c r="HF198" s="12" t="e">
        <f t="shared" si="1270"/>
        <v>#DIV/0!</v>
      </c>
      <c r="HG198" s="13"/>
      <c r="HH198" s="13"/>
      <c r="HI198" s="25"/>
      <c r="HJ198" s="38"/>
      <c r="HK198" s="10">
        <f t="shared" si="1271"/>
        <v>2</v>
      </c>
      <c r="HL198" s="11">
        <f t="shared" si="1271"/>
        <v>0</v>
      </c>
      <c r="HM198" s="11">
        <f t="shared" si="1271"/>
        <v>3463</v>
      </c>
      <c r="HN198" s="11">
        <f t="shared" si="1271"/>
        <v>292</v>
      </c>
      <c r="HO198" s="11">
        <f t="shared" si="1272"/>
        <v>1435</v>
      </c>
      <c r="HP198" s="95">
        <f t="shared" si="1273"/>
        <v>0.41438059485994805</v>
      </c>
      <c r="HQ198" s="15">
        <f t="shared" si="1274"/>
        <v>94</v>
      </c>
      <c r="HR198" s="12">
        <f t="shared" si="1295"/>
        <v>6.5505226480836232E-2</v>
      </c>
      <c r="HS198" s="16">
        <v>69.599999999999994</v>
      </c>
      <c r="HT198" s="17">
        <v>1282</v>
      </c>
      <c r="HU198" s="16">
        <f t="shared" si="1275"/>
        <v>89.337979094076658</v>
      </c>
      <c r="HV198" s="23">
        <v>4185</v>
      </c>
      <c r="HW198" s="22">
        <v>4580</v>
      </c>
    </row>
    <row r="199" spans="1:231" ht="18.75" x14ac:dyDescent="0.25">
      <c r="A199" s="374"/>
      <c r="B199" s="41">
        <f t="shared" si="1235"/>
        <v>45093</v>
      </c>
      <c r="C199" s="10"/>
      <c r="D199" s="11"/>
      <c r="E199" s="69">
        <f t="shared" si="1276"/>
        <v>614</v>
      </c>
      <c r="F199" s="69">
        <v>51</v>
      </c>
      <c r="G199" s="11">
        <v>230</v>
      </c>
      <c r="H199" s="12">
        <f t="shared" si="1236"/>
        <v>0.40879478827361565</v>
      </c>
      <c r="I199" s="11">
        <v>21</v>
      </c>
      <c r="J199" s="12">
        <f t="shared" si="1277"/>
        <v>8.3665338645418322E-2</v>
      </c>
      <c r="K199" s="13"/>
      <c r="L199" s="11"/>
      <c r="M199" s="25">
        <v>4571.72</v>
      </c>
      <c r="N199" s="38">
        <v>4513.33</v>
      </c>
      <c r="O199" s="10"/>
      <c r="P199" s="11"/>
      <c r="Q199" s="69">
        <f t="shared" si="1278"/>
        <v>621</v>
      </c>
      <c r="R199" s="69">
        <v>51</v>
      </c>
      <c r="S199" s="11">
        <v>237</v>
      </c>
      <c r="T199" s="12">
        <f t="shared" si="1237"/>
        <v>0.41545893719806765</v>
      </c>
      <c r="U199" s="11">
        <v>21</v>
      </c>
      <c r="V199" s="12">
        <f t="shared" si="1238"/>
        <v>8.1395348837209308E-2</v>
      </c>
      <c r="W199" s="13"/>
      <c r="X199" s="11"/>
      <c r="Y199" s="25">
        <v>4643.45</v>
      </c>
      <c r="Z199" s="38">
        <v>4785</v>
      </c>
      <c r="AA199" s="10"/>
      <c r="AB199" s="11"/>
      <c r="AC199" s="69">
        <f t="shared" si="1279"/>
        <v>159</v>
      </c>
      <c r="AD199" s="69">
        <v>13</v>
      </c>
      <c r="AE199" s="11">
        <v>44</v>
      </c>
      <c r="AF199" s="12">
        <f t="shared" si="1239"/>
        <v>0.28930817610062892</v>
      </c>
      <c r="AG199" s="11">
        <v>2</v>
      </c>
      <c r="AH199" s="12">
        <f t="shared" si="1240"/>
        <v>4.3478260869565216E-2</v>
      </c>
      <c r="AI199" s="13"/>
      <c r="AJ199" s="11"/>
      <c r="AK199" s="25">
        <v>4463.33</v>
      </c>
      <c r="AL199" s="38">
        <v>4205</v>
      </c>
      <c r="AM199" s="10"/>
      <c r="AN199" s="11"/>
      <c r="AO199" s="69">
        <f t="shared" si="1280"/>
        <v>689</v>
      </c>
      <c r="AP199" s="69">
        <v>57</v>
      </c>
      <c r="AQ199" s="11">
        <v>266</v>
      </c>
      <c r="AR199" s="12">
        <f t="shared" si="1241"/>
        <v>0.41364296081277213</v>
      </c>
      <c r="AS199" s="11">
        <v>19</v>
      </c>
      <c r="AT199" s="12">
        <f t="shared" si="1242"/>
        <v>6.6666666666666666E-2</v>
      </c>
      <c r="AU199" s="13"/>
      <c r="AV199" s="11"/>
      <c r="AW199" s="25">
        <v>4583.03</v>
      </c>
      <c r="AX199" s="38">
        <v>4896.1499999999996</v>
      </c>
      <c r="AY199" s="10"/>
      <c r="AZ199" s="11"/>
      <c r="BA199" s="69">
        <f t="shared" si="1281"/>
        <v>690</v>
      </c>
      <c r="BB199" s="69">
        <v>58</v>
      </c>
      <c r="BC199" s="11">
        <v>249</v>
      </c>
      <c r="BD199" s="12">
        <f t="shared" si="1243"/>
        <v>0.39130434782608697</v>
      </c>
      <c r="BE199" s="11">
        <v>21</v>
      </c>
      <c r="BF199" s="12">
        <f t="shared" si="1244"/>
        <v>7.7777777777777779E-2</v>
      </c>
      <c r="BG199" s="13"/>
      <c r="BH199" s="11"/>
      <c r="BI199" s="25">
        <v>4815.33</v>
      </c>
      <c r="BJ199" s="38">
        <v>5208.33</v>
      </c>
      <c r="BK199" s="10"/>
      <c r="BL199" s="11"/>
      <c r="BM199" s="69">
        <f t="shared" si="1282"/>
        <v>690</v>
      </c>
      <c r="BN199" s="69">
        <v>58</v>
      </c>
      <c r="BO199" s="11">
        <v>285</v>
      </c>
      <c r="BP199" s="12">
        <f t="shared" si="1245"/>
        <v>0.43043478260869567</v>
      </c>
      <c r="BQ199" s="11">
        <v>12</v>
      </c>
      <c r="BR199" s="12">
        <f t="shared" si="1246"/>
        <v>4.0404040404040407E-2</v>
      </c>
      <c r="BS199" s="13"/>
      <c r="BT199" s="11"/>
      <c r="BU199" s="25">
        <v>4709.3900000000003</v>
      </c>
      <c r="BV199" s="38">
        <v>5151.54</v>
      </c>
      <c r="BW199" s="10"/>
      <c r="BX199" s="11"/>
      <c r="BY199" s="69">
        <f t="shared" si="1283"/>
        <v>0</v>
      </c>
      <c r="BZ199" s="69">
        <f t="shared" si="1283"/>
        <v>0</v>
      </c>
      <c r="CA199" s="11"/>
      <c r="CB199" s="12" t="e">
        <f t="shared" si="1247"/>
        <v>#DIV/0!</v>
      </c>
      <c r="CC199" s="11"/>
      <c r="CD199" s="12" t="e">
        <f t="shared" si="1248"/>
        <v>#DIV/0!</v>
      </c>
      <c r="CE199" s="13"/>
      <c r="CF199" s="11"/>
      <c r="CG199" s="25"/>
      <c r="CH199" s="38"/>
      <c r="CI199" s="10"/>
      <c r="CJ199" s="11"/>
      <c r="CK199" s="69">
        <f t="shared" si="1284"/>
        <v>0</v>
      </c>
      <c r="CL199" s="69">
        <f t="shared" si="1284"/>
        <v>0</v>
      </c>
      <c r="CM199" s="11"/>
      <c r="CN199" s="12" t="e">
        <f t="shared" si="1249"/>
        <v>#DIV/0!</v>
      </c>
      <c r="CO199" s="11"/>
      <c r="CP199" s="12" t="e">
        <f t="shared" si="1250"/>
        <v>#DIV/0!</v>
      </c>
      <c r="CQ199" s="13"/>
      <c r="CR199" s="11"/>
      <c r="CS199" s="25"/>
      <c r="CT199" s="38"/>
      <c r="CU199" s="10"/>
      <c r="CV199" s="11"/>
      <c r="CW199" s="69">
        <f t="shared" si="1285"/>
        <v>0</v>
      </c>
      <c r="CX199" s="69">
        <f t="shared" si="1285"/>
        <v>0</v>
      </c>
      <c r="CY199" s="11"/>
      <c r="CZ199" s="12" t="e">
        <f t="shared" si="1251"/>
        <v>#DIV/0!</v>
      </c>
      <c r="DA199" s="11"/>
      <c r="DB199" s="12" t="e">
        <f t="shared" si="1252"/>
        <v>#DIV/0!</v>
      </c>
      <c r="DC199" s="13"/>
      <c r="DD199" s="11"/>
      <c r="DE199" s="25"/>
      <c r="DF199" s="38"/>
      <c r="DG199" s="10"/>
      <c r="DH199" s="11"/>
      <c r="DI199" s="69">
        <f t="shared" si="1286"/>
        <v>0</v>
      </c>
      <c r="DJ199" s="69">
        <f t="shared" si="1286"/>
        <v>0</v>
      </c>
      <c r="DK199" s="11"/>
      <c r="DL199" s="12" t="e">
        <f t="shared" si="1253"/>
        <v>#DIV/0!</v>
      </c>
      <c r="DM199" s="11"/>
      <c r="DN199" s="12" t="e">
        <f t="shared" si="1254"/>
        <v>#DIV/0!</v>
      </c>
      <c r="DO199" s="13"/>
      <c r="DP199" s="11"/>
      <c r="DQ199" s="25"/>
      <c r="DR199" s="38"/>
      <c r="DS199" s="10"/>
      <c r="DT199" s="11"/>
      <c r="DU199" s="69">
        <f t="shared" si="1287"/>
        <v>0</v>
      </c>
      <c r="DV199" s="69">
        <f t="shared" si="1287"/>
        <v>0</v>
      </c>
      <c r="DW199" s="11"/>
      <c r="DX199" s="12" t="e">
        <f t="shared" si="1255"/>
        <v>#DIV/0!</v>
      </c>
      <c r="DY199" s="11"/>
      <c r="DZ199" s="12" t="e">
        <f t="shared" si="1256"/>
        <v>#DIV/0!</v>
      </c>
      <c r="EA199" s="13"/>
      <c r="EB199" s="11"/>
      <c r="EC199" s="25"/>
      <c r="ED199" s="38"/>
      <c r="EE199" s="10"/>
      <c r="EF199" s="11"/>
      <c r="EG199" s="69">
        <f t="shared" si="1288"/>
        <v>0</v>
      </c>
      <c r="EH199" s="69">
        <f t="shared" si="1288"/>
        <v>0</v>
      </c>
      <c r="EI199" s="11"/>
      <c r="EJ199" s="12" t="e">
        <f t="shared" si="1257"/>
        <v>#DIV/0!</v>
      </c>
      <c r="EK199" s="11"/>
      <c r="EL199" s="12" t="e">
        <f t="shared" si="1258"/>
        <v>#DIV/0!</v>
      </c>
      <c r="EM199" s="13"/>
      <c r="EN199" s="11"/>
      <c r="EO199" s="25"/>
      <c r="EP199" s="38"/>
      <c r="EQ199" s="10"/>
      <c r="ER199" s="11"/>
      <c r="ES199" s="69">
        <f t="shared" si="1289"/>
        <v>0</v>
      </c>
      <c r="ET199" s="69">
        <f t="shared" si="1289"/>
        <v>0</v>
      </c>
      <c r="EU199" s="11"/>
      <c r="EV199" s="12" t="e">
        <f t="shared" si="1259"/>
        <v>#DIV/0!</v>
      </c>
      <c r="EW199" s="11"/>
      <c r="EX199" s="12" t="e">
        <f t="shared" si="1260"/>
        <v>#DIV/0!</v>
      </c>
      <c r="EY199" s="13"/>
      <c r="EZ199" s="11"/>
      <c r="FA199" s="25"/>
      <c r="FB199" s="38"/>
      <c r="FC199" s="10"/>
      <c r="FD199" s="11"/>
      <c r="FE199" s="69">
        <f t="shared" si="1290"/>
        <v>0</v>
      </c>
      <c r="FF199" s="69">
        <f t="shared" si="1290"/>
        <v>0</v>
      </c>
      <c r="FG199" s="11"/>
      <c r="FH199" s="12" t="e">
        <f t="shared" si="1261"/>
        <v>#DIV/0!</v>
      </c>
      <c r="FI199" s="11"/>
      <c r="FJ199" s="12" t="e">
        <f t="shared" si="1262"/>
        <v>#DIV/0!</v>
      </c>
      <c r="FK199" s="13"/>
      <c r="FL199" s="11"/>
      <c r="FM199" s="25"/>
      <c r="FN199" s="38"/>
      <c r="FO199" s="10"/>
      <c r="FP199" s="11"/>
      <c r="FQ199" s="69">
        <f t="shared" si="1291"/>
        <v>0</v>
      </c>
      <c r="FR199" s="69">
        <f t="shared" si="1291"/>
        <v>0</v>
      </c>
      <c r="FS199" s="11"/>
      <c r="FT199" s="12" t="e">
        <f t="shared" si="1263"/>
        <v>#DIV/0!</v>
      </c>
      <c r="FU199" s="11"/>
      <c r="FV199" s="12" t="e">
        <f t="shared" si="1264"/>
        <v>#DIV/0!</v>
      </c>
      <c r="FW199" s="13"/>
      <c r="FX199" s="11"/>
      <c r="FY199" s="25"/>
      <c r="FZ199" s="38"/>
      <c r="GA199" s="10"/>
      <c r="GB199" s="11"/>
      <c r="GC199" s="69">
        <f t="shared" si="1292"/>
        <v>0</v>
      </c>
      <c r="GD199" s="69">
        <f t="shared" si="1292"/>
        <v>0</v>
      </c>
      <c r="GE199" s="11"/>
      <c r="GF199" s="12" t="e">
        <f t="shared" si="1265"/>
        <v>#DIV/0!</v>
      </c>
      <c r="GG199" s="11"/>
      <c r="GH199" s="12" t="e">
        <f t="shared" si="1266"/>
        <v>#DIV/0!</v>
      </c>
      <c r="GI199" s="13"/>
      <c r="GJ199" s="11"/>
      <c r="GK199" s="25"/>
      <c r="GL199" s="38"/>
      <c r="GM199" s="10"/>
      <c r="GN199" s="11"/>
      <c r="GO199" s="69">
        <f t="shared" si="1293"/>
        <v>0</v>
      </c>
      <c r="GP199" s="69">
        <f t="shared" si="1293"/>
        <v>0</v>
      </c>
      <c r="GQ199" s="11"/>
      <c r="GR199" s="12" t="e">
        <f t="shared" si="1267"/>
        <v>#DIV/0!</v>
      </c>
      <c r="GS199" s="11"/>
      <c r="GT199" s="12" t="e">
        <f t="shared" si="1268"/>
        <v>#DIV/0!</v>
      </c>
      <c r="GU199" s="13"/>
      <c r="GV199" s="11"/>
      <c r="GW199" s="25"/>
      <c r="GX199" s="38"/>
      <c r="GY199" s="10"/>
      <c r="GZ199" s="11"/>
      <c r="HA199" s="69">
        <f t="shared" si="1294"/>
        <v>0</v>
      </c>
      <c r="HB199" s="69">
        <f t="shared" si="1294"/>
        <v>0</v>
      </c>
      <c r="HC199" s="11"/>
      <c r="HD199" s="12" t="e">
        <f t="shared" si="1269"/>
        <v>#DIV/0!</v>
      </c>
      <c r="HE199" s="11"/>
      <c r="HF199" s="12" t="e">
        <f t="shared" si="1270"/>
        <v>#DIV/0!</v>
      </c>
      <c r="HG199" s="13"/>
      <c r="HH199" s="11"/>
      <c r="HI199" s="25"/>
      <c r="HJ199" s="38"/>
      <c r="HK199" s="10">
        <f t="shared" si="1271"/>
        <v>0</v>
      </c>
      <c r="HL199" s="11">
        <v>4</v>
      </c>
      <c r="HM199" s="11">
        <f t="shared" si="1271"/>
        <v>3463</v>
      </c>
      <c r="HN199" s="11">
        <f t="shared" si="1271"/>
        <v>288</v>
      </c>
      <c r="HO199" s="11">
        <f t="shared" si="1272"/>
        <v>1407</v>
      </c>
      <c r="HP199" s="95">
        <f t="shared" si="1273"/>
        <v>0.40629511983829047</v>
      </c>
      <c r="HQ199" s="15">
        <f t="shared" si="1274"/>
        <v>96</v>
      </c>
      <c r="HR199" s="12">
        <f t="shared" si="1295"/>
        <v>6.8230277185501065E-2</v>
      </c>
      <c r="HS199" s="16">
        <v>69.8</v>
      </c>
      <c r="HT199" s="17">
        <v>1243</v>
      </c>
      <c r="HU199" s="16">
        <f t="shared" si="1275"/>
        <v>88.343994314143572</v>
      </c>
      <c r="HV199" s="23">
        <v>4653.5</v>
      </c>
      <c r="HW199" s="22">
        <v>4874.22</v>
      </c>
    </row>
    <row r="200" spans="1:231" ht="18.75" x14ac:dyDescent="0.25">
      <c r="A200" s="374"/>
      <c r="B200" s="41">
        <f t="shared" si="1235"/>
        <v>45094</v>
      </c>
      <c r="C200" s="10"/>
      <c r="D200" s="11">
        <v>4</v>
      </c>
      <c r="E200" s="69">
        <f>E199-C200</f>
        <v>614</v>
      </c>
      <c r="F200" s="69">
        <f>F199-D200</f>
        <v>47</v>
      </c>
      <c r="G200" s="11">
        <v>256</v>
      </c>
      <c r="H200" s="12">
        <f t="shared" si="1236"/>
        <v>0.43973941368078173</v>
      </c>
      <c r="I200" s="11">
        <v>14</v>
      </c>
      <c r="J200" s="12">
        <f t="shared" si="1277"/>
        <v>5.185185185185185E-2</v>
      </c>
      <c r="K200" s="13"/>
      <c r="L200" s="11"/>
      <c r="M200" s="39">
        <v>93.1</v>
      </c>
      <c r="N200" s="43">
        <v>100</v>
      </c>
      <c r="O200" s="10"/>
      <c r="P200" s="11">
        <v>4</v>
      </c>
      <c r="Q200" s="69">
        <f t="shared" si="1278"/>
        <v>621</v>
      </c>
      <c r="R200" s="69">
        <f t="shared" si="1278"/>
        <v>47</v>
      </c>
      <c r="S200" s="11">
        <v>250</v>
      </c>
      <c r="T200" s="12">
        <f t="shared" si="1237"/>
        <v>0.41867954911433175</v>
      </c>
      <c r="U200" s="11">
        <v>10</v>
      </c>
      <c r="V200" s="12">
        <f t="shared" si="1238"/>
        <v>3.8461538461538464E-2</v>
      </c>
      <c r="W200" s="13"/>
      <c r="X200" s="11"/>
      <c r="Y200" s="39">
        <v>93.1</v>
      </c>
      <c r="Z200" s="43">
        <v>100</v>
      </c>
      <c r="AA200" s="10">
        <v>1</v>
      </c>
      <c r="AB200" s="11">
        <v>2</v>
      </c>
      <c r="AC200" s="69">
        <f t="shared" si="1279"/>
        <v>158</v>
      </c>
      <c r="AD200" s="69">
        <f t="shared" si="1279"/>
        <v>11</v>
      </c>
      <c r="AE200" s="11">
        <v>37</v>
      </c>
      <c r="AF200" s="12">
        <f t="shared" si="1239"/>
        <v>0.27848101265822783</v>
      </c>
      <c r="AG200" s="11">
        <v>7</v>
      </c>
      <c r="AH200" s="12">
        <f t="shared" si="1240"/>
        <v>0.15909090909090909</v>
      </c>
      <c r="AI200" s="13"/>
      <c r="AJ200" s="11"/>
      <c r="AK200" s="39">
        <v>100</v>
      </c>
      <c r="AL200" s="43">
        <v>100</v>
      </c>
      <c r="AM200" s="10"/>
      <c r="AN200" s="11">
        <v>4</v>
      </c>
      <c r="AO200" s="69">
        <f t="shared" si="1280"/>
        <v>689</v>
      </c>
      <c r="AP200" s="69">
        <f t="shared" si="1280"/>
        <v>53</v>
      </c>
      <c r="AQ200" s="11">
        <v>241</v>
      </c>
      <c r="AR200" s="12">
        <f t="shared" si="1241"/>
        <v>0.36284470246734396</v>
      </c>
      <c r="AS200" s="11">
        <v>9</v>
      </c>
      <c r="AT200" s="12">
        <f t="shared" si="1242"/>
        <v>3.5999999999999997E-2</v>
      </c>
      <c r="AU200" s="13"/>
      <c r="AV200" s="11"/>
      <c r="AW200" s="39">
        <v>78.8</v>
      </c>
      <c r="AX200" s="43">
        <v>92.3</v>
      </c>
      <c r="AY200" s="10"/>
      <c r="AZ200" s="11">
        <v>5</v>
      </c>
      <c r="BA200" s="69">
        <f t="shared" si="1281"/>
        <v>690</v>
      </c>
      <c r="BB200" s="69">
        <f t="shared" si="1281"/>
        <v>53</v>
      </c>
      <c r="BC200" s="11">
        <v>266</v>
      </c>
      <c r="BD200" s="12">
        <f t="shared" si="1243"/>
        <v>0.41014492753623188</v>
      </c>
      <c r="BE200" s="11">
        <v>17</v>
      </c>
      <c r="BF200" s="12">
        <f t="shared" si="1244"/>
        <v>6.0070671378091869E-2</v>
      </c>
      <c r="BG200" s="13"/>
      <c r="BH200" s="11"/>
      <c r="BI200" s="39">
        <v>100</v>
      </c>
      <c r="BJ200" s="43">
        <v>100</v>
      </c>
      <c r="BK200" s="10"/>
      <c r="BL200" s="11">
        <v>5</v>
      </c>
      <c r="BM200" s="69">
        <f t="shared" si="1282"/>
        <v>690</v>
      </c>
      <c r="BN200" s="69">
        <f t="shared" si="1282"/>
        <v>53</v>
      </c>
      <c r="BO200" s="11">
        <v>272</v>
      </c>
      <c r="BP200" s="12">
        <f t="shared" si="1245"/>
        <v>0.41449275362318838</v>
      </c>
      <c r="BQ200" s="11">
        <v>14</v>
      </c>
      <c r="BR200" s="12">
        <f t="shared" si="1246"/>
        <v>4.8951048951048952E-2</v>
      </c>
      <c r="BS200" s="13"/>
      <c r="BT200" s="11"/>
      <c r="BU200" s="39">
        <v>66.67</v>
      </c>
      <c r="BV200" s="43">
        <v>100</v>
      </c>
      <c r="BW200" s="10"/>
      <c r="BX200" s="11"/>
      <c r="BY200" s="69">
        <f t="shared" si="1283"/>
        <v>0</v>
      </c>
      <c r="BZ200" s="69">
        <f t="shared" si="1283"/>
        <v>0</v>
      </c>
      <c r="CA200" s="11"/>
      <c r="CB200" s="12" t="e">
        <f t="shared" si="1247"/>
        <v>#DIV/0!</v>
      </c>
      <c r="CC200" s="11"/>
      <c r="CD200" s="12" t="e">
        <f t="shared" si="1248"/>
        <v>#DIV/0!</v>
      </c>
      <c r="CE200" s="13"/>
      <c r="CF200" s="11"/>
      <c r="CG200" s="39"/>
      <c r="CH200" s="43"/>
      <c r="CI200" s="10"/>
      <c r="CJ200" s="11"/>
      <c r="CK200" s="69">
        <f t="shared" si="1284"/>
        <v>0</v>
      </c>
      <c r="CL200" s="69">
        <f t="shared" si="1284"/>
        <v>0</v>
      </c>
      <c r="CM200" s="11"/>
      <c r="CN200" s="12" t="e">
        <f t="shared" si="1249"/>
        <v>#DIV/0!</v>
      </c>
      <c r="CO200" s="11"/>
      <c r="CP200" s="12" t="e">
        <f t="shared" si="1250"/>
        <v>#DIV/0!</v>
      </c>
      <c r="CQ200" s="13"/>
      <c r="CR200" s="11"/>
      <c r="CS200" s="39"/>
      <c r="CT200" s="43"/>
      <c r="CU200" s="10"/>
      <c r="CV200" s="11"/>
      <c r="CW200" s="69">
        <f t="shared" si="1285"/>
        <v>0</v>
      </c>
      <c r="CX200" s="69">
        <f t="shared" si="1285"/>
        <v>0</v>
      </c>
      <c r="CY200" s="11"/>
      <c r="CZ200" s="12" t="e">
        <f t="shared" si="1251"/>
        <v>#DIV/0!</v>
      </c>
      <c r="DA200" s="11"/>
      <c r="DB200" s="12" t="e">
        <f t="shared" si="1252"/>
        <v>#DIV/0!</v>
      </c>
      <c r="DC200" s="13"/>
      <c r="DD200" s="11"/>
      <c r="DE200" s="39"/>
      <c r="DF200" s="43"/>
      <c r="DG200" s="10"/>
      <c r="DH200" s="11"/>
      <c r="DI200" s="69">
        <f t="shared" si="1286"/>
        <v>0</v>
      </c>
      <c r="DJ200" s="69">
        <f t="shared" si="1286"/>
        <v>0</v>
      </c>
      <c r="DK200" s="11"/>
      <c r="DL200" s="12" t="e">
        <f t="shared" si="1253"/>
        <v>#DIV/0!</v>
      </c>
      <c r="DM200" s="11"/>
      <c r="DN200" s="12" t="e">
        <f t="shared" si="1254"/>
        <v>#DIV/0!</v>
      </c>
      <c r="DO200" s="13"/>
      <c r="DP200" s="11"/>
      <c r="DQ200" s="39"/>
      <c r="DR200" s="43"/>
      <c r="DS200" s="10"/>
      <c r="DT200" s="11"/>
      <c r="DU200" s="69">
        <f t="shared" si="1287"/>
        <v>0</v>
      </c>
      <c r="DV200" s="69">
        <f t="shared" si="1287"/>
        <v>0</v>
      </c>
      <c r="DW200" s="11"/>
      <c r="DX200" s="12" t="e">
        <f t="shared" si="1255"/>
        <v>#DIV/0!</v>
      </c>
      <c r="DY200" s="11"/>
      <c r="DZ200" s="12" t="e">
        <f t="shared" si="1256"/>
        <v>#DIV/0!</v>
      </c>
      <c r="EA200" s="13"/>
      <c r="EB200" s="11"/>
      <c r="EC200" s="39"/>
      <c r="ED200" s="43"/>
      <c r="EE200" s="10"/>
      <c r="EF200" s="11"/>
      <c r="EG200" s="69">
        <f t="shared" si="1288"/>
        <v>0</v>
      </c>
      <c r="EH200" s="69">
        <f t="shared" si="1288"/>
        <v>0</v>
      </c>
      <c r="EI200" s="11"/>
      <c r="EJ200" s="12" t="e">
        <f t="shared" si="1257"/>
        <v>#DIV/0!</v>
      </c>
      <c r="EK200" s="11"/>
      <c r="EL200" s="12" t="e">
        <f t="shared" si="1258"/>
        <v>#DIV/0!</v>
      </c>
      <c r="EM200" s="13"/>
      <c r="EN200" s="11"/>
      <c r="EO200" s="39"/>
      <c r="EP200" s="43"/>
      <c r="EQ200" s="10"/>
      <c r="ER200" s="11"/>
      <c r="ES200" s="69">
        <f t="shared" si="1289"/>
        <v>0</v>
      </c>
      <c r="ET200" s="69">
        <f t="shared" si="1289"/>
        <v>0</v>
      </c>
      <c r="EU200" s="11"/>
      <c r="EV200" s="12" t="e">
        <f t="shared" si="1259"/>
        <v>#DIV/0!</v>
      </c>
      <c r="EW200" s="11"/>
      <c r="EX200" s="12" t="e">
        <f t="shared" si="1260"/>
        <v>#DIV/0!</v>
      </c>
      <c r="EY200" s="13"/>
      <c r="EZ200" s="11"/>
      <c r="FA200" s="39"/>
      <c r="FB200" s="43"/>
      <c r="FC200" s="10"/>
      <c r="FD200" s="11"/>
      <c r="FE200" s="69">
        <f t="shared" si="1290"/>
        <v>0</v>
      </c>
      <c r="FF200" s="69">
        <f t="shared" si="1290"/>
        <v>0</v>
      </c>
      <c r="FG200" s="11"/>
      <c r="FH200" s="12" t="e">
        <f t="shared" si="1261"/>
        <v>#DIV/0!</v>
      </c>
      <c r="FI200" s="11"/>
      <c r="FJ200" s="12" t="e">
        <f t="shared" si="1262"/>
        <v>#DIV/0!</v>
      </c>
      <c r="FK200" s="13"/>
      <c r="FL200" s="11"/>
      <c r="FM200" s="39"/>
      <c r="FN200" s="43"/>
      <c r="FO200" s="10"/>
      <c r="FP200" s="11"/>
      <c r="FQ200" s="69">
        <f t="shared" si="1291"/>
        <v>0</v>
      </c>
      <c r="FR200" s="69">
        <f t="shared" si="1291"/>
        <v>0</v>
      </c>
      <c r="FS200" s="11"/>
      <c r="FT200" s="12" t="e">
        <f t="shared" si="1263"/>
        <v>#DIV/0!</v>
      </c>
      <c r="FU200" s="11"/>
      <c r="FV200" s="12" t="e">
        <f t="shared" si="1264"/>
        <v>#DIV/0!</v>
      </c>
      <c r="FW200" s="13"/>
      <c r="FX200" s="11"/>
      <c r="FY200" s="39"/>
      <c r="FZ200" s="43"/>
      <c r="GA200" s="10"/>
      <c r="GB200" s="11"/>
      <c r="GC200" s="69">
        <f t="shared" si="1292"/>
        <v>0</v>
      </c>
      <c r="GD200" s="69">
        <f t="shared" si="1292"/>
        <v>0</v>
      </c>
      <c r="GE200" s="11"/>
      <c r="GF200" s="12" t="e">
        <f t="shared" si="1265"/>
        <v>#DIV/0!</v>
      </c>
      <c r="GG200" s="11"/>
      <c r="GH200" s="12" t="e">
        <f t="shared" si="1266"/>
        <v>#DIV/0!</v>
      </c>
      <c r="GI200" s="13"/>
      <c r="GJ200" s="11"/>
      <c r="GK200" s="39"/>
      <c r="GL200" s="43"/>
      <c r="GM200" s="10"/>
      <c r="GN200" s="11"/>
      <c r="GO200" s="69">
        <f t="shared" si="1293"/>
        <v>0</v>
      </c>
      <c r="GP200" s="69">
        <f t="shared" si="1293"/>
        <v>0</v>
      </c>
      <c r="GQ200" s="11"/>
      <c r="GR200" s="12" t="e">
        <f t="shared" si="1267"/>
        <v>#DIV/0!</v>
      </c>
      <c r="GS200" s="11"/>
      <c r="GT200" s="12" t="e">
        <f t="shared" si="1268"/>
        <v>#DIV/0!</v>
      </c>
      <c r="GU200" s="13"/>
      <c r="GV200" s="11"/>
      <c r="GW200" s="39"/>
      <c r="GX200" s="43"/>
      <c r="GY200" s="10"/>
      <c r="GZ200" s="11"/>
      <c r="HA200" s="69">
        <f t="shared" si="1294"/>
        <v>0</v>
      </c>
      <c r="HB200" s="69">
        <f t="shared" si="1294"/>
        <v>0</v>
      </c>
      <c r="HC200" s="11"/>
      <c r="HD200" s="12" t="e">
        <f t="shared" si="1269"/>
        <v>#DIV/0!</v>
      </c>
      <c r="HE200" s="11"/>
      <c r="HF200" s="12" t="e">
        <f t="shared" si="1270"/>
        <v>#DIV/0!</v>
      </c>
      <c r="HG200" s="13"/>
      <c r="HH200" s="11"/>
      <c r="HI200" s="39"/>
      <c r="HJ200" s="43"/>
      <c r="HK200" s="10">
        <f t="shared" si="1271"/>
        <v>1</v>
      </c>
      <c r="HL200" s="11">
        <f t="shared" si="1271"/>
        <v>24</v>
      </c>
      <c r="HM200" s="11">
        <f t="shared" si="1271"/>
        <v>3462</v>
      </c>
      <c r="HN200" s="11">
        <f t="shared" si="1271"/>
        <v>264</v>
      </c>
      <c r="HO200" s="11">
        <f t="shared" si="1272"/>
        <v>1393</v>
      </c>
      <c r="HP200" s="95">
        <f t="shared" si="1273"/>
        <v>0.40236857307914498</v>
      </c>
      <c r="HQ200" s="15">
        <f t="shared" si="1274"/>
        <v>71</v>
      </c>
      <c r="HR200" s="12">
        <f t="shared" si="1295"/>
        <v>5.0969131371141424E-2</v>
      </c>
      <c r="HS200" s="16">
        <v>69.900000000000006</v>
      </c>
      <c r="HT200" s="17">
        <v>1263</v>
      </c>
      <c r="HU200" s="16">
        <f t="shared" si="1275"/>
        <v>90.667623833452978</v>
      </c>
      <c r="HV200" s="23">
        <v>84.66</v>
      </c>
      <c r="HW200" s="22">
        <v>79.69</v>
      </c>
    </row>
    <row r="201" spans="1:231" ht="19.5" thickBot="1" x14ac:dyDescent="0.3">
      <c r="A201" s="374"/>
      <c r="B201" s="42"/>
      <c r="C201" s="26">
        <f>SUM(C194:C200)</f>
        <v>0</v>
      </c>
      <c r="D201" s="27">
        <f>SUM(D194:D200)</f>
        <v>5</v>
      </c>
      <c r="E201" s="27"/>
      <c r="F201" s="27"/>
      <c r="G201" s="27">
        <f>SUM(G194:G200)</f>
        <v>1662</v>
      </c>
      <c r="H201" s="28">
        <f>((G201+I201)/7)/E200</f>
        <v>0.41879944160074456</v>
      </c>
      <c r="I201" s="27">
        <f>SUM(I194:I200)</f>
        <v>138</v>
      </c>
      <c r="J201" s="28">
        <f>(I201/(I201+G201))</f>
        <v>7.6666666666666661E-2</v>
      </c>
      <c r="K201" s="27"/>
      <c r="L201" s="27"/>
      <c r="M201" s="29">
        <f>M199/M198*100-100</f>
        <v>9.2406212664277234</v>
      </c>
      <c r="N201" s="67">
        <f>N199/N198*100-100</f>
        <v>-1.4556768558951916</v>
      </c>
      <c r="O201" s="26">
        <f>SUM(O194:O200)</f>
        <v>1</v>
      </c>
      <c r="P201" s="27">
        <f>SUM(P194:P200)</f>
        <v>4</v>
      </c>
      <c r="Q201" s="27"/>
      <c r="R201" s="27"/>
      <c r="S201" s="27">
        <f>SUM(S194:S200)</f>
        <v>1653</v>
      </c>
      <c r="T201" s="28">
        <f>((S201+U201)/7)/Q200</f>
        <v>0.40648723257418906</v>
      </c>
      <c r="U201" s="27">
        <f>SUM(U194:U200)</f>
        <v>114</v>
      </c>
      <c r="V201" s="28">
        <f>(U201/(U201+S201))</f>
        <v>6.4516129032258063E-2</v>
      </c>
      <c r="W201" s="27"/>
      <c r="X201" s="27"/>
      <c r="Y201" s="29">
        <f>Y199/Y198*100-100</f>
        <v>10.954599761051369</v>
      </c>
      <c r="Z201" s="67">
        <f>Z199/Z198*100-100</f>
        <v>4.4759825327511038</v>
      </c>
      <c r="AA201" s="26">
        <f>SUM(AA194:AA200)</f>
        <v>7</v>
      </c>
      <c r="AB201" s="27">
        <f>SUM(AB194:AB200)</f>
        <v>3</v>
      </c>
      <c r="AC201" s="27"/>
      <c r="AD201" s="27"/>
      <c r="AE201" s="27">
        <f>SUM(AE194:AE200)</f>
        <v>268</v>
      </c>
      <c r="AF201" s="28">
        <f>((AE201+AG201)/7)/AC200</f>
        <v>0.27486437613019893</v>
      </c>
      <c r="AG201" s="27">
        <f>SUM(AG194:AG200)</f>
        <v>36</v>
      </c>
      <c r="AH201" s="28">
        <f>(AG201/(AG201+AE201))</f>
        <v>0.11842105263157894</v>
      </c>
      <c r="AI201" s="27"/>
      <c r="AJ201" s="27"/>
      <c r="AK201" s="29">
        <f>AK199/AK198*100-100</f>
        <v>6.6506571087216173</v>
      </c>
      <c r="AL201" s="67">
        <f>AL199/AL198*100-100</f>
        <v>-8.1877729257641931</v>
      </c>
      <c r="AM201" s="26">
        <f>SUM(AM194:AM200)</f>
        <v>1</v>
      </c>
      <c r="AN201" s="27">
        <f>SUM(AN194:AN200)</f>
        <v>4</v>
      </c>
      <c r="AO201" s="27"/>
      <c r="AP201" s="27"/>
      <c r="AQ201" s="27">
        <f>SUM(AQ194:AQ200)</f>
        <v>1791</v>
      </c>
      <c r="AR201" s="28">
        <f>((AQ201+AS201)/7)/AO200</f>
        <v>0.39373833713456352</v>
      </c>
      <c r="AS201" s="27">
        <f>SUM(AS194:AS200)</f>
        <v>108</v>
      </c>
      <c r="AT201" s="28">
        <f>(AS201/(AS201+AQ201))</f>
        <v>5.6872037914691941E-2</v>
      </c>
      <c r="AU201" s="27"/>
      <c r="AV201" s="27"/>
      <c r="AW201" s="29">
        <f>AW199/AW198*100-100</f>
        <v>9.5108721624850574</v>
      </c>
      <c r="AX201" s="67">
        <f>AX199/AX198*100-100</f>
        <v>6.9028384279475858</v>
      </c>
      <c r="AY201" s="26">
        <f>SUM(AY194:AY200)</f>
        <v>0</v>
      </c>
      <c r="AZ201" s="27">
        <f>SUM(AZ194:AZ200)</f>
        <v>5</v>
      </c>
      <c r="BA201" s="27"/>
      <c r="BB201" s="27"/>
      <c r="BC201" s="27">
        <f>SUM(BC194:BC200)</f>
        <v>1795</v>
      </c>
      <c r="BD201" s="28">
        <f>((BC201+BE201)/7)/BA200</f>
        <v>0.39565217391304347</v>
      </c>
      <c r="BE201" s="27">
        <f>SUM(BE194:BE200)</f>
        <v>116</v>
      </c>
      <c r="BF201" s="28">
        <f>(BE201/(BE201+BC201))</f>
        <v>6.0701203558346413E-2</v>
      </c>
      <c r="BG201" s="27"/>
      <c r="BH201" s="27"/>
      <c r="BI201" s="29">
        <f>BI199/BI198*100-100</f>
        <v>15.061648745519719</v>
      </c>
      <c r="BJ201" s="67">
        <f>BJ199/BJ198*100-100</f>
        <v>13.718995633187774</v>
      </c>
      <c r="BK201" s="26">
        <f>SUM(BK194:BK200)</f>
        <v>1</v>
      </c>
      <c r="BL201" s="27">
        <f>SUM(BL194:BL200)</f>
        <v>5</v>
      </c>
      <c r="BM201" s="27"/>
      <c r="BN201" s="27"/>
      <c r="BO201" s="27">
        <f>SUM(BO194:BO200)</f>
        <v>1892</v>
      </c>
      <c r="BP201" s="28">
        <f>((BO201+BQ201)/7)/BM200</f>
        <v>0.4124223602484472</v>
      </c>
      <c r="BQ201" s="27">
        <f>SUM(BQ194:BQ200)</f>
        <v>100</v>
      </c>
      <c r="BR201" s="28">
        <f>(BQ201/(BQ201+BO201))</f>
        <v>5.0200803212851405E-2</v>
      </c>
      <c r="BS201" s="27"/>
      <c r="BT201" s="27"/>
      <c r="BU201" s="29">
        <f>BU199/BU198*100-100</f>
        <v>12.530227001194746</v>
      </c>
      <c r="BV201" s="67">
        <f>BV199/BV198*100-100</f>
        <v>12.479039301310053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7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7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7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7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7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7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7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7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7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7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7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7" t="e">
        <f>HJ199/HJ198*100-100</f>
        <v>#DIV/0!</v>
      </c>
      <c r="HK201" s="26">
        <f t="shared" si="1271"/>
        <v>10</v>
      </c>
      <c r="HL201" s="27">
        <f>SUM(HL194:HL200)</f>
        <v>30</v>
      </c>
      <c r="HM201" s="27">
        <f t="shared" si="1271"/>
        <v>0</v>
      </c>
      <c r="HN201" s="27">
        <f t="shared" si="1271"/>
        <v>0</v>
      </c>
      <c r="HO201" s="27">
        <f t="shared" si="1272"/>
        <v>9673</v>
      </c>
      <c r="HP201" s="96">
        <f>+((HO201)/HM200)/7</f>
        <v>0.3991499546092267</v>
      </c>
      <c r="HQ201" s="62">
        <f t="shared" si="1274"/>
        <v>612</v>
      </c>
      <c r="HR201" s="52">
        <f t="shared" si="1295"/>
        <v>6.32688927943761E-2</v>
      </c>
      <c r="HS201" s="53">
        <f>SUM(HS194:HS200)/7</f>
        <v>69.500000000000014</v>
      </c>
      <c r="HT201" s="54">
        <f>SUM(HT194:HT200)</f>
        <v>8646</v>
      </c>
      <c r="HU201" s="53">
        <f>AVERAGE(HU194:HU200)</f>
        <v>89.391928668343752</v>
      </c>
      <c r="HV201" s="63">
        <f>HV199/HV198*100-100</f>
        <v>11.194743130226996</v>
      </c>
      <c r="HW201" s="67">
        <f>HW199/HW198*100-100</f>
        <v>6.4240174672489161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2.8801843317972351E-3</v>
      </c>
      <c r="HL202" s="66">
        <f>HL201/HN191</f>
        <v>0.10204081632653061</v>
      </c>
      <c r="HM202" s="45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373">
        <v>47</v>
      </c>
      <c r="B203" s="68">
        <f>B200+1</f>
        <v>45095</v>
      </c>
      <c r="C203" s="33">
        <v>2</v>
      </c>
      <c r="D203" s="34"/>
      <c r="E203" s="34">
        <f>E200-C203</f>
        <v>612</v>
      </c>
      <c r="F203" s="34">
        <f>F200-D203</f>
        <v>47</v>
      </c>
      <c r="G203" s="34">
        <v>223</v>
      </c>
      <c r="H203" s="35">
        <f t="shared" ref="H203:H209" si="1296">((G203+I203)/E203)</f>
        <v>0.40032679738562094</v>
      </c>
      <c r="I203" s="34">
        <v>22</v>
      </c>
      <c r="J203" s="35">
        <f>I203/(G203+I203)</f>
        <v>8.9795918367346933E-2</v>
      </c>
      <c r="K203" s="36"/>
      <c r="L203" s="34"/>
      <c r="M203" s="34"/>
      <c r="N203" s="37"/>
      <c r="O203" s="33">
        <v>1</v>
      </c>
      <c r="P203" s="34"/>
      <c r="Q203" s="34">
        <f>Q200-O203</f>
        <v>620</v>
      </c>
      <c r="R203" s="34">
        <f>R200-P203</f>
        <v>47</v>
      </c>
      <c r="S203" s="34">
        <v>235</v>
      </c>
      <c r="T203" s="35">
        <f t="shared" ref="T203:T209" si="1297">((S203+U203)/Q203)</f>
        <v>0.39677419354838711</v>
      </c>
      <c r="U203" s="34">
        <v>11</v>
      </c>
      <c r="V203" s="35">
        <f t="shared" ref="V203:V209" si="1298">U203/(S203+U203)</f>
        <v>4.4715447154471545E-2</v>
      </c>
      <c r="W203" s="36"/>
      <c r="X203" s="34"/>
      <c r="Y203" s="34"/>
      <c r="Z203" s="37"/>
      <c r="AA203" s="33"/>
      <c r="AB203" s="34"/>
      <c r="AC203" s="34">
        <f>AC200-AA203</f>
        <v>158</v>
      </c>
      <c r="AD203" s="34">
        <f>AD200-AB203</f>
        <v>11</v>
      </c>
      <c r="AE203" s="34">
        <v>46</v>
      </c>
      <c r="AF203" s="35">
        <f t="shared" ref="AF203:AF209" si="1299">((AE203+AG203)/AC203)</f>
        <v>0.310126582278481</v>
      </c>
      <c r="AG203" s="34">
        <v>3</v>
      </c>
      <c r="AH203" s="35">
        <f t="shared" ref="AH203:AH209" si="1300">AG203/(AE203+AG203)</f>
        <v>6.1224489795918366E-2</v>
      </c>
      <c r="AI203" s="36"/>
      <c r="AJ203" s="34"/>
      <c r="AK203" s="34"/>
      <c r="AL203" s="37"/>
      <c r="AM203" s="33"/>
      <c r="AN203" s="34"/>
      <c r="AO203" s="34">
        <f>AO200-AM203</f>
        <v>689</v>
      </c>
      <c r="AP203" s="34">
        <f>AP200-AN203</f>
        <v>53</v>
      </c>
      <c r="AQ203" s="34">
        <v>255</v>
      </c>
      <c r="AR203" s="35">
        <f t="shared" ref="AR203:AR209" si="1301">((AQ203+AS203)/AO203)</f>
        <v>0.39912917271407838</v>
      </c>
      <c r="AS203" s="34">
        <v>20</v>
      </c>
      <c r="AT203" s="35">
        <f t="shared" ref="AT203:AT209" si="1302">AS203/(AQ203+AS203)</f>
        <v>7.2727272727272724E-2</v>
      </c>
      <c r="AU203" s="36"/>
      <c r="AV203" s="34"/>
      <c r="AW203" s="34"/>
      <c r="AX203" s="37"/>
      <c r="AY203" s="33"/>
      <c r="AZ203" s="34"/>
      <c r="BA203" s="34">
        <f>BA200-AY203</f>
        <v>690</v>
      </c>
      <c r="BB203" s="34">
        <f>BB200-AZ203</f>
        <v>53</v>
      </c>
      <c r="BC203" s="34">
        <v>269</v>
      </c>
      <c r="BD203" s="35">
        <f t="shared" ref="BD203:BD209" si="1303">((BC203+BE203)/BA203)</f>
        <v>0.41594202898550725</v>
      </c>
      <c r="BE203" s="34">
        <v>18</v>
      </c>
      <c r="BF203" s="35">
        <f t="shared" ref="BF203:BF209" si="1304">BE203/(BC203+BE203)</f>
        <v>6.2717770034843204E-2</v>
      </c>
      <c r="BG203" s="36"/>
      <c r="BH203" s="34"/>
      <c r="BI203" s="34"/>
      <c r="BJ203" s="37"/>
      <c r="BK203" s="33"/>
      <c r="BL203" s="34"/>
      <c r="BM203" s="34">
        <f>BM200-BK203</f>
        <v>690</v>
      </c>
      <c r="BN203" s="34">
        <f>BN200-BL203</f>
        <v>53</v>
      </c>
      <c r="BO203" s="34">
        <v>273</v>
      </c>
      <c r="BP203" s="35">
        <f t="shared" ref="BP203:BP209" si="1305">((BO203+BQ203)/BM203)</f>
        <v>0.4072463768115942</v>
      </c>
      <c r="BQ203" s="34">
        <v>8</v>
      </c>
      <c r="BR203" s="35">
        <f t="shared" ref="BR203:BR209" si="1306">BQ203/(BO203+BQ203)</f>
        <v>2.8469750889679714E-2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307">((CA203+CC203)/BY203)</f>
        <v>#DIV/0!</v>
      </c>
      <c r="CC203" s="34"/>
      <c r="CD203" s="35" t="e">
        <f t="shared" ref="CD203:CD209" si="1308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309">((CM203+CO203)/CK203)</f>
        <v>#DIV/0!</v>
      </c>
      <c r="CO203" s="34"/>
      <c r="CP203" s="35" t="e">
        <f t="shared" ref="CP203:CP209" si="1310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311">((CY203+DA203)/CW203)</f>
        <v>#DIV/0!</v>
      </c>
      <c r="DA203" s="34"/>
      <c r="DB203" s="35" t="e">
        <f t="shared" ref="DB203:DB209" si="1312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313">((DK203+DM203)/DI203)</f>
        <v>#DIV/0!</v>
      </c>
      <c r="DM203" s="34"/>
      <c r="DN203" s="35" t="e">
        <f t="shared" ref="DN203:DN209" si="1314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315">((DW203+DY203)/DU203)</f>
        <v>#DIV/0!</v>
      </c>
      <c r="DY203" s="34"/>
      <c r="DZ203" s="35" t="e">
        <f t="shared" ref="DZ203:DZ209" si="1316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317">((EI203+EK203)/EG203)</f>
        <v>#DIV/0!</v>
      </c>
      <c r="EK203" s="34"/>
      <c r="EL203" s="35" t="e">
        <f t="shared" ref="EL203:EL209" si="1318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319">((EU203+EW203)/ES203)</f>
        <v>#DIV/0!</v>
      </c>
      <c r="EW203" s="34"/>
      <c r="EX203" s="35" t="e">
        <f t="shared" ref="EX203:EX209" si="1320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321">((FG203+FI203)/FE203)</f>
        <v>#DIV/0!</v>
      </c>
      <c r="FI203" s="34"/>
      <c r="FJ203" s="35" t="e">
        <f t="shared" ref="FJ203:FJ209" si="1322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323">((FS203+FU203)/FQ203)</f>
        <v>#DIV/0!</v>
      </c>
      <c r="FU203" s="34"/>
      <c r="FV203" s="35" t="e">
        <f t="shared" ref="FV203:FV209" si="1324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325">((GE203+GG203)/GC203)</f>
        <v>#DIV/0!</v>
      </c>
      <c r="GG203" s="34"/>
      <c r="GH203" s="35" t="e">
        <f t="shared" ref="GH203:GH209" si="1326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327">((GQ203+GS203)/GO203)</f>
        <v>#DIV/0!</v>
      </c>
      <c r="GS203" s="34"/>
      <c r="GT203" s="35" t="e">
        <f t="shared" ref="GT203:GT209" si="1328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329">((HC203+HE203)/HA203)</f>
        <v>#DIV/0!</v>
      </c>
      <c r="HE203" s="34"/>
      <c r="HF203" s="35" t="e">
        <f t="shared" ref="HF203:HF209" si="1330">HE203/(HC203+HE203)</f>
        <v>#DIV/0!</v>
      </c>
      <c r="HG203" s="36"/>
      <c r="HH203" s="34"/>
      <c r="HI203" s="34"/>
      <c r="HJ203" s="37"/>
      <c r="HK203" s="33">
        <f t="shared" ref="HK203:HN210" si="1331">+C203+O203+AA203+AM203+AY203+BK203+BW203+CI203+CU203+DG203+DS203+EE203+EQ203+FC203+FO203+GA203+GM203+GY203</f>
        <v>3</v>
      </c>
      <c r="HL203" s="34">
        <f t="shared" si="1331"/>
        <v>0</v>
      </c>
      <c r="HM203" s="34">
        <f t="shared" si="1331"/>
        <v>3459</v>
      </c>
      <c r="HN203" s="34">
        <f t="shared" si="1331"/>
        <v>264</v>
      </c>
      <c r="HO203" s="34">
        <f t="shared" ref="HO203:HO210" si="1332">+G203+S203+AE203+AQ203+BC203+BO203+CA203+CM203+CY203+DK203+DW203+EI203+EU203+FG203+FS203+GE203+GQ203+HC203+I203+U203+AG203+AS203+BE203+BQ203+CC203+CO203+DA203+DM203+DY203+EK203+EW203+FI203+FU203+GG203+GS203+HE203</f>
        <v>1383</v>
      </c>
      <c r="HP203" s="94">
        <f t="shared" ref="HP203:HP209" si="1333">+(HO203)/HM203</f>
        <v>0.39982653946227231</v>
      </c>
      <c r="HQ203" s="48">
        <f t="shared" ref="HQ203:HQ210" si="1334">+I203+U203+AG203+AS203+BE203+BQ203+CC203+CO203+DA203+DM203+DY203+EK203+EW203+FI203+FU203+GG203+GS203+HE203</f>
        <v>82</v>
      </c>
      <c r="HR203" s="35">
        <f>+(HQ203/(HO203))</f>
        <v>5.9291395516992043E-2</v>
      </c>
      <c r="HS203" s="49">
        <v>70</v>
      </c>
      <c r="HT203" s="50">
        <v>1255</v>
      </c>
      <c r="HU203" s="49">
        <f t="shared" ref="HU203:HU209" si="1335">+HT203/HO203*100</f>
        <v>90.744757772957342</v>
      </c>
      <c r="HV203" s="48"/>
      <c r="HW203" s="37"/>
    </row>
    <row r="204" spans="1:231" ht="18.75" x14ac:dyDescent="0.25">
      <c r="A204" s="374"/>
      <c r="B204" s="41">
        <f t="shared" si="1235"/>
        <v>45096</v>
      </c>
      <c r="C204" s="10"/>
      <c r="D204" s="11"/>
      <c r="E204" s="69">
        <f t="shared" ref="E204:F208" si="1336">E203-C204</f>
        <v>612</v>
      </c>
      <c r="F204" s="69">
        <f t="shared" si="1336"/>
        <v>47</v>
      </c>
      <c r="G204" s="11">
        <v>215</v>
      </c>
      <c r="H204" s="12">
        <f t="shared" si="1296"/>
        <v>0.38725490196078433</v>
      </c>
      <c r="I204" s="11">
        <v>22</v>
      </c>
      <c r="J204" s="12">
        <f t="shared" ref="J204:J209" si="1337">I204/(G204+I204)</f>
        <v>9.2827004219409287E-2</v>
      </c>
      <c r="K204" s="13"/>
      <c r="L204" s="11"/>
      <c r="M204" s="11"/>
      <c r="N204" s="14"/>
      <c r="O204" s="10"/>
      <c r="P204" s="11"/>
      <c r="Q204" s="69">
        <f t="shared" ref="Q204:R209" si="1338">Q203-O204</f>
        <v>620</v>
      </c>
      <c r="R204" s="69">
        <f t="shared" si="1338"/>
        <v>47</v>
      </c>
      <c r="S204" s="11">
        <v>214</v>
      </c>
      <c r="T204" s="12">
        <f t="shared" si="1297"/>
        <v>0.37903225806451613</v>
      </c>
      <c r="U204" s="11">
        <v>21</v>
      </c>
      <c r="V204" s="12">
        <f t="shared" si="1298"/>
        <v>8.9361702127659579E-2</v>
      </c>
      <c r="W204" s="13"/>
      <c r="X204" s="11"/>
      <c r="Y204" s="11"/>
      <c r="Z204" s="14"/>
      <c r="AA204" s="10"/>
      <c r="AB204" s="11"/>
      <c r="AC204" s="69">
        <f t="shared" ref="AC204:AD209" si="1339">AC203-AA204</f>
        <v>158</v>
      </c>
      <c r="AD204" s="69">
        <f t="shared" si="1339"/>
        <v>11</v>
      </c>
      <c r="AE204" s="11">
        <v>34</v>
      </c>
      <c r="AF204" s="12">
        <f t="shared" si="1299"/>
        <v>0.24050632911392406</v>
      </c>
      <c r="AG204" s="11">
        <v>4</v>
      </c>
      <c r="AH204" s="12">
        <f t="shared" si="1300"/>
        <v>0.10526315789473684</v>
      </c>
      <c r="AI204" s="13"/>
      <c r="AJ204" s="11"/>
      <c r="AK204" s="11"/>
      <c r="AL204" s="14"/>
      <c r="AM204" s="10">
        <v>1</v>
      </c>
      <c r="AN204" s="11"/>
      <c r="AO204" s="69">
        <f t="shared" ref="AO204:AP209" si="1340">AO203-AM204</f>
        <v>688</v>
      </c>
      <c r="AP204" s="69">
        <f t="shared" si="1340"/>
        <v>53</v>
      </c>
      <c r="AQ204" s="11">
        <v>247</v>
      </c>
      <c r="AR204" s="12">
        <f t="shared" si="1301"/>
        <v>0.38808139534883723</v>
      </c>
      <c r="AS204" s="11">
        <v>20</v>
      </c>
      <c r="AT204" s="12">
        <f t="shared" si="1302"/>
        <v>7.4906367041198504E-2</v>
      </c>
      <c r="AU204" s="13"/>
      <c r="AV204" s="11"/>
      <c r="AW204" s="11"/>
      <c r="AX204" s="14"/>
      <c r="AY204" s="10"/>
      <c r="AZ204" s="11"/>
      <c r="BA204" s="69">
        <f t="shared" ref="BA204:BB209" si="1341">BA203-AY204</f>
        <v>690</v>
      </c>
      <c r="BB204" s="69">
        <f t="shared" si="1341"/>
        <v>53</v>
      </c>
      <c r="BC204" s="11">
        <v>246</v>
      </c>
      <c r="BD204" s="12">
        <f t="shared" si="1303"/>
        <v>0.3898550724637681</v>
      </c>
      <c r="BE204" s="11">
        <v>23</v>
      </c>
      <c r="BF204" s="12">
        <f t="shared" si="1304"/>
        <v>8.5501858736059477E-2</v>
      </c>
      <c r="BG204" s="13"/>
      <c r="BH204" s="11"/>
      <c r="BI204" s="11"/>
      <c r="BJ204" s="14"/>
      <c r="BK204" s="10"/>
      <c r="BL204" s="11"/>
      <c r="BM204" s="69">
        <f t="shared" ref="BM204:BN209" si="1342">BM203-BK204</f>
        <v>690</v>
      </c>
      <c r="BN204" s="69">
        <f t="shared" si="1342"/>
        <v>53</v>
      </c>
      <c r="BO204" s="11">
        <v>256</v>
      </c>
      <c r="BP204" s="12">
        <f t="shared" si="1305"/>
        <v>0.39855072463768115</v>
      </c>
      <c r="BQ204" s="11">
        <v>19</v>
      </c>
      <c r="BR204" s="12">
        <f t="shared" si="1306"/>
        <v>6.9090909090909092E-2</v>
      </c>
      <c r="BS204" s="13"/>
      <c r="BT204" s="11"/>
      <c r="BU204" s="11"/>
      <c r="BV204" s="14"/>
      <c r="BW204" s="10"/>
      <c r="BX204" s="11"/>
      <c r="BY204" s="69">
        <f t="shared" ref="BY204:BZ209" si="1343">BY203-BW204</f>
        <v>0</v>
      </c>
      <c r="BZ204" s="69">
        <f t="shared" si="1343"/>
        <v>0</v>
      </c>
      <c r="CA204" s="11"/>
      <c r="CB204" s="12" t="e">
        <f t="shared" si="1307"/>
        <v>#DIV/0!</v>
      </c>
      <c r="CC204" s="11"/>
      <c r="CD204" s="12" t="e">
        <f t="shared" si="1308"/>
        <v>#DIV/0!</v>
      </c>
      <c r="CE204" s="13"/>
      <c r="CF204" s="11"/>
      <c r="CG204" s="11"/>
      <c r="CH204" s="14"/>
      <c r="CI204" s="10"/>
      <c r="CJ204" s="11"/>
      <c r="CK204" s="69">
        <f t="shared" ref="CK204:CL209" si="1344">CK203-CI204</f>
        <v>0</v>
      </c>
      <c r="CL204" s="69">
        <f t="shared" si="1344"/>
        <v>0</v>
      </c>
      <c r="CM204" s="11"/>
      <c r="CN204" s="12" t="e">
        <f t="shared" si="1309"/>
        <v>#DIV/0!</v>
      </c>
      <c r="CO204" s="11"/>
      <c r="CP204" s="12" t="e">
        <f t="shared" si="1310"/>
        <v>#DIV/0!</v>
      </c>
      <c r="CQ204" s="13"/>
      <c r="CR204" s="11"/>
      <c r="CS204" s="11"/>
      <c r="CT204" s="14"/>
      <c r="CU204" s="10"/>
      <c r="CV204" s="11"/>
      <c r="CW204" s="69">
        <f t="shared" ref="CW204:CX209" si="1345">CW203-CU204</f>
        <v>0</v>
      </c>
      <c r="CX204" s="69">
        <f t="shared" si="1345"/>
        <v>0</v>
      </c>
      <c r="CY204" s="11"/>
      <c r="CZ204" s="12" t="e">
        <f t="shared" si="1311"/>
        <v>#DIV/0!</v>
      </c>
      <c r="DA204" s="11"/>
      <c r="DB204" s="12" t="e">
        <f t="shared" si="1312"/>
        <v>#DIV/0!</v>
      </c>
      <c r="DC204" s="13"/>
      <c r="DD204" s="11"/>
      <c r="DE204" s="11"/>
      <c r="DF204" s="14"/>
      <c r="DG204" s="10"/>
      <c r="DH204" s="11"/>
      <c r="DI204" s="69">
        <f t="shared" ref="DI204:DJ209" si="1346">DI203-DG204</f>
        <v>0</v>
      </c>
      <c r="DJ204" s="69">
        <f t="shared" si="1346"/>
        <v>0</v>
      </c>
      <c r="DK204" s="11"/>
      <c r="DL204" s="12" t="e">
        <f t="shared" si="1313"/>
        <v>#DIV/0!</v>
      </c>
      <c r="DM204" s="11"/>
      <c r="DN204" s="12" t="e">
        <f t="shared" si="1314"/>
        <v>#DIV/0!</v>
      </c>
      <c r="DO204" s="13"/>
      <c r="DP204" s="11"/>
      <c r="DQ204" s="11"/>
      <c r="DR204" s="14"/>
      <c r="DS204" s="10"/>
      <c r="DT204" s="11"/>
      <c r="DU204" s="69">
        <f t="shared" ref="DU204:DV209" si="1347">DU203-DS204</f>
        <v>0</v>
      </c>
      <c r="DV204" s="69">
        <f t="shared" si="1347"/>
        <v>0</v>
      </c>
      <c r="DW204" s="11"/>
      <c r="DX204" s="12" t="e">
        <f t="shared" si="1315"/>
        <v>#DIV/0!</v>
      </c>
      <c r="DY204" s="11"/>
      <c r="DZ204" s="12" t="e">
        <f t="shared" si="1316"/>
        <v>#DIV/0!</v>
      </c>
      <c r="EA204" s="13"/>
      <c r="EB204" s="11"/>
      <c r="EC204" s="11"/>
      <c r="ED204" s="14"/>
      <c r="EE204" s="10"/>
      <c r="EF204" s="11"/>
      <c r="EG204" s="69">
        <f t="shared" ref="EG204:EH209" si="1348">EG203-EE204</f>
        <v>0</v>
      </c>
      <c r="EH204" s="69">
        <f t="shared" si="1348"/>
        <v>0</v>
      </c>
      <c r="EI204" s="11"/>
      <c r="EJ204" s="12" t="e">
        <f t="shared" si="1317"/>
        <v>#DIV/0!</v>
      </c>
      <c r="EK204" s="11"/>
      <c r="EL204" s="12" t="e">
        <f t="shared" si="1318"/>
        <v>#DIV/0!</v>
      </c>
      <c r="EM204" s="13"/>
      <c r="EN204" s="11"/>
      <c r="EO204" s="11"/>
      <c r="EP204" s="14"/>
      <c r="EQ204" s="10"/>
      <c r="ER204" s="11"/>
      <c r="ES204" s="69">
        <f t="shared" ref="ES204:ET209" si="1349">ES203-EQ204</f>
        <v>0</v>
      </c>
      <c r="ET204" s="69">
        <f t="shared" si="1349"/>
        <v>0</v>
      </c>
      <c r="EU204" s="11"/>
      <c r="EV204" s="12" t="e">
        <f t="shared" si="1319"/>
        <v>#DIV/0!</v>
      </c>
      <c r="EW204" s="11"/>
      <c r="EX204" s="12" t="e">
        <f t="shared" si="1320"/>
        <v>#DIV/0!</v>
      </c>
      <c r="EY204" s="13"/>
      <c r="EZ204" s="11"/>
      <c r="FA204" s="11"/>
      <c r="FB204" s="14"/>
      <c r="FC204" s="10"/>
      <c r="FD204" s="11"/>
      <c r="FE204" s="69">
        <f t="shared" ref="FE204:FF209" si="1350">FE203-FC204</f>
        <v>0</v>
      </c>
      <c r="FF204" s="69">
        <f t="shared" si="1350"/>
        <v>0</v>
      </c>
      <c r="FG204" s="11"/>
      <c r="FH204" s="12" t="e">
        <f t="shared" si="1321"/>
        <v>#DIV/0!</v>
      </c>
      <c r="FI204" s="11"/>
      <c r="FJ204" s="12" t="e">
        <f t="shared" si="1322"/>
        <v>#DIV/0!</v>
      </c>
      <c r="FK204" s="13"/>
      <c r="FL204" s="11"/>
      <c r="FM204" s="11"/>
      <c r="FN204" s="14"/>
      <c r="FO204" s="10"/>
      <c r="FP204" s="11"/>
      <c r="FQ204" s="69">
        <f t="shared" ref="FQ204:FR209" si="1351">FQ203-FO204</f>
        <v>0</v>
      </c>
      <c r="FR204" s="69">
        <f t="shared" si="1351"/>
        <v>0</v>
      </c>
      <c r="FS204" s="11"/>
      <c r="FT204" s="12" t="e">
        <f t="shared" si="1323"/>
        <v>#DIV/0!</v>
      </c>
      <c r="FU204" s="11"/>
      <c r="FV204" s="12" t="e">
        <f t="shared" si="1324"/>
        <v>#DIV/0!</v>
      </c>
      <c r="FW204" s="13"/>
      <c r="FX204" s="11"/>
      <c r="FY204" s="11"/>
      <c r="FZ204" s="14"/>
      <c r="GA204" s="10"/>
      <c r="GB204" s="11"/>
      <c r="GC204" s="69">
        <f t="shared" ref="GC204:GD209" si="1352">GC203-GA204</f>
        <v>0</v>
      </c>
      <c r="GD204" s="69">
        <f t="shared" si="1352"/>
        <v>0</v>
      </c>
      <c r="GE204" s="11"/>
      <c r="GF204" s="12" t="e">
        <f t="shared" si="1325"/>
        <v>#DIV/0!</v>
      </c>
      <c r="GG204" s="11"/>
      <c r="GH204" s="12" t="e">
        <f t="shared" si="1326"/>
        <v>#DIV/0!</v>
      </c>
      <c r="GI204" s="13"/>
      <c r="GJ204" s="11"/>
      <c r="GK204" s="11"/>
      <c r="GL204" s="14"/>
      <c r="GM204" s="10"/>
      <c r="GN204" s="11"/>
      <c r="GO204" s="69">
        <f t="shared" ref="GO204:GP209" si="1353">GO203-GM204</f>
        <v>0</v>
      </c>
      <c r="GP204" s="69">
        <f t="shared" si="1353"/>
        <v>0</v>
      </c>
      <c r="GQ204" s="11"/>
      <c r="GR204" s="12" t="e">
        <f t="shared" si="1327"/>
        <v>#DIV/0!</v>
      </c>
      <c r="GS204" s="11"/>
      <c r="GT204" s="12" t="e">
        <f t="shared" si="1328"/>
        <v>#DIV/0!</v>
      </c>
      <c r="GU204" s="13"/>
      <c r="GV204" s="11"/>
      <c r="GW204" s="11"/>
      <c r="GX204" s="14"/>
      <c r="GY204" s="10"/>
      <c r="GZ204" s="11"/>
      <c r="HA204" s="69">
        <f t="shared" ref="HA204:HB209" si="1354">HA203-GY204</f>
        <v>0</v>
      </c>
      <c r="HB204" s="69">
        <f t="shared" si="1354"/>
        <v>0</v>
      </c>
      <c r="HC204" s="11"/>
      <c r="HD204" s="12" t="e">
        <f t="shared" si="1329"/>
        <v>#DIV/0!</v>
      </c>
      <c r="HE204" s="11"/>
      <c r="HF204" s="12" t="e">
        <f t="shared" si="1330"/>
        <v>#DIV/0!</v>
      </c>
      <c r="HG204" s="13"/>
      <c r="HH204" s="11"/>
      <c r="HI204" s="11"/>
      <c r="HJ204" s="14"/>
      <c r="HK204" s="10">
        <f t="shared" si="1331"/>
        <v>1</v>
      </c>
      <c r="HL204" s="11">
        <f t="shared" si="1331"/>
        <v>0</v>
      </c>
      <c r="HM204" s="11">
        <f t="shared" si="1331"/>
        <v>3458</v>
      </c>
      <c r="HN204" s="11">
        <f t="shared" si="1331"/>
        <v>264</v>
      </c>
      <c r="HO204" s="11">
        <f t="shared" si="1332"/>
        <v>1321</v>
      </c>
      <c r="HP204" s="95">
        <f t="shared" si="1333"/>
        <v>0.38201272411798726</v>
      </c>
      <c r="HQ204" s="15">
        <f t="shared" si="1334"/>
        <v>109</v>
      </c>
      <c r="HR204" s="12">
        <f t="shared" ref="HR204:HR210" si="1355">+(HQ204/(HO204))</f>
        <v>8.2513247539742623E-2</v>
      </c>
      <c r="HS204" s="16">
        <v>70.3</v>
      </c>
      <c r="HT204" s="17">
        <v>1160</v>
      </c>
      <c r="HU204" s="16">
        <f t="shared" si="1335"/>
        <v>87.812263436790303</v>
      </c>
      <c r="HV204" s="15"/>
      <c r="HW204" s="14"/>
    </row>
    <row r="205" spans="1:231" ht="18.75" x14ac:dyDescent="0.25">
      <c r="A205" s="374"/>
      <c r="B205" s="41">
        <f t="shared" si="1235"/>
        <v>45097</v>
      </c>
      <c r="C205" s="10">
        <v>1</v>
      </c>
      <c r="D205" s="11"/>
      <c r="E205" s="69">
        <f t="shared" si="1336"/>
        <v>611</v>
      </c>
      <c r="F205" s="69">
        <f t="shared" si="1336"/>
        <v>47</v>
      </c>
      <c r="G205" s="11">
        <v>261</v>
      </c>
      <c r="H205" s="12">
        <f t="shared" si="1296"/>
        <v>0.45335515548281508</v>
      </c>
      <c r="I205" s="11">
        <v>16</v>
      </c>
      <c r="J205" s="12">
        <f t="shared" si="1337"/>
        <v>5.7761732851985562E-2</v>
      </c>
      <c r="K205" s="13"/>
      <c r="L205" s="11"/>
      <c r="M205" s="11"/>
      <c r="N205" s="14"/>
      <c r="O205" s="10">
        <v>1</v>
      </c>
      <c r="P205" s="11"/>
      <c r="Q205" s="69">
        <f t="shared" si="1338"/>
        <v>619</v>
      </c>
      <c r="R205" s="69">
        <f t="shared" si="1338"/>
        <v>47</v>
      </c>
      <c r="S205" s="11">
        <v>228</v>
      </c>
      <c r="T205" s="12">
        <f t="shared" si="1297"/>
        <v>0.38610662358642972</v>
      </c>
      <c r="U205" s="11">
        <v>11</v>
      </c>
      <c r="V205" s="12">
        <f t="shared" si="1298"/>
        <v>4.6025104602510462E-2</v>
      </c>
      <c r="W205" s="13"/>
      <c r="X205" s="11"/>
      <c r="Y205" s="11"/>
      <c r="Z205" s="14"/>
      <c r="AA205" s="10"/>
      <c r="AB205" s="11"/>
      <c r="AC205" s="69">
        <f t="shared" si="1339"/>
        <v>158</v>
      </c>
      <c r="AD205" s="69">
        <f t="shared" si="1339"/>
        <v>11</v>
      </c>
      <c r="AE205" s="11">
        <v>46</v>
      </c>
      <c r="AF205" s="12">
        <f t="shared" si="1299"/>
        <v>0.32278481012658228</v>
      </c>
      <c r="AG205" s="11">
        <v>5</v>
      </c>
      <c r="AH205" s="12">
        <f t="shared" si="1300"/>
        <v>9.8039215686274508E-2</v>
      </c>
      <c r="AI205" s="13"/>
      <c r="AJ205" s="11"/>
      <c r="AK205" s="11"/>
      <c r="AL205" s="14"/>
      <c r="AM205" s="10"/>
      <c r="AN205" s="11"/>
      <c r="AO205" s="69">
        <f t="shared" si="1340"/>
        <v>688</v>
      </c>
      <c r="AP205" s="69">
        <f t="shared" si="1340"/>
        <v>53</v>
      </c>
      <c r="AQ205" s="11">
        <v>248</v>
      </c>
      <c r="AR205" s="12">
        <f t="shared" si="1301"/>
        <v>0.3808139534883721</v>
      </c>
      <c r="AS205" s="11">
        <v>14</v>
      </c>
      <c r="AT205" s="12">
        <f t="shared" si="1302"/>
        <v>5.3435114503816793E-2</v>
      </c>
      <c r="AU205" s="13"/>
      <c r="AV205" s="11"/>
      <c r="AW205" s="11"/>
      <c r="AX205" s="14"/>
      <c r="AY205" s="10">
        <v>1</v>
      </c>
      <c r="AZ205" s="11"/>
      <c r="BA205" s="69">
        <f t="shared" si="1341"/>
        <v>689</v>
      </c>
      <c r="BB205" s="69">
        <f t="shared" si="1341"/>
        <v>53</v>
      </c>
      <c r="BC205" s="11">
        <v>265</v>
      </c>
      <c r="BD205" s="12">
        <f t="shared" si="1303"/>
        <v>0.39767779390420899</v>
      </c>
      <c r="BE205" s="11">
        <v>9</v>
      </c>
      <c r="BF205" s="12">
        <f t="shared" si="1304"/>
        <v>3.2846715328467155E-2</v>
      </c>
      <c r="BG205" s="13"/>
      <c r="BH205" s="11"/>
      <c r="BI205" s="11"/>
      <c r="BJ205" s="14"/>
      <c r="BK205" s="10"/>
      <c r="BL205" s="11"/>
      <c r="BM205" s="69">
        <f t="shared" si="1342"/>
        <v>690</v>
      </c>
      <c r="BN205" s="69">
        <f t="shared" si="1342"/>
        <v>53</v>
      </c>
      <c r="BO205" s="11">
        <v>286</v>
      </c>
      <c r="BP205" s="12">
        <f t="shared" si="1305"/>
        <v>0.43623188405797103</v>
      </c>
      <c r="BQ205" s="11">
        <v>15</v>
      </c>
      <c r="BR205" s="12">
        <f t="shared" si="1306"/>
        <v>4.9833887043189369E-2</v>
      </c>
      <c r="BS205" s="13"/>
      <c r="BT205" s="11"/>
      <c r="BU205" s="11"/>
      <c r="BV205" s="14"/>
      <c r="BW205" s="10"/>
      <c r="BX205" s="11"/>
      <c r="BY205" s="69">
        <f t="shared" si="1343"/>
        <v>0</v>
      </c>
      <c r="BZ205" s="69">
        <f t="shared" si="1343"/>
        <v>0</v>
      </c>
      <c r="CA205" s="11"/>
      <c r="CB205" s="12" t="e">
        <f t="shared" si="1307"/>
        <v>#DIV/0!</v>
      </c>
      <c r="CC205" s="11"/>
      <c r="CD205" s="12" t="e">
        <f t="shared" si="1308"/>
        <v>#DIV/0!</v>
      </c>
      <c r="CE205" s="13"/>
      <c r="CF205" s="11"/>
      <c r="CG205" s="11"/>
      <c r="CH205" s="14"/>
      <c r="CI205" s="10"/>
      <c r="CJ205" s="11"/>
      <c r="CK205" s="69">
        <f t="shared" si="1344"/>
        <v>0</v>
      </c>
      <c r="CL205" s="69">
        <f t="shared" si="1344"/>
        <v>0</v>
      </c>
      <c r="CM205" s="11"/>
      <c r="CN205" s="12" t="e">
        <f t="shared" si="1309"/>
        <v>#DIV/0!</v>
      </c>
      <c r="CO205" s="11"/>
      <c r="CP205" s="12" t="e">
        <f t="shared" si="1310"/>
        <v>#DIV/0!</v>
      </c>
      <c r="CQ205" s="13"/>
      <c r="CR205" s="11"/>
      <c r="CS205" s="11"/>
      <c r="CT205" s="14"/>
      <c r="CU205" s="10"/>
      <c r="CV205" s="11"/>
      <c r="CW205" s="69">
        <f t="shared" si="1345"/>
        <v>0</v>
      </c>
      <c r="CX205" s="69">
        <f t="shared" si="1345"/>
        <v>0</v>
      </c>
      <c r="CY205" s="11"/>
      <c r="CZ205" s="12" t="e">
        <f t="shared" si="1311"/>
        <v>#DIV/0!</v>
      </c>
      <c r="DA205" s="11"/>
      <c r="DB205" s="12" t="e">
        <f t="shared" si="1312"/>
        <v>#DIV/0!</v>
      </c>
      <c r="DC205" s="13"/>
      <c r="DD205" s="11"/>
      <c r="DE205" s="11"/>
      <c r="DF205" s="14"/>
      <c r="DG205" s="10"/>
      <c r="DH205" s="11"/>
      <c r="DI205" s="69">
        <f t="shared" si="1346"/>
        <v>0</v>
      </c>
      <c r="DJ205" s="69">
        <f t="shared" si="1346"/>
        <v>0</v>
      </c>
      <c r="DK205" s="11"/>
      <c r="DL205" s="12" t="e">
        <f t="shared" si="1313"/>
        <v>#DIV/0!</v>
      </c>
      <c r="DM205" s="11"/>
      <c r="DN205" s="12" t="e">
        <f t="shared" si="1314"/>
        <v>#DIV/0!</v>
      </c>
      <c r="DO205" s="13"/>
      <c r="DP205" s="11"/>
      <c r="DQ205" s="11"/>
      <c r="DR205" s="14"/>
      <c r="DS205" s="10"/>
      <c r="DT205" s="11"/>
      <c r="DU205" s="69">
        <f t="shared" si="1347"/>
        <v>0</v>
      </c>
      <c r="DV205" s="69">
        <f t="shared" si="1347"/>
        <v>0</v>
      </c>
      <c r="DW205" s="11"/>
      <c r="DX205" s="12" t="e">
        <f t="shared" si="1315"/>
        <v>#DIV/0!</v>
      </c>
      <c r="DY205" s="11"/>
      <c r="DZ205" s="12" t="e">
        <f t="shared" si="1316"/>
        <v>#DIV/0!</v>
      </c>
      <c r="EA205" s="13"/>
      <c r="EB205" s="11"/>
      <c r="EC205" s="11"/>
      <c r="ED205" s="14"/>
      <c r="EE205" s="10"/>
      <c r="EF205" s="11"/>
      <c r="EG205" s="69">
        <f t="shared" si="1348"/>
        <v>0</v>
      </c>
      <c r="EH205" s="69">
        <f t="shared" si="1348"/>
        <v>0</v>
      </c>
      <c r="EI205" s="11"/>
      <c r="EJ205" s="12" t="e">
        <f t="shared" si="1317"/>
        <v>#DIV/0!</v>
      </c>
      <c r="EK205" s="11"/>
      <c r="EL205" s="12" t="e">
        <f t="shared" si="1318"/>
        <v>#DIV/0!</v>
      </c>
      <c r="EM205" s="13"/>
      <c r="EN205" s="11"/>
      <c r="EO205" s="11"/>
      <c r="EP205" s="14"/>
      <c r="EQ205" s="10"/>
      <c r="ER205" s="11"/>
      <c r="ES205" s="69">
        <f t="shared" si="1349"/>
        <v>0</v>
      </c>
      <c r="ET205" s="69">
        <f t="shared" si="1349"/>
        <v>0</v>
      </c>
      <c r="EU205" s="11"/>
      <c r="EV205" s="12" t="e">
        <f t="shared" si="1319"/>
        <v>#DIV/0!</v>
      </c>
      <c r="EW205" s="11"/>
      <c r="EX205" s="12" t="e">
        <f t="shared" si="1320"/>
        <v>#DIV/0!</v>
      </c>
      <c r="EY205" s="13"/>
      <c r="EZ205" s="11"/>
      <c r="FA205" s="11"/>
      <c r="FB205" s="14"/>
      <c r="FC205" s="10"/>
      <c r="FD205" s="11"/>
      <c r="FE205" s="69">
        <f t="shared" si="1350"/>
        <v>0</v>
      </c>
      <c r="FF205" s="69">
        <f t="shared" si="1350"/>
        <v>0</v>
      </c>
      <c r="FG205" s="11"/>
      <c r="FH205" s="12" t="e">
        <f t="shared" si="1321"/>
        <v>#DIV/0!</v>
      </c>
      <c r="FI205" s="11"/>
      <c r="FJ205" s="12" t="e">
        <f t="shared" si="1322"/>
        <v>#DIV/0!</v>
      </c>
      <c r="FK205" s="13"/>
      <c r="FL205" s="11"/>
      <c r="FM205" s="11"/>
      <c r="FN205" s="14"/>
      <c r="FO205" s="10"/>
      <c r="FP205" s="11"/>
      <c r="FQ205" s="69">
        <f t="shared" si="1351"/>
        <v>0</v>
      </c>
      <c r="FR205" s="69">
        <f t="shared" si="1351"/>
        <v>0</v>
      </c>
      <c r="FS205" s="11"/>
      <c r="FT205" s="12" t="e">
        <f t="shared" si="1323"/>
        <v>#DIV/0!</v>
      </c>
      <c r="FU205" s="11"/>
      <c r="FV205" s="12" t="e">
        <f t="shared" si="1324"/>
        <v>#DIV/0!</v>
      </c>
      <c r="FW205" s="13"/>
      <c r="FX205" s="11"/>
      <c r="FY205" s="11"/>
      <c r="FZ205" s="14"/>
      <c r="GA205" s="10"/>
      <c r="GB205" s="11"/>
      <c r="GC205" s="69">
        <f t="shared" si="1352"/>
        <v>0</v>
      </c>
      <c r="GD205" s="69">
        <f t="shared" si="1352"/>
        <v>0</v>
      </c>
      <c r="GE205" s="11"/>
      <c r="GF205" s="12" t="e">
        <f t="shared" si="1325"/>
        <v>#DIV/0!</v>
      </c>
      <c r="GG205" s="11"/>
      <c r="GH205" s="12" t="e">
        <f t="shared" si="1326"/>
        <v>#DIV/0!</v>
      </c>
      <c r="GI205" s="13"/>
      <c r="GJ205" s="11"/>
      <c r="GK205" s="11"/>
      <c r="GL205" s="14"/>
      <c r="GM205" s="10"/>
      <c r="GN205" s="11"/>
      <c r="GO205" s="69">
        <f t="shared" si="1353"/>
        <v>0</v>
      </c>
      <c r="GP205" s="69">
        <f t="shared" si="1353"/>
        <v>0</v>
      </c>
      <c r="GQ205" s="11"/>
      <c r="GR205" s="12" t="e">
        <f t="shared" si="1327"/>
        <v>#DIV/0!</v>
      </c>
      <c r="GS205" s="11"/>
      <c r="GT205" s="12" t="e">
        <f t="shared" si="1328"/>
        <v>#DIV/0!</v>
      </c>
      <c r="GU205" s="13"/>
      <c r="GV205" s="11"/>
      <c r="GW205" s="11"/>
      <c r="GX205" s="14"/>
      <c r="GY205" s="10"/>
      <c r="GZ205" s="11"/>
      <c r="HA205" s="69">
        <f t="shared" si="1354"/>
        <v>0</v>
      </c>
      <c r="HB205" s="69">
        <f t="shared" si="1354"/>
        <v>0</v>
      </c>
      <c r="HC205" s="11"/>
      <c r="HD205" s="12" t="e">
        <f t="shared" si="1329"/>
        <v>#DIV/0!</v>
      </c>
      <c r="HE205" s="11"/>
      <c r="HF205" s="12" t="e">
        <f t="shared" si="1330"/>
        <v>#DIV/0!</v>
      </c>
      <c r="HG205" s="13"/>
      <c r="HH205" s="11"/>
      <c r="HI205" s="11"/>
      <c r="HJ205" s="14"/>
      <c r="HK205" s="10">
        <f t="shared" si="1331"/>
        <v>3</v>
      </c>
      <c r="HL205" s="11">
        <f t="shared" si="1331"/>
        <v>0</v>
      </c>
      <c r="HM205" s="11">
        <f t="shared" si="1331"/>
        <v>3455</v>
      </c>
      <c r="HN205" s="11">
        <f t="shared" si="1331"/>
        <v>264</v>
      </c>
      <c r="HO205" s="11">
        <f t="shared" si="1332"/>
        <v>1404</v>
      </c>
      <c r="HP205" s="95">
        <f t="shared" si="1333"/>
        <v>0.40636758321273514</v>
      </c>
      <c r="HQ205" s="15">
        <f t="shared" si="1334"/>
        <v>70</v>
      </c>
      <c r="HR205" s="12">
        <f t="shared" si="1355"/>
        <v>4.9857549857549859E-2</v>
      </c>
      <c r="HS205" s="16">
        <v>70.5</v>
      </c>
      <c r="HT205" s="17">
        <v>1270</v>
      </c>
      <c r="HU205" s="16">
        <f t="shared" si="1335"/>
        <v>90.455840455840459</v>
      </c>
      <c r="HV205" s="15"/>
      <c r="HW205" s="14"/>
    </row>
    <row r="206" spans="1:231" ht="18.75" x14ac:dyDescent="0.25">
      <c r="A206" s="374"/>
      <c r="B206" s="41">
        <f t="shared" si="1235"/>
        <v>45098</v>
      </c>
      <c r="C206" s="10"/>
      <c r="D206" s="11"/>
      <c r="E206" s="69">
        <f t="shared" si="1336"/>
        <v>611</v>
      </c>
      <c r="F206" s="69">
        <f t="shared" si="1336"/>
        <v>47</v>
      </c>
      <c r="G206" s="11">
        <v>208</v>
      </c>
      <c r="H206" s="12">
        <f t="shared" si="1296"/>
        <v>0.36824877250409166</v>
      </c>
      <c r="I206" s="11">
        <v>17</v>
      </c>
      <c r="J206" s="12">
        <f t="shared" si="1337"/>
        <v>7.5555555555555556E-2</v>
      </c>
      <c r="K206" s="11"/>
      <c r="L206" s="11"/>
      <c r="M206" s="18"/>
      <c r="N206" s="20"/>
      <c r="O206" s="10"/>
      <c r="P206" s="11"/>
      <c r="Q206" s="69">
        <f t="shared" si="1338"/>
        <v>619</v>
      </c>
      <c r="R206" s="69">
        <f t="shared" si="1338"/>
        <v>47</v>
      </c>
      <c r="S206" s="11">
        <v>212</v>
      </c>
      <c r="T206" s="12">
        <f t="shared" si="1297"/>
        <v>0.37318255250403876</v>
      </c>
      <c r="U206" s="11">
        <v>19</v>
      </c>
      <c r="V206" s="12">
        <f t="shared" si="1298"/>
        <v>8.2251082251082255E-2</v>
      </c>
      <c r="W206" s="11"/>
      <c r="X206" s="11"/>
      <c r="Y206" s="18"/>
      <c r="Z206" s="20"/>
      <c r="AA206" s="10">
        <v>1</v>
      </c>
      <c r="AB206" s="11"/>
      <c r="AC206" s="69">
        <f t="shared" si="1339"/>
        <v>157</v>
      </c>
      <c r="AD206" s="69">
        <f t="shared" si="1339"/>
        <v>11</v>
      </c>
      <c r="AE206" s="11">
        <v>33</v>
      </c>
      <c r="AF206" s="12">
        <f t="shared" si="1299"/>
        <v>0.24203821656050956</v>
      </c>
      <c r="AG206" s="11">
        <v>5</v>
      </c>
      <c r="AH206" s="12">
        <f t="shared" si="1300"/>
        <v>0.13157894736842105</v>
      </c>
      <c r="AI206" s="11"/>
      <c r="AJ206" s="11"/>
      <c r="AK206" s="18"/>
      <c r="AL206" s="20"/>
      <c r="AM206" s="10"/>
      <c r="AN206" s="11"/>
      <c r="AO206" s="69">
        <f t="shared" si="1340"/>
        <v>688</v>
      </c>
      <c r="AP206" s="69">
        <f t="shared" si="1340"/>
        <v>53</v>
      </c>
      <c r="AQ206" s="11">
        <v>245</v>
      </c>
      <c r="AR206" s="12">
        <f t="shared" si="1301"/>
        <v>0.38953488372093026</v>
      </c>
      <c r="AS206" s="11">
        <v>23</v>
      </c>
      <c r="AT206" s="12">
        <f t="shared" si="1302"/>
        <v>8.5820895522388058E-2</v>
      </c>
      <c r="AU206" s="11"/>
      <c r="AV206" s="11"/>
      <c r="AW206" s="18"/>
      <c r="AX206" s="20"/>
      <c r="AY206" s="10"/>
      <c r="AZ206" s="11"/>
      <c r="BA206" s="69">
        <f t="shared" si="1341"/>
        <v>689</v>
      </c>
      <c r="BB206" s="69">
        <f t="shared" si="1341"/>
        <v>53</v>
      </c>
      <c r="BC206" s="11">
        <v>243</v>
      </c>
      <c r="BD206" s="12">
        <f t="shared" si="1303"/>
        <v>0.38171262699564584</v>
      </c>
      <c r="BE206" s="11">
        <v>20</v>
      </c>
      <c r="BF206" s="12">
        <f t="shared" si="1304"/>
        <v>7.6045627376425853E-2</v>
      </c>
      <c r="BG206" s="11"/>
      <c r="BH206" s="11"/>
      <c r="BI206" s="18"/>
      <c r="BJ206" s="20"/>
      <c r="BK206" s="10"/>
      <c r="BL206" s="11"/>
      <c r="BM206" s="69">
        <f t="shared" si="1342"/>
        <v>690</v>
      </c>
      <c r="BN206" s="69">
        <f t="shared" si="1342"/>
        <v>53</v>
      </c>
      <c r="BO206" s="11">
        <v>292</v>
      </c>
      <c r="BP206" s="12">
        <f t="shared" si="1305"/>
        <v>0.44492753623188408</v>
      </c>
      <c r="BQ206" s="11">
        <v>15</v>
      </c>
      <c r="BR206" s="12">
        <f t="shared" si="1306"/>
        <v>4.8859934853420196E-2</v>
      </c>
      <c r="BS206" s="11"/>
      <c r="BT206" s="11"/>
      <c r="BU206" s="18"/>
      <c r="BV206" s="20"/>
      <c r="BW206" s="10"/>
      <c r="BX206" s="11"/>
      <c r="BY206" s="69">
        <f t="shared" si="1343"/>
        <v>0</v>
      </c>
      <c r="BZ206" s="69">
        <f t="shared" si="1343"/>
        <v>0</v>
      </c>
      <c r="CA206" s="11"/>
      <c r="CB206" s="12" t="e">
        <f t="shared" si="1307"/>
        <v>#DIV/0!</v>
      </c>
      <c r="CC206" s="11"/>
      <c r="CD206" s="12" t="e">
        <f t="shared" si="1308"/>
        <v>#DIV/0!</v>
      </c>
      <c r="CE206" s="11"/>
      <c r="CF206" s="11"/>
      <c r="CG206" s="18"/>
      <c r="CH206" s="20"/>
      <c r="CI206" s="10"/>
      <c r="CJ206" s="11"/>
      <c r="CK206" s="69">
        <f t="shared" si="1344"/>
        <v>0</v>
      </c>
      <c r="CL206" s="69">
        <f t="shared" si="1344"/>
        <v>0</v>
      </c>
      <c r="CM206" s="11"/>
      <c r="CN206" s="12" t="e">
        <f t="shared" si="1309"/>
        <v>#DIV/0!</v>
      </c>
      <c r="CO206" s="11"/>
      <c r="CP206" s="12" t="e">
        <f t="shared" si="1310"/>
        <v>#DIV/0!</v>
      </c>
      <c r="CQ206" s="11"/>
      <c r="CR206" s="11"/>
      <c r="CS206" s="18"/>
      <c r="CT206" s="20"/>
      <c r="CU206" s="10"/>
      <c r="CV206" s="11"/>
      <c r="CW206" s="69">
        <f t="shared" si="1345"/>
        <v>0</v>
      </c>
      <c r="CX206" s="69">
        <f t="shared" si="1345"/>
        <v>0</v>
      </c>
      <c r="CY206" s="11"/>
      <c r="CZ206" s="12" t="e">
        <f t="shared" si="1311"/>
        <v>#DIV/0!</v>
      </c>
      <c r="DA206" s="11"/>
      <c r="DB206" s="12" t="e">
        <f t="shared" si="1312"/>
        <v>#DIV/0!</v>
      </c>
      <c r="DC206" s="11"/>
      <c r="DD206" s="11"/>
      <c r="DE206" s="18"/>
      <c r="DF206" s="20"/>
      <c r="DG206" s="10"/>
      <c r="DH206" s="11"/>
      <c r="DI206" s="69">
        <f t="shared" si="1346"/>
        <v>0</v>
      </c>
      <c r="DJ206" s="69">
        <f t="shared" si="1346"/>
        <v>0</v>
      </c>
      <c r="DK206" s="11"/>
      <c r="DL206" s="12" t="e">
        <f t="shared" si="1313"/>
        <v>#DIV/0!</v>
      </c>
      <c r="DM206" s="11"/>
      <c r="DN206" s="12" t="e">
        <f t="shared" si="1314"/>
        <v>#DIV/0!</v>
      </c>
      <c r="DO206" s="11"/>
      <c r="DP206" s="11"/>
      <c r="DQ206" s="18"/>
      <c r="DR206" s="20"/>
      <c r="DS206" s="10"/>
      <c r="DT206" s="11"/>
      <c r="DU206" s="69">
        <f t="shared" si="1347"/>
        <v>0</v>
      </c>
      <c r="DV206" s="69">
        <f t="shared" si="1347"/>
        <v>0</v>
      </c>
      <c r="DW206" s="11"/>
      <c r="DX206" s="12" t="e">
        <f t="shared" si="1315"/>
        <v>#DIV/0!</v>
      </c>
      <c r="DY206" s="11"/>
      <c r="DZ206" s="12" t="e">
        <f t="shared" si="1316"/>
        <v>#DIV/0!</v>
      </c>
      <c r="EA206" s="11"/>
      <c r="EB206" s="11"/>
      <c r="EC206" s="18"/>
      <c r="ED206" s="20"/>
      <c r="EE206" s="10"/>
      <c r="EF206" s="11"/>
      <c r="EG206" s="69">
        <f t="shared" si="1348"/>
        <v>0</v>
      </c>
      <c r="EH206" s="69">
        <f t="shared" si="1348"/>
        <v>0</v>
      </c>
      <c r="EI206" s="11"/>
      <c r="EJ206" s="12" t="e">
        <f t="shared" si="1317"/>
        <v>#DIV/0!</v>
      </c>
      <c r="EK206" s="11"/>
      <c r="EL206" s="12" t="e">
        <f t="shared" si="1318"/>
        <v>#DIV/0!</v>
      </c>
      <c r="EM206" s="11"/>
      <c r="EN206" s="11"/>
      <c r="EO206" s="18"/>
      <c r="EP206" s="20"/>
      <c r="EQ206" s="10"/>
      <c r="ER206" s="11"/>
      <c r="ES206" s="69">
        <f t="shared" si="1349"/>
        <v>0</v>
      </c>
      <c r="ET206" s="69">
        <f t="shared" si="1349"/>
        <v>0</v>
      </c>
      <c r="EU206" s="11"/>
      <c r="EV206" s="12" t="e">
        <f t="shared" si="1319"/>
        <v>#DIV/0!</v>
      </c>
      <c r="EW206" s="11"/>
      <c r="EX206" s="12" t="e">
        <f t="shared" si="1320"/>
        <v>#DIV/0!</v>
      </c>
      <c r="EY206" s="11"/>
      <c r="EZ206" s="11"/>
      <c r="FA206" s="18"/>
      <c r="FB206" s="20"/>
      <c r="FC206" s="10"/>
      <c r="FD206" s="11"/>
      <c r="FE206" s="69">
        <f t="shared" si="1350"/>
        <v>0</v>
      </c>
      <c r="FF206" s="69">
        <f t="shared" si="1350"/>
        <v>0</v>
      </c>
      <c r="FG206" s="11"/>
      <c r="FH206" s="12" t="e">
        <f t="shared" si="1321"/>
        <v>#DIV/0!</v>
      </c>
      <c r="FI206" s="11"/>
      <c r="FJ206" s="12" t="e">
        <f t="shared" si="1322"/>
        <v>#DIV/0!</v>
      </c>
      <c r="FK206" s="11"/>
      <c r="FL206" s="11"/>
      <c r="FM206" s="18"/>
      <c r="FN206" s="20"/>
      <c r="FO206" s="10"/>
      <c r="FP206" s="11"/>
      <c r="FQ206" s="69">
        <f t="shared" si="1351"/>
        <v>0</v>
      </c>
      <c r="FR206" s="69">
        <f t="shared" si="1351"/>
        <v>0</v>
      </c>
      <c r="FS206" s="11"/>
      <c r="FT206" s="12" t="e">
        <f t="shared" si="1323"/>
        <v>#DIV/0!</v>
      </c>
      <c r="FU206" s="11"/>
      <c r="FV206" s="12" t="e">
        <f t="shared" si="1324"/>
        <v>#DIV/0!</v>
      </c>
      <c r="FW206" s="11"/>
      <c r="FX206" s="11"/>
      <c r="FY206" s="18"/>
      <c r="FZ206" s="20"/>
      <c r="GA206" s="10"/>
      <c r="GB206" s="11"/>
      <c r="GC206" s="69">
        <f t="shared" si="1352"/>
        <v>0</v>
      </c>
      <c r="GD206" s="69">
        <f t="shared" si="1352"/>
        <v>0</v>
      </c>
      <c r="GE206" s="11"/>
      <c r="GF206" s="12" t="e">
        <f t="shared" si="1325"/>
        <v>#DIV/0!</v>
      </c>
      <c r="GG206" s="11"/>
      <c r="GH206" s="12" t="e">
        <f t="shared" si="1326"/>
        <v>#DIV/0!</v>
      </c>
      <c r="GI206" s="11"/>
      <c r="GJ206" s="11"/>
      <c r="GK206" s="18"/>
      <c r="GL206" s="20"/>
      <c r="GM206" s="10"/>
      <c r="GN206" s="11"/>
      <c r="GO206" s="69">
        <f t="shared" si="1353"/>
        <v>0</v>
      </c>
      <c r="GP206" s="69">
        <f t="shared" si="1353"/>
        <v>0</v>
      </c>
      <c r="GQ206" s="11"/>
      <c r="GR206" s="12" t="e">
        <f t="shared" si="1327"/>
        <v>#DIV/0!</v>
      </c>
      <c r="GS206" s="11"/>
      <c r="GT206" s="12" t="e">
        <f t="shared" si="1328"/>
        <v>#DIV/0!</v>
      </c>
      <c r="GU206" s="11"/>
      <c r="GV206" s="11"/>
      <c r="GW206" s="18"/>
      <c r="GX206" s="20"/>
      <c r="GY206" s="10"/>
      <c r="GZ206" s="11"/>
      <c r="HA206" s="69">
        <f t="shared" si="1354"/>
        <v>0</v>
      </c>
      <c r="HB206" s="69">
        <f t="shared" si="1354"/>
        <v>0</v>
      </c>
      <c r="HC206" s="11"/>
      <c r="HD206" s="12" t="e">
        <f t="shared" si="1329"/>
        <v>#DIV/0!</v>
      </c>
      <c r="HE206" s="11"/>
      <c r="HF206" s="12" t="e">
        <f t="shared" si="1330"/>
        <v>#DIV/0!</v>
      </c>
      <c r="HG206" s="11"/>
      <c r="HH206" s="11"/>
      <c r="HI206" s="18"/>
      <c r="HJ206" s="20"/>
      <c r="HK206" s="10">
        <f t="shared" si="1331"/>
        <v>1</v>
      </c>
      <c r="HL206" s="11">
        <f t="shared" si="1331"/>
        <v>0</v>
      </c>
      <c r="HM206" s="11">
        <f t="shared" si="1331"/>
        <v>3454</v>
      </c>
      <c r="HN206" s="11">
        <f t="shared" si="1331"/>
        <v>264</v>
      </c>
      <c r="HO206" s="11">
        <f t="shared" si="1332"/>
        <v>1332</v>
      </c>
      <c r="HP206" s="95">
        <f t="shared" si="1333"/>
        <v>0.38563983786913725</v>
      </c>
      <c r="HQ206" s="15">
        <f t="shared" si="1334"/>
        <v>99</v>
      </c>
      <c r="HR206" s="12">
        <f t="shared" si="1355"/>
        <v>7.4324324324324328E-2</v>
      </c>
      <c r="HS206" s="16">
        <v>70.099999999999994</v>
      </c>
      <c r="HT206" s="17">
        <v>1178</v>
      </c>
      <c r="HU206" s="16">
        <f t="shared" si="1335"/>
        <v>88.438438438438439</v>
      </c>
      <c r="HV206" s="18"/>
      <c r="HW206" s="20"/>
    </row>
    <row r="207" spans="1:231" ht="18.75" x14ac:dyDescent="0.25">
      <c r="A207" s="374"/>
      <c r="B207" s="41">
        <f t="shared" si="1235"/>
        <v>45099</v>
      </c>
      <c r="C207" s="10"/>
      <c r="D207" s="11"/>
      <c r="E207" s="69">
        <f t="shared" si="1336"/>
        <v>611</v>
      </c>
      <c r="F207" s="69">
        <f t="shared" si="1336"/>
        <v>47</v>
      </c>
      <c r="G207" s="11">
        <v>252</v>
      </c>
      <c r="H207" s="12">
        <f t="shared" si="1296"/>
        <v>0.45335515548281508</v>
      </c>
      <c r="I207" s="11">
        <v>25</v>
      </c>
      <c r="J207" s="12">
        <f t="shared" si="1337"/>
        <v>9.0252707581227443E-2</v>
      </c>
      <c r="K207" s="13"/>
      <c r="L207" s="13"/>
      <c r="M207" s="25"/>
      <c r="N207" s="38">
        <v>4600</v>
      </c>
      <c r="O207" s="10"/>
      <c r="P207" s="11"/>
      <c r="Q207" s="69">
        <f t="shared" si="1338"/>
        <v>619</v>
      </c>
      <c r="R207" s="69">
        <f t="shared" si="1338"/>
        <v>47</v>
      </c>
      <c r="S207" s="11">
        <v>213</v>
      </c>
      <c r="T207" s="12">
        <f t="shared" si="1297"/>
        <v>0.38126009693053314</v>
      </c>
      <c r="U207" s="11">
        <v>23</v>
      </c>
      <c r="V207" s="12">
        <f t="shared" si="1298"/>
        <v>9.7457627118644072E-2</v>
      </c>
      <c r="W207" s="13"/>
      <c r="X207" s="13"/>
      <c r="Y207" s="25"/>
      <c r="Z207" s="38">
        <v>4600</v>
      </c>
      <c r="AA207" s="10">
        <v>1</v>
      </c>
      <c r="AB207" s="11"/>
      <c r="AC207" s="69">
        <f t="shared" si="1339"/>
        <v>156</v>
      </c>
      <c r="AD207" s="69">
        <f t="shared" si="1339"/>
        <v>11</v>
      </c>
      <c r="AE207" s="11">
        <v>39</v>
      </c>
      <c r="AF207" s="12">
        <f t="shared" si="1299"/>
        <v>0.27564102564102566</v>
      </c>
      <c r="AG207" s="11">
        <v>4</v>
      </c>
      <c r="AH207" s="12">
        <f t="shared" si="1300"/>
        <v>9.3023255813953487E-2</v>
      </c>
      <c r="AI207" s="13"/>
      <c r="AJ207" s="13"/>
      <c r="AK207" s="25"/>
      <c r="AL207" s="38">
        <v>4600</v>
      </c>
      <c r="AM207" s="10"/>
      <c r="AN207" s="11"/>
      <c r="AO207" s="69">
        <f t="shared" si="1340"/>
        <v>688</v>
      </c>
      <c r="AP207" s="69">
        <f t="shared" si="1340"/>
        <v>53</v>
      </c>
      <c r="AQ207" s="11">
        <v>252</v>
      </c>
      <c r="AR207" s="12">
        <f t="shared" si="1301"/>
        <v>0.39970930232558138</v>
      </c>
      <c r="AS207" s="11">
        <v>23</v>
      </c>
      <c r="AT207" s="12">
        <f t="shared" si="1302"/>
        <v>8.3636363636363634E-2</v>
      </c>
      <c r="AU207" s="13"/>
      <c r="AV207" s="13"/>
      <c r="AW207" s="25"/>
      <c r="AX207" s="38">
        <v>4600</v>
      </c>
      <c r="AY207" s="10"/>
      <c r="AZ207" s="11"/>
      <c r="BA207" s="69">
        <f t="shared" si="1341"/>
        <v>689</v>
      </c>
      <c r="BB207" s="69">
        <f t="shared" si="1341"/>
        <v>53</v>
      </c>
      <c r="BC207" s="11">
        <v>239</v>
      </c>
      <c r="BD207" s="12">
        <f t="shared" si="1303"/>
        <v>0.38171262699564584</v>
      </c>
      <c r="BE207" s="11">
        <v>24</v>
      </c>
      <c r="BF207" s="12">
        <f t="shared" si="1304"/>
        <v>9.125475285171103E-2</v>
      </c>
      <c r="BG207" s="13"/>
      <c r="BH207" s="13"/>
      <c r="BI207" s="25"/>
      <c r="BJ207" s="38">
        <v>4600</v>
      </c>
      <c r="BK207" s="10"/>
      <c r="BL207" s="11"/>
      <c r="BM207" s="69">
        <f t="shared" si="1342"/>
        <v>690</v>
      </c>
      <c r="BN207" s="69">
        <f t="shared" si="1342"/>
        <v>53</v>
      </c>
      <c r="BO207" s="11">
        <v>281</v>
      </c>
      <c r="BP207" s="12">
        <f t="shared" si="1305"/>
        <v>0.42318840579710143</v>
      </c>
      <c r="BQ207" s="11">
        <v>11</v>
      </c>
      <c r="BR207" s="12">
        <f t="shared" si="1306"/>
        <v>3.7671232876712327E-2</v>
      </c>
      <c r="BS207" s="13"/>
      <c r="BT207" s="13"/>
      <c r="BU207" s="25"/>
      <c r="BV207" s="38">
        <v>4600</v>
      </c>
      <c r="BW207" s="10"/>
      <c r="BX207" s="11"/>
      <c r="BY207" s="69">
        <f t="shared" si="1343"/>
        <v>0</v>
      </c>
      <c r="BZ207" s="69">
        <f t="shared" si="1343"/>
        <v>0</v>
      </c>
      <c r="CA207" s="11"/>
      <c r="CB207" s="12" t="e">
        <f t="shared" si="1307"/>
        <v>#DIV/0!</v>
      </c>
      <c r="CC207" s="11"/>
      <c r="CD207" s="12" t="e">
        <f t="shared" si="1308"/>
        <v>#DIV/0!</v>
      </c>
      <c r="CE207" s="13"/>
      <c r="CF207" s="13"/>
      <c r="CG207" s="25"/>
      <c r="CH207" s="38"/>
      <c r="CI207" s="10"/>
      <c r="CJ207" s="11"/>
      <c r="CK207" s="69">
        <f t="shared" si="1344"/>
        <v>0</v>
      </c>
      <c r="CL207" s="69">
        <f t="shared" si="1344"/>
        <v>0</v>
      </c>
      <c r="CM207" s="11"/>
      <c r="CN207" s="12" t="e">
        <f t="shared" si="1309"/>
        <v>#DIV/0!</v>
      </c>
      <c r="CO207" s="11"/>
      <c r="CP207" s="12" t="e">
        <f t="shared" si="1310"/>
        <v>#DIV/0!</v>
      </c>
      <c r="CQ207" s="13"/>
      <c r="CR207" s="13"/>
      <c r="CS207" s="25"/>
      <c r="CT207" s="38"/>
      <c r="CU207" s="10"/>
      <c r="CV207" s="11"/>
      <c r="CW207" s="69">
        <f t="shared" si="1345"/>
        <v>0</v>
      </c>
      <c r="CX207" s="69">
        <f t="shared" si="1345"/>
        <v>0</v>
      </c>
      <c r="CY207" s="11"/>
      <c r="CZ207" s="12" t="e">
        <f t="shared" si="1311"/>
        <v>#DIV/0!</v>
      </c>
      <c r="DA207" s="11"/>
      <c r="DB207" s="12" t="e">
        <f t="shared" si="1312"/>
        <v>#DIV/0!</v>
      </c>
      <c r="DC207" s="13"/>
      <c r="DD207" s="13"/>
      <c r="DE207" s="25"/>
      <c r="DF207" s="38"/>
      <c r="DG207" s="10"/>
      <c r="DH207" s="11"/>
      <c r="DI207" s="69">
        <f t="shared" si="1346"/>
        <v>0</v>
      </c>
      <c r="DJ207" s="69">
        <f t="shared" si="1346"/>
        <v>0</v>
      </c>
      <c r="DK207" s="11"/>
      <c r="DL207" s="12" t="e">
        <f t="shared" si="1313"/>
        <v>#DIV/0!</v>
      </c>
      <c r="DM207" s="11"/>
      <c r="DN207" s="12" t="e">
        <f t="shared" si="1314"/>
        <v>#DIV/0!</v>
      </c>
      <c r="DO207" s="13"/>
      <c r="DP207" s="13"/>
      <c r="DQ207" s="25"/>
      <c r="DR207" s="38"/>
      <c r="DS207" s="10"/>
      <c r="DT207" s="11"/>
      <c r="DU207" s="69">
        <f t="shared" si="1347"/>
        <v>0</v>
      </c>
      <c r="DV207" s="69">
        <f t="shared" si="1347"/>
        <v>0</v>
      </c>
      <c r="DW207" s="11"/>
      <c r="DX207" s="12" t="e">
        <f t="shared" si="1315"/>
        <v>#DIV/0!</v>
      </c>
      <c r="DY207" s="11"/>
      <c r="DZ207" s="12" t="e">
        <f t="shared" si="1316"/>
        <v>#DIV/0!</v>
      </c>
      <c r="EA207" s="13"/>
      <c r="EB207" s="13"/>
      <c r="EC207" s="25"/>
      <c r="ED207" s="38"/>
      <c r="EE207" s="10"/>
      <c r="EF207" s="11"/>
      <c r="EG207" s="69">
        <f t="shared" si="1348"/>
        <v>0</v>
      </c>
      <c r="EH207" s="69">
        <f t="shared" si="1348"/>
        <v>0</v>
      </c>
      <c r="EI207" s="11"/>
      <c r="EJ207" s="12" t="e">
        <f t="shared" si="1317"/>
        <v>#DIV/0!</v>
      </c>
      <c r="EK207" s="11"/>
      <c r="EL207" s="12" t="e">
        <f t="shared" si="1318"/>
        <v>#DIV/0!</v>
      </c>
      <c r="EM207" s="13"/>
      <c r="EN207" s="13"/>
      <c r="EO207" s="25"/>
      <c r="EP207" s="38"/>
      <c r="EQ207" s="10"/>
      <c r="ER207" s="11"/>
      <c r="ES207" s="69">
        <f t="shared" si="1349"/>
        <v>0</v>
      </c>
      <c r="ET207" s="69">
        <f t="shared" si="1349"/>
        <v>0</v>
      </c>
      <c r="EU207" s="11"/>
      <c r="EV207" s="12" t="e">
        <f t="shared" si="1319"/>
        <v>#DIV/0!</v>
      </c>
      <c r="EW207" s="11"/>
      <c r="EX207" s="12" t="e">
        <f t="shared" si="1320"/>
        <v>#DIV/0!</v>
      </c>
      <c r="EY207" s="13"/>
      <c r="EZ207" s="13"/>
      <c r="FA207" s="25"/>
      <c r="FB207" s="38"/>
      <c r="FC207" s="10"/>
      <c r="FD207" s="11"/>
      <c r="FE207" s="69">
        <f t="shared" si="1350"/>
        <v>0</v>
      </c>
      <c r="FF207" s="69">
        <f t="shared" si="1350"/>
        <v>0</v>
      </c>
      <c r="FG207" s="11"/>
      <c r="FH207" s="12" t="e">
        <f t="shared" si="1321"/>
        <v>#DIV/0!</v>
      </c>
      <c r="FI207" s="11"/>
      <c r="FJ207" s="12" t="e">
        <f t="shared" si="1322"/>
        <v>#DIV/0!</v>
      </c>
      <c r="FK207" s="13"/>
      <c r="FL207" s="13"/>
      <c r="FM207" s="25"/>
      <c r="FN207" s="38"/>
      <c r="FO207" s="10"/>
      <c r="FP207" s="11"/>
      <c r="FQ207" s="69">
        <f t="shared" si="1351"/>
        <v>0</v>
      </c>
      <c r="FR207" s="69">
        <f t="shared" si="1351"/>
        <v>0</v>
      </c>
      <c r="FS207" s="11"/>
      <c r="FT207" s="12" t="e">
        <f t="shared" si="1323"/>
        <v>#DIV/0!</v>
      </c>
      <c r="FU207" s="11"/>
      <c r="FV207" s="12" t="e">
        <f t="shared" si="1324"/>
        <v>#DIV/0!</v>
      </c>
      <c r="FW207" s="13"/>
      <c r="FX207" s="13"/>
      <c r="FY207" s="25"/>
      <c r="FZ207" s="38"/>
      <c r="GA207" s="10"/>
      <c r="GB207" s="11"/>
      <c r="GC207" s="69">
        <f t="shared" si="1352"/>
        <v>0</v>
      </c>
      <c r="GD207" s="69">
        <f t="shared" si="1352"/>
        <v>0</v>
      </c>
      <c r="GE207" s="11"/>
      <c r="GF207" s="12" t="e">
        <f t="shared" si="1325"/>
        <v>#DIV/0!</v>
      </c>
      <c r="GG207" s="11"/>
      <c r="GH207" s="12" t="e">
        <f t="shared" si="1326"/>
        <v>#DIV/0!</v>
      </c>
      <c r="GI207" s="13"/>
      <c r="GJ207" s="13"/>
      <c r="GK207" s="25"/>
      <c r="GL207" s="38"/>
      <c r="GM207" s="10"/>
      <c r="GN207" s="11"/>
      <c r="GO207" s="69">
        <f t="shared" si="1353"/>
        <v>0</v>
      </c>
      <c r="GP207" s="69">
        <f t="shared" si="1353"/>
        <v>0</v>
      </c>
      <c r="GQ207" s="11"/>
      <c r="GR207" s="12" t="e">
        <f t="shared" si="1327"/>
        <v>#DIV/0!</v>
      </c>
      <c r="GS207" s="11"/>
      <c r="GT207" s="12" t="e">
        <f t="shared" si="1328"/>
        <v>#DIV/0!</v>
      </c>
      <c r="GU207" s="13"/>
      <c r="GV207" s="13"/>
      <c r="GW207" s="25"/>
      <c r="GX207" s="38"/>
      <c r="GY207" s="10"/>
      <c r="GZ207" s="11"/>
      <c r="HA207" s="69">
        <f t="shared" si="1354"/>
        <v>0</v>
      </c>
      <c r="HB207" s="69">
        <f t="shared" si="1354"/>
        <v>0</v>
      </c>
      <c r="HC207" s="11"/>
      <c r="HD207" s="12" t="e">
        <f t="shared" si="1329"/>
        <v>#DIV/0!</v>
      </c>
      <c r="HE207" s="11"/>
      <c r="HF207" s="12" t="e">
        <f t="shared" si="1330"/>
        <v>#DIV/0!</v>
      </c>
      <c r="HG207" s="13"/>
      <c r="HH207" s="13"/>
      <c r="HI207" s="25"/>
      <c r="HJ207" s="38"/>
      <c r="HK207" s="10">
        <f t="shared" si="1331"/>
        <v>1</v>
      </c>
      <c r="HL207" s="11">
        <f t="shared" si="1331"/>
        <v>0</v>
      </c>
      <c r="HM207" s="11">
        <f t="shared" si="1331"/>
        <v>3453</v>
      </c>
      <c r="HN207" s="11">
        <f t="shared" si="1331"/>
        <v>264</v>
      </c>
      <c r="HO207" s="11">
        <f t="shared" si="1332"/>
        <v>1386</v>
      </c>
      <c r="HP207" s="95">
        <f t="shared" si="1333"/>
        <v>0.40139009556907035</v>
      </c>
      <c r="HQ207" s="15">
        <f t="shared" si="1334"/>
        <v>110</v>
      </c>
      <c r="HR207" s="12">
        <f t="shared" si="1355"/>
        <v>7.9365079365079361E-2</v>
      </c>
      <c r="HS207" s="16">
        <v>70.3</v>
      </c>
      <c r="HT207" s="17">
        <v>1219</v>
      </c>
      <c r="HU207" s="16">
        <f t="shared" si="1335"/>
        <v>87.950937950937941</v>
      </c>
      <c r="HV207" s="23"/>
      <c r="HW207" s="22">
        <v>4600</v>
      </c>
    </row>
    <row r="208" spans="1:231" ht="18.75" x14ac:dyDescent="0.25">
      <c r="A208" s="374"/>
      <c r="B208" s="41">
        <f t="shared" si="1235"/>
        <v>45100</v>
      </c>
      <c r="C208" s="10"/>
      <c r="D208" s="11"/>
      <c r="E208" s="69">
        <f t="shared" si="1336"/>
        <v>611</v>
      </c>
      <c r="F208" s="69">
        <f t="shared" si="1336"/>
        <v>47</v>
      </c>
      <c r="G208" s="11">
        <v>240</v>
      </c>
      <c r="H208" s="12">
        <f t="shared" si="1296"/>
        <v>0.43535188216039278</v>
      </c>
      <c r="I208" s="11">
        <v>26</v>
      </c>
      <c r="J208" s="12">
        <f t="shared" si="1337"/>
        <v>9.7744360902255634E-2</v>
      </c>
      <c r="K208" s="13"/>
      <c r="L208" s="11"/>
      <c r="M208" s="25"/>
      <c r="N208" s="38">
        <v>4625.454545454545</v>
      </c>
      <c r="O208" s="10">
        <v>1</v>
      </c>
      <c r="P208" s="11"/>
      <c r="Q208" s="69">
        <f t="shared" si="1338"/>
        <v>618</v>
      </c>
      <c r="R208" s="69">
        <f t="shared" si="1338"/>
        <v>47</v>
      </c>
      <c r="S208" s="11">
        <v>233</v>
      </c>
      <c r="T208" s="12">
        <f t="shared" si="1297"/>
        <v>0.41262135922330095</v>
      </c>
      <c r="U208" s="11">
        <v>22</v>
      </c>
      <c r="V208" s="12">
        <f t="shared" si="1298"/>
        <v>8.6274509803921567E-2</v>
      </c>
      <c r="W208" s="13"/>
      <c r="X208" s="11"/>
      <c r="Y208" s="25"/>
      <c r="Z208" s="38">
        <v>4908.333333333333</v>
      </c>
      <c r="AA208" s="10">
        <v>1</v>
      </c>
      <c r="AB208" s="11"/>
      <c r="AC208" s="69">
        <f t="shared" si="1339"/>
        <v>155</v>
      </c>
      <c r="AD208" s="69">
        <f t="shared" si="1339"/>
        <v>11</v>
      </c>
      <c r="AE208" s="11">
        <v>60</v>
      </c>
      <c r="AF208" s="12">
        <f t="shared" si="1299"/>
        <v>0.4258064516129032</v>
      </c>
      <c r="AG208" s="11">
        <v>6</v>
      </c>
      <c r="AH208" s="12">
        <f t="shared" si="1300"/>
        <v>9.0909090909090912E-2</v>
      </c>
      <c r="AI208" s="13"/>
      <c r="AJ208" s="11"/>
      <c r="AK208" s="25"/>
      <c r="AL208" s="38">
        <v>4446.666666666667</v>
      </c>
      <c r="AM208" s="10"/>
      <c r="AN208" s="11"/>
      <c r="AO208" s="69">
        <f t="shared" si="1340"/>
        <v>688</v>
      </c>
      <c r="AP208" s="69">
        <f t="shared" si="1340"/>
        <v>53</v>
      </c>
      <c r="AQ208" s="11">
        <v>259</v>
      </c>
      <c r="AR208" s="12">
        <f t="shared" si="1301"/>
        <v>0.40843023255813954</v>
      </c>
      <c r="AS208" s="11">
        <v>22</v>
      </c>
      <c r="AT208" s="12">
        <f t="shared" si="1302"/>
        <v>7.8291814946619215E-2</v>
      </c>
      <c r="AU208" s="13"/>
      <c r="AV208" s="11"/>
      <c r="AW208" s="25"/>
      <c r="AX208" s="38">
        <v>5023.636363636364</v>
      </c>
      <c r="AY208" s="10">
        <v>1</v>
      </c>
      <c r="AZ208" s="11"/>
      <c r="BA208" s="69">
        <f t="shared" si="1341"/>
        <v>688</v>
      </c>
      <c r="BB208" s="69">
        <f t="shared" si="1341"/>
        <v>53</v>
      </c>
      <c r="BC208" s="11">
        <v>266</v>
      </c>
      <c r="BD208" s="12">
        <f t="shared" si="1303"/>
        <v>0.42151162790697677</v>
      </c>
      <c r="BE208" s="11">
        <v>24</v>
      </c>
      <c r="BF208" s="12">
        <f t="shared" si="1304"/>
        <v>8.2758620689655171E-2</v>
      </c>
      <c r="BG208" s="13"/>
      <c r="BH208" s="11"/>
      <c r="BI208" s="25"/>
      <c r="BJ208" s="38">
        <v>4916.363636363636</v>
      </c>
      <c r="BK208" s="10"/>
      <c r="BL208" s="11"/>
      <c r="BM208" s="69">
        <f t="shared" si="1342"/>
        <v>690</v>
      </c>
      <c r="BN208" s="69">
        <f t="shared" si="1342"/>
        <v>53</v>
      </c>
      <c r="BO208" s="11">
        <v>301</v>
      </c>
      <c r="BP208" s="12">
        <f t="shared" si="1305"/>
        <v>0.46086956521739131</v>
      </c>
      <c r="BQ208" s="11">
        <v>17</v>
      </c>
      <c r="BR208" s="12">
        <f t="shared" si="1306"/>
        <v>5.3459119496855348E-2</v>
      </c>
      <c r="BS208" s="13"/>
      <c r="BT208" s="11"/>
      <c r="BU208" s="25"/>
      <c r="BV208" s="38">
        <v>5162.5</v>
      </c>
      <c r="BW208" s="10"/>
      <c r="BX208" s="11"/>
      <c r="BY208" s="69">
        <f t="shared" si="1343"/>
        <v>0</v>
      </c>
      <c r="BZ208" s="69">
        <f t="shared" si="1343"/>
        <v>0</v>
      </c>
      <c r="CA208" s="11"/>
      <c r="CB208" s="12" t="e">
        <f t="shared" si="1307"/>
        <v>#DIV/0!</v>
      </c>
      <c r="CC208" s="11"/>
      <c r="CD208" s="12" t="e">
        <f t="shared" si="1308"/>
        <v>#DIV/0!</v>
      </c>
      <c r="CE208" s="13"/>
      <c r="CF208" s="11"/>
      <c r="CG208" s="25"/>
      <c r="CH208" s="38"/>
      <c r="CI208" s="10"/>
      <c r="CJ208" s="11"/>
      <c r="CK208" s="69">
        <f t="shared" si="1344"/>
        <v>0</v>
      </c>
      <c r="CL208" s="69">
        <f t="shared" si="1344"/>
        <v>0</v>
      </c>
      <c r="CM208" s="11"/>
      <c r="CN208" s="12" t="e">
        <f t="shared" si="1309"/>
        <v>#DIV/0!</v>
      </c>
      <c r="CO208" s="11"/>
      <c r="CP208" s="12" t="e">
        <f t="shared" si="1310"/>
        <v>#DIV/0!</v>
      </c>
      <c r="CQ208" s="13"/>
      <c r="CR208" s="11"/>
      <c r="CS208" s="25"/>
      <c r="CT208" s="38"/>
      <c r="CU208" s="10"/>
      <c r="CV208" s="11"/>
      <c r="CW208" s="69">
        <f t="shared" si="1345"/>
        <v>0</v>
      </c>
      <c r="CX208" s="69">
        <f t="shared" si="1345"/>
        <v>0</v>
      </c>
      <c r="CY208" s="11"/>
      <c r="CZ208" s="12" t="e">
        <f t="shared" si="1311"/>
        <v>#DIV/0!</v>
      </c>
      <c r="DA208" s="11"/>
      <c r="DB208" s="12" t="e">
        <f t="shared" si="1312"/>
        <v>#DIV/0!</v>
      </c>
      <c r="DC208" s="13"/>
      <c r="DD208" s="11"/>
      <c r="DE208" s="25"/>
      <c r="DF208" s="38"/>
      <c r="DG208" s="10"/>
      <c r="DH208" s="11"/>
      <c r="DI208" s="69">
        <f t="shared" si="1346"/>
        <v>0</v>
      </c>
      <c r="DJ208" s="69">
        <f t="shared" si="1346"/>
        <v>0</v>
      </c>
      <c r="DK208" s="11"/>
      <c r="DL208" s="12" t="e">
        <f t="shared" si="1313"/>
        <v>#DIV/0!</v>
      </c>
      <c r="DM208" s="11"/>
      <c r="DN208" s="12" t="e">
        <f t="shared" si="1314"/>
        <v>#DIV/0!</v>
      </c>
      <c r="DO208" s="13"/>
      <c r="DP208" s="11"/>
      <c r="DQ208" s="25"/>
      <c r="DR208" s="38"/>
      <c r="DS208" s="10"/>
      <c r="DT208" s="11"/>
      <c r="DU208" s="69">
        <f t="shared" si="1347"/>
        <v>0</v>
      </c>
      <c r="DV208" s="69">
        <f t="shared" si="1347"/>
        <v>0</v>
      </c>
      <c r="DW208" s="11"/>
      <c r="DX208" s="12" t="e">
        <f t="shared" si="1315"/>
        <v>#DIV/0!</v>
      </c>
      <c r="DY208" s="11"/>
      <c r="DZ208" s="12" t="e">
        <f t="shared" si="1316"/>
        <v>#DIV/0!</v>
      </c>
      <c r="EA208" s="13"/>
      <c r="EB208" s="11"/>
      <c r="EC208" s="25"/>
      <c r="ED208" s="38"/>
      <c r="EE208" s="10"/>
      <c r="EF208" s="11"/>
      <c r="EG208" s="69">
        <f t="shared" si="1348"/>
        <v>0</v>
      </c>
      <c r="EH208" s="69">
        <f t="shared" si="1348"/>
        <v>0</v>
      </c>
      <c r="EI208" s="11"/>
      <c r="EJ208" s="12" t="e">
        <f t="shared" si="1317"/>
        <v>#DIV/0!</v>
      </c>
      <c r="EK208" s="11"/>
      <c r="EL208" s="12" t="e">
        <f t="shared" si="1318"/>
        <v>#DIV/0!</v>
      </c>
      <c r="EM208" s="13"/>
      <c r="EN208" s="11"/>
      <c r="EO208" s="25"/>
      <c r="EP208" s="38"/>
      <c r="EQ208" s="10"/>
      <c r="ER208" s="11"/>
      <c r="ES208" s="69">
        <f t="shared" si="1349"/>
        <v>0</v>
      </c>
      <c r="ET208" s="69">
        <f t="shared" si="1349"/>
        <v>0</v>
      </c>
      <c r="EU208" s="11"/>
      <c r="EV208" s="12" t="e">
        <f t="shared" si="1319"/>
        <v>#DIV/0!</v>
      </c>
      <c r="EW208" s="11"/>
      <c r="EX208" s="12" t="e">
        <f t="shared" si="1320"/>
        <v>#DIV/0!</v>
      </c>
      <c r="EY208" s="13"/>
      <c r="EZ208" s="11"/>
      <c r="FA208" s="25"/>
      <c r="FB208" s="38"/>
      <c r="FC208" s="10"/>
      <c r="FD208" s="11"/>
      <c r="FE208" s="69">
        <f t="shared" si="1350"/>
        <v>0</v>
      </c>
      <c r="FF208" s="69">
        <f t="shared" si="1350"/>
        <v>0</v>
      </c>
      <c r="FG208" s="11"/>
      <c r="FH208" s="12" t="e">
        <f t="shared" si="1321"/>
        <v>#DIV/0!</v>
      </c>
      <c r="FI208" s="11"/>
      <c r="FJ208" s="12" t="e">
        <f t="shared" si="1322"/>
        <v>#DIV/0!</v>
      </c>
      <c r="FK208" s="13"/>
      <c r="FL208" s="11"/>
      <c r="FM208" s="25"/>
      <c r="FN208" s="38"/>
      <c r="FO208" s="10"/>
      <c r="FP208" s="11"/>
      <c r="FQ208" s="69">
        <f t="shared" si="1351"/>
        <v>0</v>
      </c>
      <c r="FR208" s="69">
        <f t="shared" si="1351"/>
        <v>0</v>
      </c>
      <c r="FS208" s="11"/>
      <c r="FT208" s="12" t="e">
        <f t="shared" si="1323"/>
        <v>#DIV/0!</v>
      </c>
      <c r="FU208" s="11"/>
      <c r="FV208" s="12" t="e">
        <f t="shared" si="1324"/>
        <v>#DIV/0!</v>
      </c>
      <c r="FW208" s="13"/>
      <c r="FX208" s="11"/>
      <c r="FY208" s="25"/>
      <c r="FZ208" s="38"/>
      <c r="GA208" s="10"/>
      <c r="GB208" s="11"/>
      <c r="GC208" s="69">
        <f t="shared" si="1352"/>
        <v>0</v>
      </c>
      <c r="GD208" s="69">
        <f t="shared" si="1352"/>
        <v>0</v>
      </c>
      <c r="GE208" s="11"/>
      <c r="GF208" s="12" t="e">
        <f t="shared" si="1325"/>
        <v>#DIV/0!</v>
      </c>
      <c r="GG208" s="11"/>
      <c r="GH208" s="12" t="e">
        <f t="shared" si="1326"/>
        <v>#DIV/0!</v>
      </c>
      <c r="GI208" s="13"/>
      <c r="GJ208" s="11"/>
      <c r="GK208" s="25"/>
      <c r="GL208" s="38"/>
      <c r="GM208" s="10"/>
      <c r="GN208" s="11"/>
      <c r="GO208" s="69">
        <f t="shared" si="1353"/>
        <v>0</v>
      </c>
      <c r="GP208" s="69">
        <f t="shared" si="1353"/>
        <v>0</v>
      </c>
      <c r="GQ208" s="11"/>
      <c r="GR208" s="12" t="e">
        <f t="shared" si="1327"/>
        <v>#DIV/0!</v>
      </c>
      <c r="GS208" s="11"/>
      <c r="GT208" s="12" t="e">
        <f t="shared" si="1328"/>
        <v>#DIV/0!</v>
      </c>
      <c r="GU208" s="13"/>
      <c r="GV208" s="11"/>
      <c r="GW208" s="25"/>
      <c r="GX208" s="38"/>
      <c r="GY208" s="10"/>
      <c r="GZ208" s="11"/>
      <c r="HA208" s="69">
        <f t="shared" si="1354"/>
        <v>0</v>
      </c>
      <c r="HB208" s="69">
        <f t="shared" si="1354"/>
        <v>0</v>
      </c>
      <c r="HC208" s="11"/>
      <c r="HD208" s="12" t="e">
        <f t="shared" si="1329"/>
        <v>#DIV/0!</v>
      </c>
      <c r="HE208" s="11"/>
      <c r="HF208" s="12" t="e">
        <f t="shared" si="1330"/>
        <v>#DIV/0!</v>
      </c>
      <c r="HG208" s="13"/>
      <c r="HH208" s="11"/>
      <c r="HI208" s="25"/>
      <c r="HJ208" s="38"/>
      <c r="HK208" s="10">
        <f t="shared" si="1331"/>
        <v>3</v>
      </c>
      <c r="HL208" s="11">
        <f t="shared" si="1331"/>
        <v>0</v>
      </c>
      <c r="HM208" s="11">
        <f t="shared" si="1331"/>
        <v>3450</v>
      </c>
      <c r="HN208" s="11">
        <f t="shared" si="1331"/>
        <v>264</v>
      </c>
      <c r="HO208" s="11">
        <f t="shared" si="1332"/>
        <v>1476</v>
      </c>
      <c r="HP208" s="95">
        <f t="shared" si="1333"/>
        <v>0.42782608695652175</v>
      </c>
      <c r="HQ208" s="15">
        <f t="shared" si="1334"/>
        <v>117</v>
      </c>
      <c r="HR208" s="12">
        <f t="shared" si="1355"/>
        <v>7.926829268292683E-2</v>
      </c>
      <c r="HS208" s="16">
        <v>70.099999999999994</v>
      </c>
      <c r="HT208" s="17">
        <v>1282</v>
      </c>
      <c r="HU208" s="16">
        <f t="shared" si="1335"/>
        <v>86.856368563685635</v>
      </c>
      <c r="HV208" s="23"/>
      <c r="HW208" s="22">
        <v>4888.5714285714284</v>
      </c>
    </row>
    <row r="209" spans="1:231" ht="18.75" x14ac:dyDescent="0.25">
      <c r="A209" s="374"/>
      <c r="B209" s="41">
        <f t="shared" si="1235"/>
        <v>45101</v>
      </c>
      <c r="C209" s="10"/>
      <c r="D209" s="11"/>
      <c r="E209" s="69">
        <f>E208-C209</f>
        <v>611</v>
      </c>
      <c r="F209" s="69">
        <f>F208-D209</f>
        <v>47</v>
      </c>
      <c r="G209" s="11">
        <v>246</v>
      </c>
      <c r="H209" s="12">
        <f t="shared" si="1296"/>
        <v>0.4238952536824877</v>
      </c>
      <c r="I209" s="11">
        <v>13</v>
      </c>
      <c r="J209" s="12">
        <f t="shared" si="1337"/>
        <v>5.019305019305019E-2</v>
      </c>
      <c r="K209" s="13"/>
      <c r="L209" s="11"/>
      <c r="M209" s="39"/>
      <c r="N209" s="43">
        <v>100</v>
      </c>
      <c r="O209" s="10"/>
      <c r="P209" s="11"/>
      <c r="Q209" s="69">
        <f t="shared" si="1338"/>
        <v>618</v>
      </c>
      <c r="R209" s="69">
        <f t="shared" si="1338"/>
        <v>47</v>
      </c>
      <c r="S209" s="11">
        <v>214</v>
      </c>
      <c r="T209" s="12">
        <f t="shared" si="1297"/>
        <v>0.36893203883495146</v>
      </c>
      <c r="U209" s="11">
        <v>14</v>
      </c>
      <c r="V209" s="12">
        <f t="shared" si="1298"/>
        <v>6.1403508771929821E-2</v>
      </c>
      <c r="W209" s="13"/>
      <c r="X209" s="11"/>
      <c r="Y209" s="39"/>
      <c r="Z209" s="43">
        <v>83.333333333333329</v>
      </c>
      <c r="AA209" s="10"/>
      <c r="AB209" s="11"/>
      <c r="AC209" s="69">
        <f t="shared" si="1339"/>
        <v>155</v>
      </c>
      <c r="AD209" s="69">
        <f t="shared" si="1339"/>
        <v>11</v>
      </c>
      <c r="AE209" s="11">
        <v>44</v>
      </c>
      <c r="AF209" s="12">
        <f t="shared" si="1299"/>
        <v>0.32258064516129031</v>
      </c>
      <c r="AG209" s="11">
        <v>6</v>
      </c>
      <c r="AH209" s="12">
        <f t="shared" si="1300"/>
        <v>0.12</v>
      </c>
      <c r="AI209" s="13"/>
      <c r="AJ209" s="11"/>
      <c r="AK209" s="39"/>
      <c r="AL209" s="43">
        <v>66.666666666666671</v>
      </c>
      <c r="AM209" s="10"/>
      <c r="AN209" s="11"/>
      <c r="AO209" s="69">
        <f t="shared" si="1340"/>
        <v>688</v>
      </c>
      <c r="AP209" s="69">
        <f t="shared" si="1340"/>
        <v>53</v>
      </c>
      <c r="AQ209" s="11">
        <v>255</v>
      </c>
      <c r="AR209" s="12">
        <f t="shared" si="1301"/>
        <v>0.39389534883720928</v>
      </c>
      <c r="AS209" s="11">
        <v>16</v>
      </c>
      <c r="AT209" s="12">
        <f t="shared" si="1302"/>
        <v>5.9040590405904057E-2</v>
      </c>
      <c r="AU209" s="13"/>
      <c r="AV209" s="11"/>
      <c r="AW209" s="39"/>
      <c r="AX209" s="43">
        <v>90.909090909090907</v>
      </c>
      <c r="AY209" s="10"/>
      <c r="AZ209" s="11"/>
      <c r="BA209" s="69">
        <f t="shared" si="1341"/>
        <v>688</v>
      </c>
      <c r="BB209" s="69">
        <f t="shared" si="1341"/>
        <v>53</v>
      </c>
      <c r="BC209" s="11">
        <v>257</v>
      </c>
      <c r="BD209" s="12">
        <f t="shared" si="1303"/>
        <v>0.39970930232558138</v>
      </c>
      <c r="BE209" s="11">
        <v>18</v>
      </c>
      <c r="BF209" s="12">
        <f t="shared" si="1304"/>
        <v>6.545454545454546E-2</v>
      </c>
      <c r="BG209" s="13"/>
      <c r="BH209" s="11"/>
      <c r="BI209" s="39"/>
      <c r="BJ209" s="43">
        <v>90.909090909090907</v>
      </c>
      <c r="BK209" s="10">
        <v>1</v>
      </c>
      <c r="BL209" s="11"/>
      <c r="BM209" s="69">
        <f t="shared" si="1342"/>
        <v>689</v>
      </c>
      <c r="BN209" s="69">
        <f t="shared" si="1342"/>
        <v>53</v>
      </c>
      <c r="BO209" s="11">
        <v>304</v>
      </c>
      <c r="BP209" s="12">
        <f t="shared" si="1305"/>
        <v>0.46879535558780844</v>
      </c>
      <c r="BQ209" s="11">
        <v>19</v>
      </c>
      <c r="BR209" s="12">
        <f t="shared" si="1306"/>
        <v>5.8823529411764705E-2</v>
      </c>
      <c r="BS209" s="13"/>
      <c r="BT209" s="11"/>
      <c r="BU209" s="39"/>
      <c r="BV209" s="43">
        <v>100</v>
      </c>
      <c r="BW209" s="10"/>
      <c r="BX209" s="11"/>
      <c r="BY209" s="69">
        <f t="shared" si="1343"/>
        <v>0</v>
      </c>
      <c r="BZ209" s="69">
        <f t="shared" si="1343"/>
        <v>0</v>
      </c>
      <c r="CA209" s="11"/>
      <c r="CB209" s="12" t="e">
        <f t="shared" si="1307"/>
        <v>#DIV/0!</v>
      </c>
      <c r="CC209" s="11"/>
      <c r="CD209" s="12" t="e">
        <f t="shared" si="1308"/>
        <v>#DIV/0!</v>
      </c>
      <c r="CE209" s="13"/>
      <c r="CF209" s="11"/>
      <c r="CG209" s="39"/>
      <c r="CH209" s="43"/>
      <c r="CI209" s="10"/>
      <c r="CJ209" s="11"/>
      <c r="CK209" s="69">
        <f t="shared" si="1344"/>
        <v>0</v>
      </c>
      <c r="CL209" s="69">
        <f t="shared" si="1344"/>
        <v>0</v>
      </c>
      <c r="CM209" s="11"/>
      <c r="CN209" s="12" t="e">
        <f t="shared" si="1309"/>
        <v>#DIV/0!</v>
      </c>
      <c r="CO209" s="11"/>
      <c r="CP209" s="12" t="e">
        <f t="shared" si="1310"/>
        <v>#DIV/0!</v>
      </c>
      <c r="CQ209" s="13"/>
      <c r="CR209" s="11"/>
      <c r="CS209" s="39"/>
      <c r="CT209" s="43"/>
      <c r="CU209" s="10"/>
      <c r="CV209" s="11"/>
      <c r="CW209" s="69">
        <f t="shared" si="1345"/>
        <v>0</v>
      </c>
      <c r="CX209" s="69">
        <f t="shared" si="1345"/>
        <v>0</v>
      </c>
      <c r="CY209" s="11"/>
      <c r="CZ209" s="12" t="e">
        <f t="shared" si="1311"/>
        <v>#DIV/0!</v>
      </c>
      <c r="DA209" s="11"/>
      <c r="DB209" s="12" t="e">
        <f t="shared" si="1312"/>
        <v>#DIV/0!</v>
      </c>
      <c r="DC209" s="13"/>
      <c r="DD209" s="11"/>
      <c r="DE209" s="39"/>
      <c r="DF209" s="43"/>
      <c r="DG209" s="10"/>
      <c r="DH209" s="11"/>
      <c r="DI209" s="69">
        <f t="shared" si="1346"/>
        <v>0</v>
      </c>
      <c r="DJ209" s="69">
        <f t="shared" si="1346"/>
        <v>0</v>
      </c>
      <c r="DK209" s="11"/>
      <c r="DL209" s="12" t="e">
        <f t="shared" si="1313"/>
        <v>#DIV/0!</v>
      </c>
      <c r="DM209" s="11"/>
      <c r="DN209" s="12" t="e">
        <f t="shared" si="1314"/>
        <v>#DIV/0!</v>
      </c>
      <c r="DO209" s="13"/>
      <c r="DP209" s="11"/>
      <c r="DQ209" s="39"/>
      <c r="DR209" s="43"/>
      <c r="DS209" s="10"/>
      <c r="DT209" s="11"/>
      <c r="DU209" s="69">
        <f t="shared" si="1347"/>
        <v>0</v>
      </c>
      <c r="DV209" s="69">
        <f t="shared" si="1347"/>
        <v>0</v>
      </c>
      <c r="DW209" s="11"/>
      <c r="DX209" s="12" t="e">
        <f t="shared" si="1315"/>
        <v>#DIV/0!</v>
      </c>
      <c r="DY209" s="11"/>
      <c r="DZ209" s="12" t="e">
        <f t="shared" si="1316"/>
        <v>#DIV/0!</v>
      </c>
      <c r="EA209" s="13"/>
      <c r="EB209" s="11"/>
      <c r="EC209" s="39"/>
      <c r="ED209" s="43"/>
      <c r="EE209" s="10"/>
      <c r="EF209" s="11"/>
      <c r="EG209" s="69">
        <f t="shared" si="1348"/>
        <v>0</v>
      </c>
      <c r="EH209" s="69">
        <f t="shared" si="1348"/>
        <v>0</v>
      </c>
      <c r="EI209" s="11"/>
      <c r="EJ209" s="12" t="e">
        <f t="shared" si="1317"/>
        <v>#DIV/0!</v>
      </c>
      <c r="EK209" s="11"/>
      <c r="EL209" s="12" t="e">
        <f t="shared" si="1318"/>
        <v>#DIV/0!</v>
      </c>
      <c r="EM209" s="13"/>
      <c r="EN209" s="11"/>
      <c r="EO209" s="39"/>
      <c r="EP209" s="43"/>
      <c r="EQ209" s="10"/>
      <c r="ER209" s="11"/>
      <c r="ES209" s="69">
        <f t="shared" si="1349"/>
        <v>0</v>
      </c>
      <c r="ET209" s="69">
        <f t="shared" si="1349"/>
        <v>0</v>
      </c>
      <c r="EU209" s="11"/>
      <c r="EV209" s="12" t="e">
        <f t="shared" si="1319"/>
        <v>#DIV/0!</v>
      </c>
      <c r="EW209" s="11"/>
      <c r="EX209" s="12" t="e">
        <f t="shared" si="1320"/>
        <v>#DIV/0!</v>
      </c>
      <c r="EY209" s="13"/>
      <c r="EZ209" s="11"/>
      <c r="FA209" s="39"/>
      <c r="FB209" s="43"/>
      <c r="FC209" s="10"/>
      <c r="FD209" s="11"/>
      <c r="FE209" s="69">
        <f t="shared" si="1350"/>
        <v>0</v>
      </c>
      <c r="FF209" s="69">
        <f t="shared" si="1350"/>
        <v>0</v>
      </c>
      <c r="FG209" s="11"/>
      <c r="FH209" s="12" t="e">
        <f t="shared" si="1321"/>
        <v>#DIV/0!</v>
      </c>
      <c r="FI209" s="11"/>
      <c r="FJ209" s="12" t="e">
        <f t="shared" si="1322"/>
        <v>#DIV/0!</v>
      </c>
      <c r="FK209" s="13"/>
      <c r="FL209" s="11"/>
      <c r="FM209" s="39"/>
      <c r="FN209" s="43"/>
      <c r="FO209" s="10"/>
      <c r="FP209" s="11"/>
      <c r="FQ209" s="69">
        <f t="shared" si="1351"/>
        <v>0</v>
      </c>
      <c r="FR209" s="69">
        <f t="shared" si="1351"/>
        <v>0</v>
      </c>
      <c r="FS209" s="11"/>
      <c r="FT209" s="12" t="e">
        <f t="shared" si="1323"/>
        <v>#DIV/0!</v>
      </c>
      <c r="FU209" s="11"/>
      <c r="FV209" s="12" t="e">
        <f t="shared" si="1324"/>
        <v>#DIV/0!</v>
      </c>
      <c r="FW209" s="13"/>
      <c r="FX209" s="11"/>
      <c r="FY209" s="39"/>
      <c r="FZ209" s="43"/>
      <c r="GA209" s="10"/>
      <c r="GB209" s="11"/>
      <c r="GC209" s="69">
        <f t="shared" si="1352"/>
        <v>0</v>
      </c>
      <c r="GD209" s="69">
        <f t="shared" si="1352"/>
        <v>0</v>
      </c>
      <c r="GE209" s="11"/>
      <c r="GF209" s="12" t="e">
        <f t="shared" si="1325"/>
        <v>#DIV/0!</v>
      </c>
      <c r="GG209" s="11"/>
      <c r="GH209" s="12" t="e">
        <f t="shared" si="1326"/>
        <v>#DIV/0!</v>
      </c>
      <c r="GI209" s="13"/>
      <c r="GJ209" s="11"/>
      <c r="GK209" s="39"/>
      <c r="GL209" s="43"/>
      <c r="GM209" s="10"/>
      <c r="GN209" s="11"/>
      <c r="GO209" s="69">
        <f t="shared" si="1353"/>
        <v>0</v>
      </c>
      <c r="GP209" s="69">
        <f t="shared" si="1353"/>
        <v>0</v>
      </c>
      <c r="GQ209" s="11"/>
      <c r="GR209" s="12" t="e">
        <f t="shared" si="1327"/>
        <v>#DIV/0!</v>
      </c>
      <c r="GS209" s="11"/>
      <c r="GT209" s="12" t="e">
        <f t="shared" si="1328"/>
        <v>#DIV/0!</v>
      </c>
      <c r="GU209" s="13"/>
      <c r="GV209" s="11"/>
      <c r="GW209" s="39"/>
      <c r="GX209" s="43"/>
      <c r="GY209" s="10"/>
      <c r="GZ209" s="11"/>
      <c r="HA209" s="69">
        <f t="shared" si="1354"/>
        <v>0</v>
      </c>
      <c r="HB209" s="69">
        <f t="shared" si="1354"/>
        <v>0</v>
      </c>
      <c r="HC209" s="11"/>
      <c r="HD209" s="12" t="e">
        <f t="shared" si="1329"/>
        <v>#DIV/0!</v>
      </c>
      <c r="HE209" s="11"/>
      <c r="HF209" s="12" t="e">
        <f t="shared" si="1330"/>
        <v>#DIV/0!</v>
      </c>
      <c r="HG209" s="13"/>
      <c r="HH209" s="11"/>
      <c r="HI209" s="39"/>
      <c r="HJ209" s="43"/>
      <c r="HK209" s="10">
        <f t="shared" si="1331"/>
        <v>1</v>
      </c>
      <c r="HL209" s="11">
        <f t="shared" si="1331"/>
        <v>0</v>
      </c>
      <c r="HM209" s="11">
        <f t="shared" si="1331"/>
        <v>3449</v>
      </c>
      <c r="HN209" s="11">
        <f t="shared" si="1331"/>
        <v>264</v>
      </c>
      <c r="HO209" s="11">
        <f t="shared" si="1332"/>
        <v>1406</v>
      </c>
      <c r="HP209" s="95">
        <f t="shared" si="1333"/>
        <v>0.4076543925775587</v>
      </c>
      <c r="HQ209" s="15">
        <f t="shared" si="1334"/>
        <v>86</v>
      </c>
      <c r="HR209" s="12">
        <f t="shared" si="1355"/>
        <v>6.1166429587482217E-2</v>
      </c>
      <c r="HS209" s="16">
        <v>70.599999999999994</v>
      </c>
      <c r="HT209" s="17">
        <v>1263</v>
      </c>
      <c r="HU209" s="16">
        <f t="shared" si="1335"/>
        <v>89.829302987197721</v>
      </c>
      <c r="HV209" s="23"/>
      <c r="HW209" s="22">
        <v>83.928571428571431</v>
      </c>
    </row>
    <row r="210" spans="1:231" ht="19.5" thickBot="1" x14ac:dyDescent="0.3">
      <c r="A210" s="374"/>
      <c r="B210" s="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1645</v>
      </c>
      <c r="H210" s="28">
        <f>((G210+I210)/7)/E209</f>
        <v>0.4175824175824176</v>
      </c>
      <c r="I210" s="27">
        <f>SUM(I203:I209)</f>
        <v>141</v>
      </c>
      <c r="J210" s="28">
        <f>(I210/(I210+G210))</f>
        <v>7.8947368421052627E-2</v>
      </c>
      <c r="K210" s="27"/>
      <c r="L210" s="27"/>
      <c r="M210" s="29" t="e">
        <f>M208/M207*100-100</f>
        <v>#DIV/0!</v>
      </c>
      <c r="N210" s="67">
        <f>N208/N207*100-100</f>
        <v>0.55335968379446854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1549</v>
      </c>
      <c r="T210" s="28">
        <f>((S210+U210)/7)/Q209</f>
        <v>0.38603791030975498</v>
      </c>
      <c r="U210" s="27">
        <f>SUM(U203:U209)</f>
        <v>121</v>
      </c>
      <c r="V210" s="28">
        <f>(U210/(U210+S210))</f>
        <v>7.2455089820359281E-2</v>
      </c>
      <c r="W210" s="27"/>
      <c r="X210" s="27"/>
      <c r="Y210" s="29" t="e">
        <f>Y208/Y207*100-100</f>
        <v>#DIV/0!</v>
      </c>
      <c r="Z210" s="67">
        <f>Z208/Z207*100-100</f>
        <v>6.7028985507246404</v>
      </c>
      <c r="AA210" s="26">
        <f>SUM(AA203:AA209)</f>
        <v>3</v>
      </c>
      <c r="AB210" s="27">
        <f>SUM(AB203:AB209)</f>
        <v>0</v>
      </c>
      <c r="AC210" s="27"/>
      <c r="AD210" s="27"/>
      <c r="AE210" s="27">
        <f>SUM(AE203:AE209)</f>
        <v>302</v>
      </c>
      <c r="AF210" s="28">
        <f>((AE210+AG210)/7)/AC209</f>
        <v>0.30875576036866359</v>
      </c>
      <c r="AG210" s="27">
        <f>SUM(AG203:AG209)</f>
        <v>33</v>
      </c>
      <c r="AH210" s="28">
        <f>(AG210/(AG210+AE210))</f>
        <v>9.8507462686567168E-2</v>
      </c>
      <c r="AI210" s="27"/>
      <c r="AJ210" s="27"/>
      <c r="AK210" s="29" t="e">
        <f>AK208/AK207*100-100</f>
        <v>#DIV/0!</v>
      </c>
      <c r="AL210" s="67">
        <f>AL208/AL207*100-100</f>
        <v>-3.3333333333333144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1761</v>
      </c>
      <c r="AR210" s="28">
        <f>((AQ210+AS210)/7)/AO209</f>
        <v>0.39431063122923588</v>
      </c>
      <c r="AS210" s="27">
        <f>SUM(AS203:AS209)</f>
        <v>138</v>
      </c>
      <c r="AT210" s="28">
        <f>(AS210/(AS210+AQ210))</f>
        <v>7.266982622432859E-2</v>
      </c>
      <c r="AU210" s="27"/>
      <c r="AV210" s="27"/>
      <c r="AW210" s="29" t="e">
        <f>AW208/AW207*100-100</f>
        <v>#DIV/0!</v>
      </c>
      <c r="AX210" s="67">
        <f>AX208/AX207*100-100</f>
        <v>9.2094861660079204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1785</v>
      </c>
      <c r="BD210" s="28">
        <f>((BC210+BE210)/7)/BA209</f>
        <v>0.39887873754152825</v>
      </c>
      <c r="BE210" s="27">
        <f>SUM(BE203:BE209)</f>
        <v>136</v>
      </c>
      <c r="BF210" s="28">
        <f>(BE210/(BE210+BC210))</f>
        <v>7.0796460176991149E-2</v>
      </c>
      <c r="BG210" s="27"/>
      <c r="BH210" s="27"/>
      <c r="BI210" s="29" t="e">
        <f>BI208/BI207*100-100</f>
        <v>#DIV/0!</v>
      </c>
      <c r="BJ210" s="67">
        <f>BJ208/BJ207*100-100</f>
        <v>6.8774703557312051</v>
      </c>
      <c r="BK210" s="26">
        <f>SUM(BK203:BK209)</f>
        <v>1</v>
      </c>
      <c r="BL210" s="27">
        <f>SUM(BL203:BL209)</f>
        <v>0</v>
      </c>
      <c r="BM210" s="27"/>
      <c r="BN210" s="27"/>
      <c r="BO210" s="27">
        <f>SUM(BO203:BO209)</f>
        <v>1993</v>
      </c>
      <c r="BP210" s="28">
        <f>((BO210+BQ210)/7)/BM209</f>
        <v>0.43479162347086875</v>
      </c>
      <c r="BQ210" s="27">
        <f>SUM(BQ203:BQ209)</f>
        <v>104</v>
      </c>
      <c r="BR210" s="28">
        <f>(BQ210/(BQ210+BO210))</f>
        <v>4.959465903671912E-2</v>
      </c>
      <c r="BS210" s="27"/>
      <c r="BT210" s="27"/>
      <c r="BU210" s="29" t="e">
        <f>BU208/BU207*100-100</f>
        <v>#DIV/0!</v>
      </c>
      <c r="BV210" s="67">
        <f>BV208/BV207*100-100</f>
        <v>12.228260869565204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7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7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7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7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7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7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7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7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7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7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7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7" t="e">
        <f>HJ208/HJ207*100-100</f>
        <v>#DIV/0!</v>
      </c>
      <c r="HK210" s="26">
        <f t="shared" si="1331"/>
        <v>13</v>
      </c>
      <c r="HL210" s="27">
        <f t="shared" si="1331"/>
        <v>0</v>
      </c>
      <c r="HM210" s="27">
        <f t="shared" si="1331"/>
        <v>0</v>
      </c>
      <c r="HN210" s="27">
        <f t="shared" si="1331"/>
        <v>0</v>
      </c>
      <c r="HO210" s="27">
        <f t="shared" si="1332"/>
        <v>9708</v>
      </c>
      <c r="HP210" s="96">
        <f>+((HO210)/HM209)/7</f>
        <v>0.40210412956136354</v>
      </c>
      <c r="HQ210" s="62">
        <f t="shared" si="1334"/>
        <v>673</v>
      </c>
      <c r="HR210" s="52">
        <f t="shared" si="1355"/>
        <v>6.9324268644416973E-2</v>
      </c>
      <c r="HS210" s="53">
        <f>SUM(HS203:HS209)/7</f>
        <v>70.271428571428572</v>
      </c>
      <c r="HT210" s="54">
        <f>SUM(HT203:HT209)</f>
        <v>8627</v>
      </c>
      <c r="HU210" s="53">
        <f>AVERAGE(HU203:HU209)</f>
        <v>88.869701372263975</v>
      </c>
      <c r="HV210" s="63" t="e">
        <f>HV208/HV207*100-100</f>
        <v>#DIV/0!</v>
      </c>
      <c r="HW210" s="67">
        <f>HW208/HW207*100-100</f>
        <v>6.2732919254658412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3.7550548815713462E-3</v>
      </c>
      <c r="HL211" s="66">
        <f>HL210/HN200</f>
        <v>0</v>
      </c>
      <c r="HM211" s="45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373">
        <v>48</v>
      </c>
      <c r="B212" s="68">
        <f>B209+1</f>
        <v>45102</v>
      </c>
      <c r="C212" s="33"/>
      <c r="D212" s="34"/>
      <c r="E212" s="34">
        <f>E209-C212</f>
        <v>611</v>
      </c>
      <c r="F212" s="34">
        <f>F209-D212</f>
        <v>47</v>
      </c>
      <c r="G212" s="34">
        <v>212</v>
      </c>
      <c r="H212" s="35">
        <f t="shared" ref="H212:H218" si="1356">((G212+I212)/E212)</f>
        <v>0.36824877250409166</v>
      </c>
      <c r="I212" s="34">
        <v>13</v>
      </c>
      <c r="J212" s="35">
        <f>I212/(G212+I212)</f>
        <v>5.7777777777777775E-2</v>
      </c>
      <c r="K212" s="36"/>
      <c r="L212" s="34"/>
      <c r="M212" s="34"/>
      <c r="N212" s="37"/>
      <c r="O212" s="33"/>
      <c r="P212" s="34"/>
      <c r="Q212" s="34">
        <f>Q209-O212</f>
        <v>618</v>
      </c>
      <c r="R212" s="34">
        <f>R209-P212</f>
        <v>47</v>
      </c>
      <c r="S212" s="34">
        <v>217</v>
      </c>
      <c r="T212" s="35">
        <f t="shared" ref="T212:T218" si="1357">((S212+U212)/Q212)</f>
        <v>0.3818770226537217</v>
      </c>
      <c r="U212" s="34">
        <v>19</v>
      </c>
      <c r="V212" s="35">
        <f t="shared" ref="V212:V218" si="1358">U212/(S212+U212)</f>
        <v>8.050847457627118E-2</v>
      </c>
      <c r="W212" s="36"/>
      <c r="X212" s="34"/>
      <c r="Y212" s="34"/>
      <c r="Z212" s="37"/>
      <c r="AA212" s="33"/>
      <c r="AB212" s="34"/>
      <c r="AC212" s="34">
        <f>AC209-AA212</f>
        <v>155</v>
      </c>
      <c r="AD212" s="34">
        <f>AD209-AB212</f>
        <v>11</v>
      </c>
      <c r="AE212" s="34">
        <v>49</v>
      </c>
      <c r="AF212" s="35">
        <f t="shared" ref="AF212:AF218" si="1359">((AE212+AG212)/AC212)</f>
        <v>0.34193548387096773</v>
      </c>
      <c r="AG212" s="34">
        <v>4</v>
      </c>
      <c r="AH212" s="35">
        <f t="shared" ref="AH212:AH218" si="1360">AG212/(AE212+AG212)</f>
        <v>7.5471698113207544E-2</v>
      </c>
      <c r="AI212" s="36"/>
      <c r="AJ212" s="34"/>
      <c r="AK212" s="34"/>
      <c r="AL212" s="37"/>
      <c r="AM212" s="33">
        <v>1</v>
      </c>
      <c r="AN212" s="34"/>
      <c r="AO212" s="34">
        <f>AO209-AM212</f>
        <v>687</v>
      </c>
      <c r="AP212" s="34">
        <f>AP209-AN212</f>
        <v>53</v>
      </c>
      <c r="AQ212" s="34">
        <v>265</v>
      </c>
      <c r="AR212" s="35">
        <f t="shared" ref="AR212:AR218" si="1361">((AQ212+AS212)/AO212)</f>
        <v>0.41775836972343522</v>
      </c>
      <c r="AS212" s="34">
        <v>22</v>
      </c>
      <c r="AT212" s="35">
        <f t="shared" ref="AT212:AT218" si="1362">AS212/(AQ212+AS212)</f>
        <v>7.6655052264808357E-2</v>
      </c>
      <c r="AU212" s="36"/>
      <c r="AV212" s="34"/>
      <c r="AW212" s="34"/>
      <c r="AX212" s="37"/>
      <c r="AY212" s="33"/>
      <c r="AZ212" s="34"/>
      <c r="BA212" s="34">
        <f>BA209-AY212</f>
        <v>688</v>
      </c>
      <c r="BB212" s="34">
        <f>BB209-AZ212</f>
        <v>53</v>
      </c>
      <c r="BC212" s="34">
        <v>260</v>
      </c>
      <c r="BD212" s="35">
        <f t="shared" ref="BD212:BD218" si="1363">((BC212+BE212)/BA212)</f>
        <v>0.40406976744186046</v>
      </c>
      <c r="BE212" s="34">
        <v>18</v>
      </c>
      <c r="BF212" s="35">
        <f t="shared" ref="BF212:BF218" si="1364">BE212/(BC212+BE212)</f>
        <v>6.4748201438848921E-2</v>
      </c>
      <c r="BG212" s="36"/>
      <c r="BH212" s="34"/>
      <c r="BI212" s="34"/>
      <c r="BJ212" s="37"/>
      <c r="BK212" s="33"/>
      <c r="BL212" s="34"/>
      <c r="BM212" s="34">
        <f>BM209-BK212</f>
        <v>689</v>
      </c>
      <c r="BN212" s="34">
        <f>BN209-BL212</f>
        <v>53</v>
      </c>
      <c r="BO212" s="34">
        <v>284</v>
      </c>
      <c r="BP212" s="35">
        <f t="shared" ref="BP212:BP218" si="1365">((BO212+BQ212)/BM212)</f>
        <v>0.43105950653120462</v>
      </c>
      <c r="BQ212" s="34">
        <v>13</v>
      </c>
      <c r="BR212" s="35">
        <f t="shared" ref="BR212:BR218" si="1366">BQ212/(BO212+BQ212)</f>
        <v>4.3771043771043773E-2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367">((CA212+CC212)/BY212)</f>
        <v>#DIV/0!</v>
      </c>
      <c r="CC212" s="34"/>
      <c r="CD212" s="35" t="e">
        <f t="shared" ref="CD212:CD218" si="1368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369">((CM212+CO212)/CK212)</f>
        <v>#DIV/0!</v>
      </c>
      <c r="CO212" s="34"/>
      <c r="CP212" s="35" t="e">
        <f t="shared" ref="CP212:CP218" si="1370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371">((CY212+DA212)/CW212)</f>
        <v>#DIV/0!</v>
      </c>
      <c r="DA212" s="34"/>
      <c r="DB212" s="35" t="e">
        <f t="shared" ref="DB212:DB218" si="1372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373">((DK212+DM212)/DI212)</f>
        <v>#DIV/0!</v>
      </c>
      <c r="DM212" s="34"/>
      <c r="DN212" s="35" t="e">
        <f t="shared" ref="DN212:DN218" si="1374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375">((DW212+DY212)/DU212)</f>
        <v>#DIV/0!</v>
      </c>
      <c r="DY212" s="34"/>
      <c r="DZ212" s="35" t="e">
        <f t="shared" ref="DZ212:DZ218" si="1376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377">((EI212+EK212)/EG212)</f>
        <v>#DIV/0!</v>
      </c>
      <c r="EK212" s="34"/>
      <c r="EL212" s="35" t="e">
        <f t="shared" ref="EL212:EL218" si="1378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379">((EU212+EW212)/ES212)</f>
        <v>#DIV/0!</v>
      </c>
      <c r="EW212" s="34"/>
      <c r="EX212" s="35" t="e">
        <f t="shared" ref="EX212:EX218" si="1380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381">((FG212+FI212)/FE212)</f>
        <v>#DIV/0!</v>
      </c>
      <c r="FI212" s="34"/>
      <c r="FJ212" s="35" t="e">
        <f t="shared" ref="FJ212:FJ218" si="1382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383">((FS212+FU212)/FQ212)</f>
        <v>#DIV/0!</v>
      </c>
      <c r="FU212" s="34"/>
      <c r="FV212" s="35" t="e">
        <f t="shared" ref="FV212:FV218" si="1384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385">((GE212+GG212)/GC212)</f>
        <v>#DIV/0!</v>
      </c>
      <c r="GG212" s="34"/>
      <c r="GH212" s="35" t="e">
        <f t="shared" ref="GH212:GH218" si="1386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387">((GQ212+GS212)/GO212)</f>
        <v>#DIV/0!</v>
      </c>
      <c r="GS212" s="34"/>
      <c r="GT212" s="35" t="e">
        <f t="shared" ref="GT212:GT218" si="1388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389">((HC212+HE212)/HA212)</f>
        <v>#DIV/0!</v>
      </c>
      <c r="HE212" s="34"/>
      <c r="HF212" s="35" t="e">
        <f t="shared" ref="HF212:HF218" si="1390">HE212/(HC212+HE212)</f>
        <v>#DIV/0!</v>
      </c>
      <c r="HG212" s="36"/>
      <c r="HH212" s="34"/>
      <c r="HI212" s="34"/>
      <c r="HJ212" s="37"/>
      <c r="HK212" s="33">
        <f t="shared" ref="HK212:HN219" si="1391">+C212+O212+AA212+AM212+AY212+BK212+BW212+CI212+CU212+DG212+DS212+EE212+EQ212+FC212+FO212+GA212+GM212+GY212</f>
        <v>1</v>
      </c>
      <c r="HL212" s="34">
        <f t="shared" si="1391"/>
        <v>0</v>
      </c>
      <c r="HM212" s="34">
        <f t="shared" si="1391"/>
        <v>3448</v>
      </c>
      <c r="HN212" s="34">
        <f t="shared" si="1391"/>
        <v>264</v>
      </c>
      <c r="HO212" s="34">
        <f t="shared" ref="HO212:HO219" si="1392">+G212+S212+AE212+AQ212+BC212+BO212+CA212+CM212+CY212+DK212+DW212+EI212+EU212+FG212+FS212+GE212+GQ212+HC212+I212+U212+AG212+AS212+BE212+BQ212+CC212+CO212+DA212+DM212+DY212+EK212+EW212+FI212+FU212+GG212+GS212+HE212</f>
        <v>1376</v>
      </c>
      <c r="HP212" s="94">
        <f t="shared" ref="HP212:HP218" si="1393">+(HO212)/HM212</f>
        <v>0.39907192575406031</v>
      </c>
      <c r="HQ212" s="48">
        <f t="shared" ref="HQ212:HQ219" si="1394">+I212+U212+AG212+AS212+BE212+BQ212+CC212+CO212+DA212+DM212+DY212+EK212+EW212+FI212+FU212+GG212+GS212+HE212</f>
        <v>89</v>
      </c>
      <c r="HR212" s="35">
        <f>+(HQ212/(HO212))</f>
        <v>6.4680232558139539E-2</v>
      </c>
      <c r="HS212" s="49">
        <v>70.5</v>
      </c>
      <c r="HT212" s="50">
        <v>1228</v>
      </c>
      <c r="HU212" s="49">
        <f t="shared" ref="HU212:HU218" si="1395">+HT212/HO212*100</f>
        <v>89.244186046511629</v>
      </c>
      <c r="HV212" s="48"/>
      <c r="HW212" s="37"/>
    </row>
    <row r="213" spans="1:231" ht="18.75" x14ac:dyDescent="0.25">
      <c r="A213" s="374"/>
      <c r="B213" s="41">
        <f t="shared" si="1235"/>
        <v>45103</v>
      </c>
      <c r="C213" s="10"/>
      <c r="D213" s="11"/>
      <c r="E213" s="69">
        <f t="shared" ref="E213:F217" si="1396">E212-C213</f>
        <v>611</v>
      </c>
      <c r="F213" s="69">
        <f t="shared" si="1396"/>
        <v>47</v>
      </c>
      <c r="G213" s="11">
        <v>248</v>
      </c>
      <c r="H213" s="12">
        <f t="shared" si="1356"/>
        <v>0.44189852700491</v>
      </c>
      <c r="I213" s="11">
        <v>22</v>
      </c>
      <c r="J213" s="12">
        <f t="shared" ref="J213:J218" si="1397">I213/(G213+I213)</f>
        <v>8.1481481481481488E-2</v>
      </c>
      <c r="K213" s="13"/>
      <c r="L213" s="11"/>
      <c r="M213" s="11"/>
      <c r="N213" s="14"/>
      <c r="O213" s="10"/>
      <c r="P213" s="11"/>
      <c r="Q213" s="69">
        <f t="shared" ref="Q213:R218" si="1398">Q212-O213</f>
        <v>618</v>
      </c>
      <c r="R213" s="69">
        <f t="shared" si="1398"/>
        <v>47</v>
      </c>
      <c r="S213" s="11">
        <v>230</v>
      </c>
      <c r="T213" s="12">
        <f t="shared" si="1357"/>
        <v>0.40614886731391586</v>
      </c>
      <c r="U213" s="11">
        <v>21</v>
      </c>
      <c r="V213" s="12">
        <f t="shared" si="1358"/>
        <v>8.3665338645418322E-2</v>
      </c>
      <c r="W213" s="13"/>
      <c r="X213" s="11"/>
      <c r="Y213" s="11"/>
      <c r="Z213" s="14"/>
      <c r="AA213" s="10">
        <v>2</v>
      </c>
      <c r="AB213" s="11"/>
      <c r="AC213" s="69">
        <f t="shared" ref="AC213:AD218" si="1399">AC212-AA213</f>
        <v>153</v>
      </c>
      <c r="AD213" s="69">
        <f t="shared" si="1399"/>
        <v>11</v>
      </c>
      <c r="AE213" s="11">
        <v>56</v>
      </c>
      <c r="AF213" s="12">
        <f t="shared" si="1359"/>
        <v>0.40522875816993464</v>
      </c>
      <c r="AG213" s="11">
        <v>6</v>
      </c>
      <c r="AH213" s="12">
        <f t="shared" si="1360"/>
        <v>9.6774193548387094E-2</v>
      </c>
      <c r="AI213" s="13"/>
      <c r="AJ213" s="11"/>
      <c r="AK213" s="11"/>
      <c r="AL213" s="14"/>
      <c r="AM213" s="10"/>
      <c r="AN213" s="11"/>
      <c r="AO213" s="69">
        <f t="shared" ref="AO213:AP218" si="1400">AO212-AM213</f>
        <v>687</v>
      </c>
      <c r="AP213" s="69">
        <f t="shared" si="1400"/>
        <v>53</v>
      </c>
      <c r="AQ213" s="11">
        <v>259</v>
      </c>
      <c r="AR213" s="12">
        <f t="shared" si="1361"/>
        <v>0.40465793304221254</v>
      </c>
      <c r="AS213" s="11">
        <v>19</v>
      </c>
      <c r="AT213" s="12">
        <f t="shared" si="1362"/>
        <v>6.83453237410072E-2</v>
      </c>
      <c r="AU213" s="13"/>
      <c r="AV213" s="11"/>
      <c r="AW213" s="11"/>
      <c r="AX213" s="14"/>
      <c r="AY213" s="10"/>
      <c r="AZ213" s="11"/>
      <c r="BA213" s="69">
        <f t="shared" ref="BA213:BB218" si="1401">BA212-AY213</f>
        <v>688</v>
      </c>
      <c r="BB213" s="69">
        <f t="shared" si="1401"/>
        <v>53</v>
      </c>
      <c r="BC213" s="11">
        <v>252</v>
      </c>
      <c r="BD213" s="12">
        <f t="shared" si="1363"/>
        <v>0.39244186046511625</v>
      </c>
      <c r="BE213" s="11">
        <v>18</v>
      </c>
      <c r="BF213" s="12">
        <f t="shared" si="1364"/>
        <v>6.6666666666666666E-2</v>
      </c>
      <c r="BG213" s="13"/>
      <c r="BH213" s="11"/>
      <c r="BI213" s="11"/>
      <c r="BJ213" s="14"/>
      <c r="BK213" s="10">
        <v>1</v>
      </c>
      <c r="BL213" s="11"/>
      <c r="BM213" s="69">
        <f t="shared" ref="BM213:BN218" si="1402">BM212-BK213</f>
        <v>688</v>
      </c>
      <c r="BN213" s="69">
        <f t="shared" si="1402"/>
        <v>53</v>
      </c>
      <c r="BO213" s="11">
        <v>283</v>
      </c>
      <c r="BP213" s="12">
        <f t="shared" si="1365"/>
        <v>0.43604651162790697</v>
      </c>
      <c r="BQ213" s="11">
        <v>17</v>
      </c>
      <c r="BR213" s="12">
        <f t="shared" si="1366"/>
        <v>5.6666666666666664E-2</v>
      </c>
      <c r="BS213" s="13"/>
      <c r="BT213" s="11"/>
      <c r="BU213" s="11"/>
      <c r="BV213" s="14"/>
      <c r="BW213" s="10"/>
      <c r="BX213" s="11"/>
      <c r="BY213" s="69">
        <f t="shared" ref="BY213:BZ218" si="1403">BY212-BW213</f>
        <v>0</v>
      </c>
      <c r="BZ213" s="69">
        <f t="shared" si="1403"/>
        <v>0</v>
      </c>
      <c r="CA213" s="11"/>
      <c r="CB213" s="12" t="e">
        <f t="shared" si="1367"/>
        <v>#DIV/0!</v>
      </c>
      <c r="CC213" s="11"/>
      <c r="CD213" s="12" t="e">
        <f t="shared" si="1368"/>
        <v>#DIV/0!</v>
      </c>
      <c r="CE213" s="13"/>
      <c r="CF213" s="11"/>
      <c r="CG213" s="11"/>
      <c r="CH213" s="14"/>
      <c r="CI213" s="10"/>
      <c r="CJ213" s="11"/>
      <c r="CK213" s="69">
        <f t="shared" ref="CK213:CL218" si="1404">CK212-CI213</f>
        <v>0</v>
      </c>
      <c r="CL213" s="69">
        <f t="shared" si="1404"/>
        <v>0</v>
      </c>
      <c r="CM213" s="11"/>
      <c r="CN213" s="12" t="e">
        <f t="shared" si="1369"/>
        <v>#DIV/0!</v>
      </c>
      <c r="CO213" s="11"/>
      <c r="CP213" s="12" t="e">
        <f t="shared" si="1370"/>
        <v>#DIV/0!</v>
      </c>
      <c r="CQ213" s="13"/>
      <c r="CR213" s="11"/>
      <c r="CS213" s="11"/>
      <c r="CT213" s="14"/>
      <c r="CU213" s="10"/>
      <c r="CV213" s="11"/>
      <c r="CW213" s="69">
        <f t="shared" ref="CW213:CX218" si="1405">CW212-CU213</f>
        <v>0</v>
      </c>
      <c r="CX213" s="69">
        <f t="shared" si="1405"/>
        <v>0</v>
      </c>
      <c r="CY213" s="11"/>
      <c r="CZ213" s="12" t="e">
        <f t="shared" si="1371"/>
        <v>#DIV/0!</v>
      </c>
      <c r="DA213" s="11"/>
      <c r="DB213" s="12" t="e">
        <f t="shared" si="1372"/>
        <v>#DIV/0!</v>
      </c>
      <c r="DC213" s="13"/>
      <c r="DD213" s="11"/>
      <c r="DE213" s="11"/>
      <c r="DF213" s="14"/>
      <c r="DG213" s="10"/>
      <c r="DH213" s="11"/>
      <c r="DI213" s="69">
        <f t="shared" ref="DI213:DJ218" si="1406">DI212-DG213</f>
        <v>0</v>
      </c>
      <c r="DJ213" s="69">
        <f t="shared" si="1406"/>
        <v>0</v>
      </c>
      <c r="DK213" s="11"/>
      <c r="DL213" s="12" t="e">
        <f t="shared" si="1373"/>
        <v>#DIV/0!</v>
      </c>
      <c r="DM213" s="11"/>
      <c r="DN213" s="12" t="e">
        <f t="shared" si="1374"/>
        <v>#DIV/0!</v>
      </c>
      <c r="DO213" s="13"/>
      <c r="DP213" s="11"/>
      <c r="DQ213" s="11"/>
      <c r="DR213" s="14"/>
      <c r="DS213" s="10"/>
      <c r="DT213" s="11"/>
      <c r="DU213" s="69">
        <f t="shared" ref="DU213:DV218" si="1407">DU212-DS213</f>
        <v>0</v>
      </c>
      <c r="DV213" s="69">
        <f t="shared" si="1407"/>
        <v>0</v>
      </c>
      <c r="DW213" s="11"/>
      <c r="DX213" s="12" t="e">
        <f t="shared" si="1375"/>
        <v>#DIV/0!</v>
      </c>
      <c r="DY213" s="11"/>
      <c r="DZ213" s="12" t="e">
        <f t="shared" si="1376"/>
        <v>#DIV/0!</v>
      </c>
      <c r="EA213" s="13"/>
      <c r="EB213" s="11"/>
      <c r="EC213" s="11"/>
      <c r="ED213" s="14"/>
      <c r="EE213" s="10"/>
      <c r="EF213" s="11"/>
      <c r="EG213" s="69">
        <f t="shared" ref="EG213:EH218" si="1408">EG212-EE213</f>
        <v>0</v>
      </c>
      <c r="EH213" s="69">
        <f t="shared" si="1408"/>
        <v>0</v>
      </c>
      <c r="EI213" s="11"/>
      <c r="EJ213" s="12" t="e">
        <f t="shared" si="1377"/>
        <v>#DIV/0!</v>
      </c>
      <c r="EK213" s="11"/>
      <c r="EL213" s="12" t="e">
        <f t="shared" si="1378"/>
        <v>#DIV/0!</v>
      </c>
      <c r="EM213" s="13"/>
      <c r="EN213" s="11"/>
      <c r="EO213" s="11"/>
      <c r="EP213" s="14"/>
      <c r="EQ213" s="10"/>
      <c r="ER213" s="11"/>
      <c r="ES213" s="69">
        <f t="shared" ref="ES213:ET218" si="1409">ES212-EQ213</f>
        <v>0</v>
      </c>
      <c r="ET213" s="69">
        <f t="shared" si="1409"/>
        <v>0</v>
      </c>
      <c r="EU213" s="11"/>
      <c r="EV213" s="12" t="e">
        <f t="shared" si="1379"/>
        <v>#DIV/0!</v>
      </c>
      <c r="EW213" s="11"/>
      <c r="EX213" s="12" t="e">
        <f t="shared" si="1380"/>
        <v>#DIV/0!</v>
      </c>
      <c r="EY213" s="13"/>
      <c r="EZ213" s="11"/>
      <c r="FA213" s="11"/>
      <c r="FB213" s="14"/>
      <c r="FC213" s="10"/>
      <c r="FD213" s="11"/>
      <c r="FE213" s="69">
        <f t="shared" ref="FE213:FF218" si="1410">FE212-FC213</f>
        <v>0</v>
      </c>
      <c r="FF213" s="69">
        <f t="shared" si="1410"/>
        <v>0</v>
      </c>
      <c r="FG213" s="11"/>
      <c r="FH213" s="12" t="e">
        <f t="shared" si="1381"/>
        <v>#DIV/0!</v>
      </c>
      <c r="FI213" s="11"/>
      <c r="FJ213" s="12" t="e">
        <f t="shared" si="1382"/>
        <v>#DIV/0!</v>
      </c>
      <c r="FK213" s="13"/>
      <c r="FL213" s="11"/>
      <c r="FM213" s="11"/>
      <c r="FN213" s="14"/>
      <c r="FO213" s="10"/>
      <c r="FP213" s="11"/>
      <c r="FQ213" s="69">
        <f t="shared" ref="FQ213:FR218" si="1411">FQ212-FO213</f>
        <v>0</v>
      </c>
      <c r="FR213" s="69">
        <f t="shared" si="1411"/>
        <v>0</v>
      </c>
      <c r="FS213" s="11"/>
      <c r="FT213" s="12" t="e">
        <f t="shared" si="1383"/>
        <v>#DIV/0!</v>
      </c>
      <c r="FU213" s="11"/>
      <c r="FV213" s="12" t="e">
        <f t="shared" si="1384"/>
        <v>#DIV/0!</v>
      </c>
      <c r="FW213" s="13"/>
      <c r="FX213" s="11"/>
      <c r="FY213" s="11"/>
      <c r="FZ213" s="14"/>
      <c r="GA213" s="10"/>
      <c r="GB213" s="11"/>
      <c r="GC213" s="69">
        <f t="shared" ref="GC213:GD218" si="1412">GC212-GA213</f>
        <v>0</v>
      </c>
      <c r="GD213" s="69">
        <f t="shared" si="1412"/>
        <v>0</v>
      </c>
      <c r="GE213" s="11"/>
      <c r="GF213" s="12" t="e">
        <f t="shared" si="1385"/>
        <v>#DIV/0!</v>
      </c>
      <c r="GG213" s="11"/>
      <c r="GH213" s="12" t="e">
        <f t="shared" si="1386"/>
        <v>#DIV/0!</v>
      </c>
      <c r="GI213" s="13"/>
      <c r="GJ213" s="11"/>
      <c r="GK213" s="11"/>
      <c r="GL213" s="14"/>
      <c r="GM213" s="10"/>
      <c r="GN213" s="11"/>
      <c r="GO213" s="69">
        <f t="shared" ref="GO213:GP218" si="1413">GO212-GM213</f>
        <v>0</v>
      </c>
      <c r="GP213" s="69">
        <f t="shared" si="1413"/>
        <v>0</v>
      </c>
      <c r="GQ213" s="11"/>
      <c r="GR213" s="12" t="e">
        <f t="shared" si="1387"/>
        <v>#DIV/0!</v>
      </c>
      <c r="GS213" s="11"/>
      <c r="GT213" s="12" t="e">
        <f t="shared" si="1388"/>
        <v>#DIV/0!</v>
      </c>
      <c r="GU213" s="13"/>
      <c r="GV213" s="11"/>
      <c r="GW213" s="11"/>
      <c r="GX213" s="14"/>
      <c r="GY213" s="10"/>
      <c r="GZ213" s="11"/>
      <c r="HA213" s="69">
        <f t="shared" ref="HA213:HB218" si="1414">HA212-GY213</f>
        <v>0</v>
      </c>
      <c r="HB213" s="69">
        <f t="shared" si="1414"/>
        <v>0</v>
      </c>
      <c r="HC213" s="11"/>
      <c r="HD213" s="12" t="e">
        <f t="shared" si="1389"/>
        <v>#DIV/0!</v>
      </c>
      <c r="HE213" s="11"/>
      <c r="HF213" s="12" t="e">
        <f t="shared" si="1390"/>
        <v>#DIV/0!</v>
      </c>
      <c r="HG213" s="13"/>
      <c r="HH213" s="11"/>
      <c r="HI213" s="11"/>
      <c r="HJ213" s="14"/>
      <c r="HK213" s="10">
        <f t="shared" si="1391"/>
        <v>3</v>
      </c>
      <c r="HL213" s="11">
        <f t="shared" si="1391"/>
        <v>0</v>
      </c>
      <c r="HM213" s="11">
        <f t="shared" si="1391"/>
        <v>3445</v>
      </c>
      <c r="HN213" s="11">
        <f t="shared" si="1391"/>
        <v>264</v>
      </c>
      <c r="HO213" s="11">
        <f t="shared" si="1392"/>
        <v>1431</v>
      </c>
      <c r="HP213" s="95">
        <f t="shared" si="1393"/>
        <v>0.41538461538461541</v>
      </c>
      <c r="HQ213" s="15">
        <f t="shared" si="1394"/>
        <v>103</v>
      </c>
      <c r="HR213" s="12">
        <f t="shared" ref="HR213:HR219" si="1415">+(HQ213/(HO213))</f>
        <v>7.1977638015373865E-2</v>
      </c>
      <c r="HS213" s="16">
        <v>70.599999999999994</v>
      </c>
      <c r="HT213" s="17">
        <v>1263</v>
      </c>
      <c r="HU213" s="16">
        <f t="shared" si="1395"/>
        <v>88.259958071278817</v>
      </c>
      <c r="HV213" s="15"/>
      <c r="HW213" s="14"/>
    </row>
    <row r="214" spans="1:231" ht="18.75" x14ac:dyDescent="0.25">
      <c r="A214" s="374"/>
      <c r="B214" s="41">
        <f t="shared" si="1235"/>
        <v>45104</v>
      </c>
      <c r="C214" s="10"/>
      <c r="D214" s="11"/>
      <c r="E214" s="69">
        <f t="shared" si="1396"/>
        <v>611</v>
      </c>
      <c r="F214" s="69">
        <f t="shared" si="1396"/>
        <v>47</v>
      </c>
      <c r="G214" s="11">
        <v>227</v>
      </c>
      <c r="H214" s="12">
        <f t="shared" si="1356"/>
        <v>0.40425531914893614</v>
      </c>
      <c r="I214" s="11">
        <v>20</v>
      </c>
      <c r="J214" s="12">
        <f t="shared" si="1397"/>
        <v>8.0971659919028341E-2</v>
      </c>
      <c r="K214" s="13"/>
      <c r="L214" s="11"/>
      <c r="M214" s="11"/>
      <c r="N214" s="14"/>
      <c r="O214" s="10"/>
      <c r="P214" s="11"/>
      <c r="Q214" s="69">
        <f t="shared" si="1398"/>
        <v>618</v>
      </c>
      <c r="R214" s="69">
        <f t="shared" si="1398"/>
        <v>47</v>
      </c>
      <c r="S214" s="11">
        <v>239</v>
      </c>
      <c r="T214" s="12">
        <f t="shared" si="1357"/>
        <v>0.42233009708737862</v>
      </c>
      <c r="U214" s="11">
        <v>22</v>
      </c>
      <c r="V214" s="12">
        <f t="shared" si="1358"/>
        <v>8.4291187739463605E-2</v>
      </c>
      <c r="W214" s="13"/>
      <c r="X214" s="11"/>
      <c r="Y214" s="11"/>
      <c r="Z214" s="14"/>
      <c r="AA214" s="10"/>
      <c r="AB214" s="11"/>
      <c r="AC214" s="69">
        <f t="shared" si="1399"/>
        <v>153</v>
      </c>
      <c r="AD214" s="69">
        <f t="shared" si="1399"/>
        <v>11</v>
      </c>
      <c r="AE214" s="11">
        <v>56</v>
      </c>
      <c r="AF214" s="12">
        <f t="shared" si="1359"/>
        <v>0.37908496732026142</v>
      </c>
      <c r="AG214" s="11">
        <v>2</v>
      </c>
      <c r="AH214" s="12">
        <f t="shared" si="1360"/>
        <v>3.4482758620689655E-2</v>
      </c>
      <c r="AI214" s="13"/>
      <c r="AJ214" s="11"/>
      <c r="AK214" s="11"/>
      <c r="AL214" s="14"/>
      <c r="AM214" s="10"/>
      <c r="AN214" s="11"/>
      <c r="AO214" s="69">
        <f t="shared" si="1400"/>
        <v>687</v>
      </c>
      <c r="AP214" s="69">
        <f t="shared" si="1400"/>
        <v>53</v>
      </c>
      <c r="AQ214" s="11">
        <v>272</v>
      </c>
      <c r="AR214" s="12">
        <f t="shared" si="1361"/>
        <v>0.4294032023289665</v>
      </c>
      <c r="AS214" s="11">
        <v>23</v>
      </c>
      <c r="AT214" s="12">
        <f t="shared" si="1362"/>
        <v>7.796610169491526E-2</v>
      </c>
      <c r="AU214" s="13"/>
      <c r="AV214" s="11"/>
      <c r="AW214" s="11"/>
      <c r="AX214" s="14"/>
      <c r="AY214" s="10"/>
      <c r="AZ214" s="11"/>
      <c r="BA214" s="69">
        <f t="shared" si="1401"/>
        <v>688</v>
      </c>
      <c r="BB214" s="69">
        <f t="shared" si="1401"/>
        <v>53</v>
      </c>
      <c r="BC214" s="11">
        <v>269</v>
      </c>
      <c r="BD214" s="12">
        <f t="shared" si="1363"/>
        <v>0.42151162790697677</v>
      </c>
      <c r="BE214" s="11">
        <v>21</v>
      </c>
      <c r="BF214" s="12">
        <f t="shared" si="1364"/>
        <v>7.2413793103448282E-2</v>
      </c>
      <c r="BG214" s="13"/>
      <c r="BH214" s="11"/>
      <c r="BI214" s="11"/>
      <c r="BJ214" s="14"/>
      <c r="BK214" s="10">
        <v>2</v>
      </c>
      <c r="BL214" s="11"/>
      <c r="BM214" s="69">
        <f t="shared" si="1402"/>
        <v>686</v>
      </c>
      <c r="BN214" s="69">
        <f t="shared" si="1402"/>
        <v>53</v>
      </c>
      <c r="BO214" s="11">
        <v>289</v>
      </c>
      <c r="BP214" s="12">
        <f t="shared" si="1365"/>
        <v>0.43877551020408162</v>
      </c>
      <c r="BQ214" s="11">
        <v>12</v>
      </c>
      <c r="BR214" s="12">
        <f t="shared" si="1366"/>
        <v>3.9867109634551492E-2</v>
      </c>
      <c r="BS214" s="13"/>
      <c r="BT214" s="11"/>
      <c r="BU214" s="11"/>
      <c r="BV214" s="14"/>
      <c r="BW214" s="10"/>
      <c r="BX214" s="11"/>
      <c r="BY214" s="69">
        <f t="shared" si="1403"/>
        <v>0</v>
      </c>
      <c r="BZ214" s="69">
        <f t="shared" si="1403"/>
        <v>0</v>
      </c>
      <c r="CA214" s="11"/>
      <c r="CB214" s="12" t="e">
        <f t="shared" si="1367"/>
        <v>#DIV/0!</v>
      </c>
      <c r="CC214" s="11"/>
      <c r="CD214" s="12" t="e">
        <f t="shared" si="1368"/>
        <v>#DIV/0!</v>
      </c>
      <c r="CE214" s="13"/>
      <c r="CF214" s="11"/>
      <c r="CG214" s="11"/>
      <c r="CH214" s="14"/>
      <c r="CI214" s="10"/>
      <c r="CJ214" s="11"/>
      <c r="CK214" s="69">
        <f t="shared" si="1404"/>
        <v>0</v>
      </c>
      <c r="CL214" s="69">
        <f t="shared" si="1404"/>
        <v>0</v>
      </c>
      <c r="CM214" s="11"/>
      <c r="CN214" s="12" t="e">
        <f t="shared" si="1369"/>
        <v>#DIV/0!</v>
      </c>
      <c r="CO214" s="11"/>
      <c r="CP214" s="12" t="e">
        <f t="shared" si="1370"/>
        <v>#DIV/0!</v>
      </c>
      <c r="CQ214" s="13"/>
      <c r="CR214" s="11"/>
      <c r="CS214" s="11"/>
      <c r="CT214" s="14"/>
      <c r="CU214" s="10"/>
      <c r="CV214" s="11"/>
      <c r="CW214" s="69">
        <f t="shared" si="1405"/>
        <v>0</v>
      </c>
      <c r="CX214" s="69">
        <f t="shared" si="1405"/>
        <v>0</v>
      </c>
      <c r="CY214" s="11"/>
      <c r="CZ214" s="12" t="e">
        <f t="shared" si="1371"/>
        <v>#DIV/0!</v>
      </c>
      <c r="DA214" s="11"/>
      <c r="DB214" s="12" t="e">
        <f t="shared" si="1372"/>
        <v>#DIV/0!</v>
      </c>
      <c r="DC214" s="13"/>
      <c r="DD214" s="11"/>
      <c r="DE214" s="11"/>
      <c r="DF214" s="14"/>
      <c r="DG214" s="10"/>
      <c r="DH214" s="11"/>
      <c r="DI214" s="69">
        <f t="shared" si="1406"/>
        <v>0</v>
      </c>
      <c r="DJ214" s="69">
        <f t="shared" si="1406"/>
        <v>0</v>
      </c>
      <c r="DK214" s="11"/>
      <c r="DL214" s="12" t="e">
        <f t="shared" si="1373"/>
        <v>#DIV/0!</v>
      </c>
      <c r="DM214" s="11"/>
      <c r="DN214" s="12" t="e">
        <f t="shared" si="1374"/>
        <v>#DIV/0!</v>
      </c>
      <c r="DO214" s="13"/>
      <c r="DP214" s="11"/>
      <c r="DQ214" s="11"/>
      <c r="DR214" s="14"/>
      <c r="DS214" s="10"/>
      <c r="DT214" s="11"/>
      <c r="DU214" s="69">
        <f t="shared" si="1407"/>
        <v>0</v>
      </c>
      <c r="DV214" s="69">
        <f t="shared" si="1407"/>
        <v>0</v>
      </c>
      <c r="DW214" s="11"/>
      <c r="DX214" s="12" t="e">
        <f t="shared" si="1375"/>
        <v>#DIV/0!</v>
      </c>
      <c r="DY214" s="11"/>
      <c r="DZ214" s="12" t="e">
        <f t="shared" si="1376"/>
        <v>#DIV/0!</v>
      </c>
      <c r="EA214" s="13"/>
      <c r="EB214" s="11"/>
      <c r="EC214" s="11"/>
      <c r="ED214" s="14"/>
      <c r="EE214" s="10"/>
      <c r="EF214" s="11"/>
      <c r="EG214" s="69">
        <f t="shared" si="1408"/>
        <v>0</v>
      </c>
      <c r="EH214" s="69">
        <f t="shared" si="1408"/>
        <v>0</v>
      </c>
      <c r="EI214" s="11"/>
      <c r="EJ214" s="12" t="e">
        <f t="shared" si="1377"/>
        <v>#DIV/0!</v>
      </c>
      <c r="EK214" s="11"/>
      <c r="EL214" s="12" t="e">
        <f t="shared" si="1378"/>
        <v>#DIV/0!</v>
      </c>
      <c r="EM214" s="13"/>
      <c r="EN214" s="11"/>
      <c r="EO214" s="11"/>
      <c r="EP214" s="14"/>
      <c r="EQ214" s="10"/>
      <c r="ER214" s="11"/>
      <c r="ES214" s="69">
        <f t="shared" si="1409"/>
        <v>0</v>
      </c>
      <c r="ET214" s="69">
        <f t="shared" si="1409"/>
        <v>0</v>
      </c>
      <c r="EU214" s="11"/>
      <c r="EV214" s="12" t="e">
        <f t="shared" si="1379"/>
        <v>#DIV/0!</v>
      </c>
      <c r="EW214" s="11"/>
      <c r="EX214" s="12" t="e">
        <f t="shared" si="1380"/>
        <v>#DIV/0!</v>
      </c>
      <c r="EY214" s="13"/>
      <c r="EZ214" s="11"/>
      <c r="FA214" s="11"/>
      <c r="FB214" s="14"/>
      <c r="FC214" s="10"/>
      <c r="FD214" s="11"/>
      <c r="FE214" s="69">
        <f t="shared" si="1410"/>
        <v>0</v>
      </c>
      <c r="FF214" s="69">
        <f t="shared" si="1410"/>
        <v>0</v>
      </c>
      <c r="FG214" s="11"/>
      <c r="FH214" s="12" t="e">
        <f t="shared" si="1381"/>
        <v>#DIV/0!</v>
      </c>
      <c r="FI214" s="11"/>
      <c r="FJ214" s="12" t="e">
        <f t="shared" si="1382"/>
        <v>#DIV/0!</v>
      </c>
      <c r="FK214" s="13"/>
      <c r="FL214" s="11"/>
      <c r="FM214" s="11"/>
      <c r="FN214" s="14"/>
      <c r="FO214" s="10"/>
      <c r="FP214" s="11"/>
      <c r="FQ214" s="69">
        <f t="shared" si="1411"/>
        <v>0</v>
      </c>
      <c r="FR214" s="69">
        <f t="shared" si="1411"/>
        <v>0</v>
      </c>
      <c r="FS214" s="11"/>
      <c r="FT214" s="12" t="e">
        <f t="shared" si="1383"/>
        <v>#DIV/0!</v>
      </c>
      <c r="FU214" s="11"/>
      <c r="FV214" s="12" t="e">
        <f t="shared" si="1384"/>
        <v>#DIV/0!</v>
      </c>
      <c r="FW214" s="13"/>
      <c r="FX214" s="11"/>
      <c r="FY214" s="11"/>
      <c r="FZ214" s="14"/>
      <c r="GA214" s="10"/>
      <c r="GB214" s="11"/>
      <c r="GC214" s="69">
        <f t="shared" si="1412"/>
        <v>0</v>
      </c>
      <c r="GD214" s="69">
        <f t="shared" si="1412"/>
        <v>0</v>
      </c>
      <c r="GE214" s="11"/>
      <c r="GF214" s="12" t="e">
        <f t="shared" si="1385"/>
        <v>#DIV/0!</v>
      </c>
      <c r="GG214" s="11"/>
      <c r="GH214" s="12" t="e">
        <f t="shared" si="1386"/>
        <v>#DIV/0!</v>
      </c>
      <c r="GI214" s="13"/>
      <c r="GJ214" s="11"/>
      <c r="GK214" s="11"/>
      <c r="GL214" s="14"/>
      <c r="GM214" s="10"/>
      <c r="GN214" s="11"/>
      <c r="GO214" s="69">
        <f t="shared" si="1413"/>
        <v>0</v>
      </c>
      <c r="GP214" s="69">
        <f t="shared" si="1413"/>
        <v>0</v>
      </c>
      <c r="GQ214" s="11"/>
      <c r="GR214" s="12" t="e">
        <f t="shared" si="1387"/>
        <v>#DIV/0!</v>
      </c>
      <c r="GS214" s="11"/>
      <c r="GT214" s="12" t="e">
        <f t="shared" si="1388"/>
        <v>#DIV/0!</v>
      </c>
      <c r="GU214" s="13"/>
      <c r="GV214" s="11"/>
      <c r="GW214" s="11"/>
      <c r="GX214" s="14"/>
      <c r="GY214" s="10"/>
      <c r="GZ214" s="11"/>
      <c r="HA214" s="69">
        <f t="shared" si="1414"/>
        <v>0</v>
      </c>
      <c r="HB214" s="69">
        <f t="shared" si="1414"/>
        <v>0</v>
      </c>
      <c r="HC214" s="11"/>
      <c r="HD214" s="12" t="e">
        <f t="shared" si="1389"/>
        <v>#DIV/0!</v>
      </c>
      <c r="HE214" s="11"/>
      <c r="HF214" s="12" t="e">
        <f t="shared" si="1390"/>
        <v>#DIV/0!</v>
      </c>
      <c r="HG214" s="13"/>
      <c r="HH214" s="11"/>
      <c r="HI214" s="11"/>
      <c r="HJ214" s="14"/>
      <c r="HK214" s="10">
        <f t="shared" si="1391"/>
        <v>2</v>
      </c>
      <c r="HL214" s="11">
        <f t="shared" si="1391"/>
        <v>0</v>
      </c>
      <c r="HM214" s="11">
        <f t="shared" si="1391"/>
        <v>3443</v>
      </c>
      <c r="HN214" s="11">
        <f t="shared" si="1391"/>
        <v>264</v>
      </c>
      <c r="HO214" s="11">
        <f t="shared" si="1392"/>
        <v>1452</v>
      </c>
      <c r="HP214" s="95">
        <f t="shared" si="1393"/>
        <v>0.4217252396166134</v>
      </c>
      <c r="HQ214" s="15">
        <f t="shared" si="1394"/>
        <v>100</v>
      </c>
      <c r="HR214" s="12">
        <f t="shared" si="1415"/>
        <v>6.8870523415977963E-2</v>
      </c>
      <c r="HS214" s="16">
        <v>71</v>
      </c>
      <c r="HT214" s="17">
        <v>1298</v>
      </c>
      <c r="HU214" s="16">
        <f t="shared" si="1395"/>
        <v>89.393939393939391</v>
      </c>
      <c r="HV214" s="15"/>
      <c r="HW214" s="14"/>
    </row>
    <row r="215" spans="1:231" ht="18.75" x14ac:dyDescent="0.25">
      <c r="A215" s="374"/>
      <c r="B215" s="41">
        <f t="shared" si="1235"/>
        <v>45105</v>
      </c>
      <c r="C215" s="10">
        <v>2</v>
      </c>
      <c r="D215" s="11"/>
      <c r="E215" s="69">
        <f t="shared" si="1396"/>
        <v>609</v>
      </c>
      <c r="F215" s="69">
        <f t="shared" si="1396"/>
        <v>47</v>
      </c>
      <c r="G215" s="11">
        <v>232</v>
      </c>
      <c r="H215" s="12">
        <f t="shared" si="1356"/>
        <v>0.41707717569786534</v>
      </c>
      <c r="I215" s="11">
        <v>22</v>
      </c>
      <c r="J215" s="12">
        <f t="shared" si="1397"/>
        <v>8.6614173228346455E-2</v>
      </c>
      <c r="K215" s="11"/>
      <c r="L215" s="11"/>
      <c r="M215" s="18"/>
      <c r="N215" s="20"/>
      <c r="O215" s="10"/>
      <c r="P215" s="11"/>
      <c r="Q215" s="69">
        <f t="shared" si="1398"/>
        <v>618</v>
      </c>
      <c r="R215" s="69">
        <f t="shared" si="1398"/>
        <v>47</v>
      </c>
      <c r="S215" s="11">
        <v>231</v>
      </c>
      <c r="T215" s="12">
        <f t="shared" si="1357"/>
        <v>0.41262135922330095</v>
      </c>
      <c r="U215" s="11">
        <v>24</v>
      </c>
      <c r="V215" s="12">
        <f t="shared" si="1358"/>
        <v>9.4117647058823528E-2</v>
      </c>
      <c r="W215" s="11"/>
      <c r="X215" s="11"/>
      <c r="Y215" s="18"/>
      <c r="Z215" s="20"/>
      <c r="AA215" s="10">
        <v>1</v>
      </c>
      <c r="AB215" s="11"/>
      <c r="AC215" s="69">
        <f t="shared" si="1399"/>
        <v>152</v>
      </c>
      <c r="AD215" s="69">
        <f t="shared" si="1399"/>
        <v>11</v>
      </c>
      <c r="AE215" s="11">
        <v>60</v>
      </c>
      <c r="AF215" s="12">
        <f t="shared" si="1359"/>
        <v>0.40131578947368424</v>
      </c>
      <c r="AG215" s="11">
        <v>1</v>
      </c>
      <c r="AH215" s="12">
        <f t="shared" si="1360"/>
        <v>1.6393442622950821E-2</v>
      </c>
      <c r="AI215" s="11"/>
      <c r="AJ215" s="11"/>
      <c r="AK215" s="18"/>
      <c r="AL215" s="20"/>
      <c r="AM215" s="10"/>
      <c r="AN215" s="11"/>
      <c r="AO215" s="69">
        <f t="shared" si="1400"/>
        <v>687</v>
      </c>
      <c r="AP215" s="69">
        <f t="shared" si="1400"/>
        <v>53</v>
      </c>
      <c r="AQ215" s="11">
        <v>266</v>
      </c>
      <c r="AR215" s="12">
        <f t="shared" si="1361"/>
        <v>0.41921397379912662</v>
      </c>
      <c r="AS215" s="11">
        <v>22</v>
      </c>
      <c r="AT215" s="12">
        <f t="shared" si="1362"/>
        <v>7.6388888888888895E-2</v>
      </c>
      <c r="AU215" s="11"/>
      <c r="AV215" s="11"/>
      <c r="AW215" s="18"/>
      <c r="AX215" s="20"/>
      <c r="AY215" s="10"/>
      <c r="AZ215" s="11"/>
      <c r="BA215" s="69">
        <f t="shared" si="1401"/>
        <v>688</v>
      </c>
      <c r="BB215" s="69">
        <f t="shared" si="1401"/>
        <v>53</v>
      </c>
      <c r="BC215" s="11">
        <v>267</v>
      </c>
      <c r="BD215" s="12">
        <f t="shared" si="1363"/>
        <v>0.42587209302325579</v>
      </c>
      <c r="BE215" s="11">
        <v>26</v>
      </c>
      <c r="BF215" s="12">
        <f t="shared" si="1364"/>
        <v>8.8737201365187715E-2</v>
      </c>
      <c r="BG215" s="11"/>
      <c r="BH215" s="11"/>
      <c r="BI215" s="18"/>
      <c r="BJ215" s="20"/>
      <c r="BK215" s="10"/>
      <c r="BL215" s="11"/>
      <c r="BM215" s="69">
        <f t="shared" si="1402"/>
        <v>686</v>
      </c>
      <c r="BN215" s="69">
        <f t="shared" si="1402"/>
        <v>53</v>
      </c>
      <c r="BO215" s="11">
        <v>268</v>
      </c>
      <c r="BP215" s="12">
        <f t="shared" si="1365"/>
        <v>0.42419825072886297</v>
      </c>
      <c r="BQ215" s="11">
        <v>23</v>
      </c>
      <c r="BR215" s="12">
        <f t="shared" si="1366"/>
        <v>7.903780068728522E-2</v>
      </c>
      <c r="BS215" s="11"/>
      <c r="BT215" s="11"/>
      <c r="BU215" s="18"/>
      <c r="BV215" s="20"/>
      <c r="BW215" s="10"/>
      <c r="BX215" s="11"/>
      <c r="BY215" s="69">
        <f t="shared" si="1403"/>
        <v>0</v>
      </c>
      <c r="BZ215" s="69">
        <f t="shared" si="1403"/>
        <v>0</v>
      </c>
      <c r="CA215" s="11"/>
      <c r="CB215" s="12" t="e">
        <f t="shared" si="1367"/>
        <v>#DIV/0!</v>
      </c>
      <c r="CC215" s="11"/>
      <c r="CD215" s="12" t="e">
        <f t="shared" si="1368"/>
        <v>#DIV/0!</v>
      </c>
      <c r="CE215" s="11"/>
      <c r="CF215" s="11"/>
      <c r="CG215" s="18"/>
      <c r="CH215" s="20"/>
      <c r="CI215" s="10"/>
      <c r="CJ215" s="11"/>
      <c r="CK215" s="69">
        <f t="shared" si="1404"/>
        <v>0</v>
      </c>
      <c r="CL215" s="69">
        <f t="shared" si="1404"/>
        <v>0</v>
      </c>
      <c r="CM215" s="11"/>
      <c r="CN215" s="12" t="e">
        <f t="shared" si="1369"/>
        <v>#DIV/0!</v>
      </c>
      <c r="CO215" s="11"/>
      <c r="CP215" s="12" t="e">
        <f t="shared" si="1370"/>
        <v>#DIV/0!</v>
      </c>
      <c r="CQ215" s="11"/>
      <c r="CR215" s="11"/>
      <c r="CS215" s="18"/>
      <c r="CT215" s="20"/>
      <c r="CU215" s="10"/>
      <c r="CV215" s="11"/>
      <c r="CW215" s="69">
        <f t="shared" si="1405"/>
        <v>0</v>
      </c>
      <c r="CX215" s="69">
        <f t="shared" si="1405"/>
        <v>0</v>
      </c>
      <c r="CY215" s="11"/>
      <c r="CZ215" s="12" t="e">
        <f t="shared" si="1371"/>
        <v>#DIV/0!</v>
      </c>
      <c r="DA215" s="11"/>
      <c r="DB215" s="12" t="e">
        <f t="shared" si="1372"/>
        <v>#DIV/0!</v>
      </c>
      <c r="DC215" s="11"/>
      <c r="DD215" s="11"/>
      <c r="DE215" s="18"/>
      <c r="DF215" s="20"/>
      <c r="DG215" s="10"/>
      <c r="DH215" s="11"/>
      <c r="DI215" s="69">
        <f t="shared" si="1406"/>
        <v>0</v>
      </c>
      <c r="DJ215" s="69">
        <f t="shared" si="1406"/>
        <v>0</v>
      </c>
      <c r="DK215" s="11"/>
      <c r="DL215" s="12" t="e">
        <f t="shared" si="1373"/>
        <v>#DIV/0!</v>
      </c>
      <c r="DM215" s="11"/>
      <c r="DN215" s="12" t="e">
        <f t="shared" si="1374"/>
        <v>#DIV/0!</v>
      </c>
      <c r="DO215" s="11"/>
      <c r="DP215" s="11"/>
      <c r="DQ215" s="18"/>
      <c r="DR215" s="20"/>
      <c r="DS215" s="10"/>
      <c r="DT215" s="11"/>
      <c r="DU215" s="69">
        <f t="shared" si="1407"/>
        <v>0</v>
      </c>
      <c r="DV215" s="69">
        <f t="shared" si="1407"/>
        <v>0</v>
      </c>
      <c r="DW215" s="11"/>
      <c r="DX215" s="12" t="e">
        <f t="shared" si="1375"/>
        <v>#DIV/0!</v>
      </c>
      <c r="DY215" s="11"/>
      <c r="DZ215" s="12" t="e">
        <f t="shared" si="1376"/>
        <v>#DIV/0!</v>
      </c>
      <c r="EA215" s="11"/>
      <c r="EB215" s="11"/>
      <c r="EC215" s="18"/>
      <c r="ED215" s="20"/>
      <c r="EE215" s="10"/>
      <c r="EF215" s="11"/>
      <c r="EG215" s="69">
        <f t="shared" si="1408"/>
        <v>0</v>
      </c>
      <c r="EH215" s="69">
        <f t="shared" si="1408"/>
        <v>0</v>
      </c>
      <c r="EI215" s="11"/>
      <c r="EJ215" s="12" t="e">
        <f t="shared" si="1377"/>
        <v>#DIV/0!</v>
      </c>
      <c r="EK215" s="11"/>
      <c r="EL215" s="12" t="e">
        <f t="shared" si="1378"/>
        <v>#DIV/0!</v>
      </c>
      <c r="EM215" s="11"/>
      <c r="EN215" s="11"/>
      <c r="EO215" s="18"/>
      <c r="EP215" s="20"/>
      <c r="EQ215" s="10"/>
      <c r="ER215" s="11"/>
      <c r="ES215" s="69">
        <f t="shared" si="1409"/>
        <v>0</v>
      </c>
      <c r="ET215" s="69">
        <f t="shared" si="1409"/>
        <v>0</v>
      </c>
      <c r="EU215" s="11"/>
      <c r="EV215" s="12" t="e">
        <f t="shared" si="1379"/>
        <v>#DIV/0!</v>
      </c>
      <c r="EW215" s="11"/>
      <c r="EX215" s="12" t="e">
        <f t="shared" si="1380"/>
        <v>#DIV/0!</v>
      </c>
      <c r="EY215" s="11"/>
      <c r="EZ215" s="11"/>
      <c r="FA215" s="18"/>
      <c r="FB215" s="20"/>
      <c r="FC215" s="10"/>
      <c r="FD215" s="11"/>
      <c r="FE215" s="69">
        <f t="shared" si="1410"/>
        <v>0</v>
      </c>
      <c r="FF215" s="69">
        <f t="shared" si="1410"/>
        <v>0</v>
      </c>
      <c r="FG215" s="11"/>
      <c r="FH215" s="12" t="e">
        <f t="shared" si="1381"/>
        <v>#DIV/0!</v>
      </c>
      <c r="FI215" s="11"/>
      <c r="FJ215" s="12" t="e">
        <f t="shared" si="1382"/>
        <v>#DIV/0!</v>
      </c>
      <c r="FK215" s="11"/>
      <c r="FL215" s="11"/>
      <c r="FM215" s="18"/>
      <c r="FN215" s="20"/>
      <c r="FO215" s="10"/>
      <c r="FP215" s="11"/>
      <c r="FQ215" s="69">
        <f t="shared" si="1411"/>
        <v>0</v>
      </c>
      <c r="FR215" s="69">
        <f t="shared" si="1411"/>
        <v>0</v>
      </c>
      <c r="FS215" s="11"/>
      <c r="FT215" s="12" t="e">
        <f t="shared" si="1383"/>
        <v>#DIV/0!</v>
      </c>
      <c r="FU215" s="11"/>
      <c r="FV215" s="12" t="e">
        <f t="shared" si="1384"/>
        <v>#DIV/0!</v>
      </c>
      <c r="FW215" s="11"/>
      <c r="FX215" s="11"/>
      <c r="FY215" s="18"/>
      <c r="FZ215" s="20"/>
      <c r="GA215" s="10"/>
      <c r="GB215" s="11"/>
      <c r="GC215" s="69">
        <f t="shared" si="1412"/>
        <v>0</v>
      </c>
      <c r="GD215" s="69">
        <f t="shared" si="1412"/>
        <v>0</v>
      </c>
      <c r="GE215" s="11"/>
      <c r="GF215" s="12" t="e">
        <f t="shared" si="1385"/>
        <v>#DIV/0!</v>
      </c>
      <c r="GG215" s="11"/>
      <c r="GH215" s="12" t="e">
        <f t="shared" si="1386"/>
        <v>#DIV/0!</v>
      </c>
      <c r="GI215" s="11"/>
      <c r="GJ215" s="11"/>
      <c r="GK215" s="18"/>
      <c r="GL215" s="20"/>
      <c r="GM215" s="10"/>
      <c r="GN215" s="11"/>
      <c r="GO215" s="69">
        <f t="shared" si="1413"/>
        <v>0</v>
      </c>
      <c r="GP215" s="69">
        <f t="shared" si="1413"/>
        <v>0</v>
      </c>
      <c r="GQ215" s="11"/>
      <c r="GR215" s="12" t="e">
        <f t="shared" si="1387"/>
        <v>#DIV/0!</v>
      </c>
      <c r="GS215" s="11"/>
      <c r="GT215" s="12" t="e">
        <f t="shared" si="1388"/>
        <v>#DIV/0!</v>
      </c>
      <c r="GU215" s="11"/>
      <c r="GV215" s="11"/>
      <c r="GW215" s="18"/>
      <c r="GX215" s="20"/>
      <c r="GY215" s="10"/>
      <c r="GZ215" s="11"/>
      <c r="HA215" s="69">
        <f t="shared" si="1414"/>
        <v>0</v>
      </c>
      <c r="HB215" s="69">
        <f t="shared" si="1414"/>
        <v>0</v>
      </c>
      <c r="HC215" s="11"/>
      <c r="HD215" s="12" t="e">
        <f t="shared" si="1389"/>
        <v>#DIV/0!</v>
      </c>
      <c r="HE215" s="11"/>
      <c r="HF215" s="12" t="e">
        <f t="shared" si="1390"/>
        <v>#DIV/0!</v>
      </c>
      <c r="HG215" s="11"/>
      <c r="HH215" s="11"/>
      <c r="HI215" s="18"/>
      <c r="HJ215" s="20"/>
      <c r="HK215" s="10">
        <f t="shared" si="1391"/>
        <v>3</v>
      </c>
      <c r="HL215" s="11">
        <f t="shared" si="1391"/>
        <v>0</v>
      </c>
      <c r="HM215" s="11">
        <f t="shared" si="1391"/>
        <v>3440</v>
      </c>
      <c r="HN215" s="11">
        <f t="shared" si="1391"/>
        <v>264</v>
      </c>
      <c r="HO215" s="11">
        <f t="shared" si="1392"/>
        <v>1442</v>
      </c>
      <c r="HP215" s="95">
        <f t="shared" si="1393"/>
        <v>0.41918604651162789</v>
      </c>
      <c r="HQ215" s="15">
        <f t="shared" si="1394"/>
        <v>118</v>
      </c>
      <c r="HR215" s="12">
        <f t="shared" si="1415"/>
        <v>8.1830790568654652E-2</v>
      </c>
      <c r="HS215" s="16">
        <v>70.099999999999994</v>
      </c>
      <c r="HT215" s="17">
        <v>1251</v>
      </c>
      <c r="HU215" s="16">
        <f t="shared" si="1395"/>
        <v>86.754507628294036</v>
      </c>
      <c r="HV215" s="18"/>
      <c r="HW215" s="20"/>
    </row>
    <row r="216" spans="1:231" ht="18.75" x14ac:dyDescent="0.25">
      <c r="A216" s="374"/>
      <c r="B216" s="41">
        <f t="shared" si="1235"/>
        <v>45106</v>
      </c>
      <c r="C216" s="10"/>
      <c r="D216" s="11"/>
      <c r="E216" s="69">
        <f t="shared" si="1396"/>
        <v>609</v>
      </c>
      <c r="F216" s="69">
        <f t="shared" si="1396"/>
        <v>47</v>
      </c>
      <c r="G216" s="11">
        <v>250</v>
      </c>
      <c r="H216" s="12">
        <f t="shared" si="1356"/>
        <v>0.43513957307060758</v>
      </c>
      <c r="I216" s="11">
        <v>15</v>
      </c>
      <c r="J216" s="12">
        <f t="shared" si="1397"/>
        <v>5.6603773584905662E-2</v>
      </c>
      <c r="K216" s="13"/>
      <c r="L216" s="13"/>
      <c r="M216" s="25">
        <v>4225</v>
      </c>
      <c r="N216" s="38">
        <v>4620</v>
      </c>
      <c r="O216" s="10"/>
      <c r="P216" s="11"/>
      <c r="Q216" s="69">
        <f t="shared" si="1398"/>
        <v>618</v>
      </c>
      <c r="R216" s="69">
        <f t="shared" si="1398"/>
        <v>47</v>
      </c>
      <c r="S216" s="11">
        <v>260</v>
      </c>
      <c r="T216" s="12">
        <f t="shared" si="1357"/>
        <v>0.4482200647249191</v>
      </c>
      <c r="U216" s="11">
        <v>17</v>
      </c>
      <c r="V216" s="12">
        <f t="shared" si="1358"/>
        <v>6.1371841155234655E-2</v>
      </c>
      <c r="W216" s="13"/>
      <c r="X216" s="13"/>
      <c r="Y216" s="25">
        <v>4225</v>
      </c>
      <c r="Z216" s="38">
        <v>4620</v>
      </c>
      <c r="AA216" s="10">
        <v>2</v>
      </c>
      <c r="AB216" s="11"/>
      <c r="AC216" s="69">
        <f t="shared" si="1399"/>
        <v>150</v>
      </c>
      <c r="AD216" s="69">
        <f t="shared" si="1399"/>
        <v>11</v>
      </c>
      <c r="AE216" s="11">
        <v>55</v>
      </c>
      <c r="AF216" s="12">
        <f t="shared" si="1359"/>
        <v>0.37333333333333335</v>
      </c>
      <c r="AG216" s="11">
        <v>1</v>
      </c>
      <c r="AH216" s="12">
        <f t="shared" si="1360"/>
        <v>1.7857142857142856E-2</v>
      </c>
      <c r="AI216" s="13"/>
      <c r="AJ216" s="13"/>
      <c r="AK216" s="25">
        <v>4225</v>
      </c>
      <c r="AL216" s="38">
        <v>4620</v>
      </c>
      <c r="AM216" s="10">
        <v>1</v>
      </c>
      <c r="AN216" s="11"/>
      <c r="AO216" s="69">
        <f t="shared" si="1400"/>
        <v>686</v>
      </c>
      <c r="AP216" s="69">
        <f t="shared" si="1400"/>
        <v>53</v>
      </c>
      <c r="AQ216" s="11">
        <v>269</v>
      </c>
      <c r="AR216" s="12">
        <f t="shared" si="1361"/>
        <v>0.41253644314868804</v>
      </c>
      <c r="AS216" s="11">
        <v>14</v>
      </c>
      <c r="AT216" s="12">
        <f t="shared" si="1362"/>
        <v>4.9469964664310952E-2</v>
      </c>
      <c r="AU216" s="13"/>
      <c r="AV216" s="13"/>
      <c r="AW216" s="25">
        <v>4225</v>
      </c>
      <c r="AX216" s="38">
        <v>4620</v>
      </c>
      <c r="AY216" s="10"/>
      <c r="AZ216" s="11"/>
      <c r="BA216" s="69">
        <f t="shared" si="1401"/>
        <v>688</v>
      </c>
      <c r="BB216" s="69">
        <f t="shared" si="1401"/>
        <v>53</v>
      </c>
      <c r="BC216" s="11">
        <v>246</v>
      </c>
      <c r="BD216" s="12">
        <f t="shared" si="1363"/>
        <v>0.38662790697674421</v>
      </c>
      <c r="BE216" s="11">
        <v>20</v>
      </c>
      <c r="BF216" s="12">
        <f t="shared" si="1364"/>
        <v>7.5187969924812026E-2</v>
      </c>
      <c r="BG216" s="13"/>
      <c r="BH216" s="13"/>
      <c r="BI216" s="25">
        <v>4225</v>
      </c>
      <c r="BJ216" s="38">
        <v>4620</v>
      </c>
      <c r="BK216" s="10"/>
      <c r="BL216" s="11"/>
      <c r="BM216" s="69">
        <f t="shared" si="1402"/>
        <v>686</v>
      </c>
      <c r="BN216" s="69">
        <f t="shared" si="1402"/>
        <v>53</v>
      </c>
      <c r="BO216" s="11">
        <v>299</v>
      </c>
      <c r="BP216" s="12">
        <f t="shared" si="1365"/>
        <v>0.45772594752186591</v>
      </c>
      <c r="BQ216" s="11">
        <v>15</v>
      </c>
      <c r="BR216" s="12">
        <f t="shared" si="1366"/>
        <v>4.7770700636942678E-2</v>
      </c>
      <c r="BS216" s="13"/>
      <c r="BT216" s="13"/>
      <c r="BU216" s="25">
        <v>4225</v>
      </c>
      <c r="BV216" s="38">
        <v>4620</v>
      </c>
      <c r="BW216" s="10"/>
      <c r="BX216" s="11"/>
      <c r="BY216" s="69">
        <f t="shared" si="1403"/>
        <v>0</v>
      </c>
      <c r="BZ216" s="69">
        <f t="shared" si="1403"/>
        <v>0</v>
      </c>
      <c r="CA216" s="11"/>
      <c r="CB216" s="12" t="e">
        <f t="shared" si="1367"/>
        <v>#DIV/0!</v>
      </c>
      <c r="CC216" s="11"/>
      <c r="CD216" s="12" t="e">
        <f t="shared" si="1368"/>
        <v>#DIV/0!</v>
      </c>
      <c r="CE216" s="13"/>
      <c r="CF216" s="13"/>
      <c r="CG216" s="25"/>
      <c r="CH216" s="38"/>
      <c r="CI216" s="10"/>
      <c r="CJ216" s="11"/>
      <c r="CK216" s="69">
        <f t="shared" si="1404"/>
        <v>0</v>
      </c>
      <c r="CL216" s="69">
        <f t="shared" si="1404"/>
        <v>0</v>
      </c>
      <c r="CM216" s="11"/>
      <c r="CN216" s="12" t="e">
        <f t="shared" si="1369"/>
        <v>#DIV/0!</v>
      </c>
      <c r="CO216" s="11"/>
      <c r="CP216" s="12" t="e">
        <f t="shared" si="1370"/>
        <v>#DIV/0!</v>
      </c>
      <c r="CQ216" s="13"/>
      <c r="CR216" s="13"/>
      <c r="CS216" s="25"/>
      <c r="CT216" s="38"/>
      <c r="CU216" s="10"/>
      <c r="CV216" s="11"/>
      <c r="CW216" s="69">
        <f t="shared" si="1405"/>
        <v>0</v>
      </c>
      <c r="CX216" s="69">
        <f t="shared" si="1405"/>
        <v>0</v>
      </c>
      <c r="CY216" s="11"/>
      <c r="CZ216" s="12" t="e">
        <f t="shared" si="1371"/>
        <v>#DIV/0!</v>
      </c>
      <c r="DA216" s="11"/>
      <c r="DB216" s="12" t="e">
        <f t="shared" si="1372"/>
        <v>#DIV/0!</v>
      </c>
      <c r="DC216" s="13"/>
      <c r="DD216" s="13"/>
      <c r="DE216" s="25"/>
      <c r="DF216" s="38"/>
      <c r="DG216" s="10"/>
      <c r="DH216" s="11"/>
      <c r="DI216" s="69">
        <f t="shared" si="1406"/>
        <v>0</v>
      </c>
      <c r="DJ216" s="69">
        <f t="shared" si="1406"/>
        <v>0</v>
      </c>
      <c r="DK216" s="11"/>
      <c r="DL216" s="12" t="e">
        <f t="shared" si="1373"/>
        <v>#DIV/0!</v>
      </c>
      <c r="DM216" s="11"/>
      <c r="DN216" s="12" t="e">
        <f t="shared" si="1374"/>
        <v>#DIV/0!</v>
      </c>
      <c r="DO216" s="13"/>
      <c r="DP216" s="13"/>
      <c r="DQ216" s="25"/>
      <c r="DR216" s="38"/>
      <c r="DS216" s="10"/>
      <c r="DT216" s="11"/>
      <c r="DU216" s="69">
        <f t="shared" si="1407"/>
        <v>0</v>
      </c>
      <c r="DV216" s="69">
        <f t="shared" si="1407"/>
        <v>0</v>
      </c>
      <c r="DW216" s="11"/>
      <c r="DX216" s="12" t="e">
        <f t="shared" si="1375"/>
        <v>#DIV/0!</v>
      </c>
      <c r="DY216" s="11"/>
      <c r="DZ216" s="12" t="e">
        <f t="shared" si="1376"/>
        <v>#DIV/0!</v>
      </c>
      <c r="EA216" s="13"/>
      <c r="EB216" s="13"/>
      <c r="EC216" s="25"/>
      <c r="ED216" s="38"/>
      <c r="EE216" s="10"/>
      <c r="EF216" s="11"/>
      <c r="EG216" s="69">
        <f t="shared" si="1408"/>
        <v>0</v>
      </c>
      <c r="EH216" s="69">
        <f t="shared" si="1408"/>
        <v>0</v>
      </c>
      <c r="EI216" s="11"/>
      <c r="EJ216" s="12" t="e">
        <f t="shared" si="1377"/>
        <v>#DIV/0!</v>
      </c>
      <c r="EK216" s="11"/>
      <c r="EL216" s="12" t="e">
        <f t="shared" si="1378"/>
        <v>#DIV/0!</v>
      </c>
      <c r="EM216" s="13"/>
      <c r="EN216" s="13"/>
      <c r="EO216" s="25"/>
      <c r="EP216" s="38"/>
      <c r="EQ216" s="10"/>
      <c r="ER216" s="11"/>
      <c r="ES216" s="69">
        <f t="shared" si="1409"/>
        <v>0</v>
      </c>
      <c r="ET216" s="69">
        <f t="shared" si="1409"/>
        <v>0</v>
      </c>
      <c r="EU216" s="11"/>
      <c r="EV216" s="12" t="e">
        <f t="shared" si="1379"/>
        <v>#DIV/0!</v>
      </c>
      <c r="EW216" s="11"/>
      <c r="EX216" s="12" t="e">
        <f t="shared" si="1380"/>
        <v>#DIV/0!</v>
      </c>
      <c r="EY216" s="13"/>
      <c r="EZ216" s="13"/>
      <c r="FA216" s="25"/>
      <c r="FB216" s="38"/>
      <c r="FC216" s="10"/>
      <c r="FD216" s="11"/>
      <c r="FE216" s="69">
        <f t="shared" si="1410"/>
        <v>0</v>
      </c>
      <c r="FF216" s="69">
        <f t="shared" si="1410"/>
        <v>0</v>
      </c>
      <c r="FG216" s="11"/>
      <c r="FH216" s="12" t="e">
        <f t="shared" si="1381"/>
        <v>#DIV/0!</v>
      </c>
      <c r="FI216" s="11"/>
      <c r="FJ216" s="12" t="e">
        <f t="shared" si="1382"/>
        <v>#DIV/0!</v>
      </c>
      <c r="FK216" s="13"/>
      <c r="FL216" s="13"/>
      <c r="FM216" s="25"/>
      <c r="FN216" s="38"/>
      <c r="FO216" s="10"/>
      <c r="FP216" s="11"/>
      <c r="FQ216" s="69">
        <f t="shared" si="1411"/>
        <v>0</v>
      </c>
      <c r="FR216" s="69">
        <f t="shared" si="1411"/>
        <v>0</v>
      </c>
      <c r="FS216" s="11"/>
      <c r="FT216" s="12" t="e">
        <f t="shared" si="1383"/>
        <v>#DIV/0!</v>
      </c>
      <c r="FU216" s="11"/>
      <c r="FV216" s="12" t="e">
        <f t="shared" si="1384"/>
        <v>#DIV/0!</v>
      </c>
      <c r="FW216" s="13"/>
      <c r="FX216" s="13"/>
      <c r="FY216" s="25"/>
      <c r="FZ216" s="38"/>
      <c r="GA216" s="10"/>
      <c r="GB216" s="11"/>
      <c r="GC216" s="69">
        <f t="shared" si="1412"/>
        <v>0</v>
      </c>
      <c r="GD216" s="69">
        <f t="shared" si="1412"/>
        <v>0</v>
      </c>
      <c r="GE216" s="11"/>
      <c r="GF216" s="12" t="e">
        <f t="shared" si="1385"/>
        <v>#DIV/0!</v>
      </c>
      <c r="GG216" s="11"/>
      <c r="GH216" s="12" t="e">
        <f t="shared" si="1386"/>
        <v>#DIV/0!</v>
      </c>
      <c r="GI216" s="13"/>
      <c r="GJ216" s="13"/>
      <c r="GK216" s="25"/>
      <c r="GL216" s="38"/>
      <c r="GM216" s="10"/>
      <c r="GN216" s="11"/>
      <c r="GO216" s="69">
        <f t="shared" si="1413"/>
        <v>0</v>
      </c>
      <c r="GP216" s="69">
        <f t="shared" si="1413"/>
        <v>0</v>
      </c>
      <c r="GQ216" s="11"/>
      <c r="GR216" s="12" t="e">
        <f t="shared" si="1387"/>
        <v>#DIV/0!</v>
      </c>
      <c r="GS216" s="11"/>
      <c r="GT216" s="12" t="e">
        <f t="shared" si="1388"/>
        <v>#DIV/0!</v>
      </c>
      <c r="GU216" s="13"/>
      <c r="GV216" s="13"/>
      <c r="GW216" s="25"/>
      <c r="GX216" s="38"/>
      <c r="GY216" s="10"/>
      <c r="GZ216" s="11"/>
      <c r="HA216" s="69">
        <f t="shared" si="1414"/>
        <v>0</v>
      </c>
      <c r="HB216" s="69">
        <f t="shared" si="1414"/>
        <v>0</v>
      </c>
      <c r="HC216" s="11"/>
      <c r="HD216" s="12" t="e">
        <f t="shared" si="1389"/>
        <v>#DIV/0!</v>
      </c>
      <c r="HE216" s="11"/>
      <c r="HF216" s="12" t="e">
        <f t="shared" si="1390"/>
        <v>#DIV/0!</v>
      </c>
      <c r="HG216" s="13"/>
      <c r="HH216" s="13"/>
      <c r="HI216" s="25"/>
      <c r="HJ216" s="38"/>
      <c r="HK216" s="10">
        <f t="shared" si="1391"/>
        <v>3</v>
      </c>
      <c r="HL216" s="11">
        <f t="shared" si="1391"/>
        <v>0</v>
      </c>
      <c r="HM216" s="11">
        <f t="shared" si="1391"/>
        <v>3437</v>
      </c>
      <c r="HN216" s="11">
        <f t="shared" si="1391"/>
        <v>264</v>
      </c>
      <c r="HO216" s="11">
        <f t="shared" si="1392"/>
        <v>1461</v>
      </c>
      <c r="HP216" s="95">
        <f t="shared" si="1393"/>
        <v>0.42508001163805642</v>
      </c>
      <c r="HQ216" s="15">
        <f t="shared" si="1394"/>
        <v>82</v>
      </c>
      <c r="HR216" s="12">
        <f t="shared" si="1415"/>
        <v>5.6125941136208078E-2</v>
      </c>
      <c r="HS216" s="16">
        <v>70.7</v>
      </c>
      <c r="HT216" s="17">
        <v>1299</v>
      </c>
      <c r="HU216" s="16">
        <f t="shared" si="1395"/>
        <v>88.911704312114992</v>
      </c>
      <c r="HV216" s="23">
        <v>4225</v>
      </c>
      <c r="HW216" s="22">
        <v>4620</v>
      </c>
    </row>
    <row r="217" spans="1:231" ht="18.75" x14ac:dyDescent="0.25">
      <c r="A217" s="374"/>
      <c r="B217" s="41">
        <f t="shared" si="1235"/>
        <v>45107</v>
      </c>
      <c r="C217" s="10"/>
      <c r="D217" s="11"/>
      <c r="E217" s="69">
        <f t="shared" si="1396"/>
        <v>609</v>
      </c>
      <c r="F217" s="69">
        <f t="shared" si="1396"/>
        <v>47</v>
      </c>
      <c r="G217" s="11">
        <v>243</v>
      </c>
      <c r="H217" s="12">
        <f t="shared" si="1356"/>
        <v>0.43513957307060758</v>
      </c>
      <c r="I217" s="11">
        <v>22</v>
      </c>
      <c r="J217" s="12">
        <f t="shared" si="1397"/>
        <v>8.3018867924528297E-2</v>
      </c>
      <c r="K217" s="13"/>
      <c r="L217" s="11"/>
      <c r="M217" s="25">
        <v>4810</v>
      </c>
      <c r="N217" s="38">
        <v>4443</v>
      </c>
      <c r="O217" s="10">
        <v>1</v>
      </c>
      <c r="P217" s="11"/>
      <c r="Q217" s="69">
        <f t="shared" si="1398"/>
        <v>617</v>
      </c>
      <c r="R217" s="69">
        <f t="shared" si="1398"/>
        <v>47</v>
      </c>
      <c r="S217" s="11">
        <v>212</v>
      </c>
      <c r="T217" s="12">
        <f t="shared" si="1357"/>
        <v>0.3841166936790924</v>
      </c>
      <c r="U217" s="11">
        <v>25</v>
      </c>
      <c r="V217" s="12">
        <f t="shared" si="1358"/>
        <v>0.10548523206751055</v>
      </c>
      <c r="W217" s="13"/>
      <c r="X217" s="11"/>
      <c r="Y217" s="25">
        <v>4843</v>
      </c>
      <c r="Z217" s="38">
        <v>4712.22</v>
      </c>
      <c r="AA217" s="10"/>
      <c r="AB217" s="11"/>
      <c r="AC217" s="69">
        <f t="shared" si="1399"/>
        <v>150</v>
      </c>
      <c r="AD217" s="69">
        <f t="shared" si="1399"/>
        <v>11</v>
      </c>
      <c r="AE217" s="11">
        <v>48</v>
      </c>
      <c r="AF217" s="12">
        <f t="shared" si="1359"/>
        <v>0.35333333333333333</v>
      </c>
      <c r="AG217" s="11">
        <v>5</v>
      </c>
      <c r="AH217" s="12">
        <f t="shared" si="1360"/>
        <v>9.4339622641509441E-2</v>
      </c>
      <c r="AI217" s="13"/>
      <c r="AJ217" s="11"/>
      <c r="AK217" s="25">
        <v>4586</v>
      </c>
      <c r="AL217" s="38">
        <v>4536.67</v>
      </c>
      <c r="AM217" s="10"/>
      <c r="AN217" s="11"/>
      <c r="AO217" s="69">
        <f t="shared" si="1400"/>
        <v>686</v>
      </c>
      <c r="AP217" s="69">
        <f t="shared" si="1400"/>
        <v>53</v>
      </c>
      <c r="AQ217" s="11">
        <v>272</v>
      </c>
      <c r="AR217" s="12">
        <f t="shared" si="1361"/>
        <v>0.42419825072886297</v>
      </c>
      <c r="AS217" s="11">
        <v>19</v>
      </c>
      <c r="AT217" s="12">
        <f t="shared" si="1362"/>
        <v>6.5292096219931275E-2</v>
      </c>
      <c r="AU217" s="13"/>
      <c r="AV217" s="11"/>
      <c r="AW217" s="25">
        <v>4690</v>
      </c>
      <c r="AX217" s="38">
        <v>4874</v>
      </c>
      <c r="AY217" s="10">
        <v>1</v>
      </c>
      <c r="AZ217" s="11"/>
      <c r="BA217" s="69">
        <f t="shared" si="1401"/>
        <v>687</v>
      </c>
      <c r="BB217" s="69">
        <f t="shared" si="1401"/>
        <v>53</v>
      </c>
      <c r="BC217" s="11">
        <v>251</v>
      </c>
      <c r="BD217" s="12">
        <f t="shared" si="1363"/>
        <v>0.38719068413391555</v>
      </c>
      <c r="BE217" s="11">
        <v>15</v>
      </c>
      <c r="BF217" s="12">
        <f t="shared" si="1364"/>
        <v>5.6390977443609019E-2</v>
      </c>
      <c r="BG217" s="13"/>
      <c r="BH217" s="11"/>
      <c r="BI217" s="25">
        <v>4717.78</v>
      </c>
      <c r="BJ217" s="38">
        <v>5116.3599999999997</v>
      </c>
      <c r="BK217" s="10"/>
      <c r="BL217" s="11"/>
      <c r="BM217" s="69">
        <f t="shared" si="1402"/>
        <v>686</v>
      </c>
      <c r="BN217" s="69">
        <f t="shared" si="1402"/>
        <v>53</v>
      </c>
      <c r="BO217" s="11">
        <v>291</v>
      </c>
      <c r="BP217" s="12">
        <f t="shared" si="1365"/>
        <v>0.44897959183673469</v>
      </c>
      <c r="BQ217" s="11">
        <v>17</v>
      </c>
      <c r="BR217" s="12">
        <f t="shared" si="1366"/>
        <v>5.5194805194805192E-2</v>
      </c>
      <c r="BS217" s="13"/>
      <c r="BT217" s="11"/>
      <c r="BU217" s="25">
        <v>4915</v>
      </c>
      <c r="BV217" s="38">
        <v>5098.75</v>
      </c>
      <c r="BW217" s="10"/>
      <c r="BX217" s="11"/>
      <c r="BY217" s="69">
        <f t="shared" si="1403"/>
        <v>0</v>
      </c>
      <c r="BZ217" s="69">
        <f t="shared" si="1403"/>
        <v>0</v>
      </c>
      <c r="CA217" s="11"/>
      <c r="CB217" s="12" t="e">
        <f t="shared" si="1367"/>
        <v>#DIV/0!</v>
      </c>
      <c r="CC217" s="11"/>
      <c r="CD217" s="12" t="e">
        <f t="shared" si="1368"/>
        <v>#DIV/0!</v>
      </c>
      <c r="CE217" s="13"/>
      <c r="CF217" s="11"/>
      <c r="CG217" s="25"/>
      <c r="CH217" s="38"/>
      <c r="CI217" s="10"/>
      <c r="CJ217" s="11"/>
      <c r="CK217" s="69">
        <f t="shared" si="1404"/>
        <v>0</v>
      </c>
      <c r="CL217" s="69">
        <f t="shared" si="1404"/>
        <v>0</v>
      </c>
      <c r="CM217" s="11"/>
      <c r="CN217" s="12" t="e">
        <f t="shared" si="1369"/>
        <v>#DIV/0!</v>
      </c>
      <c r="CO217" s="11"/>
      <c r="CP217" s="12" t="e">
        <f t="shared" si="1370"/>
        <v>#DIV/0!</v>
      </c>
      <c r="CQ217" s="13"/>
      <c r="CR217" s="11"/>
      <c r="CS217" s="25"/>
      <c r="CT217" s="38"/>
      <c r="CU217" s="10"/>
      <c r="CV217" s="11"/>
      <c r="CW217" s="69">
        <f t="shared" si="1405"/>
        <v>0</v>
      </c>
      <c r="CX217" s="69">
        <f t="shared" si="1405"/>
        <v>0</v>
      </c>
      <c r="CY217" s="11"/>
      <c r="CZ217" s="12" t="e">
        <f t="shared" si="1371"/>
        <v>#DIV/0!</v>
      </c>
      <c r="DA217" s="11"/>
      <c r="DB217" s="12" t="e">
        <f t="shared" si="1372"/>
        <v>#DIV/0!</v>
      </c>
      <c r="DC217" s="13"/>
      <c r="DD217" s="11"/>
      <c r="DE217" s="25"/>
      <c r="DF217" s="38"/>
      <c r="DG217" s="10"/>
      <c r="DH217" s="11"/>
      <c r="DI217" s="69">
        <f t="shared" si="1406"/>
        <v>0</v>
      </c>
      <c r="DJ217" s="69">
        <f t="shared" si="1406"/>
        <v>0</v>
      </c>
      <c r="DK217" s="11"/>
      <c r="DL217" s="12" t="e">
        <f t="shared" si="1373"/>
        <v>#DIV/0!</v>
      </c>
      <c r="DM217" s="11"/>
      <c r="DN217" s="12" t="e">
        <f t="shared" si="1374"/>
        <v>#DIV/0!</v>
      </c>
      <c r="DO217" s="13"/>
      <c r="DP217" s="11"/>
      <c r="DQ217" s="25"/>
      <c r="DR217" s="38"/>
      <c r="DS217" s="10"/>
      <c r="DT217" s="11"/>
      <c r="DU217" s="69">
        <f t="shared" si="1407"/>
        <v>0</v>
      </c>
      <c r="DV217" s="69">
        <f t="shared" si="1407"/>
        <v>0</v>
      </c>
      <c r="DW217" s="11"/>
      <c r="DX217" s="12" t="e">
        <f t="shared" si="1375"/>
        <v>#DIV/0!</v>
      </c>
      <c r="DY217" s="11"/>
      <c r="DZ217" s="12" t="e">
        <f t="shared" si="1376"/>
        <v>#DIV/0!</v>
      </c>
      <c r="EA217" s="13"/>
      <c r="EB217" s="11"/>
      <c r="EC217" s="25"/>
      <c r="ED217" s="38"/>
      <c r="EE217" s="10"/>
      <c r="EF217" s="11"/>
      <c r="EG217" s="69">
        <f t="shared" si="1408"/>
        <v>0</v>
      </c>
      <c r="EH217" s="69">
        <f t="shared" si="1408"/>
        <v>0</v>
      </c>
      <c r="EI217" s="11"/>
      <c r="EJ217" s="12" t="e">
        <f t="shared" si="1377"/>
        <v>#DIV/0!</v>
      </c>
      <c r="EK217" s="11"/>
      <c r="EL217" s="12" t="e">
        <f t="shared" si="1378"/>
        <v>#DIV/0!</v>
      </c>
      <c r="EM217" s="13"/>
      <c r="EN217" s="11"/>
      <c r="EO217" s="25"/>
      <c r="EP217" s="38"/>
      <c r="EQ217" s="10"/>
      <c r="ER217" s="11"/>
      <c r="ES217" s="69">
        <f t="shared" si="1409"/>
        <v>0</v>
      </c>
      <c r="ET217" s="69">
        <f t="shared" si="1409"/>
        <v>0</v>
      </c>
      <c r="EU217" s="11"/>
      <c r="EV217" s="12" t="e">
        <f t="shared" si="1379"/>
        <v>#DIV/0!</v>
      </c>
      <c r="EW217" s="11"/>
      <c r="EX217" s="12" t="e">
        <f t="shared" si="1380"/>
        <v>#DIV/0!</v>
      </c>
      <c r="EY217" s="13"/>
      <c r="EZ217" s="11"/>
      <c r="FA217" s="25"/>
      <c r="FB217" s="38"/>
      <c r="FC217" s="10"/>
      <c r="FD217" s="11"/>
      <c r="FE217" s="69">
        <f t="shared" si="1410"/>
        <v>0</v>
      </c>
      <c r="FF217" s="69">
        <f t="shared" si="1410"/>
        <v>0</v>
      </c>
      <c r="FG217" s="11"/>
      <c r="FH217" s="12" t="e">
        <f t="shared" si="1381"/>
        <v>#DIV/0!</v>
      </c>
      <c r="FI217" s="11"/>
      <c r="FJ217" s="12" t="e">
        <f t="shared" si="1382"/>
        <v>#DIV/0!</v>
      </c>
      <c r="FK217" s="13"/>
      <c r="FL217" s="11"/>
      <c r="FM217" s="25"/>
      <c r="FN217" s="38"/>
      <c r="FO217" s="10"/>
      <c r="FP217" s="11"/>
      <c r="FQ217" s="69">
        <f t="shared" si="1411"/>
        <v>0</v>
      </c>
      <c r="FR217" s="69">
        <f t="shared" si="1411"/>
        <v>0</v>
      </c>
      <c r="FS217" s="11"/>
      <c r="FT217" s="12" t="e">
        <f t="shared" si="1383"/>
        <v>#DIV/0!</v>
      </c>
      <c r="FU217" s="11"/>
      <c r="FV217" s="12" t="e">
        <f t="shared" si="1384"/>
        <v>#DIV/0!</v>
      </c>
      <c r="FW217" s="13"/>
      <c r="FX217" s="11"/>
      <c r="FY217" s="25"/>
      <c r="FZ217" s="38"/>
      <c r="GA217" s="10"/>
      <c r="GB217" s="11"/>
      <c r="GC217" s="69">
        <f t="shared" si="1412"/>
        <v>0</v>
      </c>
      <c r="GD217" s="69">
        <f t="shared" si="1412"/>
        <v>0</v>
      </c>
      <c r="GE217" s="11"/>
      <c r="GF217" s="12" t="e">
        <f t="shared" si="1385"/>
        <v>#DIV/0!</v>
      </c>
      <c r="GG217" s="11"/>
      <c r="GH217" s="12" t="e">
        <f t="shared" si="1386"/>
        <v>#DIV/0!</v>
      </c>
      <c r="GI217" s="13"/>
      <c r="GJ217" s="11"/>
      <c r="GK217" s="25"/>
      <c r="GL217" s="38"/>
      <c r="GM217" s="10"/>
      <c r="GN217" s="11"/>
      <c r="GO217" s="69">
        <f t="shared" si="1413"/>
        <v>0</v>
      </c>
      <c r="GP217" s="69">
        <f t="shared" si="1413"/>
        <v>0</v>
      </c>
      <c r="GQ217" s="11"/>
      <c r="GR217" s="12" t="e">
        <f t="shared" si="1387"/>
        <v>#DIV/0!</v>
      </c>
      <c r="GS217" s="11"/>
      <c r="GT217" s="12" t="e">
        <f t="shared" si="1388"/>
        <v>#DIV/0!</v>
      </c>
      <c r="GU217" s="13"/>
      <c r="GV217" s="11"/>
      <c r="GW217" s="25"/>
      <c r="GX217" s="38"/>
      <c r="GY217" s="10"/>
      <c r="GZ217" s="11"/>
      <c r="HA217" s="69">
        <f t="shared" si="1414"/>
        <v>0</v>
      </c>
      <c r="HB217" s="69">
        <f t="shared" si="1414"/>
        <v>0</v>
      </c>
      <c r="HC217" s="11"/>
      <c r="HD217" s="12" t="e">
        <f t="shared" si="1389"/>
        <v>#DIV/0!</v>
      </c>
      <c r="HE217" s="11"/>
      <c r="HF217" s="12" t="e">
        <f t="shared" si="1390"/>
        <v>#DIV/0!</v>
      </c>
      <c r="HG217" s="13"/>
      <c r="HH217" s="11"/>
      <c r="HI217" s="25"/>
      <c r="HJ217" s="38"/>
      <c r="HK217" s="10">
        <f t="shared" si="1391"/>
        <v>2</v>
      </c>
      <c r="HL217" s="11">
        <f t="shared" si="1391"/>
        <v>0</v>
      </c>
      <c r="HM217" s="11">
        <f t="shared" si="1391"/>
        <v>3435</v>
      </c>
      <c r="HN217" s="11">
        <f t="shared" si="1391"/>
        <v>264</v>
      </c>
      <c r="HO217" s="11">
        <f t="shared" si="1392"/>
        <v>1420</v>
      </c>
      <c r="HP217" s="95">
        <f t="shared" si="1393"/>
        <v>0.41339155749636097</v>
      </c>
      <c r="HQ217" s="15">
        <f t="shared" si="1394"/>
        <v>103</v>
      </c>
      <c r="HR217" s="12">
        <f t="shared" si="1415"/>
        <v>7.2535211267605634E-2</v>
      </c>
      <c r="HS217" s="16">
        <v>71.5</v>
      </c>
      <c r="HT217" s="17">
        <v>1245</v>
      </c>
      <c r="HU217" s="16">
        <f t="shared" si="1395"/>
        <v>87.676056338028175</v>
      </c>
      <c r="HV217" s="23">
        <v>4776.08</v>
      </c>
      <c r="HW217" s="22">
        <v>4828.63</v>
      </c>
    </row>
    <row r="218" spans="1:231" ht="18.75" x14ac:dyDescent="0.25">
      <c r="A218" s="374"/>
      <c r="B218" s="41">
        <f t="shared" si="1235"/>
        <v>45108</v>
      </c>
      <c r="C218" s="10">
        <v>1</v>
      </c>
      <c r="D218" s="11"/>
      <c r="E218" s="69">
        <f>E217-C218</f>
        <v>608</v>
      </c>
      <c r="F218" s="69">
        <f>F217-D218</f>
        <v>47</v>
      </c>
      <c r="G218" s="11">
        <v>194</v>
      </c>
      <c r="H218" s="12">
        <f t="shared" si="1356"/>
        <v>0.35032894736842107</v>
      </c>
      <c r="I218" s="11">
        <v>19</v>
      </c>
      <c r="J218" s="12">
        <f t="shared" si="1397"/>
        <v>8.9201877934272297E-2</v>
      </c>
      <c r="K218" s="13"/>
      <c r="L218" s="11"/>
      <c r="M218" s="39">
        <v>77.8</v>
      </c>
      <c r="N218" s="43">
        <v>100</v>
      </c>
      <c r="O218" s="10"/>
      <c r="P218" s="11"/>
      <c r="Q218" s="69">
        <f t="shared" si="1398"/>
        <v>617</v>
      </c>
      <c r="R218" s="69">
        <f t="shared" si="1398"/>
        <v>47</v>
      </c>
      <c r="S218" s="11">
        <v>202</v>
      </c>
      <c r="T218" s="12">
        <f t="shared" si="1357"/>
        <v>0.36304700162074555</v>
      </c>
      <c r="U218" s="11">
        <v>22</v>
      </c>
      <c r="V218" s="12">
        <f t="shared" si="1358"/>
        <v>9.8214285714285712E-2</v>
      </c>
      <c r="W218" s="13"/>
      <c r="X218" s="11"/>
      <c r="Y218" s="39">
        <v>93.33</v>
      </c>
      <c r="Z218" s="43">
        <v>100</v>
      </c>
      <c r="AA218" s="10"/>
      <c r="AB218" s="11"/>
      <c r="AC218" s="69">
        <f t="shared" si="1399"/>
        <v>150</v>
      </c>
      <c r="AD218" s="69">
        <f t="shared" si="1399"/>
        <v>11</v>
      </c>
      <c r="AE218" s="11">
        <v>54</v>
      </c>
      <c r="AF218" s="12">
        <f t="shared" si="1359"/>
        <v>0.41333333333333333</v>
      </c>
      <c r="AG218" s="11">
        <v>8</v>
      </c>
      <c r="AH218" s="12">
        <f t="shared" si="1360"/>
        <v>0.12903225806451613</v>
      </c>
      <c r="AI218" s="13"/>
      <c r="AJ218" s="11"/>
      <c r="AK218" s="39">
        <v>70</v>
      </c>
      <c r="AL218" s="43">
        <v>100</v>
      </c>
      <c r="AM218" s="10"/>
      <c r="AN218" s="11"/>
      <c r="AO218" s="69">
        <f t="shared" si="1400"/>
        <v>686</v>
      </c>
      <c r="AP218" s="69">
        <f t="shared" si="1400"/>
        <v>53</v>
      </c>
      <c r="AQ218" s="11">
        <v>262</v>
      </c>
      <c r="AR218" s="12">
        <f t="shared" si="1361"/>
        <v>0.39941690962099125</v>
      </c>
      <c r="AS218" s="11">
        <v>12</v>
      </c>
      <c r="AT218" s="12">
        <f t="shared" si="1362"/>
        <v>4.3795620437956206E-2</v>
      </c>
      <c r="AU218" s="13"/>
      <c r="AV218" s="11"/>
      <c r="AW218" s="39">
        <v>90.9</v>
      </c>
      <c r="AX218" s="43">
        <v>100</v>
      </c>
      <c r="AY218" s="10"/>
      <c r="AZ218" s="11"/>
      <c r="BA218" s="69">
        <f t="shared" si="1401"/>
        <v>687</v>
      </c>
      <c r="BB218" s="69">
        <f t="shared" si="1401"/>
        <v>53</v>
      </c>
      <c r="BC218" s="11">
        <v>235</v>
      </c>
      <c r="BD218" s="12">
        <f t="shared" si="1363"/>
        <v>0.38282387190684136</v>
      </c>
      <c r="BE218" s="11">
        <v>28</v>
      </c>
      <c r="BF218" s="12">
        <f t="shared" si="1364"/>
        <v>0.10646387832699619</v>
      </c>
      <c r="BG218" s="13"/>
      <c r="BH218" s="11"/>
      <c r="BI218" s="39">
        <v>75</v>
      </c>
      <c r="BJ218" s="43">
        <v>100</v>
      </c>
      <c r="BK218" s="10">
        <v>1</v>
      </c>
      <c r="BL218" s="11"/>
      <c r="BM218" s="69">
        <f t="shared" si="1402"/>
        <v>685</v>
      </c>
      <c r="BN218" s="69">
        <f t="shared" si="1402"/>
        <v>53</v>
      </c>
      <c r="BO218" s="11">
        <v>250</v>
      </c>
      <c r="BP218" s="12">
        <f t="shared" si="1365"/>
        <v>0.38540145985401458</v>
      </c>
      <c r="BQ218" s="11">
        <v>14</v>
      </c>
      <c r="BR218" s="12">
        <f t="shared" si="1366"/>
        <v>5.3030303030303032E-2</v>
      </c>
      <c r="BS218" s="13"/>
      <c r="BT218" s="11"/>
      <c r="BU218" s="39">
        <v>100</v>
      </c>
      <c r="BV218" s="43">
        <v>100</v>
      </c>
      <c r="BW218" s="10"/>
      <c r="BX218" s="11"/>
      <c r="BY218" s="69">
        <f t="shared" si="1403"/>
        <v>0</v>
      </c>
      <c r="BZ218" s="69">
        <f t="shared" si="1403"/>
        <v>0</v>
      </c>
      <c r="CA218" s="11"/>
      <c r="CB218" s="12" t="e">
        <f t="shared" si="1367"/>
        <v>#DIV/0!</v>
      </c>
      <c r="CC218" s="11"/>
      <c r="CD218" s="12" t="e">
        <f t="shared" si="1368"/>
        <v>#DIV/0!</v>
      </c>
      <c r="CE218" s="13"/>
      <c r="CF218" s="11"/>
      <c r="CG218" s="39"/>
      <c r="CH218" s="43"/>
      <c r="CI218" s="10"/>
      <c r="CJ218" s="11"/>
      <c r="CK218" s="69">
        <f t="shared" si="1404"/>
        <v>0</v>
      </c>
      <c r="CL218" s="69">
        <f t="shared" si="1404"/>
        <v>0</v>
      </c>
      <c r="CM218" s="11"/>
      <c r="CN218" s="12" t="e">
        <f t="shared" si="1369"/>
        <v>#DIV/0!</v>
      </c>
      <c r="CO218" s="11"/>
      <c r="CP218" s="12" t="e">
        <f t="shared" si="1370"/>
        <v>#DIV/0!</v>
      </c>
      <c r="CQ218" s="13"/>
      <c r="CR218" s="11"/>
      <c r="CS218" s="39"/>
      <c r="CT218" s="43"/>
      <c r="CU218" s="10"/>
      <c r="CV218" s="11"/>
      <c r="CW218" s="69">
        <f t="shared" si="1405"/>
        <v>0</v>
      </c>
      <c r="CX218" s="69">
        <f t="shared" si="1405"/>
        <v>0</v>
      </c>
      <c r="CY218" s="11"/>
      <c r="CZ218" s="12" t="e">
        <f t="shared" si="1371"/>
        <v>#DIV/0!</v>
      </c>
      <c r="DA218" s="11"/>
      <c r="DB218" s="12" t="e">
        <f t="shared" si="1372"/>
        <v>#DIV/0!</v>
      </c>
      <c r="DC218" s="13"/>
      <c r="DD218" s="11"/>
      <c r="DE218" s="39"/>
      <c r="DF218" s="43"/>
      <c r="DG218" s="10"/>
      <c r="DH218" s="11"/>
      <c r="DI218" s="69">
        <f t="shared" si="1406"/>
        <v>0</v>
      </c>
      <c r="DJ218" s="69">
        <f t="shared" si="1406"/>
        <v>0</v>
      </c>
      <c r="DK218" s="11"/>
      <c r="DL218" s="12" t="e">
        <f t="shared" si="1373"/>
        <v>#DIV/0!</v>
      </c>
      <c r="DM218" s="11"/>
      <c r="DN218" s="12" t="e">
        <f t="shared" si="1374"/>
        <v>#DIV/0!</v>
      </c>
      <c r="DO218" s="13"/>
      <c r="DP218" s="11"/>
      <c r="DQ218" s="39"/>
      <c r="DR218" s="43"/>
      <c r="DS218" s="10"/>
      <c r="DT218" s="11"/>
      <c r="DU218" s="69">
        <f t="shared" si="1407"/>
        <v>0</v>
      </c>
      <c r="DV218" s="69">
        <f t="shared" si="1407"/>
        <v>0</v>
      </c>
      <c r="DW218" s="11"/>
      <c r="DX218" s="12" t="e">
        <f t="shared" si="1375"/>
        <v>#DIV/0!</v>
      </c>
      <c r="DY218" s="11"/>
      <c r="DZ218" s="12" t="e">
        <f t="shared" si="1376"/>
        <v>#DIV/0!</v>
      </c>
      <c r="EA218" s="13"/>
      <c r="EB218" s="11"/>
      <c r="EC218" s="39"/>
      <c r="ED218" s="43"/>
      <c r="EE218" s="10"/>
      <c r="EF218" s="11"/>
      <c r="EG218" s="69">
        <f t="shared" si="1408"/>
        <v>0</v>
      </c>
      <c r="EH218" s="69">
        <f t="shared" si="1408"/>
        <v>0</v>
      </c>
      <c r="EI218" s="11"/>
      <c r="EJ218" s="12" t="e">
        <f t="shared" si="1377"/>
        <v>#DIV/0!</v>
      </c>
      <c r="EK218" s="11"/>
      <c r="EL218" s="12" t="e">
        <f t="shared" si="1378"/>
        <v>#DIV/0!</v>
      </c>
      <c r="EM218" s="13"/>
      <c r="EN218" s="11"/>
      <c r="EO218" s="39"/>
      <c r="EP218" s="43"/>
      <c r="EQ218" s="10"/>
      <c r="ER218" s="11"/>
      <c r="ES218" s="69">
        <f t="shared" si="1409"/>
        <v>0</v>
      </c>
      <c r="ET218" s="69">
        <f t="shared" si="1409"/>
        <v>0</v>
      </c>
      <c r="EU218" s="11"/>
      <c r="EV218" s="12" t="e">
        <f t="shared" si="1379"/>
        <v>#DIV/0!</v>
      </c>
      <c r="EW218" s="11"/>
      <c r="EX218" s="12" t="e">
        <f t="shared" si="1380"/>
        <v>#DIV/0!</v>
      </c>
      <c r="EY218" s="13"/>
      <c r="EZ218" s="11"/>
      <c r="FA218" s="39"/>
      <c r="FB218" s="43"/>
      <c r="FC218" s="10"/>
      <c r="FD218" s="11"/>
      <c r="FE218" s="69">
        <f t="shared" si="1410"/>
        <v>0</v>
      </c>
      <c r="FF218" s="69">
        <f t="shared" si="1410"/>
        <v>0</v>
      </c>
      <c r="FG218" s="11"/>
      <c r="FH218" s="12" t="e">
        <f t="shared" si="1381"/>
        <v>#DIV/0!</v>
      </c>
      <c r="FI218" s="11"/>
      <c r="FJ218" s="12" t="e">
        <f t="shared" si="1382"/>
        <v>#DIV/0!</v>
      </c>
      <c r="FK218" s="13"/>
      <c r="FL218" s="11"/>
      <c r="FM218" s="39"/>
      <c r="FN218" s="43"/>
      <c r="FO218" s="10"/>
      <c r="FP218" s="11"/>
      <c r="FQ218" s="69">
        <f t="shared" si="1411"/>
        <v>0</v>
      </c>
      <c r="FR218" s="69">
        <f t="shared" si="1411"/>
        <v>0</v>
      </c>
      <c r="FS218" s="11"/>
      <c r="FT218" s="12" t="e">
        <f t="shared" si="1383"/>
        <v>#DIV/0!</v>
      </c>
      <c r="FU218" s="11"/>
      <c r="FV218" s="12" t="e">
        <f t="shared" si="1384"/>
        <v>#DIV/0!</v>
      </c>
      <c r="FW218" s="13"/>
      <c r="FX218" s="11"/>
      <c r="FY218" s="39"/>
      <c r="FZ218" s="43"/>
      <c r="GA218" s="10"/>
      <c r="GB218" s="11"/>
      <c r="GC218" s="69">
        <f t="shared" si="1412"/>
        <v>0</v>
      </c>
      <c r="GD218" s="69">
        <f t="shared" si="1412"/>
        <v>0</v>
      </c>
      <c r="GE218" s="11"/>
      <c r="GF218" s="12" t="e">
        <f t="shared" si="1385"/>
        <v>#DIV/0!</v>
      </c>
      <c r="GG218" s="11"/>
      <c r="GH218" s="12" t="e">
        <f t="shared" si="1386"/>
        <v>#DIV/0!</v>
      </c>
      <c r="GI218" s="13"/>
      <c r="GJ218" s="11"/>
      <c r="GK218" s="39"/>
      <c r="GL218" s="43"/>
      <c r="GM218" s="10"/>
      <c r="GN218" s="11"/>
      <c r="GO218" s="69">
        <f t="shared" si="1413"/>
        <v>0</v>
      </c>
      <c r="GP218" s="69">
        <f t="shared" si="1413"/>
        <v>0</v>
      </c>
      <c r="GQ218" s="11"/>
      <c r="GR218" s="12" t="e">
        <f t="shared" si="1387"/>
        <v>#DIV/0!</v>
      </c>
      <c r="GS218" s="11"/>
      <c r="GT218" s="12" t="e">
        <f t="shared" si="1388"/>
        <v>#DIV/0!</v>
      </c>
      <c r="GU218" s="13"/>
      <c r="GV218" s="11"/>
      <c r="GW218" s="39"/>
      <c r="GX218" s="43"/>
      <c r="GY218" s="10"/>
      <c r="GZ218" s="11"/>
      <c r="HA218" s="69">
        <f t="shared" si="1414"/>
        <v>0</v>
      </c>
      <c r="HB218" s="69">
        <f t="shared" si="1414"/>
        <v>0</v>
      </c>
      <c r="HC218" s="11"/>
      <c r="HD218" s="12" t="e">
        <f t="shared" si="1389"/>
        <v>#DIV/0!</v>
      </c>
      <c r="HE218" s="11"/>
      <c r="HF218" s="12" t="e">
        <f t="shared" si="1390"/>
        <v>#DIV/0!</v>
      </c>
      <c r="HG218" s="13"/>
      <c r="HH218" s="11"/>
      <c r="HI218" s="39"/>
      <c r="HJ218" s="43"/>
      <c r="HK218" s="10">
        <f t="shared" si="1391"/>
        <v>2</v>
      </c>
      <c r="HL218" s="11">
        <f t="shared" si="1391"/>
        <v>0</v>
      </c>
      <c r="HM218" s="11">
        <f t="shared" si="1391"/>
        <v>3433</v>
      </c>
      <c r="HN218" s="11">
        <f t="shared" si="1391"/>
        <v>264</v>
      </c>
      <c r="HO218" s="11">
        <f t="shared" si="1392"/>
        <v>1300</v>
      </c>
      <c r="HP218" s="95">
        <f t="shared" si="1393"/>
        <v>0.37867754150888433</v>
      </c>
      <c r="HQ218" s="15">
        <f t="shared" si="1394"/>
        <v>103</v>
      </c>
      <c r="HR218" s="12">
        <f t="shared" si="1415"/>
        <v>7.923076923076923E-2</v>
      </c>
      <c r="HS218" s="16">
        <v>71.400000000000006</v>
      </c>
      <c r="HT218" s="17">
        <v>1142</v>
      </c>
      <c r="HU218" s="16">
        <f t="shared" si="1395"/>
        <v>87.846153846153854</v>
      </c>
      <c r="HV218" s="23">
        <v>81.290000000000006</v>
      </c>
      <c r="HW218" s="22">
        <v>82.35</v>
      </c>
    </row>
    <row r="219" spans="1:231" ht="19.5" thickBot="1" x14ac:dyDescent="0.3">
      <c r="A219" s="374"/>
      <c r="B219" s="42"/>
      <c r="C219" s="26">
        <f>SUM(C212:C218)</f>
        <v>3</v>
      </c>
      <c r="D219" s="27">
        <f>SUM(D212:D218)</f>
        <v>0</v>
      </c>
      <c r="E219" s="27"/>
      <c r="F219" s="27"/>
      <c r="G219" s="27">
        <f>SUM(G212:G218)</f>
        <v>1606</v>
      </c>
      <c r="H219" s="28">
        <f>((G219+I219)/7)/E218</f>
        <v>0.40859962406015038</v>
      </c>
      <c r="I219" s="27">
        <f>SUM(I212:I218)</f>
        <v>133</v>
      </c>
      <c r="J219" s="28">
        <f>(I219/(I219+G219))</f>
        <v>7.648073605520414E-2</v>
      </c>
      <c r="K219" s="27"/>
      <c r="L219" s="27"/>
      <c r="M219" s="29">
        <f>M217/M216*100-100</f>
        <v>13.84615384615384</v>
      </c>
      <c r="N219" s="67">
        <f>N217/N216*100-100</f>
        <v>-3.8311688311688243</v>
      </c>
      <c r="O219" s="26">
        <f>SUM(O212:O218)</f>
        <v>1</v>
      </c>
      <c r="P219" s="27">
        <f>SUM(P212:P218)</f>
        <v>0</v>
      </c>
      <c r="Q219" s="27"/>
      <c r="R219" s="27"/>
      <c r="S219" s="27">
        <f>SUM(S212:S218)</f>
        <v>1591</v>
      </c>
      <c r="T219" s="28">
        <f>((S219+U219)/7)/Q218</f>
        <v>0.40310257003936095</v>
      </c>
      <c r="U219" s="27">
        <f>SUM(U212:U218)</f>
        <v>150</v>
      </c>
      <c r="V219" s="28">
        <f>(U219/(U219+S219))</f>
        <v>8.61573808156232E-2</v>
      </c>
      <c r="W219" s="27"/>
      <c r="X219" s="27"/>
      <c r="Y219" s="29">
        <f>Y217/Y216*100-100</f>
        <v>14.627218934911241</v>
      </c>
      <c r="Z219" s="67">
        <f>Z217/Z216*100-100</f>
        <v>1.9961038961038895</v>
      </c>
      <c r="AA219" s="26">
        <f>SUM(AA212:AA218)</f>
        <v>5</v>
      </c>
      <c r="AB219" s="27">
        <f>SUM(AB212:AB218)</f>
        <v>0</v>
      </c>
      <c r="AC219" s="27"/>
      <c r="AD219" s="27"/>
      <c r="AE219" s="27">
        <f>SUM(AE212:AE218)</f>
        <v>378</v>
      </c>
      <c r="AF219" s="28">
        <f>((AE219+AG219)/7)/AC218</f>
        <v>0.38571428571428568</v>
      </c>
      <c r="AG219" s="27">
        <f>SUM(AG212:AG218)</f>
        <v>27</v>
      </c>
      <c r="AH219" s="28">
        <f>(AG219/(AG219+AE219))</f>
        <v>6.6666666666666666E-2</v>
      </c>
      <c r="AI219" s="27"/>
      <c r="AJ219" s="27"/>
      <c r="AK219" s="29">
        <f>AK217/AK216*100-100</f>
        <v>8.5443786982248469</v>
      </c>
      <c r="AL219" s="67">
        <f>AL217/AL216*100-100</f>
        <v>-1.8036796536796516</v>
      </c>
      <c r="AM219" s="26">
        <f>SUM(AM212:AM218)</f>
        <v>2</v>
      </c>
      <c r="AN219" s="27">
        <f>SUM(AN212:AN218)</f>
        <v>0</v>
      </c>
      <c r="AO219" s="27"/>
      <c r="AP219" s="27"/>
      <c r="AQ219" s="27">
        <f>SUM(AQ212:AQ218)</f>
        <v>1865</v>
      </c>
      <c r="AR219" s="28">
        <f>((AQ219+AS219)/7)/AO218</f>
        <v>0.41566014160766351</v>
      </c>
      <c r="AS219" s="27">
        <f>SUM(AS212:AS218)</f>
        <v>131</v>
      </c>
      <c r="AT219" s="28">
        <f>(AS219/(AS219+AQ219))</f>
        <v>6.5631262525050096E-2</v>
      </c>
      <c r="AU219" s="27"/>
      <c r="AV219" s="27"/>
      <c r="AW219" s="29">
        <f>AW217/AW216*100-100</f>
        <v>11.005917159763314</v>
      </c>
      <c r="AX219" s="67">
        <f>AX217/AX216*100-100</f>
        <v>5.4978354978354957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1780</v>
      </c>
      <c r="BD219" s="28">
        <f>((BC219+BE219)/7)/BA218</f>
        <v>0.40049906425452281</v>
      </c>
      <c r="BE219" s="27">
        <f>SUM(BE212:BE218)</f>
        <v>146</v>
      </c>
      <c r="BF219" s="28">
        <f>(BE219/(BE219+BC219))</f>
        <v>7.5804776739356178E-2</v>
      </c>
      <c r="BG219" s="27"/>
      <c r="BH219" s="27"/>
      <c r="BI219" s="29">
        <f>BI217/BI216*100-100</f>
        <v>11.663431952662705</v>
      </c>
      <c r="BJ219" s="67">
        <f>BJ217/BJ216*100-100</f>
        <v>10.743722943722943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1964</v>
      </c>
      <c r="BP219" s="28">
        <f>((BO219+BQ219)/7)/BM218</f>
        <v>0.43274244004171014</v>
      </c>
      <c r="BQ219" s="27">
        <f>SUM(BQ212:BQ218)</f>
        <v>111</v>
      </c>
      <c r="BR219" s="28">
        <f>(BQ219/(BQ219+BO219))</f>
        <v>5.349397590361446E-2</v>
      </c>
      <c r="BS219" s="27"/>
      <c r="BT219" s="27"/>
      <c r="BU219" s="29">
        <f>BU217/BU216*100-100</f>
        <v>16.331360946745562</v>
      </c>
      <c r="BV219" s="67">
        <f>BV217/BV216*100-100</f>
        <v>10.362554112554108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7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7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7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7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7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7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7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7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7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7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7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7" t="e">
        <f>HJ217/HJ216*100-100</f>
        <v>#DIV/0!</v>
      </c>
      <c r="HK219" s="26">
        <f t="shared" si="1391"/>
        <v>16</v>
      </c>
      <c r="HL219" s="27">
        <f t="shared" si="1391"/>
        <v>0</v>
      </c>
      <c r="HM219" s="27">
        <f t="shared" si="1391"/>
        <v>0</v>
      </c>
      <c r="HN219" s="27">
        <f t="shared" si="1391"/>
        <v>0</v>
      </c>
      <c r="HO219" s="27">
        <f t="shared" si="1392"/>
        <v>9882</v>
      </c>
      <c r="HP219" s="96">
        <f>+((HO219)/HM218)/7</f>
        <v>0.4112188423286588</v>
      </c>
      <c r="HQ219" s="62">
        <f t="shared" si="1394"/>
        <v>698</v>
      </c>
      <c r="HR219" s="52">
        <f t="shared" si="1415"/>
        <v>7.0633475005059704E-2</v>
      </c>
      <c r="HS219" s="53">
        <f>SUM(HS212:HS218)/7</f>
        <v>70.828571428571422</v>
      </c>
      <c r="HT219" s="54">
        <f>SUM(HT212:HT218)</f>
        <v>8726</v>
      </c>
      <c r="HU219" s="53">
        <f>AVERAGE(HU212:HU218)</f>
        <v>88.298072233760124</v>
      </c>
      <c r="HV219" s="63">
        <f>HV217/HV216*100-100</f>
        <v>13.043313609467447</v>
      </c>
      <c r="HW219" s="67">
        <f>HW217/HW216*100-100</f>
        <v>4.5158008658008839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4.6390258045810378E-3</v>
      </c>
      <c r="HL220" s="66">
        <f>HL219/HN209</f>
        <v>0</v>
      </c>
      <c r="HM220" s="45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373">
        <v>49</v>
      </c>
      <c r="B221" s="68">
        <f>B218+1</f>
        <v>45109</v>
      </c>
      <c r="C221" s="33"/>
      <c r="D221" s="34"/>
      <c r="E221" s="34">
        <f>E218-C221</f>
        <v>608</v>
      </c>
      <c r="F221" s="34">
        <f>F218-D221</f>
        <v>47</v>
      </c>
      <c r="G221" s="34">
        <v>207</v>
      </c>
      <c r="H221" s="35">
        <f t="shared" ref="H221:H227" si="1416">((G221+I221)/E221)</f>
        <v>0.38651315789473684</v>
      </c>
      <c r="I221" s="34">
        <v>28</v>
      </c>
      <c r="J221" s="35">
        <f>I221/(G221+I221)</f>
        <v>0.11914893617021277</v>
      </c>
      <c r="K221" s="36"/>
      <c r="L221" s="34"/>
      <c r="M221" s="34"/>
      <c r="N221" s="37"/>
      <c r="O221" s="33">
        <v>2</v>
      </c>
      <c r="P221" s="34"/>
      <c r="Q221" s="34">
        <f>Q218-O221</f>
        <v>615</v>
      </c>
      <c r="R221" s="34">
        <f>R218-P221</f>
        <v>47</v>
      </c>
      <c r="S221" s="34">
        <v>201</v>
      </c>
      <c r="T221" s="35">
        <f t="shared" ref="T221:T227" si="1417">((S221+U221)/Q221)</f>
        <v>0.35609756097560974</v>
      </c>
      <c r="U221" s="34">
        <v>18</v>
      </c>
      <c r="V221" s="35">
        <f t="shared" ref="V221:V227" si="1418">U221/(S221+U221)</f>
        <v>8.2191780821917804E-2</v>
      </c>
      <c r="W221" s="36"/>
      <c r="X221" s="34"/>
      <c r="Y221" s="34"/>
      <c r="Z221" s="37"/>
      <c r="AA221" s="33">
        <v>2</v>
      </c>
      <c r="AB221" s="34"/>
      <c r="AC221" s="34">
        <f>AC218-AA221</f>
        <v>148</v>
      </c>
      <c r="AD221" s="34">
        <f>AD218-AB221</f>
        <v>11</v>
      </c>
      <c r="AE221" s="34">
        <v>47</v>
      </c>
      <c r="AF221" s="35">
        <f t="shared" ref="AF221:AF227" si="1419">((AE221+AG221)/AC221)</f>
        <v>0.33108108108108109</v>
      </c>
      <c r="AG221" s="34">
        <v>2</v>
      </c>
      <c r="AH221" s="35">
        <f t="shared" ref="AH221:AH227" si="1420">AG221/(AE221+AG221)</f>
        <v>4.0816326530612242E-2</v>
      </c>
      <c r="AI221" s="36"/>
      <c r="AJ221" s="34"/>
      <c r="AK221" s="34"/>
      <c r="AL221" s="37"/>
      <c r="AM221" s="33"/>
      <c r="AN221" s="34"/>
      <c r="AO221" s="34">
        <f>AO218-AM221</f>
        <v>686</v>
      </c>
      <c r="AP221" s="34">
        <f>AP218-AN221</f>
        <v>53</v>
      </c>
      <c r="AQ221" s="34">
        <v>254</v>
      </c>
      <c r="AR221" s="35">
        <f t="shared" ref="AR221:AR227" si="1421">((AQ221+AS221)/AO221)</f>
        <v>0.40962099125364432</v>
      </c>
      <c r="AS221" s="34">
        <v>27</v>
      </c>
      <c r="AT221" s="35">
        <f t="shared" ref="AT221:AT227" si="1422">AS221/(AQ221+AS221)</f>
        <v>9.6085409252669035E-2</v>
      </c>
      <c r="AU221" s="36"/>
      <c r="AV221" s="34"/>
      <c r="AW221" s="34"/>
      <c r="AX221" s="37"/>
      <c r="AY221" s="33">
        <v>1</v>
      </c>
      <c r="AZ221" s="34"/>
      <c r="BA221" s="34">
        <f>BA218-AY221</f>
        <v>686</v>
      </c>
      <c r="BB221" s="34">
        <f>BB218-AZ221</f>
        <v>53</v>
      </c>
      <c r="BC221" s="34">
        <v>233</v>
      </c>
      <c r="BD221" s="35">
        <f t="shared" ref="BD221:BD227" si="1423">((BC221+BE221)/BA221)</f>
        <v>0.36880466472303208</v>
      </c>
      <c r="BE221" s="34">
        <v>20</v>
      </c>
      <c r="BF221" s="35">
        <f t="shared" ref="BF221:BF227" si="1424">BE221/(BC221+BE221)</f>
        <v>7.9051383399209488E-2</v>
      </c>
      <c r="BG221" s="36"/>
      <c r="BH221" s="34"/>
      <c r="BI221" s="34"/>
      <c r="BJ221" s="37"/>
      <c r="BK221" s="33">
        <v>1</v>
      </c>
      <c r="BL221" s="34"/>
      <c r="BM221" s="34">
        <f>BM218-BK221</f>
        <v>684</v>
      </c>
      <c r="BN221" s="34">
        <f>BN218-BL221</f>
        <v>53</v>
      </c>
      <c r="BO221" s="34">
        <v>270</v>
      </c>
      <c r="BP221" s="35">
        <f t="shared" ref="BP221:BP227" si="1425">((BO221+BQ221)/BM221)</f>
        <v>0.41374269005847952</v>
      </c>
      <c r="BQ221" s="34">
        <v>13</v>
      </c>
      <c r="BR221" s="35">
        <f t="shared" ref="BR221:BR227" si="1426">BQ221/(BO221+BQ221)</f>
        <v>4.5936395759717315E-2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427">((CA221+CC221)/BY221)</f>
        <v>#DIV/0!</v>
      </c>
      <c r="CC221" s="34"/>
      <c r="CD221" s="35" t="e">
        <f t="shared" ref="CD221:CD227" si="1428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429">((CM221+CO221)/CK221)</f>
        <v>#DIV/0!</v>
      </c>
      <c r="CO221" s="34"/>
      <c r="CP221" s="35" t="e">
        <f t="shared" ref="CP221:CP227" si="1430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431">((CY221+DA221)/CW221)</f>
        <v>#DIV/0!</v>
      </c>
      <c r="DA221" s="34"/>
      <c r="DB221" s="35" t="e">
        <f t="shared" ref="DB221:DB227" si="1432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433">((DK221+DM221)/DI221)</f>
        <v>#DIV/0!</v>
      </c>
      <c r="DM221" s="34"/>
      <c r="DN221" s="35" t="e">
        <f t="shared" ref="DN221:DN227" si="1434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435">((DW221+DY221)/DU221)</f>
        <v>#DIV/0!</v>
      </c>
      <c r="DY221" s="34"/>
      <c r="DZ221" s="35" t="e">
        <f t="shared" ref="DZ221:DZ227" si="1436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437">((EI221+EK221)/EG221)</f>
        <v>#DIV/0!</v>
      </c>
      <c r="EK221" s="34"/>
      <c r="EL221" s="35" t="e">
        <f t="shared" ref="EL221:EL227" si="1438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439">((EU221+EW221)/ES221)</f>
        <v>#DIV/0!</v>
      </c>
      <c r="EW221" s="34"/>
      <c r="EX221" s="35" t="e">
        <f t="shared" ref="EX221:EX227" si="1440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441">((FG221+FI221)/FE221)</f>
        <v>#DIV/0!</v>
      </c>
      <c r="FI221" s="34"/>
      <c r="FJ221" s="35" t="e">
        <f t="shared" ref="FJ221:FJ227" si="1442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443">((FS221+FU221)/FQ221)</f>
        <v>#DIV/0!</v>
      </c>
      <c r="FU221" s="34"/>
      <c r="FV221" s="35" t="e">
        <f t="shared" ref="FV221:FV227" si="1444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445">((GE221+GG221)/GC221)</f>
        <v>#DIV/0!</v>
      </c>
      <c r="GG221" s="34"/>
      <c r="GH221" s="35" t="e">
        <f t="shared" ref="GH221:GH227" si="1446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447">((GQ221+GS221)/GO221)</f>
        <v>#DIV/0!</v>
      </c>
      <c r="GS221" s="34"/>
      <c r="GT221" s="35" t="e">
        <f t="shared" ref="GT221:GT227" si="1448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449">((HC221+HE221)/HA221)</f>
        <v>#DIV/0!</v>
      </c>
      <c r="HE221" s="34"/>
      <c r="HF221" s="35" t="e">
        <f t="shared" ref="HF221:HF227" si="1450">HE221/(HC221+HE221)</f>
        <v>#DIV/0!</v>
      </c>
      <c r="HG221" s="36"/>
      <c r="HH221" s="34"/>
      <c r="HI221" s="34"/>
      <c r="HJ221" s="37"/>
      <c r="HK221" s="33">
        <f t="shared" ref="HK221:HN228" si="1451">+C221+O221+AA221+AM221+AY221+BK221+BW221+CI221+CU221+DG221+DS221+EE221+EQ221+FC221+FO221+GA221+GM221+GY221</f>
        <v>6</v>
      </c>
      <c r="HL221" s="34">
        <f t="shared" si="1451"/>
        <v>0</v>
      </c>
      <c r="HM221" s="34">
        <f t="shared" si="1451"/>
        <v>3427</v>
      </c>
      <c r="HN221" s="34">
        <f t="shared" si="1451"/>
        <v>264</v>
      </c>
      <c r="HO221" s="34">
        <f t="shared" ref="HO221:HO228" si="1452">+G221+S221+AE221+AQ221+BC221+BO221+CA221+CM221+CY221+DK221+DW221+EI221+EU221+FG221+FS221+GE221+GQ221+HC221+I221+U221+AG221+AS221+BE221+BQ221+CC221+CO221+DA221+DM221+DY221+EK221+EW221+FI221+FU221+GG221+GS221+HE221</f>
        <v>1320</v>
      </c>
      <c r="HP221" s="94">
        <f t="shared" ref="HP221:HP227" si="1453">+(HO221)/HM221</f>
        <v>0.38517653924715495</v>
      </c>
      <c r="HQ221" s="48">
        <f t="shared" ref="HQ221:HQ228" si="1454">+I221+U221+AG221+AS221+BE221+BQ221+CC221+CO221+DA221+DM221+DY221+EK221+EW221+FI221+FU221+GG221+GS221+HE221</f>
        <v>108</v>
      </c>
      <c r="HR221" s="35">
        <f>+(HQ221/(HO221))</f>
        <v>8.1818181818181818E-2</v>
      </c>
      <c r="HS221" s="49">
        <v>71.3</v>
      </c>
      <c r="HT221" s="50">
        <v>1160</v>
      </c>
      <c r="HU221" s="49">
        <f t="shared" ref="HU221:HU227" si="1455">+HT221/HO221*100</f>
        <v>87.878787878787875</v>
      </c>
      <c r="HV221" s="48"/>
      <c r="HW221" s="37"/>
    </row>
    <row r="222" spans="1:231" ht="18.75" x14ac:dyDescent="0.25">
      <c r="A222" s="374"/>
      <c r="B222" s="41">
        <f t="shared" si="1235"/>
        <v>45110</v>
      </c>
      <c r="C222" s="10"/>
      <c r="D222" s="11"/>
      <c r="E222" s="69">
        <f t="shared" ref="E222:F226" si="1456">E221-C222</f>
        <v>608</v>
      </c>
      <c r="F222" s="69">
        <f t="shared" si="1456"/>
        <v>47</v>
      </c>
      <c r="G222" s="11">
        <v>210</v>
      </c>
      <c r="H222" s="12">
        <f t="shared" si="1416"/>
        <v>0.40296052631578949</v>
      </c>
      <c r="I222" s="11">
        <v>35</v>
      </c>
      <c r="J222" s="12">
        <f t="shared" ref="J222:J227" si="1457">I222/(G222+I222)</f>
        <v>0.14285714285714285</v>
      </c>
      <c r="K222" s="13"/>
      <c r="L222" s="11"/>
      <c r="M222" s="11"/>
      <c r="N222" s="14"/>
      <c r="O222" s="10">
        <v>1</v>
      </c>
      <c r="P222" s="11"/>
      <c r="Q222" s="69">
        <f t="shared" ref="Q222:R227" si="1458">Q221-O222</f>
        <v>614</v>
      </c>
      <c r="R222" s="69">
        <f t="shared" si="1458"/>
        <v>47</v>
      </c>
      <c r="S222" s="11">
        <v>208</v>
      </c>
      <c r="T222" s="12">
        <f t="shared" si="1417"/>
        <v>0.37947882736156352</v>
      </c>
      <c r="U222" s="11">
        <v>25</v>
      </c>
      <c r="V222" s="12">
        <f t="shared" si="1418"/>
        <v>0.1072961373390558</v>
      </c>
      <c r="W222" s="13"/>
      <c r="X222" s="11"/>
      <c r="Y222" s="11"/>
      <c r="Z222" s="14"/>
      <c r="AA222" s="10">
        <v>1</v>
      </c>
      <c r="AB222" s="11"/>
      <c r="AC222" s="69">
        <f t="shared" ref="AC222:AD227" si="1459">AC221-AA222</f>
        <v>147</v>
      </c>
      <c r="AD222" s="69">
        <f t="shared" si="1459"/>
        <v>11</v>
      </c>
      <c r="AE222" s="11">
        <v>57</v>
      </c>
      <c r="AF222" s="12">
        <f t="shared" si="1419"/>
        <v>0.41496598639455784</v>
      </c>
      <c r="AG222" s="11">
        <v>4</v>
      </c>
      <c r="AH222" s="12">
        <f t="shared" si="1420"/>
        <v>6.5573770491803282E-2</v>
      </c>
      <c r="AI222" s="13"/>
      <c r="AJ222" s="11"/>
      <c r="AK222" s="11"/>
      <c r="AL222" s="14"/>
      <c r="AM222" s="10"/>
      <c r="AN222" s="11"/>
      <c r="AO222" s="69">
        <f t="shared" ref="AO222:AP227" si="1460">AO221-AM222</f>
        <v>686</v>
      </c>
      <c r="AP222" s="69">
        <f t="shared" si="1460"/>
        <v>53</v>
      </c>
      <c r="AQ222" s="11">
        <v>243</v>
      </c>
      <c r="AR222" s="12">
        <f t="shared" si="1421"/>
        <v>0.37755102040816324</v>
      </c>
      <c r="AS222" s="11">
        <v>16</v>
      </c>
      <c r="AT222" s="12">
        <f t="shared" si="1422"/>
        <v>6.1776061776061778E-2</v>
      </c>
      <c r="AU222" s="13"/>
      <c r="AV222" s="11"/>
      <c r="AW222" s="11"/>
      <c r="AX222" s="14"/>
      <c r="AY222" s="10">
        <v>1</v>
      </c>
      <c r="AZ222" s="11"/>
      <c r="BA222" s="69">
        <f t="shared" ref="BA222:BB227" si="1461">BA221-AY222</f>
        <v>685</v>
      </c>
      <c r="BB222" s="69">
        <f t="shared" si="1461"/>
        <v>53</v>
      </c>
      <c r="BC222" s="11">
        <v>218</v>
      </c>
      <c r="BD222" s="12">
        <f t="shared" si="1423"/>
        <v>0.35912408759124087</v>
      </c>
      <c r="BE222" s="11">
        <v>28</v>
      </c>
      <c r="BF222" s="12">
        <f t="shared" si="1424"/>
        <v>0.11382113821138211</v>
      </c>
      <c r="BG222" s="13"/>
      <c r="BH222" s="11"/>
      <c r="BI222" s="11"/>
      <c r="BJ222" s="14"/>
      <c r="BK222" s="10"/>
      <c r="BL222" s="11"/>
      <c r="BM222" s="69">
        <f t="shared" ref="BM222:BN227" si="1462">BM221-BK222</f>
        <v>684</v>
      </c>
      <c r="BN222" s="69">
        <f t="shared" si="1462"/>
        <v>53</v>
      </c>
      <c r="BO222" s="11">
        <v>264</v>
      </c>
      <c r="BP222" s="12">
        <f t="shared" si="1425"/>
        <v>0.41812865497076024</v>
      </c>
      <c r="BQ222" s="11">
        <v>22</v>
      </c>
      <c r="BR222" s="12">
        <f t="shared" si="1426"/>
        <v>7.6923076923076927E-2</v>
      </c>
      <c r="BS222" s="13"/>
      <c r="BT222" s="11"/>
      <c r="BU222" s="11"/>
      <c r="BV222" s="14"/>
      <c r="BW222" s="10"/>
      <c r="BX222" s="11"/>
      <c r="BY222" s="69">
        <f t="shared" ref="BY222:BZ227" si="1463">BY221-BW222</f>
        <v>0</v>
      </c>
      <c r="BZ222" s="69">
        <f t="shared" si="1463"/>
        <v>0</v>
      </c>
      <c r="CA222" s="11"/>
      <c r="CB222" s="12" t="e">
        <f t="shared" si="1427"/>
        <v>#DIV/0!</v>
      </c>
      <c r="CC222" s="11"/>
      <c r="CD222" s="12" t="e">
        <f t="shared" si="1428"/>
        <v>#DIV/0!</v>
      </c>
      <c r="CE222" s="13"/>
      <c r="CF222" s="11"/>
      <c r="CG222" s="11"/>
      <c r="CH222" s="14"/>
      <c r="CI222" s="10"/>
      <c r="CJ222" s="11"/>
      <c r="CK222" s="69">
        <f t="shared" ref="CK222:CL227" si="1464">CK221-CI222</f>
        <v>0</v>
      </c>
      <c r="CL222" s="69">
        <f t="shared" si="1464"/>
        <v>0</v>
      </c>
      <c r="CM222" s="11"/>
      <c r="CN222" s="12" t="e">
        <f t="shared" si="1429"/>
        <v>#DIV/0!</v>
      </c>
      <c r="CO222" s="11"/>
      <c r="CP222" s="12" t="e">
        <f t="shared" si="1430"/>
        <v>#DIV/0!</v>
      </c>
      <c r="CQ222" s="13"/>
      <c r="CR222" s="11"/>
      <c r="CS222" s="11"/>
      <c r="CT222" s="14"/>
      <c r="CU222" s="10"/>
      <c r="CV222" s="11"/>
      <c r="CW222" s="69">
        <f t="shared" ref="CW222:CX227" si="1465">CW221-CU222</f>
        <v>0</v>
      </c>
      <c r="CX222" s="69">
        <f t="shared" si="1465"/>
        <v>0</v>
      </c>
      <c r="CY222" s="11"/>
      <c r="CZ222" s="12" t="e">
        <f t="shared" si="1431"/>
        <v>#DIV/0!</v>
      </c>
      <c r="DA222" s="11"/>
      <c r="DB222" s="12" t="e">
        <f t="shared" si="1432"/>
        <v>#DIV/0!</v>
      </c>
      <c r="DC222" s="13"/>
      <c r="DD222" s="11"/>
      <c r="DE222" s="11"/>
      <c r="DF222" s="14"/>
      <c r="DG222" s="10"/>
      <c r="DH222" s="11"/>
      <c r="DI222" s="69">
        <f t="shared" ref="DI222:DJ227" si="1466">DI221-DG222</f>
        <v>0</v>
      </c>
      <c r="DJ222" s="69">
        <f t="shared" si="1466"/>
        <v>0</v>
      </c>
      <c r="DK222" s="11"/>
      <c r="DL222" s="12" t="e">
        <f t="shared" si="1433"/>
        <v>#DIV/0!</v>
      </c>
      <c r="DM222" s="11"/>
      <c r="DN222" s="12" t="e">
        <f t="shared" si="1434"/>
        <v>#DIV/0!</v>
      </c>
      <c r="DO222" s="13"/>
      <c r="DP222" s="11"/>
      <c r="DQ222" s="11"/>
      <c r="DR222" s="14"/>
      <c r="DS222" s="10"/>
      <c r="DT222" s="11"/>
      <c r="DU222" s="69">
        <f t="shared" ref="DU222:DV227" si="1467">DU221-DS222</f>
        <v>0</v>
      </c>
      <c r="DV222" s="69">
        <f t="shared" si="1467"/>
        <v>0</v>
      </c>
      <c r="DW222" s="11"/>
      <c r="DX222" s="12" t="e">
        <f t="shared" si="1435"/>
        <v>#DIV/0!</v>
      </c>
      <c r="DY222" s="11"/>
      <c r="DZ222" s="12" t="e">
        <f t="shared" si="1436"/>
        <v>#DIV/0!</v>
      </c>
      <c r="EA222" s="13"/>
      <c r="EB222" s="11"/>
      <c r="EC222" s="11"/>
      <c r="ED222" s="14"/>
      <c r="EE222" s="10"/>
      <c r="EF222" s="11"/>
      <c r="EG222" s="69">
        <f t="shared" ref="EG222:EH227" si="1468">EG221-EE222</f>
        <v>0</v>
      </c>
      <c r="EH222" s="69">
        <f t="shared" si="1468"/>
        <v>0</v>
      </c>
      <c r="EI222" s="11"/>
      <c r="EJ222" s="12" t="e">
        <f t="shared" si="1437"/>
        <v>#DIV/0!</v>
      </c>
      <c r="EK222" s="11"/>
      <c r="EL222" s="12" t="e">
        <f t="shared" si="1438"/>
        <v>#DIV/0!</v>
      </c>
      <c r="EM222" s="13"/>
      <c r="EN222" s="11"/>
      <c r="EO222" s="11"/>
      <c r="EP222" s="14"/>
      <c r="EQ222" s="10"/>
      <c r="ER222" s="11"/>
      <c r="ES222" s="69">
        <f t="shared" ref="ES222:ET227" si="1469">ES221-EQ222</f>
        <v>0</v>
      </c>
      <c r="ET222" s="69">
        <f t="shared" si="1469"/>
        <v>0</v>
      </c>
      <c r="EU222" s="11"/>
      <c r="EV222" s="12" t="e">
        <f t="shared" si="1439"/>
        <v>#DIV/0!</v>
      </c>
      <c r="EW222" s="11"/>
      <c r="EX222" s="12" t="e">
        <f t="shared" si="1440"/>
        <v>#DIV/0!</v>
      </c>
      <c r="EY222" s="13"/>
      <c r="EZ222" s="11"/>
      <c r="FA222" s="11"/>
      <c r="FB222" s="14"/>
      <c r="FC222" s="10"/>
      <c r="FD222" s="11"/>
      <c r="FE222" s="69">
        <f t="shared" ref="FE222:FF227" si="1470">FE221-FC222</f>
        <v>0</v>
      </c>
      <c r="FF222" s="69">
        <f t="shared" si="1470"/>
        <v>0</v>
      </c>
      <c r="FG222" s="11"/>
      <c r="FH222" s="12" t="e">
        <f t="shared" si="1441"/>
        <v>#DIV/0!</v>
      </c>
      <c r="FI222" s="11"/>
      <c r="FJ222" s="12" t="e">
        <f t="shared" si="1442"/>
        <v>#DIV/0!</v>
      </c>
      <c r="FK222" s="13"/>
      <c r="FL222" s="11"/>
      <c r="FM222" s="11"/>
      <c r="FN222" s="14"/>
      <c r="FO222" s="10"/>
      <c r="FP222" s="11"/>
      <c r="FQ222" s="69">
        <f t="shared" ref="FQ222:FR227" si="1471">FQ221-FO222</f>
        <v>0</v>
      </c>
      <c r="FR222" s="69">
        <f t="shared" si="1471"/>
        <v>0</v>
      </c>
      <c r="FS222" s="11"/>
      <c r="FT222" s="12" t="e">
        <f t="shared" si="1443"/>
        <v>#DIV/0!</v>
      </c>
      <c r="FU222" s="11"/>
      <c r="FV222" s="12" t="e">
        <f t="shared" si="1444"/>
        <v>#DIV/0!</v>
      </c>
      <c r="FW222" s="13"/>
      <c r="FX222" s="11"/>
      <c r="FY222" s="11"/>
      <c r="FZ222" s="14"/>
      <c r="GA222" s="10"/>
      <c r="GB222" s="11"/>
      <c r="GC222" s="69">
        <f t="shared" ref="GC222:GD227" si="1472">GC221-GA222</f>
        <v>0</v>
      </c>
      <c r="GD222" s="69">
        <f t="shared" si="1472"/>
        <v>0</v>
      </c>
      <c r="GE222" s="11"/>
      <c r="GF222" s="12" t="e">
        <f t="shared" si="1445"/>
        <v>#DIV/0!</v>
      </c>
      <c r="GG222" s="11"/>
      <c r="GH222" s="12" t="e">
        <f t="shared" si="1446"/>
        <v>#DIV/0!</v>
      </c>
      <c r="GI222" s="13"/>
      <c r="GJ222" s="11"/>
      <c r="GK222" s="11"/>
      <c r="GL222" s="14"/>
      <c r="GM222" s="10"/>
      <c r="GN222" s="11"/>
      <c r="GO222" s="69">
        <f t="shared" ref="GO222:GP227" si="1473">GO221-GM222</f>
        <v>0</v>
      </c>
      <c r="GP222" s="69">
        <f t="shared" si="1473"/>
        <v>0</v>
      </c>
      <c r="GQ222" s="11"/>
      <c r="GR222" s="12" t="e">
        <f t="shared" si="1447"/>
        <v>#DIV/0!</v>
      </c>
      <c r="GS222" s="11"/>
      <c r="GT222" s="12" t="e">
        <f t="shared" si="1448"/>
        <v>#DIV/0!</v>
      </c>
      <c r="GU222" s="13"/>
      <c r="GV222" s="11"/>
      <c r="GW222" s="11"/>
      <c r="GX222" s="14"/>
      <c r="GY222" s="10"/>
      <c r="GZ222" s="11"/>
      <c r="HA222" s="69">
        <f t="shared" ref="HA222:HB227" si="1474">HA221-GY222</f>
        <v>0</v>
      </c>
      <c r="HB222" s="69">
        <f t="shared" si="1474"/>
        <v>0</v>
      </c>
      <c r="HC222" s="11"/>
      <c r="HD222" s="12" t="e">
        <f t="shared" si="1449"/>
        <v>#DIV/0!</v>
      </c>
      <c r="HE222" s="11"/>
      <c r="HF222" s="12" t="e">
        <f t="shared" si="1450"/>
        <v>#DIV/0!</v>
      </c>
      <c r="HG222" s="13"/>
      <c r="HH222" s="11"/>
      <c r="HI222" s="11"/>
      <c r="HJ222" s="14"/>
      <c r="HK222" s="10">
        <f t="shared" si="1451"/>
        <v>3</v>
      </c>
      <c r="HL222" s="11">
        <f t="shared" si="1451"/>
        <v>0</v>
      </c>
      <c r="HM222" s="11">
        <f t="shared" si="1451"/>
        <v>3424</v>
      </c>
      <c r="HN222" s="11">
        <f t="shared" si="1451"/>
        <v>264</v>
      </c>
      <c r="HO222" s="11">
        <f t="shared" si="1452"/>
        <v>1330</v>
      </c>
      <c r="HP222" s="95">
        <f t="shared" si="1453"/>
        <v>0.38843457943925236</v>
      </c>
      <c r="HQ222" s="15">
        <f t="shared" si="1454"/>
        <v>130</v>
      </c>
      <c r="HR222" s="12">
        <f t="shared" ref="HR222:HR228" si="1475">+(HQ222/(HO222))</f>
        <v>9.7744360902255634E-2</v>
      </c>
      <c r="HS222" s="16">
        <v>71.7</v>
      </c>
      <c r="HT222" s="17">
        <v>1110</v>
      </c>
      <c r="HU222" s="16">
        <f t="shared" si="1455"/>
        <v>83.458646616541358</v>
      </c>
      <c r="HV222" s="15"/>
      <c r="HW222" s="14"/>
    </row>
    <row r="223" spans="1:231" ht="18.75" x14ac:dyDescent="0.25">
      <c r="A223" s="374"/>
      <c r="B223" s="41">
        <f t="shared" si="1235"/>
        <v>45111</v>
      </c>
      <c r="C223" s="10"/>
      <c r="D223" s="11"/>
      <c r="E223" s="69">
        <f t="shared" si="1456"/>
        <v>608</v>
      </c>
      <c r="F223" s="69">
        <f t="shared" si="1456"/>
        <v>47</v>
      </c>
      <c r="G223" s="11">
        <v>222</v>
      </c>
      <c r="H223" s="12">
        <f t="shared" si="1416"/>
        <v>0.41118421052631576</v>
      </c>
      <c r="I223" s="11">
        <v>28</v>
      </c>
      <c r="J223" s="12">
        <f t="shared" si="1457"/>
        <v>0.112</v>
      </c>
      <c r="K223" s="13"/>
      <c r="L223" s="11"/>
      <c r="M223" s="11"/>
      <c r="N223" s="14"/>
      <c r="O223" s="10"/>
      <c r="P223" s="11"/>
      <c r="Q223" s="69">
        <f t="shared" si="1458"/>
        <v>614</v>
      </c>
      <c r="R223" s="69">
        <f t="shared" si="1458"/>
        <v>47</v>
      </c>
      <c r="S223" s="11">
        <v>221</v>
      </c>
      <c r="T223" s="12">
        <f t="shared" si="1417"/>
        <v>0.39902280130293161</v>
      </c>
      <c r="U223" s="11">
        <v>24</v>
      </c>
      <c r="V223" s="12">
        <f t="shared" si="1418"/>
        <v>9.7959183673469383E-2</v>
      </c>
      <c r="W223" s="13"/>
      <c r="X223" s="11"/>
      <c r="Y223" s="11"/>
      <c r="Z223" s="14"/>
      <c r="AA223" s="10">
        <v>2</v>
      </c>
      <c r="AB223" s="11"/>
      <c r="AC223" s="69">
        <f t="shared" si="1459"/>
        <v>145</v>
      </c>
      <c r="AD223" s="69">
        <f t="shared" si="1459"/>
        <v>11</v>
      </c>
      <c r="AE223" s="11">
        <v>55</v>
      </c>
      <c r="AF223" s="12">
        <f t="shared" si="1419"/>
        <v>0.41379310344827586</v>
      </c>
      <c r="AG223" s="11">
        <v>5</v>
      </c>
      <c r="AH223" s="12">
        <f t="shared" si="1420"/>
        <v>8.3333333333333329E-2</v>
      </c>
      <c r="AI223" s="13"/>
      <c r="AJ223" s="11"/>
      <c r="AK223" s="11"/>
      <c r="AL223" s="14"/>
      <c r="AM223" s="10">
        <v>1</v>
      </c>
      <c r="AN223" s="11"/>
      <c r="AO223" s="69">
        <f t="shared" si="1460"/>
        <v>685</v>
      </c>
      <c r="AP223" s="69">
        <f t="shared" si="1460"/>
        <v>53</v>
      </c>
      <c r="AQ223" s="11">
        <v>245</v>
      </c>
      <c r="AR223" s="12">
        <f t="shared" si="1421"/>
        <v>0.39416058394160586</v>
      </c>
      <c r="AS223" s="11">
        <v>25</v>
      </c>
      <c r="AT223" s="12">
        <f t="shared" si="1422"/>
        <v>9.2592592592592587E-2</v>
      </c>
      <c r="AU223" s="13"/>
      <c r="AV223" s="11"/>
      <c r="AW223" s="11"/>
      <c r="AX223" s="14"/>
      <c r="AY223" s="10">
        <v>1</v>
      </c>
      <c r="AZ223" s="11"/>
      <c r="BA223" s="69">
        <f t="shared" si="1461"/>
        <v>684</v>
      </c>
      <c r="BB223" s="69">
        <f t="shared" si="1461"/>
        <v>53</v>
      </c>
      <c r="BC223" s="11">
        <v>250</v>
      </c>
      <c r="BD223" s="12">
        <f t="shared" si="1423"/>
        <v>0.39327485380116961</v>
      </c>
      <c r="BE223" s="11">
        <v>19</v>
      </c>
      <c r="BF223" s="12">
        <f t="shared" si="1424"/>
        <v>7.0631970260223054E-2</v>
      </c>
      <c r="BG223" s="13"/>
      <c r="BH223" s="11"/>
      <c r="BI223" s="11"/>
      <c r="BJ223" s="14"/>
      <c r="BK223" s="10">
        <v>1</v>
      </c>
      <c r="BL223" s="11"/>
      <c r="BM223" s="69">
        <f t="shared" si="1462"/>
        <v>683</v>
      </c>
      <c r="BN223" s="69">
        <f t="shared" si="1462"/>
        <v>53</v>
      </c>
      <c r="BO223" s="11">
        <v>257</v>
      </c>
      <c r="BP223" s="12">
        <f t="shared" si="1425"/>
        <v>0.42020497803806733</v>
      </c>
      <c r="BQ223" s="11">
        <v>30</v>
      </c>
      <c r="BR223" s="12">
        <f t="shared" si="1426"/>
        <v>0.10452961672473868</v>
      </c>
      <c r="BS223" s="13"/>
      <c r="BT223" s="11"/>
      <c r="BU223" s="11"/>
      <c r="BV223" s="14"/>
      <c r="BW223" s="10"/>
      <c r="BX223" s="11"/>
      <c r="BY223" s="69">
        <f t="shared" si="1463"/>
        <v>0</v>
      </c>
      <c r="BZ223" s="69">
        <f t="shared" si="1463"/>
        <v>0</v>
      </c>
      <c r="CA223" s="11"/>
      <c r="CB223" s="12" t="e">
        <f t="shared" si="1427"/>
        <v>#DIV/0!</v>
      </c>
      <c r="CC223" s="11"/>
      <c r="CD223" s="12" t="e">
        <f t="shared" si="1428"/>
        <v>#DIV/0!</v>
      </c>
      <c r="CE223" s="13"/>
      <c r="CF223" s="11"/>
      <c r="CG223" s="11"/>
      <c r="CH223" s="14"/>
      <c r="CI223" s="10"/>
      <c r="CJ223" s="11"/>
      <c r="CK223" s="69">
        <f t="shared" si="1464"/>
        <v>0</v>
      </c>
      <c r="CL223" s="69">
        <f t="shared" si="1464"/>
        <v>0</v>
      </c>
      <c r="CM223" s="11"/>
      <c r="CN223" s="12" t="e">
        <f t="shared" si="1429"/>
        <v>#DIV/0!</v>
      </c>
      <c r="CO223" s="11"/>
      <c r="CP223" s="12" t="e">
        <f t="shared" si="1430"/>
        <v>#DIV/0!</v>
      </c>
      <c r="CQ223" s="13"/>
      <c r="CR223" s="11"/>
      <c r="CS223" s="11"/>
      <c r="CT223" s="14"/>
      <c r="CU223" s="10"/>
      <c r="CV223" s="11"/>
      <c r="CW223" s="69">
        <f t="shared" si="1465"/>
        <v>0</v>
      </c>
      <c r="CX223" s="69">
        <f t="shared" si="1465"/>
        <v>0</v>
      </c>
      <c r="CY223" s="11"/>
      <c r="CZ223" s="12" t="e">
        <f t="shared" si="1431"/>
        <v>#DIV/0!</v>
      </c>
      <c r="DA223" s="11"/>
      <c r="DB223" s="12" t="e">
        <f t="shared" si="1432"/>
        <v>#DIV/0!</v>
      </c>
      <c r="DC223" s="13"/>
      <c r="DD223" s="11"/>
      <c r="DE223" s="11"/>
      <c r="DF223" s="14"/>
      <c r="DG223" s="10"/>
      <c r="DH223" s="11"/>
      <c r="DI223" s="69">
        <f t="shared" si="1466"/>
        <v>0</v>
      </c>
      <c r="DJ223" s="69">
        <f t="shared" si="1466"/>
        <v>0</v>
      </c>
      <c r="DK223" s="11"/>
      <c r="DL223" s="12" t="e">
        <f t="shared" si="1433"/>
        <v>#DIV/0!</v>
      </c>
      <c r="DM223" s="11"/>
      <c r="DN223" s="12" t="e">
        <f t="shared" si="1434"/>
        <v>#DIV/0!</v>
      </c>
      <c r="DO223" s="13"/>
      <c r="DP223" s="11"/>
      <c r="DQ223" s="11"/>
      <c r="DR223" s="14"/>
      <c r="DS223" s="10"/>
      <c r="DT223" s="11"/>
      <c r="DU223" s="69">
        <f t="shared" si="1467"/>
        <v>0</v>
      </c>
      <c r="DV223" s="69">
        <f t="shared" si="1467"/>
        <v>0</v>
      </c>
      <c r="DW223" s="11"/>
      <c r="DX223" s="12" t="e">
        <f t="shared" si="1435"/>
        <v>#DIV/0!</v>
      </c>
      <c r="DY223" s="11"/>
      <c r="DZ223" s="12" t="e">
        <f t="shared" si="1436"/>
        <v>#DIV/0!</v>
      </c>
      <c r="EA223" s="13"/>
      <c r="EB223" s="11"/>
      <c r="EC223" s="11"/>
      <c r="ED223" s="14"/>
      <c r="EE223" s="10"/>
      <c r="EF223" s="11"/>
      <c r="EG223" s="69">
        <f t="shared" si="1468"/>
        <v>0</v>
      </c>
      <c r="EH223" s="69">
        <f t="shared" si="1468"/>
        <v>0</v>
      </c>
      <c r="EI223" s="11"/>
      <c r="EJ223" s="12" t="e">
        <f t="shared" si="1437"/>
        <v>#DIV/0!</v>
      </c>
      <c r="EK223" s="11"/>
      <c r="EL223" s="12" t="e">
        <f t="shared" si="1438"/>
        <v>#DIV/0!</v>
      </c>
      <c r="EM223" s="13"/>
      <c r="EN223" s="11"/>
      <c r="EO223" s="11"/>
      <c r="EP223" s="14"/>
      <c r="EQ223" s="10"/>
      <c r="ER223" s="11"/>
      <c r="ES223" s="69">
        <f t="shared" si="1469"/>
        <v>0</v>
      </c>
      <c r="ET223" s="69">
        <f t="shared" si="1469"/>
        <v>0</v>
      </c>
      <c r="EU223" s="11"/>
      <c r="EV223" s="12" t="e">
        <f t="shared" si="1439"/>
        <v>#DIV/0!</v>
      </c>
      <c r="EW223" s="11"/>
      <c r="EX223" s="12" t="e">
        <f t="shared" si="1440"/>
        <v>#DIV/0!</v>
      </c>
      <c r="EY223" s="13"/>
      <c r="EZ223" s="11"/>
      <c r="FA223" s="11"/>
      <c r="FB223" s="14"/>
      <c r="FC223" s="10"/>
      <c r="FD223" s="11"/>
      <c r="FE223" s="69">
        <f t="shared" si="1470"/>
        <v>0</v>
      </c>
      <c r="FF223" s="69">
        <f t="shared" si="1470"/>
        <v>0</v>
      </c>
      <c r="FG223" s="11"/>
      <c r="FH223" s="12" t="e">
        <f t="shared" si="1441"/>
        <v>#DIV/0!</v>
      </c>
      <c r="FI223" s="11"/>
      <c r="FJ223" s="12" t="e">
        <f t="shared" si="1442"/>
        <v>#DIV/0!</v>
      </c>
      <c r="FK223" s="13"/>
      <c r="FL223" s="11"/>
      <c r="FM223" s="11"/>
      <c r="FN223" s="14"/>
      <c r="FO223" s="10"/>
      <c r="FP223" s="11"/>
      <c r="FQ223" s="69">
        <f t="shared" si="1471"/>
        <v>0</v>
      </c>
      <c r="FR223" s="69">
        <f t="shared" si="1471"/>
        <v>0</v>
      </c>
      <c r="FS223" s="11"/>
      <c r="FT223" s="12" t="e">
        <f t="shared" si="1443"/>
        <v>#DIV/0!</v>
      </c>
      <c r="FU223" s="11"/>
      <c r="FV223" s="12" t="e">
        <f t="shared" si="1444"/>
        <v>#DIV/0!</v>
      </c>
      <c r="FW223" s="13"/>
      <c r="FX223" s="11"/>
      <c r="FY223" s="11"/>
      <c r="FZ223" s="14"/>
      <c r="GA223" s="10"/>
      <c r="GB223" s="11"/>
      <c r="GC223" s="69">
        <f t="shared" si="1472"/>
        <v>0</v>
      </c>
      <c r="GD223" s="69">
        <f t="shared" si="1472"/>
        <v>0</v>
      </c>
      <c r="GE223" s="11"/>
      <c r="GF223" s="12" t="e">
        <f t="shared" si="1445"/>
        <v>#DIV/0!</v>
      </c>
      <c r="GG223" s="11"/>
      <c r="GH223" s="12" t="e">
        <f t="shared" si="1446"/>
        <v>#DIV/0!</v>
      </c>
      <c r="GI223" s="13"/>
      <c r="GJ223" s="11"/>
      <c r="GK223" s="11"/>
      <c r="GL223" s="14"/>
      <c r="GM223" s="10"/>
      <c r="GN223" s="11"/>
      <c r="GO223" s="69">
        <f t="shared" si="1473"/>
        <v>0</v>
      </c>
      <c r="GP223" s="69">
        <f t="shared" si="1473"/>
        <v>0</v>
      </c>
      <c r="GQ223" s="11"/>
      <c r="GR223" s="12" t="e">
        <f t="shared" si="1447"/>
        <v>#DIV/0!</v>
      </c>
      <c r="GS223" s="11"/>
      <c r="GT223" s="12" t="e">
        <f t="shared" si="1448"/>
        <v>#DIV/0!</v>
      </c>
      <c r="GU223" s="13"/>
      <c r="GV223" s="11"/>
      <c r="GW223" s="11"/>
      <c r="GX223" s="14"/>
      <c r="GY223" s="10"/>
      <c r="GZ223" s="11"/>
      <c r="HA223" s="69">
        <f t="shared" si="1474"/>
        <v>0</v>
      </c>
      <c r="HB223" s="69">
        <f t="shared" si="1474"/>
        <v>0</v>
      </c>
      <c r="HC223" s="11"/>
      <c r="HD223" s="12" t="e">
        <f t="shared" si="1449"/>
        <v>#DIV/0!</v>
      </c>
      <c r="HE223" s="11"/>
      <c r="HF223" s="12" t="e">
        <f t="shared" si="1450"/>
        <v>#DIV/0!</v>
      </c>
      <c r="HG223" s="13"/>
      <c r="HH223" s="11"/>
      <c r="HI223" s="11"/>
      <c r="HJ223" s="14"/>
      <c r="HK223" s="10">
        <f t="shared" si="1451"/>
        <v>5</v>
      </c>
      <c r="HL223" s="11">
        <f t="shared" si="1451"/>
        <v>0</v>
      </c>
      <c r="HM223" s="11">
        <f t="shared" si="1451"/>
        <v>3419</v>
      </c>
      <c r="HN223" s="11">
        <f t="shared" si="1451"/>
        <v>264</v>
      </c>
      <c r="HO223" s="11">
        <f t="shared" si="1452"/>
        <v>1381</v>
      </c>
      <c r="HP223" s="95">
        <f t="shared" si="1453"/>
        <v>0.40391927464170813</v>
      </c>
      <c r="HQ223" s="15">
        <f t="shared" si="1454"/>
        <v>131</v>
      </c>
      <c r="HR223" s="12">
        <f t="shared" si="1475"/>
        <v>9.4858797972483713E-2</v>
      </c>
      <c r="HS223" s="16">
        <v>71.400000000000006</v>
      </c>
      <c r="HT223" s="17">
        <v>1178</v>
      </c>
      <c r="HU223" s="16">
        <f t="shared" si="1455"/>
        <v>85.30050687907314</v>
      </c>
      <c r="HV223" s="15"/>
      <c r="HW223" s="14"/>
    </row>
    <row r="224" spans="1:231" ht="18.75" x14ac:dyDescent="0.25">
      <c r="A224" s="374"/>
      <c r="B224" s="41">
        <f t="shared" si="1235"/>
        <v>45112</v>
      </c>
      <c r="C224" s="10">
        <v>1</v>
      </c>
      <c r="D224" s="11"/>
      <c r="E224" s="69">
        <f t="shared" si="1456"/>
        <v>607</v>
      </c>
      <c r="F224" s="69">
        <f t="shared" si="1456"/>
        <v>47</v>
      </c>
      <c r="G224" s="11">
        <v>211</v>
      </c>
      <c r="H224" s="12">
        <f t="shared" si="1416"/>
        <v>0.37891268533772654</v>
      </c>
      <c r="I224" s="11">
        <v>19</v>
      </c>
      <c r="J224" s="12">
        <f t="shared" si="1457"/>
        <v>8.2608695652173908E-2</v>
      </c>
      <c r="K224" s="11"/>
      <c r="L224" s="11"/>
      <c r="M224" s="18"/>
      <c r="N224" s="20"/>
      <c r="O224" s="10"/>
      <c r="P224" s="11"/>
      <c r="Q224" s="69">
        <f t="shared" si="1458"/>
        <v>614</v>
      </c>
      <c r="R224" s="69">
        <f t="shared" si="1458"/>
        <v>47</v>
      </c>
      <c r="S224" s="11">
        <v>210</v>
      </c>
      <c r="T224" s="12">
        <f t="shared" si="1417"/>
        <v>0.36970684039087948</v>
      </c>
      <c r="U224" s="11">
        <v>17</v>
      </c>
      <c r="V224" s="12">
        <f t="shared" si="1418"/>
        <v>7.4889867841409691E-2</v>
      </c>
      <c r="W224" s="11"/>
      <c r="X224" s="11"/>
      <c r="Y224" s="18"/>
      <c r="Z224" s="20"/>
      <c r="AA224" s="10"/>
      <c r="AB224" s="11"/>
      <c r="AC224" s="69">
        <f t="shared" si="1459"/>
        <v>145</v>
      </c>
      <c r="AD224" s="69">
        <f t="shared" si="1459"/>
        <v>11</v>
      </c>
      <c r="AE224" s="11">
        <v>48</v>
      </c>
      <c r="AF224" s="12">
        <f t="shared" si="1419"/>
        <v>0.36551724137931035</v>
      </c>
      <c r="AG224" s="11">
        <v>5</v>
      </c>
      <c r="AH224" s="12">
        <f t="shared" si="1420"/>
        <v>9.4339622641509441E-2</v>
      </c>
      <c r="AI224" s="11"/>
      <c r="AJ224" s="11"/>
      <c r="AK224" s="18"/>
      <c r="AL224" s="20"/>
      <c r="AM224" s="10"/>
      <c r="AN224" s="11"/>
      <c r="AO224" s="69">
        <f t="shared" si="1460"/>
        <v>685</v>
      </c>
      <c r="AP224" s="69">
        <f t="shared" si="1460"/>
        <v>53</v>
      </c>
      <c r="AQ224" s="11">
        <v>244</v>
      </c>
      <c r="AR224" s="12">
        <f t="shared" si="1421"/>
        <v>0.39270072992700727</v>
      </c>
      <c r="AS224" s="11">
        <v>25</v>
      </c>
      <c r="AT224" s="12">
        <f t="shared" si="1422"/>
        <v>9.2936802973977689E-2</v>
      </c>
      <c r="AU224" s="11"/>
      <c r="AV224" s="11"/>
      <c r="AW224" s="18"/>
      <c r="AX224" s="20"/>
      <c r="AY224" s="10">
        <v>1</v>
      </c>
      <c r="AZ224" s="11"/>
      <c r="BA224" s="69">
        <f t="shared" si="1461"/>
        <v>683</v>
      </c>
      <c r="BB224" s="69">
        <f t="shared" si="1461"/>
        <v>53</v>
      </c>
      <c r="BC224" s="11">
        <v>229</v>
      </c>
      <c r="BD224" s="12">
        <f t="shared" si="1423"/>
        <v>0.36603221083455345</v>
      </c>
      <c r="BE224" s="11">
        <v>21</v>
      </c>
      <c r="BF224" s="12">
        <f t="shared" si="1424"/>
        <v>8.4000000000000005E-2</v>
      </c>
      <c r="BG224" s="11"/>
      <c r="BH224" s="11"/>
      <c r="BI224" s="18"/>
      <c r="BJ224" s="20"/>
      <c r="BK224" s="10">
        <v>2</v>
      </c>
      <c r="BL224" s="11"/>
      <c r="BM224" s="69">
        <f t="shared" si="1462"/>
        <v>681</v>
      </c>
      <c r="BN224" s="69">
        <f t="shared" si="1462"/>
        <v>53</v>
      </c>
      <c r="BO224" s="11">
        <v>231</v>
      </c>
      <c r="BP224" s="12">
        <f t="shared" si="1425"/>
        <v>0.36270190895741555</v>
      </c>
      <c r="BQ224" s="11">
        <v>16</v>
      </c>
      <c r="BR224" s="12">
        <f t="shared" si="1426"/>
        <v>6.4777327935222673E-2</v>
      </c>
      <c r="BS224" s="11"/>
      <c r="BT224" s="11"/>
      <c r="BU224" s="18"/>
      <c r="BV224" s="20"/>
      <c r="BW224" s="10"/>
      <c r="BX224" s="11"/>
      <c r="BY224" s="69">
        <f t="shared" si="1463"/>
        <v>0</v>
      </c>
      <c r="BZ224" s="69">
        <f t="shared" si="1463"/>
        <v>0</v>
      </c>
      <c r="CA224" s="11"/>
      <c r="CB224" s="12" t="e">
        <f t="shared" si="1427"/>
        <v>#DIV/0!</v>
      </c>
      <c r="CC224" s="11"/>
      <c r="CD224" s="12" t="e">
        <f t="shared" si="1428"/>
        <v>#DIV/0!</v>
      </c>
      <c r="CE224" s="11"/>
      <c r="CF224" s="11"/>
      <c r="CG224" s="18"/>
      <c r="CH224" s="20"/>
      <c r="CI224" s="10"/>
      <c r="CJ224" s="11"/>
      <c r="CK224" s="69">
        <f t="shared" si="1464"/>
        <v>0</v>
      </c>
      <c r="CL224" s="69">
        <f t="shared" si="1464"/>
        <v>0</v>
      </c>
      <c r="CM224" s="11"/>
      <c r="CN224" s="12" t="e">
        <f t="shared" si="1429"/>
        <v>#DIV/0!</v>
      </c>
      <c r="CO224" s="11"/>
      <c r="CP224" s="12" t="e">
        <f t="shared" si="1430"/>
        <v>#DIV/0!</v>
      </c>
      <c r="CQ224" s="11"/>
      <c r="CR224" s="11"/>
      <c r="CS224" s="18"/>
      <c r="CT224" s="20"/>
      <c r="CU224" s="10"/>
      <c r="CV224" s="11"/>
      <c r="CW224" s="69">
        <f t="shared" si="1465"/>
        <v>0</v>
      </c>
      <c r="CX224" s="69">
        <f t="shared" si="1465"/>
        <v>0</v>
      </c>
      <c r="CY224" s="11"/>
      <c r="CZ224" s="12" t="e">
        <f t="shared" si="1431"/>
        <v>#DIV/0!</v>
      </c>
      <c r="DA224" s="11"/>
      <c r="DB224" s="12" t="e">
        <f t="shared" si="1432"/>
        <v>#DIV/0!</v>
      </c>
      <c r="DC224" s="11"/>
      <c r="DD224" s="11"/>
      <c r="DE224" s="18"/>
      <c r="DF224" s="20"/>
      <c r="DG224" s="10"/>
      <c r="DH224" s="11"/>
      <c r="DI224" s="69">
        <f t="shared" si="1466"/>
        <v>0</v>
      </c>
      <c r="DJ224" s="69">
        <f t="shared" si="1466"/>
        <v>0</v>
      </c>
      <c r="DK224" s="11"/>
      <c r="DL224" s="12" t="e">
        <f t="shared" si="1433"/>
        <v>#DIV/0!</v>
      </c>
      <c r="DM224" s="11"/>
      <c r="DN224" s="12" t="e">
        <f t="shared" si="1434"/>
        <v>#DIV/0!</v>
      </c>
      <c r="DO224" s="11"/>
      <c r="DP224" s="11"/>
      <c r="DQ224" s="18"/>
      <c r="DR224" s="20"/>
      <c r="DS224" s="10"/>
      <c r="DT224" s="11"/>
      <c r="DU224" s="69">
        <f t="shared" si="1467"/>
        <v>0</v>
      </c>
      <c r="DV224" s="69">
        <f t="shared" si="1467"/>
        <v>0</v>
      </c>
      <c r="DW224" s="11"/>
      <c r="DX224" s="12" t="e">
        <f t="shared" si="1435"/>
        <v>#DIV/0!</v>
      </c>
      <c r="DY224" s="11"/>
      <c r="DZ224" s="12" t="e">
        <f t="shared" si="1436"/>
        <v>#DIV/0!</v>
      </c>
      <c r="EA224" s="11"/>
      <c r="EB224" s="11"/>
      <c r="EC224" s="18"/>
      <c r="ED224" s="20"/>
      <c r="EE224" s="10"/>
      <c r="EF224" s="11"/>
      <c r="EG224" s="69">
        <f t="shared" si="1468"/>
        <v>0</v>
      </c>
      <c r="EH224" s="69">
        <f t="shared" si="1468"/>
        <v>0</v>
      </c>
      <c r="EI224" s="11"/>
      <c r="EJ224" s="12" t="e">
        <f t="shared" si="1437"/>
        <v>#DIV/0!</v>
      </c>
      <c r="EK224" s="11"/>
      <c r="EL224" s="12" t="e">
        <f t="shared" si="1438"/>
        <v>#DIV/0!</v>
      </c>
      <c r="EM224" s="11"/>
      <c r="EN224" s="11"/>
      <c r="EO224" s="18"/>
      <c r="EP224" s="20"/>
      <c r="EQ224" s="10"/>
      <c r="ER224" s="11"/>
      <c r="ES224" s="69">
        <f t="shared" si="1469"/>
        <v>0</v>
      </c>
      <c r="ET224" s="69">
        <f t="shared" si="1469"/>
        <v>0</v>
      </c>
      <c r="EU224" s="11"/>
      <c r="EV224" s="12" t="e">
        <f t="shared" si="1439"/>
        <v>#DIV/0!</v>
      </c>
      <c r="EW224" s="11"/>
      <c r="EX224" s="12" t="e">
        <f t="shared" si="1440"/>
        <v>#DIV/0!</v>
      </c>
      <c r="EY224" s="11"/>
      <c r="EZ224" s="11"/>
      <c r="FA224" s="18"/>
      <c r="FB224" s="20"/>
      <c r="FC224" s="10"/>
      <c r="FD224" s="11"/>
      <c r="FE224" s="69">
        <f t="shared" si="1470"/>
        <v>0</v>
      </c>
      <c r="FF224" s="69">
        <f t="shared" si="1470"/>
        <v>0</v>
      </c>
      <c r="FG224" s="11"/>
      <c r="FH224" s="12" t="e">
        <f t="shared" si="1441"/>
        <v>#DIV/0!</v>
      </c>
      <c r="FI224" s="11"/>
      <c r="FJ224" s="12" t="e">
        <f t="shared" si="1442"/>
        <v>#DIV/0!</v>
      </c>
      <c r="FK224" s="11"/>
      <c r="FL224" s="11"/>
      <c r="FM224" s="18"/>
      <c r="FN224" s="20"/>
      <c r="FO224" s="10"/>
      <c r="FP224" s="11"/>
      <c r="FQ224" s="69">
        <f t="shared" si="1471"/>
        <v>0</v>
      </c>
      <c r="FR224" s="69">
        <f t="shared" si="1471"/>
        <v>0</v>
      </c>
      <c r="FS224" s="11"/>
      <c r="FT224" s="12" t="e">
        <f t="shared" si="1443"/>
        <v>#DIV/0!</v>
      </c>
      <c r="FU224" s="11"/>
      <c r="FV224" s="12" t="e">
        <f t="shared" si="1444"/>
        <v>#DIV/0!</v>
      </c>
      <c r="FW224" s="11"/>
      <c r="FX224" s="11"/>
      <c r="FY224" s="18"/>
      <c r="FZ224" s="20"/>
      <c r="GA224" s="10"/>
      <c r="GB224" s="11"/>
      <c r="GC224" s="69">
        <f t="shared" si="1472"/>
        <v>0</v>
      </c>
      <c r="GD224" s="69">
        <f t="shared" si="1472"/>
        <v>0</v>
      </c>
      <c r="GE224" s="11"/>
      <c r="GF224" s="12" t="e">
        <f t="shared" si="1445"/>
        <v>#DIV/0!</v>
      </c>
      <c r="GG224" s="11"/>
      <c r="GH224" s="12" t="e">
        <f t="shared" si="1446"/>
        <v>#DIV/0!</v>
      </c>
      <c r="GI224" s="11"/>
      <c r="GJ224" s="11"/>
      <c r="GK224" s="18"/>
      <c r="GL224" s="20"/>
      <c r="GM224" s="10"/>
      <c r="GN224" s="11"/>
      <c r="GO224" s="69">
        <f t="shared" si="1473"/>
        <v>0</v>
      </c>
      <c r="GP224" s="69">
        <f t="shared" si="1473"/>
        <v>0</v>
      </c>
      <c r="GQ224" s="11"/>
      <c r="GR224" s="12" t="e">
        <f t="shared" si="1447"/>
        <v>#DIV/0!</v>
      </c>
      <c r="GS224" s="11"/>
      <c r="GT224" s="12" t="e">
        <f t="shared" si="1448"/>
        <v>#DIV/0!</v>
      </c>
      <c r="GU224" s="11"/>
      <c r="GV224" s="11"/>
      <c r="GW224" s="18"/>
      <c r="GX224" s="20"/>
      <c r="GY224" s="10"/>
      <c r="GZ224" s="11"/>
      <c r="HA224" s="69">
        <f t="shared" si="1474"/>
        <v>0</v>
      </c>
      <c r="HB224" s="69">
        <f t="shared" si="1474"/>
        <v>0</v>
      </c>
      <c r="HC224" s="11"/>
      <c r="HD224" s="12" t="e">
        <f t="shared" si="1449"/>
        <v>#DIV/0!</v>
      </c>
      <c r="HE224" s="11"/>
      <c r="HF224" s="12" t="e">
        <f t="shared" si="1450"/>
        <v>#DIV/0!</v>
      </c>
      <c r="HG224" s="11"/>
      <c r="HH224" s="11"/>
      <c r="HI224" s="18"/>
      <c r="HJ224" s="20"/>
      <c r="HK224" s="10">
        <f t="shared" si="1451"/>
        <v>4</v>
      </c>
      <c r="HL224" s="11">
        <f t="shared" si="1451"/>
        <v>0</v>
      </c>
      <c r="HM224" s="11">
        <f t="shared" si="1451"/>
        <v>3415</v>
      </c>
      <c r="HN224" s="11">
        <f t="shared" si="1451"/>
        <v>264</v>
      </c>
      <c r="HO224" s="11">
        <f t="shared" si="1452"/>
        <v>1276</v>
      </c>
      <c r="HP224" s="95">
        <f t="shared" si="1453"/>
        <v>0.37364568081991217</v>
      </c>
      <c r="HQ224" s="15">
        <f t="shared" si="1454"/>
        <v>103</v>
      </c>
      <c r="HR224" s="12">
        <f t="shared" si="1475"/>
        <v>8.0721003134796243E-2</v>
      </c>
      <c r="HS224" s="16">
        <v>70.5</v>
      </c>
      <c r="HT224" s="17">
        <v>1101</v>
      </c>
      <c r="HU224" s="16">
        <f t="shared" si="1455"/>
        <v>86.285266457680251</v>
      </c>
      <c r="HV224" s="18"/>
      <c r="HW224" s="20"/>
    </row>
    <row r="225" spans="1:231" ht="18.75" x14ac:dyDescent="0.25">
      <c r="A225" s="374"/>
      <c r="B225" s="41">
        <f t="shared" si="1235"/>
        <v>45113</v>
      </c>
      <c r="C225" s="10"/>
      <c r="D225" s="11"/>
      <c r="E225" s="69">
        <f t="shared" si="1456"/>
        <v>607</v>
      </c>
      <c r="F225" s="69">
        <f t="shared" si="1456"/>
        <v>47</v>
      </c>
      <c r="G225" s="11">
        <v>205</v>
      </c>
      <c r="H225" s="12">
        <f t="shared" si="1416"/>
        <v>0.37561779242174631</v>
      </c>
      <c r="I225" s="11">
        <v>23</v>
      </c>
      <c r="J225" s="12">
        <f t="shared" si="1457"/>
        <v>0.10087719298245613</v>
      </c>
      <c r="K225" s="13"/>
      <c r="L225" s="13"/>
      <c r="M225" s="25"/>
      <c r="N225" s="38">
        <v>4640</v>
      </c>
      <c r="O225" s="10"/>
      <c r="P225" s="11"/>
      <c r="Q225" s="69">
        <f t="shared" si="1458"/>
        <v>614</v>
      </c>
      <c r="R225" s="69">
        <f t="shared" si="1458"/>
        <v>47</v>
      </c>
      <c r="S225" s="11">
        <v>224</v>
      </c>
      <c r="T225" s="12">
        <f t="shared" si="1417"/>
        <v>0.39413680781758959</v>
      </c>
      <c r="U225" s="11">
        <v>18</v>
      </c>
      <c r="V225" s="12">
        <f t="shared" si="1418"/>
        <v>7.43801652892562E-2</v>
      </c>
      <c r="W225" s="13"/>
      <c r="X225" s="13"/>
      <c r="Y225" s="25"/>
      <c r="Z225" s="38">
        <v>4640</v>
      </c>
      <c r="AA225" s="10"/>
      <c r="AB225" s="11"/>
      <c r="AC225" s="69">
        <f t="shared" si="1459"/>
        <v>145</v>
      </c>
      <c r="AD225" s="69">
        <f t="shared" si="1459"/>
        <v>11</v>
      </c>
      <c r="AE225" s="11">
        <v>44</v>
      </c>
      <c r="AF225" s="12">
        <f t="shared" si="1419"/>
        <v>0.32413793103448274</v>
      </c>
      <c r="AG225" s="11">
        <v>3</v>
      </c>
      <c r="AH225" s="12">
        <f t="shared" si="1420"/>
        <v>6.3829787234042548E-2</v>
      </c>
      <c r="AI225" s="13"/>
      <c r="AJ225" s="13"/>
      <c r="AK225" s="25"/>
      <c r="AL225" s="38">
        <v>4640</v>
      </c>
      <c r="AM225" s="10"/>
      <c r="AN225" s="11">
        <v>1</v>
      </c>
      <c r="AO225" s="69">
        <f t="shared" si="1460"/>
        <v>685</v>
      </c>
      <c r="AP225" s="69">
        <f t="shared" si="1460"/>
        <v>52</v>
      </c>
      <c r="AQ225" s="11">
        <v>272</v>
      </c>
      <c r="AR225" s="12">
        <f t="shared" si="1421"/>
        <v>0.41897810218978104</v>
      </c>
      <c r="AS225" s="11">
        <v>15</v>
      </c>
      <c r="AT225" s="12">
        <f t="shared" si="1422"/>
        <v>5.2264808362369339E-2</v>
      </c>
      <c r="AU225" s="13"/>
      <c r="AV225" s="13"/>
      <c r="AW225" s="25"/>
      <c r="AX225" s="38">
        <v>4640</v>
      </c>
      <c r="AY225" s="10">
        <v>1</v>
      </c>
      <c r="AZ225" s="11"/>
      <c r="BA225" s="69">
        <f t="shared" si="1461"/>
        <v>682</v>
      </c>
      <c r="BB225" s="69">
        <f t="shared" si="1461"/>
        <v>53</v>
      </c>
      <c r="BC225" s="11">
        <v>222</v>
      </c>
      <c r="BD225" s="12">
        <f t="shared" si="1423"/>
        <v>0.36656891495601174</v>
      </c>
      <c r="BE225" s="11">
        <v>28</v>
      </c>
      <c r="BF225" s="12">
        <f t="shared" si="1424"/>
        <v>0.112</v>
      </c>
      <c r="BG225" s="13"/>
      <c r="BH225" s="13"/>
      <c r="BI225" s="25"/>
      <c r="BJ225" s="38">
        <v>4640</v>
      </c>
      <c r="BK225" s="10"/>
      <c r="BL225" s="11"/>
      <c r="BM225" s="69">
        <f t="shared" si="1462"/>
        <v>681</v>
      </c>
      <c r="BN225" s="69">
        <f t="shared" si="1462"/>
        <v>53</v>
      </c>
      <c r="BO225" s="11">
        <v>269</v>
      </c>
      <c r="BP225" s="12">
        <f t="shared" si="1425"/>
        <v>0.42143906020558003</v>
      </c>
      <c r="BQ225" s="11">
        <v>18</v>
      </c>
      <c r="BR225" s="12">
        <f t="shared" si="1426"/>
        <v>6.2717770034843204E-2</v>
      </c>
      <c r="BS225" s="13"/>
      <c r="BT225" s="13"/>
      <c r="BU225" s="25"/>
      <c r="BV225" s="38">
        <v>4640</v>
      </c>
      <c r="BW225" s="10"/>
      <c r="BX225" s="11"/>
      <c r="BY225" s="69">
        <f t="shared" si="1463"/>
        <v>0</v>
      </c>
      <c r="BZ225" s="69">
        <f t="shared" si="1463"/>
        <v>0</v>
      </c>
      <c r="CA225" s="11"/>
      <c r="CB225" s="12" t="e">
        <f t="shared" si="1427"/>
        <v>#DIV/0!</v>
      </c>
      <c r="CC225" s="11"/>
      <c r="CD225" s="12" t="e">
        <f t="shared" si="1428"/>
        <v>#DIV/0!</v>
      </c>
      <c r="CE225" s="13"/>
      <c r="CF225" s="13"/>
      <c r="CG225" s="25"/>
      <c r="CH225" s="38"/>
      <c r="CI225" s="10"/>
      <c r="CJ225" s="11"/>
      <c r="CK225" s="69">
        <f t="shared" si="1464"/>
        <v>0</v>
      </c>
      <c r="CL225" s="69">
        <f t="shared" si="1464"/>
        <v>0</v>
      </c>
      <c r="CM225" s="11"/>
      <c r="CN225" s="12" t="e">
        <f t="shared" si="1429"/>
        <v>#DIV/0!</v>
      </c>
      <c r="CO225" s="11"/>
      <c r="CP225" s="12" t="e">
        <f t="shared" si="1430"/>
        <v>#DIV/0!</v>
      </c>
      <c r="CQ225" s="13"/>
      <c r="CR225" s="13"/>
      <c r="CS225" s="25"/>
      <c r="CT225" s="38"/>
      <c r="CU225" s="10"/>
      <c r="CV225" s="11"/>
      <c r="CW225" s="69">
        <f t="shared" si="1465"/>
        <v>0</v>
      </c>
      <c r="CX225" s="69">
        <f t="shared" si="1465"/>
        <v>0</v>
      </c>
      <c r="CY225" s="11"/>
      <c r="CZ225" s="12" t="e">
        <f t="shared" si="1431"/>
        <v>#DIV/0!</v>
      </c>
      <c r="DA225" s="11"/>
      <c r="DB225" s="12" t="e">
        <f t="shared" si="1432"/>
        <v>#DIV/0!</v>
      </c>
      <c r="DC225" s="13"/>
      <c r="DD225" s="13"/>
      <c r="DE225" s="25"/>
      <c r="DF225" s="38"/>
      <c r="DG225" s="10"/>
      <c r="DH225" s="11"/>
      <c r="DI225" s="69">
        <f t="shared" si="1466"/>
        <v>0</v>
      </c>
      <c r="DJ225" s="69">
        <f t="shared" si="1466"/>
        <v>0</v>
      </c>
      <c r="DK225" s="11"/>
      <c r="DL225" s="12" t="e">
        <f t="shared" si="1433"/>
        <v>#DIV/0!</v>
      </c>
      <c r="DM225" s="11"/>
      <c r="DN225" s="12" t="e">
        <f t="shared" si="1434"/>
        <v>#DIV/0!</v>
      </c>
      <c r="DO225" s="13"/>
      <c r="DP225" s="13"/>
      <c r="DQ225" s="25"/>
      <c r="DR225" s="38"/>
      <c r="DS225" s="10"/>
      <c r="DT225" s="11"/>
      <c r="DU225" s="69">
        <f t="shared" si="1467"/>
        <v>0</v>
      </c>
      <c r="DV225" s="69">
        <f t="shared" si="1467"/>
        <v>0</v>
      </c>
      <c r="DW225" s="11"/>
      <c r="DX225" s="12" t="e">
        <f t="shared" si="1435"/>
        <v>#DIV/0!</v>
      </c>
      <c r="DY225" s="11"/>
      <c r="DZ225" s="12" t="e">
        <f t="shared" si="1436"/>
        <v>#DIV/0!</v>
      </c>
      <c r="EA225" s="13"/>
      <c r="EB225" s="13"/>
      <c r="EC225" s="25"/>
      <c r="ED225" s="38"/>
      <c r="EE225" s="10"/>
      <c r="EF225" s="11"/>
      <c r="EG225" s="69">
        <f t="shared" si="1468"/>
        <v>0</v>
      </c>
      <c r="EH225" s="69">
        <f t="shared" si="1468"/>
        <v>0</v>
      </c>
      <c r="EI225" s="11"/>
      <c r="EJ225" s="12" t="e">
        <f t="shared" si="1437"/>
        <v>#DIV/0!</v>
      </c>
      <c r="EK225" s="11"/>
      <c r="EL225" s="12" t="e">
        <f t="shared" si="1438"/>
        <v>#DIV/0!</v>
      </c>
      <c r="EM225" s="13"/>
      <c r="EN225" s="13"/>
      <c r="EO225" s="25"/>
      <c r="EP225" s="38"/>
      <c r="EQ225" s="10"/>
      <c r="ER225" s="11"/>
      <c r="ES225" s="69">
        <f t="shared" si="1469"/>
        <v>0</v>
      </c>
      <c r="ET225" s="69">
        <f t="shared" si="1469"/>
        <v>0</v>
      </c>
      <c r="EU225" s="11"/>
      <c r="EV225" s="12" t="e">
        <f t="shared" si="1439"/>
        <v>#DIV/0!</v>
      </c>
      <c r="EW225" s="11"/>
      <c r="EX225" s="12" t="e">
        <f t="shared" si="1440"/>
        <v>#DIV/0!</v>
      </c>
      <c r="EY225" s="13"/>
      <c r="EZ225" s="13"/>
      <c r="FA225" s="25"/>
      <c r="FB225" s="38"/>
      <c r="FC225" s="10"/>
      <c r="FD225" s="11"/>
      <c r="FE225" s="69">
        <f t="shared" si="1470"/>
        <v>0</v>
      </c>
      <c r="FF225" s="69">
        <f t="shared" si="1470"/>
        <v>0</v>
      </c>
      <c r="FG225" s="11"/>
      <c r="FH225" s="12" t="e">
        <f t="shared" si="1441"/>
        <v>#DIV/0!</v>
      </c>
      <c r="FI225" s="11"/>
      <c r="FJ225" s="12" t="e">
        <f t="shared" si="1442"/>
        <v>#DIV/0!</v>
      </c>
      <c r="FK225" s="13"/>
      <c r="FL225" s="13"/>
      <c r="FM225" s="25"/>
      <c r="FN225" s="38"/>
      <c r="FO225" s="10"/>
      <c r="FP225" s="11"/>
      <c r="FQ225" s="69">
        <f t="shared" si="1471"/>
        <v>0</v>
      </c>
      <c r="FR225" s="69">
        <f t="shared" si="1471"/>
        <v>0</v>
      </c>
      <c r="FS225" s="11"/>
      <c r="FT225" s="12" t="e">
        <f t="shared" si="1443"/>
        <v>#DIV/0!</v>
      </c>
      <c r="FU225" s="11"/>
      <c r="FV225" s="12" t="e">
        <f t="shared" si="1444"/>
        <v>#DIV/0!</v>
      </c>
      <c r="FW225" s="13"/>
      <c r="FX225" s="13"/>
      <c r="FY225" s="25"/>
      <c r="FZ225" s="38"/>
      <c r="GA225" s="10"/>
      <c r="GB225" s="11"/>
      <c r="GC225" s="69">
        <f t="shared" si="1472"/>
        <v>0</v>
      </c>
      <c r="GD225" s="69">
        <f t="shared" si="1472"/>
        <v>0</v>
      </c>
      <c r="GE225" s="11"/>
      <c r="GF225" s="12" t="e">
        <f t="shared" si="1445"/>
        <v>#DIV/0!</v>
      </c>
      <c r="GG225" s="11"/>
      <c r="GH225" s="12" t="e">
        <f t="shared" si="1446"/>
        <v>#DIV/0!</v>
      </c>
      <c r="GI225" s="13"/>
      <c r="GJ225" s="13"/>
      <c r="GK225" s="25"/>
      <c r="GL225" s="38"/>
      <c r="GM225" s="10"/>
      <c r="GN225" s="11"/>
      <c r="GO225" s="69">
        <f t="shared" si="1473"/>
        <v>0</v>
      </c>
      <c r="GP225" s="69">
        <f t="shared" si="1473"/>
        <v>0</v>
      </c>
      <c r="GQ225" s="11"/>
      <c r="GR225" s="12" t="e">
        <f t="shared" si="1447"/>
        <v>#DIV/0!</v>
      </c>
      <c r="GS225" s="11"/>
      <c r="GT225" s="12" t="e">
        <f t="shared" si="1448"/>
        <v>#DIV/0!</v>
      </c>
      <c r="GU225" s="13"/>
      <c r="GV225" s="13"/>
      <c r="GW225" s="25"/>
      <c r="GX225" s="38"/>
      <c r="GY225" s="10"/>
      <c r="GZ225" s="11"/>
      <c r="HA225" s="69">
        <f t="shared" si="1474"/>
        <v>0</v>
      </c>
      <c r="HB225" s="69">
        <f t="shared" si="1474"/>
        <v>0</v>
      </c>
      <c r="HC225" s="11"/>
      <c r="HD225" s="12" t="e">
        <f t="shared" si="1449"/>
        <v>#DIV/0!</v>
      </c>
      <c r="HE225" s="11"/>
      <c r="HF225" s="12" t="e">
        <f t="shared" si="1450"/>
        <v>#DIV/0!</v>
      </c>
      <c r="HG225" s="13"/>
      <c r="HH225" s="13"/>
      <c r="HI225" s="25"/>
      <c r="HJ225" s="38"/>
      <c r="HK225" s="10">
        <f t="shared" si="1451"/>
        <v>1</v>
      </c>
      <c r="HL225" s="11">
        <f t="shared" si="1451"/>
        <v>1</v>
      </c>
      <c r="HM225" s="11">
        <f t="shared" si="1451"/>
        <v>3414</v>
      </c>
      <c r="HN225" s="11">
        <f t="shared" si="1451"/>
        <v>263</v>
      </c>
      <c r="HO225" s="11">
        <f t="shared" si="1452"/>
        <v>1341</v>
      </c>
      <c r="HP225" s="95">
        <f t="shared" si="1453"/>
        <v>0.39279437609841827</v>
      </c>
      <c r="HQ225" s="15">
        <f t="shared" si="1454"/>
        <v>105</v>
      </c>
      <c r="HR225" s="12">
        <f t="shared" si="1475"/>
        <v>7.829977628635347E-2</v>
      </c>
      <c r="HS225" s="16">
        <v>71.3</v>
      </c>
      <c r="HT225" s="17">
        <v>1172</v>
      </c>
      <c r="HU225" s="16">
        <f t="shared" si="1455"/>
        <v>87.39746457867264</v>
      </c>
      <c r="HV225" s="23"/>
      <c r="HW225" s="22">
        <v>4640</v>
      </c>
    </row>
    <row r="226" spans="1:231" ht="18.75" x14ac:dyDescent="0.25">
      <c r="A226" s="374"/>
      <c r="B226" s="41">
        <f t="shared" si="1235"/>
        <v>45114</v>
      </c>
      <c r="C226" s="10">
        <v>2</v>
      </c>
      <c r="D226" s="11"/>
      <c r="E226" s="69">
        <f t="shared" si="1456"/>
        <v>605</v>
      </c>
      <c r="F226" s="69">
        <f t="shared" si="1456"/>
        <v>47</v>
      </c>
      <c r="G226" s="11">
        <v>217</v>
      </c>
      <c r="H226" s="12">
        <f t="shared" si="1416"/>
        <v>0.38512396694214879</v>
      </c>
      <c r="I226" s="11">
        <v>16</v>
      </c>
      <c r="J226" s="12">
        <f t="shared" si="1457"/>
        <v>6.8669527896995708E-2</v>
      </c>
      <c r="K226" s="13"/>
      <c r="L226" s="11"/>
      <c r="M226" s="25"/>
      <c r="N226" s="38">
        <v>4656.1499999999996</v>
      </c>
      <c r="O226" s="10"/>
      <c r="P226" s="11"/>
      <c r="Q226" s="69">
        <f t="shared" si="1458"/>
        <v>614</v>
      </c>
      <c r="R226" s="69">
        <f t="shared" si="1458"/>
        <v>47</v>
      </c>
      <c r="S226" s="11">
        <v>218</v>
      </c>
      <c r="T226" s="12">
        <f t="shared" si="1417"/>
        <v>0.38273615635179153</v>
      </c>
      <c r="U226" s="11">
        <v>17</v>
      </c>
      <c r="V226" s="12">
        <f t="shared" si="1418"/>
        <v>7.2340425531914887E-2</v>
      </c>
      <c r="W226" s="13"/>
      <c r="X226" s="11"/>
      <c r="Y226" s="25"/>
      <c r="Z226" s="38">
        <v>5017</v>
      </c>
      <c r="AA226" s="10"/>
      <c r="AB226" s="11"/>
      <c r="AC226" s="69">
        <f t="shared" si="1459"/>
        <v>145</v>
      </c>
      <c r="AD226" s="69">
        <f t="shared" si="1459"/>
        <v>11</v>
      </c>
      <c r="AE226" s="11">
        <v>51</v>
      </c>
      <c r="AF226" s="12">
        <f t="shared" si="1419"/>
        <v>0.37931034482758619</v>
      </c>
      <c r="AG226" s="11">
        <v>4</v>
      </c>
      <c r="AH226" s="12">
        <f t="shared" si="1420"/>
        <v>7.2727272727272724E-2</v>
      </c>
      <c r="AI226" s="13"/>
      <c r="AJ226" s="11"/>
      <c r="AK226" s="25"/>
      <c r="AL226" s="38">
        <v>4325</v>
      </c>
      <c r="AM226" s="10"/>
      <c r="AN226" s="11"/>
      <c r="AO226" s="69">
        <f t="shared" si="1460"/>
        <v>685</v>
      </c>
      <c r="AP226" s="69">
        <f t="shared" si="1460"/>
        <v>52</v>
      </c>
      <c r="AQ226" s="11">
        <v>269</v>
      </c>
      <c r="AR226" s="12">
        <f t="shared" si="1421"/>
        <v>0.41605839416058393</v>
      </c>
      <c r="AS226" s="11">
        <v>16</v>
      </c>
      <c r="AT226" s="12">
        <f t="shared" si="1422"/>
        <v>5.6140350877192984E-2</v>
      </c>
      <c r="AU226" s="13"/>
      <c r="AV226" s="11"/>
      <c r="AW226" s="25"/>
      <c r="AX226" s="38">
        <v>4982.5</v>
      </c>
      <c r="AY226" s="10"/>
      <c r="AZ226" s="11"/>
      <c r="BA226" s="69">
        <f t="shared" si="1461"/>
        <v>682</v>
      </c>
      <c r="BB226" s="69">
        <f t="shared" si="1461"/>
        <v>53</v>
      </c>
      <c r="BC226" s="11">
        <v>244</v>
      </c>
      <c r="BD226" s="12">
        <f t="shared" si="1423"/>
        <v>0.38709677419354838</v>
      </c>
      <c r="BE226" s="11">
        <v>20</v>
      </c>
      <c r="BF226" s="12">
        <f t="shared" si="1424"/>
        <v>7.575757575757576E-2</v>
      </c>
      <c r="BG226" s="13"/>
      <c r="BH226" s="11"/>
      <c r="BI226" s="25"/>
      <c r="BJ226" s="38">
        <v>5222.8599999999997</v>
      </c>
      <c r="BK226" s="10"/>
      <c r="BL226" s="11"/>
      <c r="BM226" s="69">
        <f t="shared" si="1462"/>
        <v>681</v>
      </c>
      <c r="BN226" s="69">
        <f t="shared" si="1462"/>
        <v>53</v>
      </c>
      <c r="BO226" s="11">
        <v>239</v>
      </c>
      <c r="BP226" s="12">
        <f t="shared" si="1425"/>
        <v>0.37444933920704848</v>
      </c>
      <c r="BQ226" s="11">
        <v>16</v>
      </c>
      <c r="BR226" s="12">
        <f t="shared" si="1426"/>
        <v>6.2745098039215685E-2</v>
      </c>
      <c r="BS226" s="13"/>
      <c r="BT226" s="11"/>
      <c r="BU226" s="25"/>
      <c r="BV226" s="38">
        <v>5333.57</v>
      </c>
      <c r="BW226" s="10"/>
      <c r="BX226" s="11"/>
      <c r="BY226" s="69">
        <f t="shared" si="1463"/>
        <v>0</v>
      </c>
      <c r="BZ226" s="69">
        <f t="shared" si="1463"/>
        <v>0</v>
      </c>
      <c r="CA226" s="11"/>
      <c r="CB226" s="12" t="e">
        <f t="shared" si="1427"/>
        <v>#DIV/0!</v>
      </c>
      <c r="CC226" s="11"/>
      <c r="CD226" s="12" t="e">
        <f t="shared" si="1428"/>
        <v>#DIV/0!</v>
      </c>
      <c r="CE226" s="13"/>
      <c r="CF226" s="11"/>
      <c r="CG226" s="25"/>
      <c r="CH226" s="38"/>
      <c r="CI226" s="10"/>
      <c r="CJ226" s="11"/>
      <c r="CK226" s="69">
        <f t="shared" si="1464"/>
        <v>0</v>
      </c>
      <c r="CL226" s="69">
        <f t="shared" si="1464"/>
        <v>0</v>
      </c>
      <c r="CM226" s="11"/>
      <c r="CN226" s="12" t="e">
        <f t="shared" si="1429"/>
        <v>#DIV/0!</v>
      </c>
      <c r="CO226" s="11"/>
      <c r="CP226" s="12" t="e">
        <f t="shared" si="1430"/>
        <v>#DIV/0!</v>
      </c>
      <c r="CQ226" s="13"/>
      <c r="CR226" s="11"/>
      <c r="CS226" s="25"/>
      <c r="CT226" s="38"/>
      <c r="CU226" s="10"/>
      <c r="CV226" s="11"/>
      <c r="CW226" s="69">
        <f t="shared" si="1465"/>
        <v>0</v>
      </c>
      <c r="CX226" s="69">
        <f t="shared" si="1465"/>
        <v>0</v>
      </c>
      <c r="CY226" s="11"/>
      <c r="CZ226" s="12" t="e">
        <f t="shared" si="1431"/>
        <v>#DIV/0!</v>
      </c>
      <c r="DA226" s="11"/>
      <c r="DB226" s="12" t="e">
        <f t="shared" si="1432"/>
        <v>#DIV/0!</v>
      </c>
      <c r="DC226" s="13"/>
      <c r="DD226" s="11"/>
      <c r="DE226" s="25"/>
      <c r="DF226" s="38"/>
      <c r="DG226" s="10"/>
      <c r="DH226" s="11"/>
      <c r="DI226" s="69">
        <f t="shared" si="1466"/>
        <v>0</v>
      </c>
      <c r="DJ226" s="69">
        <f t="shared" si="1466"/>
        <v>0</v>
      </c>
      <c r="DK226" s="11"/>
      <c r="DL226" s="12" t="e">
        <f t="shared" si="1433"/>
        <v>#DIV/0!</v>
      </c>
      <c r="DM226" s="11"/>
      <c r="DN226" s="12" t="e">
        <f t="shared" si="1434"/>
        <v>#DIV/0!</v>
      </c>
      <c r="DO226" s="13"/>
      <c r="DP226" s="11"/>
      <c r="DQ226" s="25"/>
      <c r="DR226" s="38"/>
      <c r="DS226" s="10"/>
      <c r="DT226" s="11"/>
      <c r="DU226" s="69">
        <f t="shared" si="1467"/>
        <v>0</v>
      </c>
      <c r="DV226" s="69">
        <f t="shared" si="1467"/>
        <v>0</v>
      </c>
      <c r="DW226" s="11"/>
      <c r="DX226" s="12" t="e">
        <f t="shared" si="1435"/>
        <v>#DIV/0!</v>
      </c>
      <c r="DY226" s="11"/>
      <c r="DZ226" s="12" t="e">
        <f t="shared" si="1436"/>
        <v>#DIV/0!</v>
      </c>
      <c r="EA226" s="13"/>
      <c r="EB226" s="11"/>
      <c r="EC226" s="25"/>
      <c r="ED226" s="38"/>
      <c r="EE226" s="10"/>
      <c r="EF226" s="11"/>
      <c r="EG226" s="69">
        <f t="shared" si="1468"/>
        <v>0</v>
      </c>
      <c r="EH226" s="69">
        <f t="shared" si="1468"/>
        <v>0</v>
      </c>
      <c r="EI226" s="11"/>
      <c r="EJ226" s="12" t="e">
        <f t="shared" si="1437"/>
        <v>#DIV/0!</v>
      </c>
      <c r="EK226" s="11"/>
      <c r="EL226" s="12" t="e">
        <f t="shared" si="1438"/>
        <v>#DIV/0!</v>
      </c>
      <c r="EM226" s="13"/>
      <c r="EN226" s="11"/>
      <c r="EO226" s="25"/>
      <c r="EP226" s="38"/>
      <c r="EQ226" s="10"/>
      <c r="ER226" s="11"/>
      <c r="ES226" s="69">
        <f t="shared" si="1469"/>
        <v>0</v>
      </c>
      <c r="ET226" s="69">
        <f t="shared" si="1469"/>
        <v>0</v>
      </c>
      <c r="EU226" s="11"/>
      <c r="EV226" s="12" t="e">
        <f t="shared" si="1439"/>
        <v>#DIV/0!</v>
      </c>
      <c r="EW226" s="11"/>
      <c r="EX226" s="12" t="e">
        <f t="shared" si="1440"/>
        <v>#DIV/0!</v>
      </c>
      <c r="EY226" s="13"/>
      <c r="EZ226" s="11"/>
      <c r="FA226" s="25"/>
      <c r="FB226" s="38"/>
      <c r="FC226" s="10"/>
      <c r="FD226" s="11"/>
      <c r="FE226" s="69">
        <f t="shared" si="1470"/>
        <v>0</v>
      </c>
      <c r="FF226" s="69">
        <f t="shared" si="1470"/>
        <v>0</v>
      </c>
      <c r="FG226" s="11"/>
      <c r="FH226" s="12" t="e">
        <f t="shared" si="1441"/>
        <v>#DIV/0!</v>
      </c>
      <c r="FI226" s="11"/>
      <c r="FJ226" s="12" t="e">
        <f t="shared" si="1442"/>
        <v>#DIV/0!</v>
      </c>
      <c r="FK226" s="13"/>
      <c r="FL226" s="11"/>
      <c r="FM226" s="25"/>
      <c r="FN226" s="38"/>
      <c r="FO226" s="10"/>
      <c r="FP226" s="11"/>
      <c r="FQ226" s="69">
        <f t="shared" si="1471"/>
        <v>0</v>
      </c>
      <c r="FR226" s="69">
        <f t="shared" si="1471"/>
        <v>0</v>
      </c>
      <c r="FS226" s="11"/>
      <c r="FT226" s="12" t="e">
        <f t="shared" si="1443"/>
        <v>#DIV/0!</v>
      </c>
      <c r="FU226" s="11"/>
      <c r="FV226" s="12" t="e">
        <f t="shared" si="1444"/>
        <v>#DIV/0!</v>
      </c>
      <c r="FW226" s="13"/>
      <c r="FX226" s="11"/>
      <c r="FY226" s="25"/>
      <c r="FZ226" s="38"/>
      <c r="GA226" s="10"/>
      <c r="GB226" s="11"/>
      <c r="GC226" s="69">
        <f t="shared" si="1472"/>
        <v>0</v>
      </c>
      <c r="GD226" s="69">
        <f t="shared" si="1472"/>
        <v>0</v>
      </c>
      <c r="GE226" s="11"/>
      <c r="GF226" s="12" t="e">
        <f t="shared" si="1445"/>
        <v>#DIV/0!</v>
      </c>
      <c r="GG226" s="11"/>
      <c r="GH226" s="12" t="e">
        <f t="shared" si="1446"/>
        <v>#DIV/0!</v>
      </c>
      <c r="GI226" s="13"/>
      <c r="GJ226" s="11"/>
      <c r="GK226" s="25"/>
      <c r="GL226" s="38"/>
      <c r="GM226" s="10"/>
      <c r="GN226" s="11"/>
      <c r="GO226" s="69">
        <f t="shared" si="1473"/>
        <v>0</v>
      </c>
      <c r="GP226" s="69">
        <f t="shared" si="1473"/>
        <v>0</v>
      </c>
      <c r="GQ226" s="11"/>
      <c r="GR226" s="12" t="e">
        <f t="shared" si="1447"/>
        <v>#DIV/0!</v>
      </c>
      <c r="GS226" s="11"/>
      <c r="GT226" s="12" t="e">
        <f t="shared" si="1448"/>
        <v>#DIV/0!</v>
      </c>
      <c r="GU226" s="13"/>
      <c r="GV226" s="11"/>
      <c r="GW226" s="25"/>
      <c r="GX226" s="38"/>
      <c r="GY226" s="10"/>
      <c r="GZ226" s="11"/>
      <c r="HA226" s="69">
        <f t="shared" si="1474"/>
        <v>0</v>
      </c>
      <c r="HB226" s="69">
        <f t="shared" si="1474"/>
        <v>0</v>
      </c>
      <c r="HC226" s="11"/>
      <c r="HD226" s="12" t="e">
        <f t="shared" si="1449"/>
        <v>#DIV/0!</v>
      </c>
      <c r="HE226" s="11"/>
      <c r="HF226" s="12" t="e">
        <f t="shared" si="1450"/>
        <v>#DIV/0!</v>
      </c>
      <c r="HG226" s="13"/>
      <c r="HH226" s="11"/>
      <c r="HI226" s="25"/>
      <c r="HJ226" s="38"/>
      <c r="HK226" s="10">
        <f t="shared" si="1451"/>
        <v>2</v>
      </c>
      <c r="HL226" s="11">
        <f t="shared" si="1451"/>
        <v>0</v>
      </c>
      <c r="HM226" s="11">
        <f t="shared" si="1451"/>
        <v>3412</v>
      </c>
      <c r="HN226" s="11">
        <f t="shared" si="1451"/>
        <v>263</v>
      </c>
      <c r="HO226" s="11">
        <f t="shared" si="1452"/>
        <v>1327</v>
      </c>
      <c r="HP226" s="95">
        <f t="shared" si="1453"/>
        <v>0.38892145369284875</v>
      </c>
      <c r="HQ226" s="15">
        <f t="shared" si="1454"/>
        <v>89</v>
      </c>
      <c r="HR226" s="12">
        <f t="shared" si="1475"/>
        <v>6.706857573474001E-2</v>
      </c>
      <c r="HS226" s="16">
        <v>71.099999999999994</v>
      </c>
      <c r="HT226" s="17">
        <v>1184</v>
      </c>
      <c r="HU226" s="16">
        <f t="shared" si="1455"/>
        <v>89.223813112283352</v>
      </c>
      <c r="HV226" s="23"/>
      <c r="HW226" s="22">
        <v>5007.18</v>
      </c>
    </row>
    <row r="227" spans="1:231" ht="18.75" x14ac:dyDescent="0.25">
      <c r="A227" s="374"/>
      <c r="B227" s="41">
        <f t="shared" si="1235"/>
        <v>45115</v>
      </c>
      <c r="C227" s="10"/>
      <c r="D227" s="11"/>
      <c r="E227" s="69">
        <f>E226-C227</f>
        <v>605</v>
      </c>
      <c r="F227" s="69">
        <f>F226-D227</f>
        <v>47</v>
      </c>
      <c r="G227" s="11">
        <v>220</v>
      </c>
      <c r="H227" s="12">
        <f t="shared" si="1416"/>
        <v>0.40991735537190083</v>
      </c>
      <c r="I227" s="11">
        <v>28</v>
      </c>
      <c r="J227" s="12">
        <f t="shared" si="1457"/>
        <v>0.11290322580645161</v>
      </c>
      <c r="K227" s="13"/>
      <c r="L227" s="11"/>
      <c r="M227" s="39"/>
      <c r="N227" s="43">
        <v>100</v>
      </c>
      <c r="O227" s="10">
        <v>1</v>
      </c>
      <c r="P227" s="11"/>
      <c r="Q227" s="69">
        <f t="shared" si="1458"/>
        <v>613</v>
      </c>
      <c r="R227" s="69">
        <f t="shared" si="1458"/>
        <v>47</v>
      </c>
      <c r="S227" s="11">
        <v>221</v>
      </c>
      <c r="T227" s="12">
        <f t="shared" si="1417"/>
        <v>0.39314845024469819</v>
      </c>
      <c r="U227" s="11">
        <v>20</v>
      </c>
      <c r="V227" s="12">
        <f t="shared" si="1418"/>
        <v>8.2987551867219914E-2</v>
      </c>
      <c r="W227" s="13"/>
      <c r="X227" s="11"/>
      <c r="Y227" s="39"/>
      <c r="Z227" s="43">
        <v>100</v>
      </c>
      <c r="AA227" s="10"/>
      <c r="AB227" s="11"/>
      <c r="AC227" s="69">
        <f t="shared" si="1459"/>
        <v>145</v>
      </c>
      <c r="AD227" s="69">
        <f t="shared" si="1459"/>
        <v>11</v>
      </c>
      <c r="AE227" s="11">
        <v>54</v>
      </c>
      <c r="AF227" s="12">
        <f t="shared" si="1419"/>
        <v>0.40689655172413791</v>
      </c>
      <c r="AG227" s="11">
        <v>5</v>
      </c>
      <c r="AH227" s="12">
        <f t="shared" si="1420"/>
        <v>8.4745762711864403E-2</v>
      </c>
      <c r="AI227" s="13"/>
      <c r="AJ227" s="11"/>
      <c r="AK227" s="39"/>
      <c r="AL227" s="43">
        <v>100</v>
      </c>
      <c r="AM227" s="10">
        <v>1</v>
      </c>
      <c r="AN227" s="11"/>
      <c r="AO227" s="69">
        <f t="shared" si="1460"/>
        <v>684</v>
      </c>
      <c r="AP227" s="69">
        <f t="shared" si="1460"/>
        <v>52</v>
      </c>
      <c r="AQ227" s="11">
        <v>268</v>
      </c>
      <c r="AR227" s="12">
        <f t="shared" si="1421"/>
        <v>0.42105263157894735</v>
      </c>
      <c r="AS227" s="11">
        <v>20</v>
      </c>
      <c r="AT227" s="12">
        <f t="shared" si="1422"/>
        <v>6.9444444444444448E-2</v>
      </c>
      <c r="AU227" s="13"/>
      <c r="AV227" s="11"/>
      <c r="AW227" s="39"/>
      <c r="AX227" s="43">
        <v>93.8</v>
      </c>
      <c r="AY227" s="10"/>
      <c r="AZ227" s="11"/>
      <c r="BA227" s="69">
        <f t="shared" si="1461"/>
        <v>682</v>
      </c>
      <c r="BB227" s="69">
        <f t="shared" si="1461"/>
        <v>53</v>
      </c>
      <c r="BC227" s="11">
        <v>238</v>
      </c>
      <c r="BD227" s="12">
        <f t="shared" si="1423"/>
        <v>0.37096774193548387</v>
      </c>
      <c r="BE227" s="11">
        <v>15</v>
      </c>
      <c r="BF227" s="12">
        <f t="shared" si="1424"/>
        <v>5.9288537549407112E-2</v>
      </c>
      <c r="BG227" s="13"/>
      <c r="BH227" s="11"/>
      <c r="BI227" s="39"/>
      <c r="BJ227" s="43">
        <v>100</v>
      </c>
      <c r="BK227" s="10">
        <v>1</v>
      </c>
      <c r="BL227" s="11"/>
      <c r="BM227" s="69">
        <f t="shared" si="1462"/>
        <v>680</v>
      </c>
      <c r="BN227" s="69">
        <f t="shared" si="1462"/>
        <v>53</v>
      </c>
      <c r="BO227" s="11">
        <v>278</v>
      </c>
      <c r="BP227" s="12">
        <f t="shared" si="1425"/>
        <v>0.43529411764705883</v>
      </c>
      <c r="BQ227" s="11">
        <v>18</v>
      </c>
      <c r="BR227" s="12">
        <f t="shared" si="1426"/>
        <v>6.0810810810810814E-2</v>
      </c>
      <c r="BS227" s="13"/>
      <c r="BT227" s="11"/>
      <c r="BU227" s="39"/>
      <c r="BV227" s="43">
        <v>100</v>
      </c>
      <c r="BW227" s="10"/>
      <c r="BX227" s="11"/>
      <c r="BY227" s="69">
        <f t="shared" si="1463"/>
        <v>0</v>
      </c>
      <c r="BZ227" s="69">
        <f t="shared" si="1463"/>
        <v>0</v>
      </c>
      <c r="CA227" s="11"/>
      <c r="CB227" s="12" t="e">
        <f t="shared" si="1427"/>
        <v>#DIV/0!</v>
      </c>
      <c r="CC227" s="11"/>
      <c r="CD227" s="12" t="e">
        <f t="shared" si="1428"/>
        <v>#DIV/0!</v>
      </c>
      <c r="CE227" s="13"/>
      <c r="CF227" s="11"/>
      <c r="CG227" s="39"/>
      <c r="CH227" s="43"/>
      <c r="CI227" s="10"/>
      <c r="CJ227" s="11"/>
      <c r="CK227" s="69">
        <f t="shared" si="1464"/>
        <v>0</v>
      </c>
      <c r="CL227" s="69">
        <f t="shared" si="1464"/>
        <v>0</v>
      </c>
      <c r="CM227" s="11"/>
      <c r="CN227" s="12" t="e">
        <f t="shared" si="1429"/>
        <v>#DIV/0!</v>
      </c>
      <c r="CO227" s="11"/>
      <c r="CP227" s="12" t="e">
        <f t="shared" si="1430"/>
        <v>#DIV/0!</v>
      </c>
      <c r="CQ227" s="13"/>
      <c r="CR227" s="11"/>
      <c r="CS227" s="39"/>
      <c r="CT227" s="43"/>
      <c r="CU227" s="10"/>
      <c r="CV227" s="11"/>
      <c r="CW227" s="69">
        <f t="shared" si="1465"/>
        <v>0</v>
      </c>
      <c r="CX227" s="69">
        <f t="shared" si="1465"/>
        <v>0</v>
      </c>
      <c r="CY227" s="11"/>
      <c r="CZ227" s="12" t="e">
        <f t="shared" si="1431"/>
        <v>#DIV/0!</v>
      </c>
      <c r="DA227" s="11"/>
      <c r="DB227" s="12" t="e">
        <f t="shared" si="1432"/>
        <v>#DIV/0!</v>
      </c>
      <c r="DC227" s="13"/>
      <c r="DD227" s="11"/>
      <c r="DE227" s="39"/>
      <c r="DF227" s="43"/>
      <c r="DG227" s="10"/>
      <c r="DH227" s="11"/>
      <c r="DI227" s="69">
        <f t="shared" si="1466"/>
        <v>0</v>
      </c>
      <c r="DJ227" s="69">
        <f t="shared" si="1466"/>
        <v>0</v>
      </c>
      <c r="DK227" s="11"/>
      <c r="DL227" s="12" t="e">
        <f t="shared" si="1433"/>
        <v>#DIV/0!</v>
      </c>
      <c r="DM227" s="11"/>
      <c r="DN227" s="12" t="e">
        <f t="shared" si="1434"/>
        <v>#DIV/0!</v>
      </c>
      <c r="DO227" s="13"/>
      <c r="DP227" s="11"/>
      <c r="DQ227" s="39"/>
      <c r="DR227" s="43"/>
      <c r="DS227" s="10"/>
      <c r="DT227" s="11"/>
      <c r="DU227" s="69">
        <f t="shared" si="1467"/>
        <v>0</v>
      </c>
      <c r="DV227" s="69">
        <f t="shared" si="1467"/>
        <v>0</v>
      </c>
      <c r="DW227" s="11"/>
      <c r="DX227" s="12" t="e">
        <f t="shared" si="1435"/>
        <v>#DIV/0!</v>
      </c>
      <c r="DY227" s="11"/>
      <c r="DZ227" s="12" t="e">
        <f t="shared" si="1436"/>
        <v>#DIV/0!</v>
      </c>
      <c r="EA227" s="13"/>
      <c r="EB227" s="11"/>
      <c r="EC227" s="39"/>
      <c r="ED227" s="43"/>
      <c r="EE227" s="10"/>
      <c r="EF227" s="11"/>
      <c r="EG227" s="69">
        <f t="shared" si="1468"/>
        <v>0</v>
      </c>
      <c r="EH227" s="69">
        <f t="shared" si="1468"/>
        <v>0</v>
      </c>
      <c r="EI227" s="11"/>
      <c r="EJ227" s="12" t="e">
        <f t="shared" si="1437"/>
        <v>#DIV/0!</v>
      </c>
      <c r="EK227" s="11"/>
      <c r="EL227" s="12" t="e">
        <f t="shared" si="1438"/>
        <v>#DIV/0!</v>
      </c>
      <c r="EM227" s="13"/>
      <c r="EN227" s="11"/>
      <c r="EO227" s="39"/>
      <c r="EP227" s="43"/>
      <c r="EQ227" s="10"/>
      <c r="ER227" s="11"/>
      <c r="ES227" s="69">
        <f t="shared" si="1469"/>
        <v>0</v>
      </c>
      <c r="ET227" s="69">
        <f t="shared" si="1469"/>
        <v>0</v>
      </c>
      <c r="EU227" s="11"/>
      <c r="EV227" s="12" t="e">
        <f t="shared" si="1439"/>
        <v>#DIV/0!</v>
      </c>
      <c r="EW227" s="11"/>
      <c r="EX227" s="12" t="e">
        <f t="shared" si="1440"/>
        <v>#DIV/0!</v>
      </c>
      <c r="EY227" s="13"/>
      <c r="EZ227" s="11"/>
      <c r="FA227" s="39"/>
      <c r="FB227" s="43"/>
      <c r="FC227" s="10"/>
      <c r="FD227" s="11"/>
      <c r="FE227" s="69">
        <f t="shared" si="1470"/>
        <v>0</v>
      </c>
      <c r="FF227" s="69">
        <f t="shared" si="1470"/>
        <v>0</v>
      </c>
      <c r="FG227" s="11"/>
      <c r="FH227" s="12" t="e">
        <f t="shared" si="1441"/>
        <v>#DIV/0!</v>
      </c>
      <c r="FI227" s="11"/>
      <c r="FJ227" s="12" t="e">
        <f t="shared" si="1442"/>
        <v>#DIV/0!</v>
      </c>
      <c r="FK227" s="13"/>
      <c r="FL227" s="11"/>
      <c r="FM227" s="39"/>
      <c r="FN227" s="43"/>
      <c r="FO227" s="10"/>
      <c r="FP227" s="11"/>
      <c r="FQ227" s="69">
        <f t="shared" si="1471"/>
        <v>0</v>
      </c>
      <c r="FR227" s="69">
        <f t="shared" si="1471"/>
        <v>0</v>
      </c>
      <c r="FS227" s="11"/>
      <c r="FT227" s="12" t="e">
        <f t="shared" si="1443"/>
        <v>#DIV/0!</v>
      </c>
      <c r="FU227" s="11"/>
      <c r="FV227" s="12" t="e">
        <f t="shared" si="1444"/>
        <v>#DIV/0!</v>
      </c>
      <c r="FW227" s="13"/>
      <c r="FX227" s="11"/>
      <c r="FY227" s="39"/>
      <c r="FZ227" s="43"/>
      <c r="GA227" s="10"/>
      <c r="GB227" s="11"/>
      <c r="GC227" s="69">
        <f t="shared" si="1472"/>
        <v>0</v>
      </c>
      <c r="GD227" s="69">
        <f t="shared" si="1472"/>
        <v>0</v>
      </c>
      <c r="GE227" s="11"/>
      <c r="GF227" s="12" t="e">
        <f t="shared" si="1445"/>
        <v>#DIV/0!</v>
      </c>
      <c r="GG227" s="11"/>
      <c r="GH227" s="12" t="e">
        <f t="shared" si="1446"/>
        <v>#DIV/0!</v>
      </c>
      <c r="GI227" s="13"/>
      <c r="GJ227" s="11"/>
      <c r="GK227" s="39"/>
      <c r="GL227" s="43"/>
      <c r="GM227" s="10"/>
      <c r="GN227" s="11"/>
      <c r="GO227" s="69">
        <f t="shared" si="1473"/>
        <v>0</v>
      </c>
      <c r="GP227" s="69">
        <f t="shared" si="1473"/>
        <v>0</v>
      </c>
      <c r="GQ227" s="11"/>
      <c r="GR227" s="12" t="e">
        <f t="shared" si="1447"/>
        <v>#DIV/0!</v>
      </c>
      <c r="GS227" s="11"/>
      <c r="GT227" s="12" t="e">
        <f t="shared" si="1448"/>
        <v>#DIV/0!</v>
      </c>
      <c r="GU227" s="13"/>
      <c r="GV227" s="11"/>
      <c r="GW227" s="39"/>
      <c r="GX227" s="43"/>
      <c r="GY227" s="10"/>
      <c r="GZ227" s="11"/>
      <c r="HA227" s="69">
        <f t="shared" si="1474"/>
        <v>0</v>
      </c>
      <c r="HB227" s="69">
        <f t="shared" si="1474"/>
        <v>0</v>
      </c>
      <c r="HC227" s="11"/>
      <c r="HD227" s="12" t="e">
        <f t="shared" si="1449"/>
        <v>#DIV/0!</v>
      </c>
      <c r="HE227" s="11"/>
      <c r="HF227" s="12" t="e">
        <f t="shared" si="1450"/>
        <v>#DIV/0!</v>
      </c>
      <c r="HG227" s="13"/>
      <c r="HH227" s="11"/>
      <c r="HI227" s="39"/>
      <c r="HJ227" s="43"/>
      <c r="HK227" s="10">
        <f t="shared" si="1451"/>
        <v>3</v>
      </c>
      <c r="HL227" s="11">
        <f t="shared" si="1451"/>
        <v>0</v>
      </c>
      <c r="HM227" s="11">
        <f t="shared" si="1451"/>
        <v>3409</v>
      </c>
      <c r="HN227" s="11">
        <f t="shared" si="1451"/>
        <v>263</v>
      </c>
      <c r="HO227" s="11">
        <f t="shared" si="1452"/>
        <v>1385</v>
      </c>
      <c r="HP227" s="95">
        <f t="shared" si="1453"/>
        <v>0.40627750073335289</v>
      </c>
      <c r="HQ227" s="15">
        <f t="shared" si="1454"/>
        <v>106</v>
      </c>
      <c r="HR227" s="12">
        <f t="shared" si="1475"/>
        <v>7.6534296028880872E-2</v>
      </c>
      <c r="HS227" s="16">
        <v>71.2</v>
      </c>
      <c r="HT227" s="17">
        <v>1215</v>
      </c>
      <c r="HU227" s="16">
        <f t="shared" si="1455"/>
        <v>87.725631768953065</v>
      </c>
      <c r="HV227" s="23"/>
      <c r="HW227" s="22">
        <v>78.87</v>
      </c>
    </row>
    <row r="228" spans="1:231" ht="19.5" thickBot="1" x14ac:dyDescent="0.3">
      <c r="A228" s="374"/>
      <c r="B228" s="42"/>
      <c r="C228" s="26">
        <f>SUM(C221:C227)</f>
        <v>3</v>
      </c>
      <c r="D228" s="27">
        <f>SUM(D221:D227)</f>
        <v>0</v>
      </c>
      <c r="E228" s="27"/>
      <c r="F228" s="27"/>
      <c r="G228" s="27">
        <f>SUM(G221:G227)</f>
        <v>1492</v>
      </c>
      <c r="H228" s="28">
        <f>((G228+I228)/7)/E227</f>
        <v>0.39409681227863042</v>
      </c>
      <c r="I228" s="27">
        <f>SUM(I221:I227)</f>
        <v>177</v>
      </c>
      <c r="J228" s="28">
        <f>(I228/(I228+G228))</f>
        <v>0.1060515278609946</v>
      </c>
      <c r="K228" s="27"/>
      <c r="L228" s="27"/>
      <c r="M228" s="29" t="e">
        <f>M226/M225*100-100</f>
        <v>#DIV/0!</v>
      </c>
      <c r="N228" s="67">
        <f>N226/N225*100-100</f>
        <v>0.34806034482757298</v>
      </c>
      <c r="O228" s="26">
        <f>SUM(O221:O227)</f>
        <v>4</v>
      </c>
      <c r="P228" s="27">
        <f>SUM(P221:P227)</f>
        <v>0</v>
      </c>
      <c r="Q228" s="27"/>
      <c r="R228" s="27"/>
      <c r="S228" s="27">
        <f>SUM(S221:S227)</f>
        <v>1503</v>
      </c>
      <c r="T228" s="28">
        <f>((S228+U228)/7)/Q227</f>
        <v>0.38266138429270569</v>
      </c>
      <c r="U228" s="27">
        <f>SUM(U221:U227)</f>
        <v>139</v>
      </c>
      <c r="V228" s="28">
        <f>(U228/(U228+S228))</f>
        <v>8.4652862362971981E-2</v>
      </c>
      <c r="W228" s="27"/>
      <c r="X228" s="27"/>
      <c r="Y228" s="29" t="e">
        <f>Y226/Y225*100-100</f>
        <v>#DIV/0!</v>
      </c>
      <c r="Z228" s="67">
        <f>Z226/Z225*100-100</f>
        <v>8.125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356</v>
      </c>
      <c r="AF228" s="28">
        <f>((AE228+AG228)/7)/AC227</f>
        <v>0.37832512315270933</v>
      </c>
      <c r="AG228" s="27">
        <f>SUM(AG221:AG227)</f>
        <v>28</v>
      </c>
      <c r="AH228" s="28">
        <f>(AG228/(AG228+AE228))</f>
        <v>7.2916666666666671E-2</v>
      </c>
      <c r="AI228" s="27"/>
      <c r="AJ228" s="27"/>
      <c r="AK228" s="29" t="e">
        <f>AK226/AK225*100-100</f>
        <v>#DIV/0!</v>
      </c>
      <c r="AL228" s="67">
        <f>AL226/AL225*100-100</f>
        <v>-6.7887931034482705</v>
      </c>
      <c r="AM228" s="26">
        <f>SUM(AM221:AM227)</f>
        <v>2</v>
      </c>
      <c r="AN228" s="27">
        <f>SUM(AN221:AN227)</f>
        <v>1</v>
      </c>
      <c r="AO228" s="27"/>
      <c r="AP228" s="27"/>
      <c r="AQ228" s="27">
        <f>SUM(AQ221:AQ227)</f>
        <v>1795</v>
      </c>
      <c r="AR228" s="28">
        <f>((AQ228+AS228)/7)/AO227</f>
        <v>0.40497076023391815</v>
      </c>
      <c r="AS228" s="27">
        <f>SUM(AS221:AS227)</f>
        <v>144</v>
      </c>
      <c r="AT228" s="28">
        <f>(AS228/(AS228+AQ228))</f>
        <v>7.4265085095410008E-2</v>
      </c>
      <c r="AU228" s="27"/>
      <c r="AV228" s="27"/>
      <c r="AW228" s="29" t="e">
        <f>AW226/AW225*100-100</f>
        <v>#DIV/0!</v>
      </c>
      <c r="AX228" s="67">
        <f>AX226/AX225*100-100</f>
        <v>7.3814655172413666</v>
      </c>
      <c r="AY228" s="26">
        <f>SUM(AY221:AY227)</f>
        <v>5</v>
      </c>
      <c r="AZ228" s="27">
        <f>SUM(AZ221:AZ227)</f>
        <v>0</v>
      </c>
      <c r="BA228" s="27"/>
      <c r="BB228" s="27"/>
      <c r="BC228" s="27">
        <f>SUM(BC221:BC227)</f>
        <v>1634</v>
      </c>
      <c r="BD228" s="28">
        <f>((BC228+BE228)/7)/BA227</f>
        <v>0.37390029325513197</v>
      </c>
      <c r="BE228" s="27">
        <f>SUM(BE221:BE227)</f>
        <v>151</v>
      </c>
      <c r="BF228" s="28">
        <f>(BE228/(BE228+BC228))</f>
        <v>8.459383753501401E-2</v>
      </c>
      <c r="BG228" s="27"/>
      <c r="BH228" s="27"/>
      <c r="BI228" s="29" t="e">
        <f>BI226/BI225*100-100</f>
        <v>#DIV/0!</v>
      </c>
      <c r="BJ228" s="67">
        <f>BJ226/BJ225*100-100</f>
        <v>12.561637931034483</v>
      </c>
      <c r="BK228" s="26">
        <f>SUM(BK221:BK227)</f>
        <v>5</v>
      </c>
      <c r="BL228" s="27">
        <f>SUM(BL221:BL227)</f>
        <v>0</v>
      </c>
      <c r="BM228" s="27"/>
      <c r="BN228" s="27"/>
      <c r="BO228" s="27">
        <f>SUM(BO221:BO227)</f>
        <v>1808</v>
      </c>
      <c r="BP228" s="28">
        <f>((BO228+BQ228)/7)/BM227</f>
        <v>0.40777310924369747</v>
      </c>
      <c r="BQ228" s="27">
        <f>SUM(BQ221:BQ227)</f>
        <v>133</v>
      </c>
      <c r="BR228" s="28">
        <f>(BQ228/(BQ228+BO228))</f>
        <v>6.8521380731581663E-2</v>
      </c>
      <c r="BS228" s="27"/>
      <c r="BT228" s="27"/>
      <c r="BU228" s="29" t="e">
        <f>BU226/BU225*100-100</f>
        <v>#DIV/0!</v>
      </c>
      <c r="BV228" s="67">
        <f>BV226/BV225*100-100</f>
        <v>14.947629310344809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7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7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7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7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7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7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7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7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7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7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7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7" t="e">
        <f>HJ226/HJ225*100-100</f>
        <v>#DIV/0!</v>
      </c>
      <c r="HK228" s="26">
        <f t="shared" si="1451"/>
        <v>24</v>
      </c>
      <c r="HL228" s="27">
        <f t="shared" si="1451"/>
        <v>1</v>
      </c>
      <c r="HM228" s="27">
        <f t="shared" si="1451"/>
        <v>0</v>
      </c>
      <c r="HN228" s="27">
        <f t="shared" si="1451"/>
        <v>0</v>
      </c>
      <c r="HO228" s="27">
        <f t="shared" si="1452"/>
        <v>9360</v>
      </c>
      <c r="HP228" s="96">
        <f>+((HO228)/HM227)/7</f>
        <v>0.39223903113606839</v>
      </c>
      <c r="HQ228" s="62">
        <f t="shared" si="1454"/>
        <v>772</v>
      </c>
      <c r="HR228" s="52">
        <f t="shared" si="1475"/>
        <v>8.2478632478632477E-2</v>
      </c>
      <c r="HS228" s="53">
        <f>SUM(HS221:HS227)/7</f>
        <v>71.214285714285708</v>
      </c>
      <c r="HT228" s="54">
        <f>SUM(HT221:HT227)</f>
        <v>8120</v>
      </c>
      <c r="HU228" s="53">
        <f>AVERAGE(HU221:HU227)</f>
        <v>86.752873898855952</v>
      </c>
      <c r="HV228" s="63" t="e">
        <f>HV226/HV225*100-100</f>
        <v>#DIV/0!</v>
      </c>
      <c r="HW228" s="67">
        <f>HW226/HW225*100-100</f>
        <v>7.9133620689655118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6.9909699970870957E-3</v>
      </c>
      <c r="HL229" s="66">
        <f>HL228/HN218</f>
        <v>3.787878787878788E-3</v>
      </c>
      <c r="HM229" s="45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373">
        <v>50</v>
      </c>
      <c r="B230" s="68">
        <f>B227+1</f>
        <v>45116</v>
      </c>
      <c r="C230" s="33">
        <v>1</v>
      </c>
      <c r="D230" s="34"/>
      <c r="E230" s="34">
        <f>E227-C230</f>
        <v>604</v>
      </c>
      <c r="F230" s="34">
        <f>F227-D230</f>
        <v>47</v>
      </c>
      <c r="G230" s="34">
        <v>189</v>
      </c>
      <c r="H230" s="35">
        <f t="shared" ref="H230:H236" si="1476">((G230+I230)/E230)</f>
        <v>0.33940397350993379</v>
      </c>
      <c r="I230" s="34">
        <v>16</v>
      </c>
      <c r="J230" s="35">
        <f>I230/(G230+I230)</f>
        <v>7.8048780487804878E-2</v>
      </c>
      <c r="K230" s="36"/>
      <c r="L230" s="34"/>
      <c r="M230" s="34"/>
      <c r="N230" s="37"/>
      <c r="O230" s="33"/>
      <c r="P230" s="34"/>
      <c r="Q230" s="34">
        <f>Q227-O230</f>
        <v>613</v>
      </c>
      <c r="R230" s="34">
        <f>R227-P230</f>
        <v>47</v>
      </c>
      <c r="S230" s="34">
        <v>198</v>
      </c>
      <c r="T230" s="35">
        <f t="shared" ref="T230:T236" si="1477">((S230+U230)/Q230)</f>
        <v>0.34910277324632955</v>
      </c>
      <c r="U230" s="34">
        <v>16</v>
      </c>
      <c r="V230" s="35">
        <f t="shared" ref="V230:V236" si="1478">U230/(S230+U230)</f>
        <v>7.476635514018691E-2</v>
      </c>
      <c r="W230" s="36"/>
      <c r="X230" s="34"/>
      <c r="Y230" s="34"/>
      <c r="Z230" s="37"/>
      <c r="AA230" s="33">
        <v>1</v>
      </c>
      <c r="AB230" s="34"/>
      <c r="AC230" s="34">
        <f>AC227-AA230</f>
        <v>144</v>
      </c>
      <c r="AD230" s="34">
        <f>AD227-AB230</f>
        <v>11</v>
      </c>
      <c r="AE230" s="34">
        <v>43</v>
      </c>
      <c r="AF230" s="35">
        <f t="shared" ref="AF230:AF236" si="1479">((AE230+AG230)/AC230)</f>
        <v>0.31944444444444442</v>
      </c>
      <c r="AG230" s="34">
        <v>3</v>
      </c>
      <c r="AH230" s="35">
        <f t="shared" ref="AH230:AH236" si="1480">AG230/(AE230+AG230)</f>
        <v>6.5217391304347824E-2</v>
      </c>
      <c r="AI230" s="36"/>
      <c r="AJ230" s="34"/>
      <c r="AK230" s="34"/>
      <c r="AL230" s="37"/>
      <c r="AM230" s="33"/>
      <c r="AN230" s="34"/>
      <c r="AO230" s="34">
        <f>AO227-AM230</f>
        <v>684</v>
      </c>
      <c r="AP230" s="34">
        <f>AP227-AN230</f>
        <v>52</v>
      </c>
      <c r="AQ230" s="34">
        <v>248</v>
      </c>
      <c r="AR230" s="35">
        <f t="shared" ref="AR230:AR236" si="1481">((AQ230+AS230)/AO230)</f>
        <v>0.391812865497076</v>
      </c>
      <c r="AS230" s="34">
        <v>20</v>
      </c>
      <c r="AT230" s="35">
        <f t="shared" ref="AT230:AT236" si="1482">AS230/(AQ230+AS230)</f>
        <v>7.4626865671641784E-2</v>
      </c>
      <c r="AU230" s="36"/>
      <c r="AV230" s="34"/>
      <c r="AW230" s="34"/>
      <c r="AX230" s="37"/>
      <c r="AY230" s="33"/>
      <c r="AZ230" s="34"/>
      <c r="BA230" s="34">
        <f>BA227-AY230</f>
        <v>682</v>
      </c>
      <c r="BB230" s="34">
        <f>BB227-AZ230</f>
        <v>53</v>
      </c>
      <c r="BC230" s="34">
        <v>238</v>
      </c>
      <c r="BD230" s="35">
        <f t="shared" ref="BD230:BD236" si="1483">((BC230+BE230)/BA230)</f>
        <v>0.37536656891495601</v>
      </c>
      <c r="BE230" s="34">
        <v>18</v>
      </c>
      <c r="BF230" s="35">
        <f t="shared" ref="BF230:BF236" si="1484">BE230/(BC230+BE230)</f>
        <v>7.03125E-2</v>
      </c>
      <c r="BG230" s="36"/>
      <c r="BH230" s="34"/>
      <c r="BI230" s="34"/>
      <c r="BJ230" s="37"/>
      <c r="BK230" s="33"/>
      <c r="BL230" s="34"/>
      <c r="BM230" s="34">
        <f>BM227-BK230</f>
        <v>680</v>
      </c>
      <c r="BN230" s="34">
        <f>BN227-BL230</f>
        <v>53</v>
      </c>
      <c r="BO230" s="34">
        <v>253</v>
      </c>
      <c r="BP230" s="35">
        <f t="shared" ref="BP230:BP236" si="1485">((BO230+BQ230)/BM230)</f>
        <v>0.38970588235294118</v>
      </c>
      <c r="BQ230" s="34">
        <v>12</v>
      </c>
      <c r="BR230" s="35">
        <f t="shared" ref="BR230:BR236" si="1486">BQ230/(BO230+BQ230)</f>
        <v>4.5283018867924525E-2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487">((CA230+CC230)/BY230)</f>
        <v>#DIV/0!</v>
      </c>
      <c r="CC230" s="34"/>
      <c r="CD230" s="35" t="e">
        <f t="shared" ref="CD230:CD236" si="1488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489">((CM230+CO230)/CK230)</f>
        <v>#DIV/0!</v>
      </c>
      <c r="CO230" s="34"/>
      <c r="CP230" s="35" t="e">
        <f t="shared" ref="CP230:CP236" si="1490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491">((CY230+DA230)/CW230)</f>
        <v>#DIV/0!</v>
      </c>
      <c r="DA230" s="34"/>
      <c r="DB230" s="35" t="e">
        <f t="shared" ref="DB230:DB236" si="1492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493">((DK230+DM230)/DI230)</f>
        <v>#DIV/0!</v>
      </c>
      <c r="DM230" s="34"/>
      <c r="DN230" s="35" t="e">
        <f t="shared" ref="DN230:DN236" si="1494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495">((DW230+DY230)/DU230)</f>
        <v>#DIV/0!</v>
      </c>
      <c r="DY230" s="34"/>
      <c r="DZ230" s="35" t="e">
        <f t="shared" ref="DZ230:DZ236" si="1496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497">((EI230+EK230)/EG230)</f>
        <v>#DIV/0!</v>
      </c>
      <c r="EK230" s="34"/>
      <c r="EL230" s="35" t="e">
        <f t="shared" ref="EL230:EL236" si="1498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499">((EU230+EW230)/ES230)</f>
        <v>#DIV/0!</v>
      </c>
      <c r="EW230" s="34"/>
      <c r="EX230" s="35" t="e">
        <f t="shared" ref="EX230:EX236" si="1500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501">((FG230+FI230)/FE230)</f>
        <v>#DIV/0!</v>
      </c>
      <c r="FI230" s="34"/>
      <c r="FJ230" s="35" t="e">
        <f t="shared" ref="FJ230:FJ236" si="1502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503">((FS230+FU230)/FQ230)</f>
        <v>#DIV/0!</v>
      </c>
      <c r="FU230" s="34"/>
      <c r="FV230" s="35" t="e">
        <f t="shared" ref="FV230:FV236" si="1504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505">((GE230+GG230)/GC230)</f>
        <v>#DIV/0!</v>
      </c>
      <c r="GG230" s="34"/>
      <c r="GH230" s="35" t="e">
        <f t="shared" ref="GH230:GH236" si="1506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507">((GQ230+GS230)/GO230)</f>
        <v>#DIV/0!</v>
      </c>
      <c r="GS230" s="34"/>
      <c r="GT230" s="35" t="e">
        <f t="shared" ref="GT230:GT236" si="1508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509">((HC230+HE230)/HA230)</f>
        <v>#DIV/0!</v>
      </c>
      <c r="HE230" s="34"/>
      <c r="HF230" s="35" t="e">
        <f t="shared" ref="HF230:HF236" si="1510">HE230/(HC230+HE230)</f>
        <v>#DIV/0!</v>
      </c>
      <c r="HG230" s="36"/>
      <c r="HH230" s="34"/>
      <c r="HI230" s="34"/>
      <c r="HJ230" s="37"/>
      <c r="HK230" s="33">
        <f t="shared" ref="HK230:HN237" si="1511">+C230+O230+AA230+AM230+AY230+BK230+BW230+CI230+CU230+DG230+DS230+EE230+EQ230+FC230+FO230+GA230+GM230+GY230</f>
        <v>2</v>
      </c>
      <c r="HL230" s="34">
        <f t="shared" si="1511"/>
        <v>0</v>
      </c>
      <c r="HM230" s="34">
        <f t="shared" si="1511"/>
        <v>3407</v>
      </c>
      <c r="HN230" s="34">
        <f t="shared" si="1511"/>
        <v>263</v>
      </c>
      <c r="HO230" s="34">
        <f t="shared" ref="HO230:HO237" si="1512">+G230+S230+AE230+AQ230+BC230+BO230+CA230+CM230+CY230+DK230+DW230+EI230+EU230+FG230+FS230+GE230+GQ230+HC230+I230+U230+AG230+AS230+BE230+BQ230+CC230+CO230+DA230+DM230+DY230+EK230+EW230+FI230+FU230+GG230+GS230+HE230</f>
        <v>1254</v>
      </c>
      <c r="HP230" s="94">
        <f t="shared" ref="HP230:HP236" si="1513">+(HO230)/HM230</f>
        <v>0.36806574699148809</v>
      </c>
      <c r="HQ230" s="48">
        <f t="shared" ref="HQ230:HQ237" si="1514">+I230+U230+AG230+AS230+BE230+BQ230+CC230+CO230+DA230+DM230+DY230+EK230+EW230+FI230+FU230+GG230+GS230+HE230</f>
        <v>85</v>
      </c>
      <c r="HR230" s="35">
        <f>+(HQ230/(HO230))</f>
        <v>6.778309409888357E-2</v>
      </c>
      <c r="HS230" s="49">
        <v>70.400000000000006</v>
      </c>
      <c r="HT230" s="50">
        <v>1149</v>
      </c>
      <c r="HU230" s="49">
        <f t="shared" ref="HU230:HU236" si="1515">+HT230/HO230*100</f>
        <v>91.626794258373195</v>
      </c>
      <c r="HV230" s="48"/>
      <c r="HW230" s="37"/>
    </row>
    <row r="231" spans="1:231" ht="18.75" x14ac:dyDescent="0.25">
      <c r="A231" s="374"/>
      <c r="B231" s="41">
        <f t="shared" si="1235"/>
        <v>45117</v>
      </c>
      <c r="C231" s="10"/>
      <c r="D231" s="11"/>
      <c r="E231" s="69">
        <f t="shared" ref="E231:F235" si="1516">E230-C231</f>
        <v>604</v>
      </c>
      <c r="F231" s="69">
        <f t="shared" si="1516"/>
        <v>47</v>
      </c>
      <c r="G231" s="11">
        <v>193</v>
      </c>
      <c r="H231" s="12">
        <f t="shared" si="1476"/>
        <v>0.35264900662251658</v>
      </c>
      <c r="I231" s="11">
        <v>20</v>
      </c>
      <c r="J231" s="12">
        <f t="shared" ref="J231:J236" si="1517">I231/(G231+I231)</f>
        <v>9.3896713615023469E-2</v>
      </c>
      <c r="K231" s="13"/>
      <c r="L231" s="11"/>
      <c r="M231" s="11"/>
      <c r="N231" s="14"/>
      <c r="O231" s="10"/>
      <c r="P231" s="11"/>
      <c r="Q231" s="69">
        <f t="shared" ref="Q231:R236" si="1518">Q230-O231</f>
        <v>613</v>
      </c>
      <c r="R231" s="69">
        <f t="shared" si="1518"/>
        <v>47</v>
      </c>
      <c r="S231" s="11">
        <v>207</v>
      </c>
      <c r="T231" s="12">
        <f t="shared" si="1477"/>
        <v>0.36704730831973897</v>
      </c>
      <c r="U231" s="11">
        <v>18</v>
      </c>
      <c r="V231" s="12">
        <f t="shared" si="1478"/>
        <v>0.08</v>
      </c>
      <c r="W231" s="13"/>
      <c r="X231" s="11"/>
      <c r="Y231" s="11"/>
      <c r="Z231" s="14"/>
      <c r="AA231" s="10"/>
      <c r="AB231" s="11"/>
      <c r="AC231" s="69">
        <f t="shared" ref="AC231:AD236" si="1519">AC230-AA231</f>
        <v>144</v>
      </c>
      <c r="AD231" s="69">
        <f t="shared" si="1519"/>
        <v>11</v>
      </c>
      <c r="AE231" s="11">
        <v>52</v>
      </c>
      <c r="AF231" s="12">
        <f t="shared" si="1479"/>
        <v>0.39583333333333331</v>
      </c>
      <c r="AG231" s="11">
        <v>5</v>
      </c>
      <c r="AH231" s="12">
        <f t="shared" si="1480"/>
        <v>8.771929824561403E-2</v>
      </c>
      <c r="AI231" s="13"/>
      <c r="AJ231" s="11"/>
      <c r="AK231" s="11"/>
      <c r="AL231" s="14"/>
      <c r="AM231" s="10"/>
      <c r="AN231" s="11"/>
      <c r="AO231" s="69">
        <f t="shared" ref="AO231:AP236" si="1520">AO230-AM231</f>
        <v>684</v>
      </c>
      <c r="AP231" s="69">
        <f t="shared" si="1520"/>
        <v>52</v>
      </c>
      <c r="AQ231" s="11">
        <v>245</v>
      </c>
      <c r="AR231" s="12">
        <f t="shared" si="1481"/>
        <v>0.37134502923976609</v>
      </c>
      <c r="AS231" s="11">
        <v>9</v>
      </c>
      <c r="AT231" s="12">
        <f t="shared" si="1482"/>
        <v>3.5433070866141732E-2</v>
      </c>
      <c r="AU231" s="13"/>
      <c r="AV231" s="11"/>
      <c r="AW231" s="11"/>
      <c r="AX231" s="14"/>
      <c r="AY231" s="10"/>
      <c r="AZ231" s="11"/>
      <c r="BA231" s="69">
        <f t="shared" ref="BA231:BB236" si="1521">BA230-AY231</f>
        <v>682</v>
      </c>
      <c r="BB231" s="69">
        <f t="shared" si="1521"/>
        <v>53</v>
      </c>
      <c r="BC231" s="11">
        <v>242</v>
      </c>
      <c r="BD231" s="12">
        <f t="shared" si="1483"/>
        <v>0.39882697947214074</v>
      </c>
      <c r="BE231" s="11">
        <v>30</v>
      </c>
      <c r="BF231" s="12">
        <f t="shared" si="1484"/>
        <v>0.11029411764705882</v>
      </c>
      <c r="BG231" s="13"/>
      <c r="BH231" s="11"/>
      <c r="BI231" s="11"/>
      <c r="BJ231" s="14"/>
      <c r="BK231" s="10"/>
      <c r="BL231" s="11"/>
      <c r="BM231" s="69">
        <f t="shared" ref="BM231:BN236" si="1522">BM230-BK231</f>
        <v>680</v>
      </c>
      <c r="BN231" s="69">
        <f t="shared" si="1522"/>
        <v>53</v>
      </c>
      <c r="BO231" s="11">
        <v>254</v>
      </c>
      <c r="BP231" s="12">
        <f t="shared" si="1485"/>
        <v>0.41029411764705881</v>
      </c>
      <c r="BQ231" s="11">
        <v>25</v>
      </c>
      <c r="BR231" s="12">
        <f t="shared" si="1486"/>
        <v>8.9605734767025089E-2</v>
      </c>
      <c r="BS231" s="13"/>
      <c r="BT231" s="11"/>
      <c r="BU231" s="11"/>
      <c r="BV231" s="14"/>
      <c r="BW231" s="10"/>
      <c r="BX231" s="11"/>
      <c r="BY231" s="69">
        <f t="shared" ref="BY231:BZ236" si="1523">BY230-BW231</f>
        <v>0</v>
      </c>
      <c r="BZ231" s="69">
        <f t="shared" si="1523"/>
        <v>0</v>
      </c>
      <c r="CA231" s="11"/>
      <c r="CB231" s="12" t="e">
        <f t="shared" si="1487"/>
        <v>#DIV/0!</v>
      </c>
      <c r="CC231" s="11"/>
      <c r="CD231" s="12" t="e">
        <f t="shared" si="1488"/>
        <v>#DIV/0!</v>
      </c>
      <c r="CE231" s="13"/>
      <c r="CF231" s="11"/>
      <c r="CG231" s="11"/>
      <c r="CH231" s="14"/>
      <c r="CI231" s="10"/>
      <c r="CJ231" s="11"/>
      <c r="CK231" s="69">
        <f t="shared" ref="CK231:CL236" si="1524">CK230-CI231</f>
        <v>0</v>
      </c>
      <c r="CL231" s="69">
        <f t="shared" si="1524"/>
        <v>0</v>
      </c>
      <c r="CM231" s="11"/>
      <c r="CN231" s="12" t="e">
        <f t="shared" si="1489"/>
        <v>#DIV/0!</v>
      </c>
      <c r="CO231" s="11"/>
      <c r="CP231" s="12" t="e">
        <f t="shared" si="1490"/>
        <v>#DIV/0!</v>
      </c>
      <c r="CQ231" s="13"/>
      <c r="CR231" s="11"/>
      <c r="CS231" s="11"/>
      <c r="CT231" s="14"/>
      <c r="CU231" s="10"/>
      <c r="CV231" s="11"/>
      <c r="CW231" s="69">
        <f t="shared" ref="CW231:CX236" si="1525">CW230-CU231</f>
        <v>0</v>
      </c>
      <c r="CX231" s="69">
        <f t="shared" si="1525"/>
        <v>0</v>
      </c>
      <c r="CY231" s="11"/>
      <c r="CZ231" s="12" t="e">
        <f t="shared" si="1491"/>
        <v>#DIV/0!</v>
      </c>
      <c r="DA231" s="11"/>
      <c r="DB231" s="12" t="e">
        <f t="shared" si="1492"/>
        <v>#DIV/0!</v>
      </c>
      <c r="DC231" s="13"/>
      <c r="DD231" s="11"/>
      <c r="DE231" s="11"/>
      <c r="DF231" s="14"/>
      <c r="DG231" s="10"/>
      <c r="DH231" s="11"/>
      <c r="DI231" s="69">
        <f t="shared" ref="DI231:DJ236" si="1526">DI230-DG231</f>
        <v>0</v>
      </c>
      <c r="DJ231" s="69">
        <f t="shared" si="1526"/>
        <v>0</v>
      </c>
      <c r="DK231" s="11"/>
      <c r="DL231" s="12" t="e">
        <f t="shared" si="1493"/>
        <v>#DIV/0!</v>
      </c>
      <c r="DM231" s="11"/>
      <c r="DN231" s="12" t="e">
        <f t="shared" si="1494"/>
        <v>#DIV/0!</v>
      </c>
      <c r="DO231" s="13"/>
      <c r="DP231" s="11"/>
      <c r="DQ231" s="11"/>
      <c r="DR231" s="14"/>
      <c r="DS231" s="10"/>
      <c r="DT231" s="11"/>
      <c r="DU231" s="69">
        <f t="shared" ref="DU231:DV236" si="1527">DU230-DS231</f>
        <v>0</v>
      </c>
      <c r="DV231" s="69">
        <f t="shared" si="1527"/>
        <v>0</v>
      </c>
      <c r="DW231" s="11"/>
      <c r="DX231" s="12" t="e">
        <f t="shared" si="1495"/>
        <v>#DIV/0!</v>
      </c>
      <c r="DY231" s="11"/>
      <c r="DZ231" s="12" t="e">
        <f t="shared" si="1496"/>
        <v>#DIV/0!</v>
      </c>
      <c r="EA231" s="13"/>
      <c r="EB231" s="11"/>
      <c r="EC231" s="11"/>
      <c r="ED231" s="14"/>
      <c r="EE231" s="10"/>
      <c r="EF231" s="11"/>
      <c r="EG231" s="69">
        <f t="shared" ref="EG231:EH236" si="1528">EG230-EE231</f>
        <v>0</v>
      </c>
      <c r="EH231" s="69">
        <f t="shared" si="1528"/>
        <v>0</v>
      </c>
      <c r="EI231" s="11"/>
      <c r="EJ231" s="12" t="e">
        <f t="shared" si="1497"/>
        <v>#DIV/0!</v>
      </c>
      <c r="EK231" s="11"/>
      <c r="EL231" s="12" t="e">
        <f t="shared" si="1498"/>
        <v>#DIV/0!</v>
      </c>
      <c r="EM231" s="13"/>
      <c r="EN231" s="11"/>
      <c r="EO231" s="11"/>
      <c r="EP231" s="14"/>
      <c r="EQ231" s="10"/>
      <c r="ER231" s="11"/>
      <c r="ES231" s="69">
        <f t="shared" ref="ES231:ET236" si="1529">ES230-EQ231</f>
        <v>0</v>
      </c>
      <c r="ET231" s="69">
        <f t="shared" si="1529"/>
        <v>0</v>
      </c>
      <c r="EU231" s="11"/>
      <c r="EV231" s="12" t="e">
        <f t="shared" si="1499"/>
        <v>#DIV/0!</v>
      </c>
      <c r="EW231" s="11"/>
      <c r="EX231" s="12" t="e">
        <f t="shared" si="1500"/>
        <v>#DIV/0!</v>
      </c>
      <c r="EY231" s="13"/>
      <c r="EZ231" s="11"/>
      <c r="FA231" s="11"/>
      <c r="FB231" s="14"/>
      <c r="FC231" s="10"/>
      <c r="FD231" s="11"/>
      <c r="FE231" s="69">
        <f t="shared" ref="FE231:FF236" si="1530">FE230-FC231</f>
        <v>0</v>
      </c>
      <c r="FF231" s="69">
        <f t="shared" si="1530"/>
        <v>0</v>
      </c>
      <c r="FG231" s="11"/>
      <c r="FH231" s="12" t="e">
        <f t="shared" si="1501"/>
        <v>#DIV/0!</v>
      </c>
      <c r="FI231" s="11"/>
      <c r="FJ231" s="12" t="e">
        <f t="shared" si="1502"/>
        <v>#DIV/0!</v>
      </c>
      <c r="FK231" s="13"/>
      <c r="FL231" s="11"/>
      <c r="FM231" s="11"/>
      <c r="FN231" s="14"/>
      <c r="FO231" s="10"/>
      <c r="FP231" s="11"/>
      <c r="FQ231" s="69">
        <f t="shared" ref="FQ231:FR236" si="1531">FQ230-FO231</f>
        <v>0</v>
      </c>
      <c r="FR231" s="69">
        <f t="shared" si="1531"/>
        <v>0</v>
      </c>
      <c r="FS231" s="11"/>
      <c r="FT231" s="12" t="e">
        <f t="shared" si="1503"/>
        <v>#DIV/0!</v>
      </c>
      <c r="FU231" s="11"/>
      <c r="FV231" s="12" t="e">
        <f t="shared" si="1504"/>
        <v>#DIV/0!</v>
      </c>
      <c r="FW231" s="13"/>
      <c r="FX231" s="11"/>
      <c r="FY231" s="11"/>
      <c r="FZ231" s="14"/>
      <c r="GA231" s="10"/>
      <c r="GB231" s="11"/>
      <c r="GC231" s="69">
        <f t="shared" ref="GC231:GD236" si="1532">GC230-GA231</f>
        <v>0</v>
      </c>
      <c r="GD231" s="69">
        <f t="shared" si="1532"/>
        <v>0</v>
      </c>
      <c r="GE231" s="11"/>
      <c r="GF231" s="12" t="e">
        <f t="shared" si="1505"/>
        <v>#DIV/0!</v>
      </c>
      <c r="GG231" s="11"/>
      <c r="GH231" s="12" t="e">
        <f t="shared" si="1506"/>
        <v>#DIV/0!</v>
      </c>
      <c r="GI231" s="13"/>
      <c r="GJ231" s="11"/>
      <c r="GK231" s="11"/>
      <c r="GL231" s="14"/>
      <c r="GM231" s="10"/>
      <c r="GN231" s="11"/>
      <c r="GO231" s="69">
        <f t="shared" ref="GO231:GP236" si="1533">GO230-GM231</f>
        <v>0</v>
      </c>
      <c r="GP231" s="69">
        <f t="shared" si="1533"/>
        <v>0</v>
      </c>
      <c r="GQ231" s="11"/>
      <c r="GR231" s="12" t="e">
        <f t="shared" si="1507"/>
        <v>#DIV/0!</v>
      </c>
      <c r="GS231" s="11"/>
      <c r="GT231" s="12" t="e">
        <f t="shared" si="1508"/>
        <v>#DIV/0!</v>
      </c>
      <c r="GU231" s="13"/>
      <c r="GV231" s="11"/>
      <c r="GW231" s="11"/>
      <c r="GX231" s="14"/>
      <c r="GY231" s="10"/>
      <c r="GZ231" s="11"/>
      <c r="HA231" s="69">
        <f t="shared" ref="HA231:HB236" si="1534">HA230-GY231</f>
        <v>0</v>
      </c>
      <c r="HB231" s="69">
        <f t="shared" si="1534"/>
        <v>0</v>
      </c>
      <c r="HC231" s="11"/>
      <c r="HD231" s="12" t="e">
        <f t="shared" si="1509"/>
        <v>#DIV/0!</v>
      </c>
      <c r="HE231" s="11"/>
      <c r="HF231" s="12" t="e">
        <f t="shared" si="1510"/>
        <v>#DIV/0!</v>
      </c>
      <c r="HG231" s="13"/>
      <c r="HH231" s="11"/>
      <c r="HI231" s="11"/>
      <c r="HJ231" s="14"/>
      <c r="HK231" s="10">
        <f t="shared" si="1511"/>
        <v>0</v>
      </c>
      <c r="HL231" s="11">
        <f t="shared" si="1511"/>
        <v>0</v>
      </c>
      <c r="HM231" s="11">
        <f t="shared" si="1511"/>
        <v>3407</v>
      </c>
      <c r="HN231" s="11">
        <f t="shared" si="1511"/>
        <v>263</v>
      </c>
      <c r="HO231" s="11">
        <f t="shared" si="1512"/>
        <v>1300</v>
      </c>
      <c r="HP231" s="95">
        <f t="shared" si="1513"/>
        <v>0.38156736131493985</v>
      </c>
      <c r="HQ231" s="15">
        <f t="shared" si="1514"/>
        <v>107</v>
      </c>
      <c r="HR231" s="12">
        <f t="shared" ref="HR231:HR237" si="1535">+(HQ231/(HO231))</f>
        <v>8.2307692307692304E-2</v>
      </c>
      <c r="HS231" s="16">
        <v>70.599999999999994</v>
      </c>
      <c r="HT231" s="17">
        <v>1145</v>
      </c>
      <c r="HU231" s="16">
        <f t="shared" si="1515"/>
        <v>88.07692307692308</v>
      </c>
      <c r="HV231" s="15"/>
      <c r="HW231" s="14"/>
    </row>
    <row r="232" spans="1:231" ht="18.75" x14ac:dyDescent="0.25">
      <c r="A232" s="374"/>
      <c r="B232" s="41">
        <f t="shared" si="1235"/>
        <v>45118</v>
      </c>
      <c r="C232" s="10"/>
      <c r="D232" s="11"/>
      <c r="E232" s="69">
        <f t="shared" si="1516"/>
        <v>604</v>
      </c>
      <c r="F232" s="69">
        <f t="shared" si="1516"/>
        <v>47</v>
      </c>
      <c r="G232" s="11">
        <v>190</v>
      </c>
      <c r="H232" s="12">
        <f t="shared" si="1476"/>
        <v>0.34602649006622516</v>
      </c>
      <c r="I232" s="11">
        <v>19</v>
      </c>
      <c r="J232" s="12">
        <f t="shared" si="1517"/>
        <v>9.0909090909090912E-2</v>
      </c>
      <c r="K232" s="13"/>
      <c r="L232" s="11"/>
      <c r="M232" s="11"/>
      <c r="N232" s="14"/>
      <c r="O232" s="10"/>
      <c r="P232" s="11"/>
      <c r="Q232" s="69">
        <f t="shared" si="1518"/>
        <v>613</v>
      </c>
      <c r="R232" s="69">
        <f t="shared" si="1518"/>
        <v>47</v>
      </c>
      <c r="S232" s="11">
        <v>225</v>
      </c>
      <c r="T232" s="12">
        <f t="shared" si="1477"/>
        <v>0.39641109298531813</v>
      </c>
      <c r="U232" s="11">
        <v>18</v>
      </c>
      <c r="V232" s="12">
        <f t="shared" si="1478"/>
        <v>7.407407407407407E-2</v>
      </c>
      <c r="W232" s="13"/>
      <c r="X232" s="11"/>
      <c r="Y232" s="11"/>
      <c r="Z232" s="14"/>
      <c r="AA232" s="10"/>
      <c r="AB232" s="11"/>
      <c r="AC232" s="69">
        <f t="shared" si="1519"/>
        <v>144</v>
      </c>
      <c r="AD232" s="69">
        <f t="shared" si="1519"/>
        <v>11</v>
      </c>
      <c r="AE232" s="11">
        <v>43</v>
      </c>
      <c r="AF232" s="12">
        <f t="shared" si="1479"/>
        <v>0.33333333333333331</v>
      </c>
      <c r="AG232" s="11">
        <v>5</v>
      </c>
      <c r="AH232" s="12">
        <f t="shared" si="1480"/>
        <v>0.10416666666666667</v>
      </c>
      <c r="AI232" s="13"/>
      <c r="AJ232" s="11"/>
      <c r="AK232" s="11"/>
      <c r="AL232" s="14"/>
      <c r="AM232" s="10">
        <v>1</v>
      </c>
      <c r="AN232" s="11"/>
      <c r="AO232" s="69">
        <f t="shared" si="1520"/>
        <v>683</v>
      </c>
      <c r="AP232" s="69">
        <f t="shared" si="1520"/>
        <v>52</v>
      </c>
      <c r="AQ232" s="11">
        <v>253</v>
      </c>
      <c r="AR232" s="12">
        <f t="shared" si="1481"/>
        <v>0.3923865300146413</v>
      </c>
      <c r="AS232" s="11">
        <v>15</v>
      </c>
      <c r="AT232" s="12">
        <f t="shared" si="1482"/>
        <v>5.5970149253731345E-2</v>
      </c>
      <c r="AU232" s="13"/>
      <c r="AV232" s="11"/>
      <c r="AW232" s="11"/>
      <c r="AX232" s="14"/>
      <c r="AY232" s="10"/>
      <c r="AZ232" s="11"/>
      <c r="BA232" s="69">
        <f t="shared" si="1521"/>
        <v>682</v>
      </c>
      <c r="BB232" s="69">
        <f t="shared" si="1521"/>
        <v>53</v>
      </c>
      <c r="BC232" s="11">
        <v>266</v>
      </c>
      <c r="BD232" s="12">
        <f t="shared" si="1483"/>
        <v>0.41055718475073316</v>
      </c>
      <c r="BE232" s="11">
        <v>14</v>
      </c>
      <c r="BF232" s="12">
        <f t="shared" si="1484"/>
        <v>0.05</v>
      </c>
      <c r="BG232" s="13"/>
      <c r="BH232" s="11"/>
      <c r="BI232" s="11"/>
      <c r="BJ232" s="14"/>
      <c r="BK232" s="10"/>
      <c r="BL232" s="11"/>
      <c r="BM232" s="69">
        <f t="shared" si="1522"/>
        <v>680</v>
      </c>
      <c r="BN232" s="69">
        <f t="shared" si="1522"/>
        <v>53</v>
      </c>
      <c r="BO232" s="11">
        <v>282</v>
      </c>
      <c r="BP232" s="12">
        <f t="shared" si="1485"/>
        <v>0.43823529411764706</v>
      </c>
      <c r="BQ232" s="11">
        <v>16</v>
      </c>
      <c r="BR232" s="12">
        <f t="shared" si="1486"/>
        <v>5.3691275167785234E-2</v>
      </c>
      <c r="BS232" s="13"/>
      <c r="BT232" s="11"/>
      <c r="BU232" s="11"/>
      <c r="BV232" s="14"/>
      <c r="BW232" s="10"/>
      <c r="BX232" s="11"/>
      <c r="BY232" s="69">
        <f t="shared" si="1523"/>
        <v>0</v>
      </c>
      <c r="BZ232" s="69">
        <f t="shared" si="1523"/>
        <v>0</v>
      </c>
      <c r="CA232" s="11"/>
      <c r="CB232" s="12" t="e">
        <f t="shared" si="1487"/>
        <v>#DIV/0!</v>
      </c>
      <c r="CC232" s="11"/>
      <c r="CD232" s="12" t="e">
        <f t="shared" si="1488"/>
        <v>#DIV/0!</v>
      </c>
      <c r="CE232" s="13"/>
      <c r="CF232" s="11"/>
      <c r="CG232" s="11"/>
      <c r="CH232" s="14"/>
      <c r="CI232" s="10"/>
      <c r="CJ232" s="11"/>
      <c r="CK232" s="69">
        <f t="shared" si="1524"/>
        <v>0</v>
      </c>
      <c r="CL232" s="69">
        <f t="shared" si="1524"/>
        <v>0</v>
      </c>
      <c r="CM232" s="11"/>
      <c r="CN232" s="12" t="e">
        <f t="shared" si="1489"/>
        <v>#DIV/0!</v>
      </c>
      <c r="CO232" s="11"/>
      <c r="CP232" s="12" t="e">
        <f t="shared" si="1490"/>
        <v>#DIV/0!</v>
      </c>
      <c r="CQ232" s="13"/>
      <c r="CR232" s="11"/>
      <c r="CS232" s="11"/>
      <c r="CT232" s="14"/>
      <c r="CU232" s="10"/>
      <c r="CV232" s="11"/>
      <c r="CW232" s="69">
        <f t="shared" si="1525"/>
        <v>0</v>
      </c>
      <c r="CX232" s="69">
        <f t="shared" si="1525"/>
        <v>0</v>
      </c>
      <c r="CY232" s="11"/>
      <c r="CZ232" s="12" t="e">
        <f t="shared" si="1491"/>
        <v>#DIV/0!</v>
      </c>
      <c r="DA232" s="11"/>
      <c r="DB232" s="12" t="e">
        <f t="shared" si="1492"/>
        <v>#DIV/0!</v>
      </c>
      <c r="DC232" s="13"/>
      <c r="DD232" s="11"/>
      <c r="DE232" s="11"/>
      <c r="DF232" s="14"/>
      <c r="DG232" s="10"/>
      <c r="DH232" s="11"/>
      <c r="DI232" s="69">
        <f t="shared" si="1526"/>
        <v>0</v>
      </c>
      <c r="DJ232" s="69">
        <f t="shared" si="1526"/>
        <v>0</v>
      </c>
      <c r="DK232" s="11"/>
      <c r="DL232" s="12" t="e">
        <f t="shared" si="1493"/>
        <v>#DIV/0!</v>
      </c>
      <c r="DM232" s="11"/>
      <c r="DN232" s="12" t="e">
        <f t="shared" si="1494"/>
        <v>#DIV/0!</v>
      </c>
      <c r="DO232" s="13"/>
      <c r="DP232" s="11"/>
      <c r="DQ232" s="11"/>
      <c r="DR232" s="14"/>
      <c r="DS232" s="10"/>
      <c r="DT232" s="11"/>
      <c r="DU232" s="69">
        <f t="shared" si="1527"/>
        <v>0</v>
      </c>
      <c r="DV232" s="69">
        <f t="shared" si="1527"/>
        <v>0</v>
      </c>
      <c r="DW232" s="11"/>
      <c r="DX232" s="12" t="e">
        <f t="shared" si="1495"/>
        <v>#DIV/0!</v>
      </c>
      <c r="DY232" s="11"/>
      <c r="DZ232" s="12" t="e">
        <f t="shared" si="1496"/>
        <v>#DIV/0!</v>
      </c>
      <c r="EA232" s="13"/>
      <c r="EB232" s="11"/>
      <c r="EC232" s="11"/>
      <c r="ED232" s="14"/>
      <c r="EE232" s="10"/>
      <c r="EF232" s="11"/>
      <c r="EG232" s="69">
        <f t="shared" si="1528"/>
        <v>0</v>
      </c>
      <c r="EH232" s="69">
        <f t="shared" si="1528"/>
        <v>0</v>
      </c>
      <c r="EI232" s="11"/>
      <c r="EJ232" s="12" t="e">
        <f t="shared" si="1497"/>
        <v>#DIV/0!</v>
      </c>
      <c r="EK232" s="11"/>
      <c r="EL232" s="12" t="e">
        <f t="shared" si="1498"/>
        <v>#DIV/0!</v>
      </c>
      <c r="EM232" s="13"/>
      <c r="EN232" s="11"/>
      <c r="EO232" s="11"/>
      <c r="EP232" s="14"/>
      <c r="EQ232" s="10"/>
      <c r="ER232" s="11"/>
      <c r="ES232" s="69">
        <f t="shared" si="1529"/>
        <v>0</v>
      </c>
      <c r="ET232" s="69">
        <f t="shared" si="1529"/>
        <v>0</v>
      </c>
      <c r="EU232" s="11"/>
      <c r="EV232" s="12" t="e">
        <f t="shared" si="1499"/>
        <v>#DIV/0!</v>
      </c>
      <c r="EW232" s="11"/>
      <c r="EX232" s="12" t="e">
        <f t="shared" si="1500"/>
        <v>#DIV/0!</v>
      </c>
      <c r="EY232" s="13"/>
      <c r="EZ232" s="11"/>
      <c r="FA232" s="11"/>
      <c r="FB232" s="14"/>
      <c r="FC232" s="10"/>
      <c r="FD232" s="11"/>
      <c r="FE232" s="69">
        <f t="shared" si="1530"/>
        <v>0</v>
      </c>
      <c r="FF232" s="69">
        <f t="shared" si="1530"/>
        <v>0</v>
      </c>
      <c r="FG232" s="11"/>
      <c r="FH232" s="12" t="e">
        <f t="shared" si="1501"/>
        <v>#DIV/0!</v>
      </c>
      <c r="FI232" s="11"/>
      <c r="FJ232" s="12" t="e">
        <f t="shared" si="1502"/>
        <v>#DIV/0!</v>
      </c>
      <c r="FK232" s="13"/>
      <c r="FL232" s="11"/>
      <c r="FM232" s="11"/>
      <c r="FN232" s="14"/>
      <c r="FO232" s="10"/>
      <c r="FP232" s="11"/>
      <c r="FQ232" s="69">
        <f t="shared" si="1531"/>
        <v>0</v>
      </c>
      <c r="FR232" s="69">
        <f t="shared" si="1531"/>
        <v>0</v>
      </c>
      <c r="FS232" s="11"/>
      <c r="FT232" s="12" t="e">
        <f t="shared" si="1503"/>
        <v>#DIV/0!</v>
      </c>
      <c r="FU232" s="11"/>
      <c r="FV232" s="12" t="e">
        <f t="shared" si="1504"/>
        <v>#DIV/0!</v>
      </c>
      <c r="FW232" s="13"/>
      <c r="FX232" s="11"/>
      <c r="FY232" s="11"/>
      <c r="FZ232" s="14"/>
      <c r="GA232" s="10"/>
      <c r="GB232" s="11"/>
      <c r="GC232" s="69">
        <f t="shared" si="1532"/>
        <v>0</v>
      </c>
      <c r="GD232" s="69">
        <f t="shared" si="1532"/>
        <v>0</v>
      </c>
      <c r="GE232" s="11"/>
      <c r="GF232" s="12" t="e">
        <f t="shared" si="1505"/>
        <v>#DIV/0!</v>
      </c>
      <c r="GG232" s="11"/>
      <c r="GH232" s="12" t="e">
        <f t="shared" si="1506"/>
        <v>#DIV/0!</v>
      </c>
      <c r="GI232" s="13"/>
      <c r="GJ232" s="11"/>
      <c r="GK232" s="11"/>
      <c r="GL232" s="14"/>
      <c r="GM232" s="10"/>
      <c r="GN232" s="11"/>
      <c r="GO232" s="69">
        <f t="shared" si="1533"/>
        <v>0</v>
      </c>
      <c r="GP232" s="69">
        <f t="shared" si="1533"/>
        <v>0</v>
      </c>
      <c r="GQ232" s="11"/>
      <c r="GR232" s="12" t="e">
        <f t="shared" si="1507"/>
        <v>#DIV/0!</v>
      </c>
      <c r="GS232" s="11"/>
      <c r="GT232" s="12" t="e">
        <f t="shared" si="1508"/>
        <v>#DIV/0!</v>
      </c>
      <c r="GU232" s="13"/>
      <c r="GV232" s="11"/>
      <c r="GW232" s="11"/>
      <c r="GX232" s="14"/>
      <c r="GY232" s="10"/>
      <c r="GZ232" s="11"/>
      <c r="HA232" s="69">
        <f t="shared" si="1534"/>
        <v>0</v>
      </c>
      <c r="HB232" s="69">
        <f t="shared" si="1534"/>
        <v>0</v>
      </c>
      <c r="HC232" s="11"/>
      <c r="HD232" s="12" t="e">
        <f t="shared" si="1509"/>
        <v>#DIV/0!</v>
      </c>
      <c r="HE232" s="11"/>
      <c r="HF232" s="12" t="e">
        <f t="shared" si="1510"/>
        <v>#DIV/0!</v>
      </c>
      <c r="HG232" s="13"/>
      <c r="HH232" s="11"/>
      <c r="HI232" s="11"/>
      <c r="HJ232" s="14"/>
      <c r="HK232" s="10">
        <f t="shared" si="1511"/>
        <v>1</v>
      </c>
      <c r="HL232" s="11">
        <f t="shared" si="1511"/>
        <v>0</v>
      </c>
      <c r="HM232" s="11">
        <f t="shared" si="1511"/>
        <v>3406</v>
      </c>
      <c r="HN232" s="11">
        <f t="shared" si="1511"/>
        <v>263</v>
      </c>
      <c r="HO232" s="11">
        <f t="shared" si="1512"/>
        <v>1346</v>
      </c>
      <c r="HP232" s="95">
        <f t="shared" si="1513"/>
        <v>0.39518496770405165</v>
      </c>
      <c r="HQ232" s="15">
        <f t="shared" si="1514"/>
        <v>87</v>
      </c>
      <c r="HR232" s="12">
        <f t="shared" si="1535"/>
        <v>6.4635958395245177E-2</v>
      </c>
      <c r="HS232" s="16">
        <v>71.099999999999994</v>
      </c>
      <c r="HT232" s="17">
        <v>1212</v>
      </c>
      <c r="HU232" s="16">
        <f t="shared" si="1515"/>
        <v>90.044576523031211</v>
      </c>
      <c r="HV232" s="15"/>
      <c r="HW232" s="14"/>
    </row>
    <row r="233" spans="1:231" ht="18.75" x14ac:dyDescent="0.25">
      <c r="A233" s="374"/>
      <c r="B233" s="41">
        <f t="shared" si="1235"/>
        <v>45119</v>
      </c>
      <c r="C233" s="10"/>
      <c r="D233" s="11"/>
      <c r="E233" s="69">
        <f t="shared" si="1516"/>
        <v>604</v>
      </c>
      <c r="F233" s="69">
        <f t="shared" si="1516"/>
        <v>47</v>
      </c>
      <c r="G233" s="11">
        <v>213</v>
      </c>
      <c r="H233" s="12">
        <f t="shared" si="1476"/>
        <v>0.39900662251655628</v>
      </c>
      <c r="I233" s="11">
        <v>28</v>
      </c>
      <c r="J233" s="12">
        <f t="shared" si="1517"/>
        <v>0.11618257261410789</v>
      </c>
      <c r="K233" s="11"/>
      <c r="L233" s="11"/>
      <c r="M233" s="18"/>
      <c r="N233" s="20"/>
      <c r="O233" s="10"/>
      <c r="P233" s="11"/>
      <c r="Q233" s="69">
        <f t="shared" si="1518"/>
        <v>613</v>
      </c>
      <c r="R233" s="69">
        <f t="shared" si="1518"/>
        <v>47</v>
      </c>
      <c r="S233" s="11">
        <v>200</v>
      </c>
      <c r="T233" s="12">
        <f t="shared" si="1477"/>
        <v>0.35562805872756931</v>
      </c>
      <c r="U233" s="11">
        <v>18</v>
      </c>
      <c r="V233" s="12">
        <f t="shared" si="1478"/>
        <v>8.2568807339449546E-2</v>
      </c>
      <c r="W233" s="11"/>
      <c r="X233" s="11"/>
      <c r="Y233" s="18"/>
      <c r="Z233" s="20"/>
      <c r="AA233" s="10"/>
      <c r="AB233" s="11"/>
      <c r="AC233" s="69">
        <f t="shared" si="1519"/>
        <v>144</v>
      </c>
      <c r="AD233" s="69">
        <f t="shared" si="1519"/>
        <v>11</v>
      </c>
      <c r="AE233" s="11">
        <v>49</v>
      </c>
      <c r="AF233" s="12">
        <f t="shared" si="1479"/>
        <v>0.35416666666666669</v>
      </c>
      <c r="AG233" s="11">
        <v>2</v>
      </c>
      <c r="AH233" s="12">
        <f t="shared" si="1480"/>
        <v>3.9215686274509803E-2</v>
      </c>
      <c r="AI233" s="11"/>
      <c r="AJ233" s="11"/>
      <c r="AK233" s="18"/>
      <c r="AL233" s="20"/>
      <c r="AM233" s="10">
        <v>1</v>
      </c>
      <c r="AN233" s="11"/>
      <c r="AO233" s="69">
        <f t="shared" si="1520"/>
        <v>682</v>
      </c>
      <c r="AP233" s="69">
        <f t="shared" si="1520"/>
        <v>52</v>
      </c>
      <c r="AQ233" s="11">
        <v>251</v>
      </c>
      <c r="AR233" s="12">
        <f t="shared" si="1481"/>
        <v>0.38709677419354838</v>
      </c>
      <c r="AS233" s="11">
        <v>13</v>
      </c>
      <c r="AT233" s="12">
        <f t="shared" si="1482"/>
        <v>4.924242424242424E-2</v>
      </c>
      <c r="AU233" s="11"/>
      <c r="AV233" s="11"/>
      <c r="AW233" s="18"/>
      <c r="AX233" s="20"/>
      <c r="AY233" s="10">
        <v>1</v>
      </c>
      <c r="AZ233" s="11"/>
      <c r="BA233" s="69">
        <f t="shared" si="1521"/>
        <v>681</v>
      </c>
      <c r="BB233" s="69">
        <f t="shared" si="1521"/>
        <v>53</v>
      </c>
      <c r="BC233" s="11">
        <v>231</v>
      </c>
      <c r="BD233" s="12">
        <f t="shared" si="1483"/>
        <v>0.35095447870778268</v>
      </c>
      <c r="BE233" s="11">
        <v>8</v>
      </c>
      <c r="BF233" s="12">
        <f t="shared" si="1484"/>
        <v>3.3472803347280332E-2</v>
      </c>
      <c r="BG233" s="11"/>
      <c r="BH233" s="11"/>
      <c r="BI233" s="18"/>
      <c r="BJ233" s="20"/>
      <c r="BK233" s="10"/>
      <c r="BL233" s="11"/>
      <c r="BM233" s="69">
        <f t="shared" si="1522"/>
        <v>680</v>
      </c>
      <c r="BN233" s="69">
        <f t="shared" si="1522"/>
        <v>53</v>
      </c>
      <c r="BO233" s="11">
        <v>258</v>
      </c>
      <c r="BP233" s="12">
        <f t="shared" si="1485"/>
        <v>0.39558823529411763</v>
      </c>
      <c r="BQ233" s="11">
        <v>11</v>
      </c>
      <c r="BR233" s="12">
        <f t="shared" si="1486"/>
        <v>4.0892193308550186E-2</v>
      </c>
      <c r="BS233" s="11"/>
      <c r="BT233" s="11"/>
      <c r="BU233" s="18"/>
      <c r="BV233" s="20"/>
      <c r="BW233" s="10"/>
      <c r="BX233" s="11"/>
      <c r="BY233" s="69">
        <f t="shared" si="1523"/>
        <v>0</v>
      </c>
      <c r="BZ233" s="69">
        <f t="shared" si="1523"/>
        <v>0</v>
      </c>
      <c r="CA233" s="11"/>
      <c r="CB233" s="12" t="e">
        <f t="shared" si="1487"/>
        <v>#DIV/0!</v>
      </c>
      <c r="CC233" s="11"/>
      <c r="CD233" s="12" t="e">
        <f t="shared" si="1488"/>
        <v>#DIV/0!</v>
      </c>
      <c r="CE233" s="11"/>
      <c r="CF233" s="11"/>
      <c r="CG233" s="18"/>
      <c r="CH233" s="20"/>
      <c r="CI233" s="10"/>
      <c r="CJ233" s="11"/>
      <c r="CK233" s="69">
        <f t="shared" si="1524"/>
        <v>0</v>
      </c>
      <c r="CL233" s="69">
        <f t="shared" si="1524"/>
        <v>0</v>
      </c>
      <c r="CM233" s="11"/>
      <c r="CN233" s="12" t="e">
        <f t="shared" si="1489"/>
        <v>#DIV/0!</v>
      </c>
      <c r="CO233" s="11"/>
      <c r="CP233" s="12" t="e">
        <f t="shared" si="1490"/>
        <v>#DIV/0!</v>
      </c>
      <c r="CQ233" s="11"/>
      <c r="CR233" s="11"/>
      <c r="CS233" s="18"/>
      <c r="CT233" s="20"/>
      <c r="CU233" s="10"/>
      <c r="CV233" s="11"/>
      <c r="CW233" s="69">
        <f t="shared" si="1525"/>
        <v>0</v>
      </c>
      <c r="CX233" s="69">
        <f t="shared" si="1525"/>
        <v>0</v>
      </c>
      <c r="CY233" s="11"/>
      <c r="CZ233" s="12" t="e">
        <f t="shared" si="1491"/>
        <v>#DIV/0!</v>
      </c>
      <c r="DA233" s="11"/>
      <c r="DB233" s="12" t="e">
        <f t="shared" si="1492"/>
        <v>#DIV/0!</v>
      </c>
      <c r="DC233" s="11"/>
      <c r="DD233" s="11"/>
      <c r="DE233" s="18"/>
      <c r="DF233" s="20"/>
      <c r="DG233" s="10"/>
      <c r="DH233" s="11"/>
      <c r="DI233" s="69">
        <f t="shared" si="1526"/>
        <v>0</v>
      </c>
      <c r="DJ233" s="69">
        <f t="shared" si="1526"/>
        <v>0</v>
      </c>
      <c r="DK233" s="11"/>
      <c r="DL233" s="12" t="e">
        <f t="shared" si="1493"/>
        <v>#DIV/0!</v>
      </c>
      <c r="DM233" s="11"/>
      <c r="DN233" s="12" t="e">
        <f t="shared" si="1494"/>
        <v>#DIV/0!</v>
      </c>
      <c r="DO233" s="11"/>
      <c r="DP233" s="11"/>
      <c r="DQ233" s="18"/>
      <c r="DR233" s="20"/>
      <c r="DS233" s="10"/>
      <c r="DT233" s="11"/>
      <c r="DU233" s="69">
        <f t="shared" si="1527"/>
        <v>0</v>
      </c>
      <c r="DV233" s="69">
        <f t="shared" si="1527"/>
        <v>0</v>
      </c>
      <c r="DW233" s="11"/>
      <c r="DX233" s="12" t="e">
        <f t="shared" si="1495"/>
        <v>#DIV/0!</v>
      </c>
      <c r="DY233" s="11"/>
      <c r="DZ233" s="12" t="e">
        <f t="shared" si="1496"/>
        <v>#DIV/0!</v>
      </c>
      <c r="EA233" s="11"/>
      <c r="EB233" s="11"/>
      <c r="EC233" s="18"/>
      <c r="ED233" s="20"/>
      <c r="EE233" s="10"/>
      <c r="EF233" s="11"/>
      <c r="EG233" s="69">
        <f t="shared" si="1528"/>
        <v>0</v>
      </c>
      <c r="EH233" s="69">
        <f t="shared" si="1528"/>
        <v>0</v>
      </c>
      <c r="EI233" s="11"/>
      <c r="EJ233" s="12" t="e">
        <f t="shared" si="1497"/>
        <v>#DIV/0!</v>
      </c>
      <c r="EK233" s="11"/>
      <c r="EL233" s="12" t="e">
        <f t="shared" si="1498"/>
        <v>#DIV/0!</v>
      </c>
      <c r="EM233" s="11"/>
      <c r="EN233" s="11"/>
      <c r="EO233" s="18"/>
      <c r="EP233" s="20"/>
      <c r="EQ233" s="10"/>
      <c r="ER233" s="11"/>
      <c r="ES233" s="69">
        <f t="shared" si="1529"/>
        <v>0</v>
      </c>
      <c r="ET233" s="69">
        <f t="shared" si="1529"/>
        <v>0</v>
      </c>
      <c r="EU233" s="11"/>
      <c r="EV233" s="12" t="e">
        <f t="shared" si="1499"/>
        <v>#DIV/0!</v>
      </c>
      <c r="EW233" s="11"/>
      <c r="EX233" s="12" t="e">
        <f t="shared" si="1500"/>
        <v>#DIV/0!</v>
      </c>
      <c r="EY233" s="11"/>
      <c r="EZ233" s="11"/>
      <c r="FA233" s="18"/>
      <c r="FB233" s="20"/>
      <c r="FC233" s="10"/>
      <c r="FD233" s="11"/>
      <c r="FE233" s="69">
        <f t="shared" si="1530"/>
        <v>0</v>
      </c>
      <c r="FF233" s="69">
        <f t="shared" si="1530"/>
        <v>0</v>
      </c>
      <c r="FG233" s="11"/>
      <c r="FH233" s="12" t="e">
        <f t="shared" si="1501"/>
        <v>#DIV/0!</v>
      </c>
      <c r="FI233" s="11"/>
      <c r="FJ233" s="12" t="e">
        <f t="shared" si="1502"/>
        <v>#DIV/0!</v>
      </c>
      <c r="FK233" s="11"/>
      <c r="FL233" s="11"/>
      <c r="FM233" s="18"/>
      <c r="FN233" s="20"/>
      <c r="FO233" s="10"/>
      <c r="FP233" s="11"/>
      <c r="FQ233" s="69">
        <f t="shared" si="1531"/>
        <v>0</v>
      </c>
      <c r="FR233" s="69">
        <f t="shared" si="1531"/>
        <v>0</v>
      </c>
      <c r="FS233" s="11"/>
      <c r="FT233" s="12" t="e">
        <f t="shared" si="1503"/>
        <v>#DIV/0!</v>
      </c>
      <c r="FU233" s="11"/>
      <c r="FV233" s="12" t="e">
        <f t="shared" si="1504"/>
        <v>#DIV/0!</v>
      </c>
      <c r="FW233" s="11"/>
      <c r="FX233" s="11"/>
      <c r="FY233" s="18"/>
      <c r="FZ233" s="20"/>
      <c r="GA233" s="10"/>
      <c r="GB233" s="11"/>
      <c r="GC233" s="69">
        <f t="shared" si="1532"/>
        <v>0</v>
      </c>
      <c r="GD233" s="69">
        <f t="shared" si="1532"/>
        <v>0</v>
      </c>
      <c r="GE233" s="11"/>
      <c r="GF233" s="12" t="e">
        <f t="shared" si="1505"/>
        <v>#DIV/0!</v>
      </c>
      <c r="GG233" s="11"/>
      <c r="GH233" s="12" t="e">
        <f t="shared" si="1506"/>
        <v>#DIV/0!</v>
      </c>
      <c r="GI233" s="11"/>
      <c r="GJ233" s="11"/>
      <c r="GK233" s="18"/>
      <c r="GL233" s="20"/>
      <c r="GM233" s="10"/>
      <c r="GN233" s="11"/>
      <c r="GO233" s="69">
        <f t="shared" si="1533"/>
        <v>0</v>
      </c>
      <c r="GP233" s="69">
        <f t="shared" si="1533"/>
        <v>0</v>
      </c>
      <c r="GQ233" s="11"/>
      <c r="GR233" s="12" t="e">
        <f t="shared" si="1507"/>
        <v>#DIV/0!</v>
      </c>
      <c r="GS233" s="11"/>
      <c r="GT233" s="12" t="e">
        <f t="shared" si="1508"/>
        <v>#DIV/0!</v>
      </c>
      <c r="GU233" s="11"/>
      <c r="GV233" s="11"/>
      <c r="GW233" s="18"/>
      <c r="GX233" s="20"/>
      <c r="GY233" s="10"/>
      <c r="GZ233" s="11"/>
      <c r="HA233" s="69">
        <f t="shared" si="1534"/>
        <v>0</v>
      </c>
      <c r="HB233" s="69">
        <f t="shared" si="1534"/>
        <v>0</v>
      </c>
      <c r="HC233" s="11"/>
      <c r="HD233" s="12" t="e">
        <f t="shared" si="1509"/>
        <v>#DIV/0!</v>
      </c>
      <c r="HE233" s="11"/>
      <c r="HF233" s="12" t="e">
        <f t="shared" si="1510"/>
        <v>#DIV/0!</v>
      </c>
      <c r="HG233" s="11"/>
      <c r="HH233" s="11"/>
      <c r="HI233" s="18"/>
      <c r="HJ233" s="20"/>
      <c r="HK233" s="10">
        <f t="shared" si="1511"/>
        <v>2</v>
      </c>
      <c r="HL233" s="11">
        <f t="shared" si="1511"/>
        <v>0</v>
      </c>
      <c r="HM233" s="11">
        <f t="shared" si="1511"/>
        <v>3404</v>
      </c>
      <c r="HN233" s="11">
        <f t="shared" si="1511"/>
        <v>263</v>
      </c>
      <c r="HO233" s="11">
        <f t="shared" si="1512"/>
        <v>1282</v>
      </c>
      <c r="HP233" s="95">
        <f t="shared" si="1513"/>
        <v>0.37661574618096355</v>
      </c>
      <c r="HQ233" s="15">
        <f t="shared" si="1514"/>
        <v>80</v>
      </c>
      <c r="HR233" s="12">
        <f t="shared" si="1535"/>
        <v>6.2402496099843996E-2</v>
      </c>
      <c r="HS233" s="16">
        <v>70.7</v>
      </c>
      <c r="HT233" s="17">
        <v>1145</v>
      </c>
      <c r="HU233" s="16">
        <f t="shared" si="1515"/>
        <v>89.313572542901724</v>
      </c>
      <c r="HV233" s="18"/>
      <c r="HW233" s="20"/>
    </row>
    <row r="234" spans="1:231" ht="18.75" x14ac:dyDescent="0.25">
      <c r="A234" s="374"/>
      <c r="B234" s="41">
        <f t="shared" si="1235"/>
        <v>45120</v>
      </c>
      <c r="C234" s="10">
        <v>1</v>
      </c>
      <c r="D234" s="11"/>
      <c r="E234" s="69">
        <f t="shared" si="1516"/>
        <v>603</v>
      </c>
      <c r="F234" s="69">
        <f t="shared" si="1516"/>
        <v>47</v>
      </c>
      <c r="G234" s="11">
        <v>233</v>
      </c>
      <c r="H234" s="12">
        <f t="shared" si="1476"/>
        <v>0.41625207296849087</v>
      </c>
      <c r="I234" s="11">
        <v>18</v>
      </c>
      <c r="J234" s="12">
        <f t="shared" si="1517"/>
        <v>7.1713147410358571E-2</v>
      </c>
      <c r="K234" s="13"/>
      <c r="L234" s="13"/>
      <c r="M234" s="25">
        <v>4265</v>
      </c>
      <c r="N234" s="38">
        <v>4660</v>
      </c>
      <c r="O234" s="10">
        <v>1</v>
      </c>
      <c r="P234" s="11"/>
      <c r="Q234" s="69">
        <f t="shared" si="1518"/>
        <v>612</v>
      </c>
      <c r="R234" s="69">
        <f t="shared" si="1518"/>
        <v>47</v>
      </c>
      <c r="S234" s="11">
        <v>233</v>
      </c>
      <c r="T234" s="12">
        <f t="shared" si="1477"/>
        <v>0.40196078431372551</v>
      </c>
      <c r="U234" s="11">
        <v>13</v>
      </c>
      <c r="V234" s="12">
        <f t="shared" si="1478"/>
        <v>5.2845528455284556E-2</v>
      </c>
      <c r="W234" s="13"/>
      <c r="X234" s="13"/>
      <c r="Y234" s="25">
        <v>4265</v>
      </c>
      <c r="Z234" s="38">
        <v>4660</v>
      </c>
      <c r="AA234" s="10"/>
      <c r="AB234" s="11"/>
      <c r="AC234" s="69">
        <f t="shared" si="1519"/>
        <v>144</v>
      </c>
      <c r="AD234" s="69">
        <f t="shared" si="1519"/>
        <v>11</v>
      </c>
      <c r="AE234" s="11">
        <v>46</v>
      </c>
      <c r="AF234" s="12">
        <f t="shared" si="1479"/>
        <v>0.3611111111111111</v>
      </c>
      <c r="AG234" s="11">
        <v>6</v>
      </c>
      <c r="AH234" s="12">
        <f t="shared" si="1480"/>
        <v>0.11538461538461539</v>
      </c>
      <c r="AI234" s="13"/>
      <c r="AJ234" s="13"/>
      <c r="AK234" s="25">
        <v>4265</v>
      </c>
      <c r="AL234" s="38">
        <v>4660</v>
      </c>
      <c r="AM234" s="10"/>
      <c r="AN234" s="11"/>
      <c r="AO234" s="69">
        <f t="shared" si="1520"/>
        <v>682</v>
      </c>
      <c r="AP234" s="69">
        <f t="shared" si="1520"/>
        <v>52</v>
      </c>
      <c r="AQ234" s="11">
        <v>243</v>
      </c>
      <c r="AR234" s="12">
        <f t="shared" si="1481"/>
        <v>0.38856304985337242</v>
      </c>
      <c r="AS234" s="11">
        <v>22</v>
      </c>
      <c r="AT234" s="12">
        <f t="shared" si="1482"/>
        <v>8.3018867924528297E-2</v>
      </c>
      <c r="AU234" s="13"/>
      <c r="AV234" s="13"/>
      <c r="AW234" s="25">
        <v>4265</v>
      </c>
      <c r="AX234" s="38">
        <v>4660</v>
      </c>
      <c r="AY234" s="10"/>
      <c r="AZ234" s="11"/>
      <c r="BA234" s="69">
        <f t="shared" si="1521"/>
        <v>681</v>
      </c>
      <c r="BB234" s="69">
        <f t="shared" si="1521"/>
        <v>53</v>
      </c>
      <c r="BC234" s="11">
        <v>240</v>
      </c>
      <c r="BD234" s="12">
        <f t="shared" si="1483"/>
        <v>0.37298091042584436</v>
      </c>
      <c r="BE234" s="11">
        <v>14</v>
      </c>
      <c r="BF234" s="12">
        <f t="shared" si="1484"/>
        <v>5.5118110236220472E-2</v>
      </c>
      <c r="BG234" s="13"/>
      <c r="BH234" s="13"/>
      <c r="BI234" s="25">
        <v>4265</v>
      </c>
      <c r="BJ234" s="38">
        <v>4660</v>
      </c>
      <c r="BK234" s="10"/>
      <c r="BL234" s="11"/>
      <c r="BM234" s="69">
        <f t="shared" si="1522"/>
        <v>680</v>
      </c>
      <c r="BN234" s="69">
        <f t="shared" si="1522"/>
        <v>53</v>
      </c>
      <c r="BO234" s="11">
        <v>257</v>
      </c>
      <c r="BP234" s="12">
        <f t="shared" si="1485"/>
        <v>0.38970588235294118</v>
      </c>
      <c r="BQ234" s="11">
        <v>8</v>
      </c>
      <c r="BR234" s="12">
        <f t="shared" si="1486"/>
        <v>3.0188679245283019E-2</v>
      </c>
      <c r="BS234" s="13"/>
      <c r="BT234" s="13"/>
      <c r="BU234" s="25">
        <v>4265</v>
      </c>
      <c r="BV234" s="38">
        <v>4660</v>
      </c>
      <c r="BW234" s="10"/>
      <c r="BX234" s="11"/>
      <c r="BY234" s="69">
        <f t="shared" si="1523"/>
        <v>0</v>
      </c>
      <c r="BZ234" s="69">
        <f t="shared" si="1523"/>
        <v>0</v>
      </c>
      <c r="CA234" s="11"/>
      <c r="CB234" s="12" t="e">
        <f t="shared" si="1487"/>
        <v>#DIV/0!</v>
      </c>
      <c r="CC234" s="11"/>
      <c r="CD234" s="12" t="e">
        <f t="shared" si="1488"/>
        <v>#DIV/0!</v>
      </c>
      <c r="CE234" s="13"/>
      <c r="CF234" s="13"/>
      <c r="CG234" s="25"/>
      <c r="CH234" s="38"/>
      <c r="CI234" s="10"/>
      <c r="CJ234" s="11"/>
      <c r="CK234" s="69">
        <f t="shared" si="1524"/>
        <v>0</v>
      </c>
      <c r="CL234" s="69">
        <f t="shared" si="1524"/>
        <v>0</v>
      </c>
      <c r="CM234" s="11"/>
      <c r="CN234" s="12" t="e">
        <f t="shared" si="1489"/>
        <v>#DIV/0!</v>
      </c>
      <c r="CO234" s="11"/>
      <c r="CP234" s="12" t="e">
        <f t="shared" si="1490"/>
        <v>#DIV/0!</v>
      </c>
      <c r="CQ234" s="13"/>
      <c r="CR234" s="13"/>
      <c r="CS234" s="25"/>
      <c r="CT234" s="38"/>
      <c r="CU234" s="10"/>
      <c r="CV234" s="11"/>
      <c r="CW234" s="69">
        <f t="shared" si="1525"/>
        <v>0</v>
      </c>
      <c r="CX234" s="69">
        <f t="shared" si="1525"/>
        <v>0</v>
      </c>
      <c r="CY234" s="11"/>
      <c r="CZ234" s="12" t="e">
        <f t="shared" si="1491"/>
        <v>#DIV/0!</v>
      </c>
      <c r="DA234" s="11"/>
      <c r="DB234" s="12" t="e">
        <f t="shared" si="1492"/>
        <v>#DIV/0!</v>
      </c>
      <c r="DC234" s="13"/>
      <c r="DD234" s="13"/>
      <c r="DE234" s="25"/>
      <c r="DF234" s="38"/>
      <c r="DG234" s="10"/>
      <c r="DH234" s="11"/>
      <c r="DI234" s="69">
        <f t="shared" si="1526"/>
        <v>0</v>
      </c>
      <c r="DJ234" s="69">
        <f t="shared" si="1526"/>
        <v>0</v>
      </c>
      <c r="DK234" s="11"/>
      <c r="DL234" s="12" t="e">
        <f t="shared" si="1493"/>
        <v>#DIV/0!</v>
      </c>
      <c r="DM234" s="11"/>
      <c r="DN234" s="12" t="e">
        <f t="shared" si="1494"/>
        <v>#DIV/0!</v>
      </c>
      <c r="DO234" s="13"/>
      <c r="DP234" s="13"/>
      <c r="DQ234" s="25"/>
      <c r="DR234" s="38"/>
      <c r="DS234" s="10"/>
      <c r="DT234" s="11"/>
      <c r="DU234" s="69">
        <f t="shared" si="1527"/>
        <v>0</v>
      </c>
      <c r="DV234" s="69">
        <f t="shared" si="1527"/>
        <v>0</v>
      </c>
      <c r="DW234" s="11"/>
      <c r="DX234" s="12" t="e">
        <f t="shared" si="1495"/>
        <v>#DIV/0!</v>
      </c>
      <c r="DY234" s="11"/>
      <c r="DZ234" s="12" t="e">
        <f t="shared" si="1496"/>
        <v>#DIV/0!</v>
      </c>
      <c r="EA234" s="13"/>
      <c r="EB234" s="13"/>
      <c r="EC234" s="25"/>
      <c r="ED234" s="38"/>
      <c r="EE234" s="10"/>
      <c r="EF234" s="11"/>
      <c r="EG234" s="69">
        <f t="shared" si="1528"/>
        <v>0</v>
      </c>
      <c r="EH234" s="69">
        <f t="shared" si="1528"/>
        <v>0</v>
      </c>
      <c r="EI234" s="11"/>
      <c r="EJ234" s="12" t="e">
        <f t="shared" si="1497"/>
        <v>#DIV/0!</v>
      </c>
      <c r="EK234" s="11"/>
      <c r="EL234" s="12" t="e">
        <f t="shared" si="1498"/>
        <v>#DIV/0!</v>
      </c>
      <c r="EM234" s="13"/>
      <c r="EN234" s="13"/>
      <c r="EO234" s="25"/>
      <c r="EP234" s="38"/>
      <c r="EQ234" s="10"/>
      <c r="ER234" s="11"/>
      <c r="ES234" s="69">
        <f t="shared" si="1529"/>
        <v>0</v>
      </c>
      <c r="ET234" s="69">
        <f t="shared" si="1529"/>
        <v>0</v>
      </c>
      <c r="EU234" s="11"/>
      <c r="EV234" s="12" t="e">
        <f t="shared" si="1499"/>
        <v>#DIV/0!</v>
      </c>
      <c r="EW234" s="11"/>
      <c r="EX234" s="12" t="e">
        <f t="shared" si="1500"/>
        <v>#DIV/0!</v>
      </c>
      <c r="EY234" s="13"/>
      <c r="EZ234" s="13"/>
      <c r="FA234" s="25"/>
      <c r="FB234" s="38"/>
      <c r="FC234" s="10"/>
      <c r="FD234" s="11"/>
      <c r="FE234" s="69">
        <f t="shared" si="1530"/>
        <v>0</v>
      </c>
      <c r="FF234" s="69">
        <f t="shared" si="1530"/>
        <v>0</v>
      </c>
      <c r="FG234" s="11"/>
      <c r="FH234" s="12" t="e">
        <f t="shared" si="1501"/>
        <v>#DIV/0!</v>
      </c>
      <c r="FI234" s="11"/>
      <c r="FJ234" s="12" t="e">
        <f t="shared" si="1502"/>
        <v>#DIV/0!</v>
      </c>
      <c r="FK234" s="13"/>
      <c r="FL234" s="13"/>
      <c r="FM234" s="25"/>
      <c r="FN234" s="38"/>
      <c r="FO234" s="10"/>
      <c r="FP234" s="11"/>
      <c r="FQ234" s="69">
        <f t="shared" si="1531"/>
        <v>0</v>
      </c>
      <c r="FR234" s="69">
        <f t="shared" si="1531"/>
        <v>0</v>
      </c>
      <c r="FS234" s="11"/>
      <c r="FT234" s="12" t="e">
        <f t="shared" si="1503"/>
        <v>#DIV/0!</v>
      </c>
      <c r="FU234" s="11"/>
      <c r="FV234" s="12" t="e">
        <f t="shared" si="1504"/>
        <v>#DIV/0!</v>
      </c>
      <c r="FW234" s="13"/>
      <c r="FX234" s="13"/>
      <c r="FY234" s="25"/>
      <c r="FZ234" s="38"/>
      <c r="GA234" s="10"/>
      <c r="GB234" s="11"/>
      <c r="GC234" s="69">
        <f t="shared" si="1532"/>
        <v>0</v>
      </c>
      <c r="GD234" s="69">
        <f t="shared" si="1532"/>
        <v>0</v>
      </c>
      <c r="GE234" s="11"/>
      <c r="GF234" s="12" t="e">
        <f t="shared" si="1505"/>
        <v>#DIV/0!</v>
      </c>
      <c r="GG234" s="11"/>
      <c r="GH234" s="12" t="e">
        <f t="shared" si="1506"/>
        <v>#DIV/0!</v>
      </c>
      <c r="GI234" s="13"/>
      <c r="GJ234" s="13"/>
      <c r="GK234" s="25"/>
      <c r="GL234" s="38"/>
      <c r="GM234" s="10"/>
      <c r="GN234" s="11"/>
      <c r="GO234" s="69">
        <f t="shared" si="1533"/>
        <v>0</v>
      </c>
      <c r="GP234" s="69">
        <f t="shared" si="1533"/>
        <v>0</v>
      </c>
      <c r="GQ234" s="11"/>
      <c r="GR234" s="12" t="e">
        <f t="shared" si="1507"/>
        <v>#DIV/0!</v>
      </c>
      <c r="GS234" s="11"/>
      <c r="GT234" s="12" t="e">
        <f t="shared" si="1508"/>
        <v>#DIV/0!</v>
      </c>
      <c r="GU234" s="13"/>
      <c r="GV234" s="13"/>
      <c r="GW234" s="25"/>
      <c r="GX234" s="38"/>
      <c r="GY234" s="10"/>
      <c r="GZ234" s="11"/>
      <c r="HA234" s="69">
        <f t="shared" si="1534"/>
        <v>0</v>
      </c>
      <c r="HB234" s="69">
        <f t="shared" si="1534"/>
        <v>0</v>
      </c>
      <c r="HC234" s="11"/>
      <c r="HD234" s="12" t="e">
        <f t="shared" si="1509"/>
        <v>#DIV/0!</v>
      </c>
      <c r="HE234" s="11"/>
      <c r="HF234" s="12" t="e">
        <f t="shared" si="1510"/>
        <v>#DIV/0!</v>
      </c>
      <c r="HG234" s="13"/>
      <c r="HH234" s="13"/>
      <c r="HI234" s="25"/>
      <c r="HJ234" s="38"/>
      <c r="HK234" s="10">
        <f t="shared" si="1511"/>
        <v>2</v>
      </c>
      <c r="HL234" s="11">
        <f t="shared" si="1511"/>
        <v>0</v>
      </c>
      <c r="HM234" s="11">
        <f t="shared" si="1511"/>
        <v>3402</v>
      </c>
      <c r="HN234" s="11">
        <f t="shared" si="1511"/>
        <v>263</v>
      </c>
      <c r="HO234" s="11">
        <f t="shared" si="1512"/>
        <v>1333</v>
      </c>
      <c r="HP234" s="95">
        <f t="shared" si="1513"/>
        <v>0.39182833627278074</v>
      </c>
      <c r="HQ234" s="15">
        <f t="shared" si="1514"/>
        <v>81</v>
      </c>
      <c r="HR234" s="12">
        <f t="shared" si="1535"/>
        <v>6.0765191297824456E-2</v>
      </c>
      <c r="HS234" s="16">
        <v>70.8</v>
      </c>
      <c r="HT234" s="17">
        <v>1199</v>
      </c>
      <c r="HU234" s="16">
        <f t="shared" si="1515"/>
        <v>89.947486871717928</v>
      </c>
      <c r="HV234" s="23">
        <v>4265</v>
      </c>
      <c r="HW234" s="22">
        <v>4660</v>
      </c>
    </row>
    <row r="235" spans="1:231" ht="18.75" x14ac:dyDescent="0.25">
      <c r="A235" s="374"/>
      <c r="B235" s="41">
        <f t="shared" si="1235"/>
        <v>45121</v>
      </c>
      <c r="C235" s="10"/>
      <c r="D235" s="11"/>
      <c r="E235" s="69">
        <f t="shared" si="1516"/>
        <v>603</v>
      </c>
      <c r="F235" s="69">
        <f t="shared" si="1516"/>
        <v>47</v>
      </c>
      <c r="G235" s="11">
        <v>211</v>
      </c>
      <c r="H235" s="12">
        <f t="shared" si="1476"/>
        <v>0.37810945273631841</v>
      </c>
      <c r="I235" s="11">
        <v>17</v>
      </c>
      <c r="J235" s="12">
        <f t="shared" si="1517"/>
        <v>7.4561403508771926E-2</v>
      </c>
      <c r="K235" s="13"/>
      <c r="L235" s="11"/>
      <c r="M235" s="25">
        <v>4780.4761904761908</v>
      </c>
      <c r="N235" s="38">
        <v>4605</v>
      </c>
      <c r="O235" s="10"/>
      <c r="P235" s="11"/>
      <c r="Q235" s="69">
        <f t="shared" si="1518"/>
        <v>612</v>
      </c>
      <c r="R235" s="69">
        <f t="shared" si="1518"/>
        <v>47</v>
      </c>
      <c r="S235" s="11">
        <v>229</v>
      </c>
      <c r="T235" s="12">
        <f t="shared" si="1477"/>
        <v>0.41176470588235292</v>
      </c>
      <c r="U235" s="11">
        <v>23</v>
      </c>
      <c r="V235" s="12">
        <f t="shared" si="1478"/>
        <v>9.1269841269841265E-2</v>
      </c>
      <c r="W235" s="13"/>
      <c r="X235" s="11"/>
      <c r="Y235" s="25">
        <v>4635.4761904761908</v>
      </c>
      <c r="Z235" s="38">
        <v>4943.5714285714284</v>
      </c>
      <c r="AA235" s="10"/>
      <c r="AB235" s="11"/>
      <c r="AC235" s="69">
        <f t="shared" si="1519"/>
        <v>144</v>
      </c>
      <c r="AD235" s="69">
        <f t="shared" si="1519"/>
        <v>11</v>
      </c>
      <c r="AE235" s="11">
        <v>46</v>
      </c>
      <c r="AF235" s="12">
        <f t="shared" si="1479"/>
        <v>0.36805555555555558</v>
      </c>
      <c r="AG235" s="11">
        <v>7</v>
      </c>
      <c r="AH235" s="12">
        <f t="shared" si="1480"/>
        <v>0.13207547169811321</v>
      </c>
      <c r="AI235" s="13"/>
      <c r="AJ235" s="11"/>
      <c r="AK235" s="25">
        <v>4724.545454545455</v>
      </c>
      <c r="AL235" s="38">
        <v>4580</v>
      </c>
      <c r="AM235" s="10"/>
      <c r="AN235" s="11"/>
      <c r="AO235" s="69">
        <f t="shared" si="1520"/>
        <v>682</v>
      </c>
      <c r="AP235" s="69">
        <f t="shared" si="1520"/>
        <v>52</v>
      </c>
      <c r="AQ235" s="11">
        <v>252</v>
      </c>
      <c r="AR235" s="12">
        <f t="shared" si="1481"/>
        <v>0.39296187683284456</v>
      </c>
      <c r="AS235" s="11">
        <v>16</v>
      </c>
      <c r="AT235" s="12">
        <f t="shared" si="1482"/>
        <v>5.9701492537313432E-2</v>
      </c>
      <c r="AU235" s="13"/>
      <c r="AV235" s="11"/>
      <c r="AW235" s="25">
        <v>4639.5121951219517</v>
      </c>
      <c r="AX235" s="38">
        <v>4941.818181818182</v>
      </c>
      <c r="AY235" s="10"/>
      <c r="AZ235" s="11"/>
      <c r="BA235" s="69">
        <f t="shared" si="1521"/>
        <v>681</v>
      </c>
      <c r="BB235" s="69">
        <f t="shared" si="1521"/>
        <v>53</v>
      </c>
      <c r="BC235" s="11">
        <v>272</v>
      </c>
      <c r="BD235" s="12">
        <f t="shared" si="1483"/>
        <v>0.42437591776798828</v>
      </c>
      <c r="BE235" s="11">
        <v>17</v>
      </c>
      <c r="BF235" s="12">
        <f t="shared" si="1484"/>
        <v>5.8823529411764705E-2</v>
      </c>
      <c r="BG235" s="13"/>
      <c r="BH235" s="11"/>
      <c r="BI235" s="25">
        <v>4690</v>
      </c>
      <c r="BJ235" s="38">
        <v>5022.727272727273</v>
      </c>
      <c r="BK235" s="10">
        <v>1</v>
      </c>
      <c r="BL235" s="11"/>
      <c r="BM235" s="69">
        <f t="shared" si="1522"/>
        <v>679</v>
      </c>
      <c r="BN235" s="69">
        <f t="shared" si="1522"/>
        <v>53</v>
      </c>
      <c r="BO235" s="11">
        <v>265</v>
      </c>
      <c r="BP235" s="12">
        <f t="shared" si="1485"/>
        <v>0.41826215022091312</v>
      </c>
      <c r="BQ235" s="11">
        <v>19</v>
      </c>
      <c r="BR235" s="12">
        <f t="shared" si="1486"/>
        <v>6.6901408450704219E-2</v>
      </c>
      <c r="BS235" s="13"/>
      <c r="BT235" s="11"/>
      <c r="BU235" s="25">
        <v>4863.0952380952385</v>
      </c>
      <c r="BV235" s="38">
        <v>5002.5</v>
      </c>
      <c r="BW235" s="10"/>
      <c r="BX235" s="11"/>
      <c r="BY235" s="69">
        <f t="shared" si="1523"/>
        <v>0</v>
      </c>
      <c r="BZ235" s="69">
        <f t="shared" si="1523"/>
        <v>0</v>
      </c>
      <c r="CA235" s="11"/>
      <c r="CB235" s="12" t="e">
        <f t="shared" si="1487"/>
        <v>#DIV/0!</v>
      </c>
      <c r="CC235" s="11"/>
      <c r="CD235" s="12" t="e">
        <f t="shared" si="1488"/>
        <v>#DIV/0!</v>
      </c>
      <c r="CE235" s="13"/>
      <c r="CF235" s="11"/>
      <c r="CG235" s="25"/>
      <c r="CH235" s="38"/>
      <c r="CI235" s="10"/>
      <c r="CJ235" s="11"/>
      <c r="CK235" s="69">
        <f t="shared" si="1524"/>
        <v>0</v>
      </c>
      <c r="CL235" s="69">
        <f t="shared" si="1524"/>
        <v>0</v>
      </c>
      <c r="CM235" s="11"/>
      <c r="CN235" s="12" t="e">
        <f t="shared" si="1489"/>
        <v>#DIV/0!</v>
      </c>
      <c r="CO235" s="11"/>
      <c r="CP235" s="12" t="e">
        <f t="shared" si="1490"/>
        <v>#DIV/0!</v>
      </c>
      <c r="CQ235" s="13"/>
      <c r="CR235" s="11"/>
      <c r="CS235" s="25"/>
      <c r="CT235" s="38"/>
      <c r="CU235" s="10"/>
      <c r="CV235" s="11"/>
      <c r="CW235" s="69">
        <f t="shared" si="1525"/>
        <v>0</v>
      </c>
      <c r="CX235" s="69">
        <f t="shared" si="1525"/>
        <v>0</v>
      </c>
      <c r="CY235" s="11"/>
      <c r="CZ235" s="12" t="e">
        <f t="shared" si="1491"/>
        <v>#DIV/0!</v>
      </c>
      <c r="DA235" s="11"/>
      <c r="DB235" s="12" t="e">
        <f t="shared" si="1492"/>
        <v>#DIV/0!</v>
      </c>
      <c r="DC235" s="13"/>
      <c r="DD235" s="11"/>
      <c r="DE235" s="25"/>
      <c r="DF235" s="38"/>
      <c r="DG235" s="10"/>
      <c r="DH235" s="11"/>
      <c r="DI235" s="69">
        <f t="shared" si="1526"/>
        <v>0</v>
      </c>
      <c r="DJ235" s="69">
        <f t="shared" si="1526"/>
        <v>0</v>
      </c>
      <c r="DK235" s="11"/>
      <c r="DL235" s="12" t="e">
        <f t="shared" si="1493"/>
        <v>#DIV/0!</v>
      </c>
      <c r="DM235" s="11"/>
      <c r="DN235" s="12" t="e">
        <f t="shared" si="1494"/>
        <v>#DIV/0!</v>
      </c>
      <c r="DO235" s="13"/>
      <c r="DP235" s="11"/>
      <c r="DQ235" s="25"/>
      <c r="DR235" s="38"/>
      <c r="DS235" s="10"/>
      <c r="DT235" s="11"/>
      <c r="DU235" s="69">
        <f t="shared" si="1527"/>
        <v>0</v>
      </c>
      <c r="DV235" s="69">
        <f t="shared" si="1527"/>
        <v>0</v>
      </c>
      <c r="DW235" s="11"/>
      <c r="DX235" s="12" t="e">
        <f t="shared" si="1495"/>
        <v>#DIV/0!</v>
      </c>
      <c r="DY235" s="11"/>
      <c r="DZ235" s="12" t="e">
        <f t="shared" si="1496"/>
        <v>#DIV/0!</v>
      </c>
      <c r="EA235" s="13"/>
      <c r="EB235" s="11"/>
      <c r="EC235" s="25"/>
      <c r="ED235" s="38"/>
      <c r="EE235" s="10"/>
      <c r="EF235" s="11"/>
      <c r="EG235" s="69">
        <f t="shared" si="1528"/>
        <v>0</v>
      </c>
      <c r="EH235" s="69">
        <f t="shared" si="1528"/>
        <v>0</v>
      </c>
      <c r="EI235" s="11"/>
      <c r="EJ235" s="12" t="e">
        <f t="shared" si="1497"/>
        <v>#DIV/0!</v>
      </c>
      <c r="EK235" s="11"/>
      <c r="EL235" s="12" t="e">
        <f t="shared" si="1498"/>
        <v>#DIV/0!</v>
      </c>
      <c r="EM235" s="13"/>
      <c r="EN235" s="11"/>
      <c r="EO235" s="25"/>
      <c r="EP235" s="38"/>
      <c r="EQ235" s="10"/>
      <c r="ER235" s="11"/>
      <c r="ES235" s="69">
        <f t="shared" si="1529"/>
        <v>0</v>
      </c>
      <c r="ET235" s="69">
        <f t="shared" si="1529"/>
        <v>0</v>
      </c>
      <c r="EU235" s="11"/>
      <c r="EV235" s="12" t="e">
        <f t="shared" si="1499"/>
        <v>#DIV/0!</v>
      </c>
      <c r="EW235" s="11"/>
      <c r="EX235" s="12" t="e">
        <f t="shared" si="1500"/>
        <v>#DIV/0!</v>
      </c>
      <c r="EY235" s="13"/>
      <c r="EZ235" s="11"/>
      <c r="FA235" s="25"/>
      <c r="FB235" s="38"/>
      <c r="FC235" s="10"/>
      <c r="FD235" s="11"/>
      <c r="FE235" s="69">
        <f t="shared" si="1530"/>
        <v>0</v>
      </c>
      <c r="FF235" s="69">
        <f t="shared" si="1530"/>
        <v>0</v>
      </c>
      <c r="FG235" s="11"/>
      <c r="FH235" s="12" t="e">
        <f t="shared" si="1501"/>
        <v>#DIV/0!</v>
      </c>
      <c r="FI235" s="11"/>
      <c r="FJ235" s="12" t="e">
        <f t="shared" si="1502"/>
        <v>#DIV/0!</v>
      </c>
      <c r="FK235" s="13"/>
      <c r="FL235" s="11"/>
      <c r="FM235" s="25"/>
      <c r="FN235" s="38"/>
      <c r="FO235" s="10"/>
      <c r="FP235" s="11"/>
      <c r="FQ235" s="69">
        <f t="shared" si="1531"/>
        <v>0</v>
      </c>
      <c r="FR235" s="69">
        <f t="shared" si="1531"/>
        <v>0</v>
      </c>
      <c r="FS235" s="11"/>
      <c r="FT235" s="12" t="e">
        <f t="shared" si="1503"/>
        <v>#DIV/0!</v>
      </c>
      <c r="FU235" s="11"/>
      <c r="FV235" s="12" t="e">
        <f t="shared" si="1504"/>
        <v>#DIV/0!</v>
      </c>
      <c r="FW235" s="13"/>
      <c r="FX235" s="11"/>
      <c r="FY235" s="25"/>
      <c r="FZ235" s="38"/>
      <c r="GA235" s="10"/>
      <c r="GB235" s="11"/>
      <c r="GC235" s="69">
        <f t="shared" si="1532"/>
        <v>0</v>
      </c>
      <c r="GD235" s="69">
        <f t="shared" si="1532"/>
        <v>0</v>
      </c>
      <c r="GE235" s="11"/>
      <c r="GF235" s="12" t="e">
        <f t="shared" si="1505"/>
        <v>#DIV/0!</v>
      </c>
      <c r="GG235" s="11"/>
      <c r="GH235" s="12" t="e">
        <f t="shared" si="1506"/>
        <v>#DIV/0!</v>
      </c>
      <c r="GI235" s="13"/>
      <c r="GJ235" s="11"/>
      <c r="GK235" s="25"/>
      <c r="GL235" s="38"/>
      <c r="GM235" s="10"/>
      <c r="GN235" s="11"/>
      <c r="GO235" s="69">
        <f t="shared" si="1533"/>
        <v>0</v>
      </c>
      <c r="GP235" s="69">
        <f t="shared" si="1533"/>
        <v>0</v>
      </c>
      <c r="GQ235" s="11"/>
      <c r="GR235" s="12" t="e">
        <f t="shared" si="1507"/>
        <v>#DIV/0!</v>
      </c>
      <c r="GS235" s="11"/>
      <c r="GT235" s="12" t="e">
        <f t="shared" si="1508"/>
        <v>#DIV/0!</v>
      </c>
      <c r="GU235" s="13"/>
      <c r="GV235" s="11"/>
      <c r="GW235" s="25"/>
      <c r="GX235" s="38"/>
      <c r="GY235" s="10"/>
      <c r="GZ235" s="11"/>
      <c r="HA235" s="69">
        <f t="shared" si="1534"/>
        <v>0</v>
      </c>
      <c r="HB235" s="69">
        <f t="shared" si="1534"/>
        <v>0</v>
      </c>
      <c r="HC235" s="11"/>
      <c r="HD235" s="12" t="e">
        <f t="shared" si="1509"/>
        <v>#DIV/0!</v>
      </c>
      <c r="HE235" s="11"/>
      <c r="HF235" s="12" t="e">
        <f t="shared" si="1510"/>
        <v>#DIV/0!</v>
      </c>
      <c r="HG235" s="13"/>
      <c r="HH235" s="11"/>
      <c r="HI235" s="25"/>
      <c r="HJ235" s="38"/>
      <c r="HK235" s="10">
        <f t="shared" si="1511"/>
        <v>1</v>
      </c>
      <c r="HL235" s="11">
        <f t="shared" si="1511"/>
        <v>0</v>
      </c>
      <c r="HM235" s="11">
        <f t="shared" si="1511"/>
        <v>3401</v>
      </c>
      <c r="HN235" s="11">
        <f t="shared" si="1511"/>
        <v>263</v>
      </c>
      <c r="HO235" s="11">
        <f t="shared" si="1512"/>
        <v>1374</v>
      </c>
      <c r="HP235" s="95">
        <f t="shared" si="1513"/>
        <v>0.40399882387533076</v>
      </c>
      <c r="HQ235" s="15">
        <f t="shared" si="1514"/>
        <v>99</v>
      </c>
      <c r="HR235" s="12">
        <f t="shared" si="1535"/>
        <v>7.2052401746724892E-2</v>
      </c>
      <c r="HS235" s="16">
        <v>71.099999999999994</v>
      </c>
      <c r="HT235" s="17">
        <v>1218</v>
      </c>
      <c r="HU235" s="16">
        <f t="shared" si="1515"/>
        <v>88.646288209606979</v>
      </c>
      <c r="HV235" s="23">
        <v>4721.7937219730939</v>
      </c>
      <c r="HW235" s="22">
        <v>4878.6440677966102</v>
      </c>
    </row>
    <row r="236" spans="1:231" ht="18.75" x14ac:dyDescent="0.25">
      <c r="A236" s="374"/>
      <c r="B236" s="41">
        <f t="shared" si="1235"/>
        <v>45122</v>
      </c>
      <c r="C236" s="10">
        <v>1</v>
      </c>
      <c r="D236" s="11"/>
      <c r="E236" s="69">
        <f>E235-C236</f>
        <v>602</v>
      </c>
      <c r="F236" s="69">
        <f>F235-D236</f>
        <v>47</v>
      </c>
      <c r="G236" s="11">
        <v>213</v>
      </c>
      <c r="H236" s="12">
        <f t="shared" si="1476"/>
        <v>0.38538205980066448</v>
      </c>
      <c r="I236" s="11">
        <v>19</v>
      </c>
      <c r="J236" s="12">
        <f t="shared" si="1517"/>
        <v>8.1896551724137928E-2</v>
      </c>
      <c r="K236" s="13"/>
      <c r="L236" s="11"/>
      <c r="M236" s="39">
        <v>78.571428571428569</v>
      </c>
      <c r="N236" s="43">
        <v>91.666666666666671</v>
      </c>
      <c r="O236" s="10"/>
      <c r="P236" s="11"/>
      <c r="Q236" s="69">
        <f t="shared" si="1518"/>
        <v>612</v>
      </c>
      <c r="R236" s="69">
        <f t="shared" si="1518"/>
        <v>47</v>
      </c>
      <c r="S236" s="11">
        <v>202</v>
      </c>
      <c r="T236" s="12">
        <f t="shared" si="1477"/>
        <v>0.35784313725490197</v>
      </c>
      <c r="U236" s="11">
        <v>17</v>
      </c>
      <c r="V236" s="12">
        <f t="shared" si="1478"/>
        <v>7.7625570776255703E-2</v>
      </c>
      <c r="W236" s="13"/>
      <c r="X236" s="11"/>
      <c r="Y236" s="39">
        <v>80.952380952380949</v>
      </c>
      <c r="Z236" s="43">
        <v>92.857142857142861</v>
      </c>
      <c r="AA236" s="10"/>
      <c r="AB236" s="11"/>
      <c r="AC236" s="69">
        <f t="shared" si="1519"/>
        <v>144</v>
      </c>
      <c r="AD236" s="69">
        <f t="shared" si="1519"/>
        <v>11</v>
      </c>
      <c r="AE236" s="11">
        <v>41</v>
      </c>
      <c r="AF236" s="12">
        <f t="shared" si="1479"/>
        <v>0.3125</v>
      </c>
      <c r="AG236" s="11">
        <v>4</v>
      </c>
      <c r="AH236" s="12">
        <f t="shared" si="1480"/>
        <v>8.8888888888888892E-2</v>
      </c>
      <c r="AI236" s="13"/>
      <c r="AJ236" s="11"/>
      <c r="AK236" s="39">
        <v>100</v>
      </c>
      <c r="AL236" s="43">
        <v>100</v>
      </c>
      <c r="AM236" s="10"/>
      <c r="AN236" s="11"/>
      <c r="AO236" s="69">
        <f t="shared" si="1520"/>
        <v>682</v>
      </c>
      <c r="AP236" s="69">
        <f t="shared" si="1520"/>
        <v>52</v>
      </c>
      <c r="AQ236" s="11">
        <v>229</v>
      </c>
      <c r="AR236" s="12">
        <f t="shared" si="1481"/>
        <v>0.36070381231671556</v>
      </c>
      <c r="AS236" s="11">
        <v>17</v>
      </c>
      <c r="AT236" s="12">
        <f t="shared" si="1482"/>
        <v>6.910569105691057E-2</v>
      </c>
      <c r="AU236" s="13"/>
      <c r="AV236" s="11"/>
      <c r="AW236" s="39">
        <v>85.365853658536579</v>
      </c>
      <c r="AX236" s="43">
        <v>100</v>
      </c>
      <c r="AY236" s="10"/>
      <c r="AZ236" s="11"/>
      <c r="BA236" s="69">
        <f t="shared" si="1521"/>
        <v>681</v>
      </c>
      <c r="BB236" s="69">
        <f t="shared" si="1521"/>
        <v>53</v>
      </c>
      <c r="BC236" s="11">
        <v>221</v>
      </c>
      <c r="BD236" s="12">
        <f t="shared" si="1483"/>
        <v>0.34654919236417031</v>
      </c>
      <c r="BE236" s="11">
        <v>15</v>
      </c>
      <c r="BF236" s="12">
        <f t="shared" si="1484"/>
        <v>6.3559322033898302E-2</v>
      </c>
      <c r="BG236" s="13"/>
      <c r="BH236" s="11"/>
      <c r="BI236" s="39">
        <v>64.444444444444443</v>
      </c>
      <c r="BJ236" s="43">
        <v>100</v>
      </c>
      <c r="BK236" s="10"/>
      <c r="BL236" s="11"/>
      <c r="BM236" s="69">
        <f t="shared" si="1522"/>
        <v>679</v>
      </c>
      <c r="BN236" s="69">
        <f t="shared" si="1522"/>
        <v>53</v>
      </c>
      <c r="BO236" s="11">
        <v>223</v>
      </c>
      <c r="BP236" s="12">
        <f t="shared" si="1485"/>
        <v>0.34315169366715759</v>
      </c>
      <c r="BQ236" s="11">
        <v>10</v>
      </c>
      <c r="BR236" s="12">
        <f t="shared" si="1486"/>
        <v>4.2918454935622317E-2</v>
      </c>
      <c r="BS236" s="13"/>
      <c r="BT236" s="11"/>
      <c r="BU236" s="39">
        <v>85.714285714285708</v>
      </c>
      <c r="BV236" s="43">
        <v>100</v>
      </c>
      <c r="BW236" s="10"/>
      <c r="BX236" s="11"/>
      <c r="BY236" s="69">
        <f t="shared" si="1523"/>
        <v>0</v>
      </c>
      <c r="BZ236" s="69">
        <f t="shared" si="1523"/>
        <v>0</v>
      </c>
      <c r="CA236" s="11"/>
      <c r="CB236" s="12" t="e">
        <f t="shared" si="1487"/>
        <v>#DIV/0!</v>
      </c>
      <c r="CC236" s="11"/>
      <c r="CD236" s="12" t="e">
        <f t="shared" si="1488"/>
        <v>#DIV/0!</v>
      </c>
      <c r="CE236" s="13"/>
      <c r="CF236" s="11"/>
      <c r="CG236" s="39"/>
      <c r="CH236" s="43"/>
      <c r="CI236" s="10"/>
      <c r="CJ236" s="11"/>
      <c r="CK236" s="69">
        <f t="shared" si="1524"/>
        <v>0</v>
      </c>
      <c r="CL236" s="69">
        <f t="shared" si="1524"/>
        <v>0</v>
      </c>
      <c r="CM236" s="11"/>
      <c r="CN236" s="12" t="e">
        <f t="shared" si="1489"/>
        <v>#DIV/0!</v>
      </c>
      <c r="CO236" s="11"/>
      <c r="CP236" s="12" t="e">
        <f t="shared" si="1490"/>
        <v>#DIV/0!</v>
      </c>
      <c r="CQ236" s="13"/>
      <c r="CR236" s="11"/>
      <c r="CS236" s="39"/>
      <c r="CT236" s="43"/>
      <c r="CU236" s="10"/>
      <c r="CV236" s="11"/>
      <c r="CW236" s="69">
        <f t="shared" si="1525"/>
        <v>0</v>
      </c>
      <c r="CX236" s="69">
        <f t="shared" si="1525"/>
        <v>0</v>
      </c>
      <c r="CY236" s="11"/>
      <c r="CZ236" s="12" t="e">
        <f t="shared" si="1491"/>
        <v>#DIV/0!</v>
      </c>
      <c r="DA236" s="11"/>
      <c r="DB236" s="12" t="e">
        <f t="shared" si="1492"/>
        <v>#DIV/0!</v>
      </c>
      <c r="DC236" s="13"/>
      <c r="DD236" s="11"/>
      <c r="DE236" s="39"/>
      <c r="DF236" s="43"/>
      <c r="DG236" s="10"/>
      <c r="DH236" s="11"/>
      <c r="DI236" s="69">
        <f t="shared" si="1526"/>
        <v>0</v>
      </c>
      <c r="DJ236" s="69">
        <f t="shared" si="1526"/>
        <v>0</v>
      </c>
      <c r="DK236" s="11"/>
      <c r="DL236" s="12" t="e">
        <f t="shared" si="1493"/>
        <v>#DIV/0!</v>
      </c>
      <c r="DM236" s="11"/>
      <c r="DN236" s="12" t="e">
        <f t="shared" si="1494"/>
        <v>#DIV/0!</v>
      </c>
      <c r="DO236" s="13"/>
      <c r="DP236" s="11"/>
      <c r="DQ236" s="39"/>
      <c r="DR236" s="43"/>
      <c r="DS236" s="10"/>
      <c r="DT236" s="11"/>
      <c r="DU236" s="69">
        <f t="shared" si="1527"/>
        <v>0</v>
      </c>
      <c r="DV236" s="69">
        <f t="shared" si="1527"/>
        <v>0</v>
      </c>
      <c r="DW236" s="11"/>
      <c r="DX236" s="12" t="e">
        <f t="shared" si="1495"/>
        <v>#DIV/0!</v>
      </c>
      <c r="DY236" s="11"/>
      <c r="DZ236" s="12" t="e">
        <f t="shared" si="1496"/>
        <v>#DIV/0!</v>
      </c>
      <c r="EA236" s="13"/>
      <c r="EB236" s="11"/>
      <c r="EC236" s="39"/>
      <c r="ED236" s="43"/>
      <c r="EE236" s="10"/>
      <c r="EF236" s="11"/>
      <c r="EG236" s="69">
        <f t="shared" si="1528"/>
        <v>0</v>
      </c>
      <c r="EH236" s="69">
        <f t="shared" si="1528"/>
        <v>0</v>
      </c>
      <c r="EI236" s="11"/>
      <c r="EJ236" s="12" t="e">
        <f t="shared" si="1497"/>
        <v>#DIV/0!</v>
      </c>
      <c r="EK236" s="11"/>
      <c r="EL236" s="12" t="e">
        <f t="shared" si="1498"/>
        <v>#DIV/0!</v>
      </c>
      <c r="EM236" s="13"/>
      <c r="EN236" s="11"/>
      <c r="EO236" s="39"/>
      <c r="EP236" s="43"/>
      <c r="EQ236" s="10"/>
      <c r="ER236" s="11"/>
      <c r="ES236" s="69">
        <f t="shared" si="1529"/>
        <v>0</v>
      </c>
      <c r="ET236" s="69">
        <f t="shared" si="1529"/>
        <v>0</v>
      </c>
      <c r="EU236" s="11"/>
      <c r="EV236" s="12" t="e">
        <f t="shared" si="1499"/>
        <v>#DIV/0!</v>
      </c>
      <c r="EW236" s="11"/>
      <c r="EX236" s="12" t="e">
        <f t="shared" si="1500"/>
        <v>#DIV/0!</v>
      </c>
      <c r="EY236" s="13"/>
      <c r="EZ236" s="11"/>
      <c r="FA236" s="39"/>
      <c r="FB236" s="43"/>
      <c r="FC236" s="10"/>
      <c r="FD236" s="11"/>
      <c r="FE236" s="69">
        <f t="shared" si="1530"/>
        <v>0</v>
      </c>
      <c r="FF236" s="69">
        <f t="shared" si="1530"/>
        <v>0</v>
      </c>
      <c r="FG236" s="11"/>
      <c r="FH236" s="12" t="e">
        <f t="shared" si="1501"/>
        <v>#DIV/0!</v>
      </c>
      <c r="FI236" s="11"/>
      <c r="FJ236" s="12" t="e">
        <f t="shared" si="1502"/>
        <v>#DIV/0!</v>
      </c>
      <c r="FK236" s="13"/>
      <c r="FL236" s="11"/>
      <c r="FM236" s="39"/>
      <c r="FN236" s="43"/>
      <c r="FO236" s="10"/>
      <c r="FP236" s="11"/>
      <c r="FQ236" s="69">
        <f t="shared" si="1531"/>
        <v>0</v>
      </c>
      <c r="FR236" s="69">
        <f t="shared" si="1531"/>
        <v>0</v>
      </c>
      <c r="FS236" s="11"/>
      <c r="FT236" s="12" t="e">
        <f t="shared" si="1503"/>
        <v>#DIV/0!</v>
      </c>
      <c r="FU236" s="11"/>
      <c r="FV236" s="12" t="e">
        <f t="shared" si="1504"/>
        <v>#DIV/0!</v>
      </c>
      <c r="FW236" s="13"/>
      <c r="FX236" s="11"/>
      <c r="FY236" s="39"/>
      <c r="FZ236" s="43"/>
      <c r="GA236" s="10"/>
      <c r="GB236" s="11"/>
      <c r="GC236" s="69">
        <f t="shared" si="1532"/>
        <v>0</v>
      </c>
      <c r="GD236" s="69">
        <f t="shared" si="1532"/>
        <v>0</v>
      </c>
      <c r="GE236" s="11"/>
      <c r="GF236" s="12" t="e">
        <f t="shared" si="1505"/>
        <v>#DIV/0!</v>
      </c>
      <c r="GG236" s="11"/>
      <c r="GH236" s="12" t="e">
        <f t="shared" si="1506"/>
        <v>#DIV/0!</v>
      </c>
      <c r="GI236" s="13"/>
      <c r="GJ236" s="11"/>
      <c r="GK236" s="39"/>
      <c r="GL236" s="43"/>
      <c r="GM236" s="10"/>
      <c r="GN236" s="11"/>
      <c r="GO236" s="69">
        <f t="shared" si="1533"/>
        <v>0</v>
      </c>
      <c r="GP236" s="69">
        <f t="shared" si="1533"/>
        <v>0</v>
      </c>
      <c r="GQ236" s="11"/>
      <c r="GR236" s="12" t="e">
        <f t="shared" si="1507"/>
        <v>#DIV/0!</v>
      </c>
      <c r="GS236" s="11"/>
      <c r="GT236" s="12" t="e">
        <f t="shared" si="1508"/>
        <v>#DIV/0!</v>
      </c>
      <c r="GU236" s="13"/>
      <c r="GV236" s="11"/>
      <c r="GW236" s="39"/>
      <c r="GX236" s="43"/>
      <c r="GY236" s="10"/>
      <c r="GZ236" s="11"/>
      <c r="HA236" s="69">
        <f t="shared" si="1534"/>
        <v>0</v>
      </c>
      <c r="HB236" s="69">
        <f t="shared" si="1534"/>
        <v>0</v>
      </c>
      <c r="HC236" s="11"/>
      <c r="HD236" s="12" t="e">
        <f t="shared" si="1509"/>
        <v>#DIV/0!</v>
      </c>
      <c r="HE236" s="11"/>
      <c r="HF236" s="12" t="e">
        <f t="shared" si="1510"/>
        <v>#DIV/0!</v>
      </c>
      <c r="HG236" s="13"/>
      <c r="HH236" s="11"/>
      <c r="HI236" s="39"/>
      <c r="HJ236" s="43"/>
      <c r="HK236" s="10">
        <f t="shared" si="1511"/>
        <v>1</v>
      </c>
      <c r="HL236" s="11">
        <f t="shared" si="1511"/>
        <v>0</v>
      </c>
      <c r="HM236" s="11">
        <f t="shared" si="1511"/>
        <v>3400</v>
      </c>
      <c r="HN236" s="11">
        <f t="shared" si="1511"/>
        <v>263</v>
      </c>
      <c r="HO236" s="11">
        <f t="shared" si="1512"/>
        <v>1211</v>
      </c>
      <c r="HP236" s="95">
        <f t="shared" si="1513"/>
        <v>0.35617647058823532</v>
      </c>
      <c r="HQ236" s="15">
        <f t="shared" si="1514"/>
        <v>82</v>
      </c>
      <c r="HR236" s="12">
        <f t="shared" si="1535"/>
        <v>6.7712634186622628E-2</v>
      </c>
      <c r="HS236" s="16">
        <v>71.2</v>
      </c>
      <c r="HT236" s="17">
        <v>1079</v>
      </c>
      <c r="HU236" s="16">
        <f t="shared" si="1515"/>
        <v>89.099917423616844</v>
      </c>
      <c r="HV236" s="23">
        <v>81.165919282511211</v>
      </c>
      <c r="HW236" s="22">
        <v>89.830508474576277</v>
      </c>
    </row>
    <row r="237" spans="1:231" ht="19.5" thickBot="1" x14ac:dyDescent="0.3">
      <c r="A237" s="374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1442</v>
      </c>
      <c r="H237" s="28">
        <f>((G237+I237)/7)/E236</f>
        <v>0.37470336971998103</v>
      </c>
      <c r="I237" s="27">
        <f>SUM(I230:I236)</f>
        <v>137</v>
      </c>
      <c r="J237" s="28">
        <f>(I237/(I237+G237))</f>
        <v>8.6763774540848632E-2</v>
      </c>
      <c r="K237" s="27"/>
      <c r="L237" s="27"/>
      <c r="M237" s="29">
        <f>M235/M234*100-100</f>
        <v>12.086194383966969</v>
      </c>
      <c r="N237" s="67">
        <f>N235/N234*100-100</f>
        <v>-1.1802575107296036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1494</v>
      </c>
      <c r="T237" s="28">
        <f>((S237+U237)/7)/Q236</f>
        <v>0.37745098039215685</v>
      </c>
      <c r="U237" s="27">
        <f>SUM(U230:U236)</f>
        <v>123</v>
      </c>
      <c r="V237" s="28">
        <f>(U237/(U237+S237))</f>
        <v>7.6066790352504632E-2</v>
      </c>
      <c r="W237" s="27"/>
      <c r="X237" s="27"/>
      <c r="Y237" s="29">
        <f>Y235/Y234*100-100</f>
        <v>8.6864288505554583</v>
      </c>
      <c r="Z237" s="67">
        <f>Z235/Z234*100-100</f>
        <v>6.0852237890864416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320</v>
      </c>
      <c r="AF237" s="28">
        <f>((AE237+AG237)/7)/AC236</f>
        <v>0.34920634920634919</v>
      </c>
      <c r="AG237" s="27">
        <f>SUM(AG230:AG236)</f>
        <v>32</v>
      </c>
      <c r="AH237" s="28">
        <f>(AG237/(AG237+AE237))</f>
        <v>9.0909090909090912E-2</v>
      </c>
      <c r="AI237" s="27"/>
      <c r="AJ237" s="27"/>
      <c r="AK237" s="29">
        <f>AK235/AK234*100-100</f>
        <v>10.774805499307277</v>
      </c>
      <c r="AL237" s="67">
        <f>AL235/AL234*100-100</f>
        <v>-1.7167381974248883</v>
      </c>
      <c r="AM237" s="26">
        <f>SUM(AM230:AM236)</f>
        <v>2</v>
      </c>
      <c r="AN237" s="27">
        <f>SUM(AN230:AN236)</f>
        <v>0</v>
      </c>
      <c r="AO237" s="27"/>
      <c r="AP237" s="27"/>
      <c r="AQ237" s="27">
        <f>SUM(AQ230:AQ236)</f>
        <v>1721</v>
      </c>
      <c r="AR237" s="28">
        <f>((AQ237+AS237)/7)/AO236</f>
        <v>0.38395475492249681</v>
      </c>
      <c r="AS237" s="27">
        <f>SUM(AS230:AS236)</f>
        <v>112</v>
      </c>
      <c r="AT237" s="28">
        <f>(AS237/(AS237+AQ237))</f>
        <v>6.1102018548827061E-2</v>
      </c>
      <c r="AU237" s="27"/>
      <c r="AV237" s="27"/>
      <c r="AW237" s="29">
        <f>AW235/AW234*100-100</f>
        <v>8.7810596746061407</v>
      </c>
      <c r="AX237" s="67">
        <f>AX235/AX234*100-100</f>
        <v>6.047600468201324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1710</v>
      </c>
      <c r="BD237" s="28">
        <f>((BC237+BE237)/7)/BA236</f>
        <v>0.38305013635410107</v>
      </c>
      <c r="BE237" s="27">
        <f>SUM(BE230:BE236)</f>
        <v>116</v>
      </c>
      <c r="BF237" s="28">
        <f>(BE237/(BE237+BC237))</f>
        <v>6.3526834611171965E-2</v>
      </c>
      <c r="BG237" s="27"/>
      <c r="BH237" s="27"/>
      <c r="BI237" s="29">
        <f>BI235/BI234*100-100</f>
        <v>9.9648300117233219</v>
      </c>
      <c r="BJ237" s="67">
        <f>BJ235/BJ234*100-100</f>
        <v>7.7838470542333198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1792</v>
      </c>
      <c r="BP237" s="28">
        <f>((BO237+BQ237)/7)/BM236</f>
        <v>0.39827477382705662</v>
      </c>
      <c r="BQ237" s="27">
        <f>SUM(BQ230:BQ236)</f>
        <v>101</v>
      </c>
      <c r="BR237" s="28">
        <f>(BQ237/(BQ237+BO237))</f>
        <v>5.3354463814051768E-2</v>
      </c>
      <c r="BS237" s="27"/>
      <c r="BT237" s="27"/>
      <c r="BU237" s="29">
        <f>BU235/BU234*100-100</f>
        <v>14.023335008094691</v>
      </c>
      <c r="BV237" s="67">
        <f>BV235/BV234*100-100</f>
        <v>7.3497854077253351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7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7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7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7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7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7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7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7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7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7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7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7" t="e">
        <f>HJ235/HJ234*100-100</f>
        <v>#DIV/0!</v>
      </c>
      <c r="HK237" s="26">
        <f t="shared" si="1511"/>
        <v>9</v>
      </c>
      <c r="HL237" s="27">
        <f t="shared" si="1511"/>
        <v>0</v>
      </c>
      <c r="HM237" s="27">
        <f t="shared" si="1511"/>
        <v>0</v>
      </c>
      <c r="HN237" s="27">
        <f t="shared" si="1511"/>
        <v>0</v>
      </c>
      <c r="HO237" s="27">
        <f t="shared" si="1512"/>
        <v>9100</v>
      </c>
      <c r="HP237" s="96">
        <f>+((HO237)/HM236)/7</f>
        <v>0.38235294117647056</v>
      </c>
      <c r="HQ237" s="62">
        <f t="shared" si="1514"/>
        <v>621</v>
      </c>
      <c r="HR237" s="52">
        <f t="shared" si="1535"/>
        <v>6.8241758241758238E-2</v>
      </c>
      <c r="HS237" s="53">
        <f>SUM(HS230:HS236)/7</f>
        <v>70.842857142857142</v>
      </c>
      <c r="HT237" s="54">
        <f>SUM(HT230:HT236)</f>
        <v>8147</v>
      </c>
      <c r="HU237" s="53">
        <f>AVERAGE(HU230:HU236)</f>
        <v>89.536508415167276</v>
      </c>
      <c r="HV237" s="63">
        <f>HV235/HV234*100-100</f>
        <v>10.71028656443363</v>
      </c>
      <c r="HW237" s="67">
        <f>HW235/HW234*100-100</f>
        <v>4.6919327853349699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2.6400704018773834E-3</v>
      </c>
      <c r="HL238" s="66">
        <f>HL237/HN227</f>
        <v>0</v>
      </c>
      <c r="HM238" s="45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373">
        <v>51</v>
      </c>
      <c r="B239" s="68">
        <f>B236+1</f>
        <v>45123</v>
      </c>
      <c r="C239" s="33"/>
      <c r="D239" s="34"/>
      <c r="E239" s="34">
        <f>E236-C239</f>
        <v>602</v>
      </c>
      <c r="F239" s="34">
        <f>F236-D239</f>
        <v>47</v>
      </c>
      <c r="G239" s="34">
        <v>195</v>
      </c>
      <c r="H239" s="35">
        <f t="shared" ref="H239:H245" si="1536">((G239+I239)/E239)</f>
        <v>0.35714285714285715</v>
      </c>
      <c r="I239" s="34">
        <v>20</v>
      </c>
      <c r="J239" s="35">
        <f>I239/(G239+I239)</f>
        <v>9.3023255813953487E-2</v>
      </c>
      <c r="K239" s="36"/>
      <c r="L239" s="34"/>
      <c r="M239" s="34"/>
      <c r="N239" s="37"/>
      <c r="O239" s="33"/>
      <c r="P239" s="34"/>
      <c r="Q239" s="34">
        <f>Q236-O239</f>
        <v>612</v>
      </c>
      <c r="R239" s="34">
        <f>R236-P239</f>
        <v>47</v>
      </c>
      <c r="S239" s="34">
        <v>216</v>
      </c>
      <c r="T239" s="35">
        <f t="shared" ref="T239:T245" si="1537">((S239+U239)/Q239)</f>
        <v>0.38562091503267976</v>
      </c>
      <c r="U239" s="34">
        <v>20</v>
      </c>
      <c r="V239" s="35">
        <f t="shared" ref="V239:V245" si="1538">U239/(S239+U239)</f>
        <v>8.4745762711864403E-2</v>
      </c>
      <c r="W239" s="36"/>
      <c r="X239" s="34"/>
      <c r="Y239" s="34"/>
      <c r="Z239" s="37"/>
      <c r="AA239" s="33"/>
      <c r="AB239" s="34"/>
      <c r="AC239" s="34">
        <f>AC236-AA239</f>
        <v>144</v>
      </c>
      <c r="AD239" s="34">
        <f>AD236-AB239</f>
        <v>11</v>
      </c>
      <c r="AE239" s="34">
        <v>49</v>
      </c>
      <c r="AF239" s="35">
        <f t="shared" ref="AF239:AF245" si="1539">((AE239+AG239)/AC239)</f>
        <v>0.36805555555555558</v>
      </c>
      <c r="AG239" s="34">
        <v>4</v>
      </c>
      <c r="AH239" s="35">
        <f t="shared" ref="AH239:AH245" si="1540">AG239/(AE239+AG239)</f>
        <v>7.5471698113207544E-2</v>
      </c>
      <c r="AI239" s="36"/>
      <c r="AJ239" s="34"/>
      <c r="AK239" s="34"/>
      <c r="AL239" s="37"/>
      <c r="AM239" s="33"/>
      <c r="AN239" s="34"/>
      <c r="AO239" s="34">
        <f>AO236-AM239</f>
        <v>682</v>
      </c>
      <c r="AP239" s="34">
        <f>AP236-AN239</f>
        <v>52</v>
      </c>
      <c r="AQ239" s="34">
        <v>220</v>
      </c>
      <c r="AR239" s="35">
        <f t="shared" ref="AR239:AR245" si="1541">((AQ239+AS239)/AO239)</f>
        <v>0.35483870967741937</v>
      </c>
      <c r="AS239" s="34">
        <v>22</v>
      </c>
      <c r="AT239" s="35">
        <f t="shared" ref="AT239:AT245" si="1542">AS239/(AQ239+AS239)</f>
        <v>9.0909090909090912E-2</v>
      </c>
      <c r="AU239" s="36"/>
      <c r="AV239" s="34"/>
      <c r="AW239" s="34"/>
      <c r="AX239" s="37"/>
      <c r="AY239" s="33"/>
      <c r="AZ239" s="34"/>
      <c r="BA239" s="34">
        <f>BA236-AY239</f>
        <v>681</v>
      </c>
      <c r="BB239" s="34">
        <f>BB236-AZ239</f>
        <v>53</v>
      </c>
      <c r="BC239" s="34">
        <v>233</v>
      </c>
      <c r="BD239" s="35">
        <f t="shared" ref="BD239:BD245" si="1543">((BC239+BE239)/BA239)</f>
        <v>0.35389133627019087</v>
      </c>
      <c r="BE239" s="34">
        <v>8</v>
      </c>
      <c r="BF239" s="35">
        <f t="shared" ref="BF239:BF245" si="1544">BE239/(BC239+BE239)</f>
        <v>3.3195020746887967E-2</v>
      </c>
      <c r="BG239" s="36"/>
      <c r="BH239" s="34"/>
      <c r="BI239" s="34"/>
      <c r="BJ239" s="37"/>
      <c r="BK239" s="33"/>
      <c r="BL239" s="34"/>
      <c r="BM239" s="34">
        <f>BM236-BK239</f>
        <v>679</v>
      </c>
      <c r="BN239" s="34">
        <f>BN236-BL239</f>
        <v>53</v>
      </c>
      <c r="BO239" s="34">
        <v>230</v>
      </c>
      <c r="BP239" s="35">
        <f t="shared" ref="BP239:BP245" si="1545">((BO239+BQ239)/BM239)</f>
        <v>0.35787923416789397</v>
      </c>
      <c r="BQ239" s="34">
        <v>13</v>
      </c>
      <c r="BR239" s="35">
        <f t="shared" ref="BR239:BR245" si="1546">BQ239/(BO239+BQ239)</f>
        <v>5.3497942386831275E-2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0</v>
      </c>
      <c r="CA239" s="34"/>
      <c r="CB239" s="35" t="e">
        <f t="shared" ref="CB239:CB245" si="1547">((CA239+CC239)/BY239)</f>
        <v>#DIV/0!</v>
      </c>
      <c r="CC239" s="34"/>
      <c r="CD239" s="35" t="e">
        <f t="shared" ref="CD239:CD245" si="1548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549">((CM239+CO239)/CK239)</f>
        <v>#DIV/0!</v>
      </c>
      <c r="CO239" s="34"/>
      <c r="CP239" s="35" t="e">
        <f t="shared" ref="CP239:CP245" si="1550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551">((CY239+DA239)/CW239)</f>
        <v>#DIV/0!</v>
      </c>
      <c r="DA239" s="34"/>
      <c r="DB239" s="35" t="e">
        <f t="shared" ref="DB239:DB245" si="1552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553">((DK239+DM239)/DI239)</f>
        <v>#DIV/0!</v>
      </c>
      <c r="DM239" s="34"/>
      <c r="DN239" s="35" t="e">
        <f t="shared" ref="DN239:DN245" si="1554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555">((DW239+DY239)/DU239)</f>
        <v>#DIV/0!</v>
      </c>
      <c r="DY239" s="34"/>
      <c r="DZ239" s="35" t="e">
        <f t="shared" ref="DZ239:DZ245" si="1556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557">((EI239+EK239)/EG239)</f>
        <v>#DIV/0!</v>
      </c>
      <c r="EK239" s="34"/>
      <c r="EL239" s="35" t="e">
        <f t="shared" ref="EL239:EL245" si="1558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559">((EU239+EW239)/ES239)</f>
        <v>#DIV/0!</v>
      </c>
      <c r="EW239" s="34"/>
      <c r="EX239" s="35" t="e">
        <f t="shared" ref="EX239:EX245" si="1560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561">((FG239+FI239)/FE239)</f>
        <v>#DIV/0!</v>
      </c>
      <c r="FI239" s="34"/>
      <c r="FJ239" s="35" t="e">
        <f t="shared" ref="FJ239:FJ245" si="1562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563">((FS239+FU239)/FQ239)</f>
        <v>#DIV/0!</v>
      </c>
      <c r="FU239" s="34"/>
      <c r="FV239" s="35" t="e">
        <f t="shared" ref="FV239:FV245" si="1564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565">((GE239+GG239)/GC239)</f>
        <v>#DIV/0!</v>
      </c>
      <c r="GG239" s="34"/>
      <c r="GH239" s="35" t="e">
        <f t="shared" ref="GH239:GH245" si="1566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567">((GQ239+GS239)/GO239)</f>
        <v>#DIV/0!</v>
      </c>
      <c r="GS239" s="34"/>
      <c r="GT239" s="35" t="e">
        <f t="shared" ref="GT239:GT245" si="1568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569">((HC239+HE239)/HA239)</f>
        <v>#DIV/0!</v>
      </c>
      <c r="HE239" s="34"/>
      <c r="HF239" s="35" t="e">
        <f t="shared" ref="HF239:HF245" si="1570">HE239/(HC239+HE239)</f>
        <v>#DIV/0!</v>
      </c>
      <c r="HG239" s="36"/>
      <c r="HH239" s="34"/>
      <c r="HI239" s="34"/>
      <c r="HJ239" s="37"/>
      <c r="HK239" s="33">
        <f t="shared" ref="HK239:HN246" si="1571">+C239+O239+AA239+AM239+AY239+BK239+BW239+CI239+CU239+DG239+DS239+EE239+EQ239+FC239+FO239+GA239+GM239+GY239</f>
        <v>0</v>
      </c>
      <c r="HL239" s="34">
        <f t="shared" si="1571"/>
        <v>0</v>
      </c>
      <c r="HM239" s="34">
        <f t="shared" si="1571"/>
        <v>3400</v>
      </c>
      <c r="HN239" s="34">
        <f t="shared" si="1571"/>
        <v>263</v>
      </c>
      <c r="HO239" s="34">
        <f t="shared" ref="HO239:HO246" si="1572">+G239+S239+AE239+AQ239+BC239+BO239+CA239+CM239+CY239+DK239+DW239+EI239+EU239+FG239+FS239+GE239+GQ239+HC239+I239+U239+AG239+AS239+BE239+BQ239+CC239+CO239+DA239+DM239+DY239+EK239+EW239+FI239+FU239+GG239+GS239+HE239</f>
        <v>1230</v>
      </c>
      <c r="HP239" s="94">
        <f t="shared" ref="HP239:HP245" si="1573">+(HO239)/HM239</f>
        <v>0.36176470588235293</v>
      </c>
      <c r="HQ239" s="48">
        <f t="shared" ref="HQ239:HQ246" si="1574">+I239+U239+AG239+AS239+BE239+BQ239+CC239+CO239+DA239+DM239+DY239+EK239+EW239+FI239+FU239+GG239+GS239+HE239</f>
        <v>87</v>
      </c>
      <c r="HR239" s="35">
        <f>+(HQ239/(HO239))</f>
        <v>7.0731707317073164E-2</v>
      </c>
      <c r="HS239" s="49">
        <v>71.099999999999994</v>
      </c>
      <c r="HT239" s="50">
        <v>1092</v>
      </c>
      <c r="HU239" s="49">
        <f t="shared" ref="HU239:HU245" si="1575">+HT239/HO239*100</f>
        <v>88.780487804878049</v>
      </c>
      <c r="HV239" s="48"/>
      <c r="HW239" s="37"/>
    </row>
    <row r="240" spans="1:231" ht="18.75" x14ac:dyDescent="0.25">
      <c r="A240" s="374"/>
      <c r="B240" s="41">
        <f t="shared" si="1235"/>
        <v>45124</v>
      </c>
      <c r="C240" s="10"/>
      <c r="D240" s="11"/>
      <c r="E240" s="69">
        <f t="shared" ref="E240:F244" si="1576">E239-C240</f>
        <v>602</v>
      </c>
      <c r="F240" s="69">
        <f t="shared" si="1576"/>
        <v>47</v>
      </c>
      <c r="G240" s="11">
        <v>204</v>
      </c>
      <c r="H240" s="12">
        <f t="shared" si="1536"/>
        <v>0.36544850498338871</v>
      </c>
      <c r="I240" s="11">
        <v>16</v>
      </c>
      <c r="J240" s="12">
        <f t="shared" ref="J240:J245" si="1577">I240/(G240+I240)</f>
        <v>7.2727272727272724E-2</v>
      </c>
      <c r="K240" s="13"/>
      <c r="L240" s="11"/>
      <c r="M240" s="11"/>
      <c r="N240" s="14"/>
      <c r="O240" s="10"/>
      <c r="P240" s="11"/>
      <c r="Q240" s="69">
        <f t="shared" ref="Q240:R245" si="1578">Q239-O240</f>
        <v>612</v>
      </c>
      <c r="R240" s="69">
        <f t="shared" si="1578"/>
        <v>47</v>
      </c>
      <c r="S240" s="11">
        <v>221</v>
      </c>
      <c r="T240" s="12">
        <f t="shared" si="1537"/>
        <v>0.39542483660130717</v>
      </c>
      <c r="U240" s="11">
        <v>21</v>
      </c>
      <c r="V240" s="12">
        <f t="shared" si="1538"/>
        <v>8.6776859504132234E-2</v>
      </c>
      <c r="W240" s="13"/>
      <c r="X240" s="11"/>
      <c r="Y240" s="11"/>
      <c r="Z240" s="14"/>
      <c r="AA240" s="10">
        <v>1</v>
      </c>
      <c r="AB240" s="11"/>
      <c r="AC240" s="69">
        <f t="shared" ref="AC240:AD245" si="1579">AC239-AA240</f>
        <v>143</v>
      </c>
      <c r="AD240" s="69">
        <f t="shared" si="1579"/>
        <v>11</v>
      </c>
      <c r="AE240" s="11">
        <v>57</v>
      </c>
      <c r="AF240" s="12">
        <f t="shared" si="1539"/>
        <v>0.41258741258741261</v>
      </c>
      <c r="AG240" s="11">
        <v>2</v>
      </c>
      <c r="AH240" s="12">
        <f t="shared" si="1540"/>
        <v>3.3898305084745763E-2</v>
      </c>
      <c r="AI240" s="13"/>
      <c r="AJ240" s="11"/>
      <c r="AK240" s="11"/>
      <c r="AL240" s="14"/>
      <c r="AM240" s="10"/>
      <c r="AN240" s="11"/>
      <c r="AO240" s="69">
        <f t="shared" ref="AO240:AP245" si="1580">AO239-AM240</f>
        <v>682</v>
      </c>
      <c r="AP240" s="69">
        <f t="shared" si="1580"/>
        <v>52</v>
      </c>
      <c r="AQ240" s="11">
        <v>219</v>
      </c>
      <c r="AR240" s="12">
        <f t="shared" si="1541"/>
        <v>0.35777126099706746</v>
      </c>
      <c r="AS240" s="11">
        <v>25</v>
      </c>
      <c r="AT240" s="12">
        <f t="shared" si="1542"/>
        <v>0.10245901639344263</v>
      </c>
      <c r="AU240" s="13"/>
      <c r="AV240" s="11"/>
      <c r="AW240" s="11"/>
      <c r="AX240" s="14"/>
      <c r="AY240" s="10"/>
      <c r="AZ240" s="11"/>
      <c r="BA240" s="69">
        <f t="shared" ref="BA240:BB245" si="1581">BA239-AY240</f>
        <v>681</v>
      </c>
      <c r="BB240" s="69">
        <f t="shared" si="1581"/>
        <v>53</v>
      </c>
      <c r="BC240" s="11">
        <v>195</v>
      </c>
      <c r="BD240" s="12">
        <f t="shared" si="1543"/>
        <v>0.32305433186490456</v>
      </c>
      <c r="BE240" s="11">
        <v>25</v>
      </c>
      <c r="BF240" s="12">
        <f t="shared" si="1544"/>
        <v>0.11363636363636363</v>
      </c>
      <c r="BG240" s="13"/>
      <c r="BH240" s="11"/>
      <c r="BI240" s="11"/>
      <c r="BJ240" s="14"/>
      <c r="BK240" s="10"/>
      <c r="BL240" s="11"/>
      <c r="BM240" s="69">
        <f t="shared" ref="BM240:BN245" si="1582">BM239-BK240</f>
        <v>679</v>
      </c>
      <c r="BN240" s="69">
        <f t="shared" si="1582"/>
        <v>53</v>
      </c>
      <c r="BO240" s="11">
        <v>228</v>
      </c>
      <c r="BP240" s="12">
        <f t="shared" si="1545"/>
        <v>0.36082474226804123</v>
      </c>
      <c r="BQ240" s="11">
        <v>17</v>
      </c>
      <c r="BR240" s="12">
        <f t="shared" si="1546"/>
        <v>6.9387755102040816E-2</v>
      </c>
      <c r="BS240" s="13"/>
      <c r="BT240" s="11"/>
      <c r="BU240" s="11"/>
      <c r="BV240" s="14"/>
      <c r="BW240" s="10"/>
      <c r="BX240" s="11"/>
      <c r="BY240" s="69">
        <f t="shared" ref="BY240:BZ245" si="1583">BY239-BW240</f>
        <v>0</v>
      </c>
      <c r="BZ240" s="69">
        <f t="shared" si="1583"/>
        <v>0</v>
      </c>
      <c r="CA240" s="11"/>
      <c r="CB240" s="12" t="e">
        <f t="shared" si="1547"/>
        <v>#DIV/0!</v>
      </c>
      <c r="CC240" s="11"/>
      <c r="CD240" s="12" t="e">
        <f t="shared" si="1548"/>
        <v>#DIV/0!</v>
      </c>
      <c r="CE240" s="13"/>
      <c r="CF240" s="11"/>
      <c r="CG240" s="11"/>
      <c r="CH240" s="14"/>
      <c r="CI240" s="10"/>
      <c r="CJ240" s="11"/>
      <c r="CK240" s="69">
        <f t="shared" ref="CK240:CL245" si="1584">CK239-CI240</f>
        <v>0</v>
      </c>
      <c r="CL240" s="69">
        <f t="shared" si="1584"/>
        <v>0</v>
      </c>
      <c r="CM240" s="11"/>
      <c r="CN240" s="12" t="e">
        <f t="shared" si="1549"/>
        <v>#DIV/0!</v>
      </c>
      <c r="CO240" s="11"/>
      <c r="CP240" s="12" t="e">
        <f t="shared" si="1550"/>
        <v>#DIV/0!</v>
      </c>
      <c r="CQ240" s="13"/>
      <c r="CR240" s="11"/>
      <c r="CS240" s="11"/>
      <c r="CT240" s="14"/>
      <c r="CU240" s="10"/>
      <c r="CV240" s="11"/>
      <c r="CW240" s="69">
        <f t="shared" ref="CW240:CX245" si="1585">CW239-CU240</f>
        <v>0</v>
      </c>
      <c r="CX240" s="69">
        <f t="shared" si="1585"/>
        <v>0</v>
      </c>
      <c r="CY240" s="11"/>
      <c r="CZ240" s="12" t="e">
        <f t="shared" si="1551"/>
        <v>#DIV/0!</v>
      </c>
      <c r="DA240" s="11"/>
      <c r="DB240" s="12" t="e">
        <f t="shared" si="1552"/>
        <v>#DIV/0!</v>
      </c>
      <c r="DC240" s="13"/>
      <c r="DD240" s="11"/>
      <c r="DE240" s="11"/>
      <c r="DF240" s="14"/>
      <c r="DG240" s="10"/>
      <c r="DH240" s="11"/>
      <c r="DI240" s="69">
        <f t="shared" ref="DI240:DJ245" si="1586">DI239-DG240</f>
        <v>0</v>
      </c>
      <c r="DJ240" s="69">
        <f t="shared" si="1586"/>
        <v>0</v>
      </c>
      <c r="DK240" s="11"/>
      <c r="DL240" s="12" t="e">
        <f t="shared" si="1553"/>
        <v>#DIV/0!</v>
      </c>
      <c r="DM240" s="11"/>
      <c r="DN240" s="12" t="e">
        <f t="shared" si="1554"/>
        <v>#DIV/0!</v>
      </c>
      <c r="DO240" s="13"/>
      <c r="DP240" s="11"/>
      <c r="DQ240" s="11"/>
      <c r="DR240" s="14"/>
      <c r="DS240" s="10"/>
      <c r="DT240" s="11"/>
      <c r="DU240" s="69">
        <f t="shared" ref="DU240:DV245" si="1587">DU239-DS240</f>
        <v>0</v>
      </c>
      <c r="DV240" s="69">
        <f t="shared" si="1587"/>
        <v>0</v>
      </c>
      <c r="DW240" s="11"/>
      <c r="DX240" s="12" t="e">
        <f t="shared" si="1555"/>
        <v>#DIV/0!</v>
      </c>
      <c r="DY240" s="11"/>
      <c r="DZ240" s="12" t="e">
        <f t="shared" si="1556"/>
        <v>#DIV/0!</v>
      </c>
      <c r="EA240" s="13"/>
      <c r="EB240" s="11"/>
      <c r="EC240" s="11"/>
      <c r="ED240" s="14"/>
      <c r="EE240" s="10"/>
      <c r="EF240" s="11"/>
      <c r="EG240" s="69">
        <f t="shared" ref="EG240:EH245" si="1588">EG239-EE240</f>
        <v>0</v>
      </c>
      <c r="EH240" s="69">
        <f t="shared" si="1588"/>
        <v>0</v>
      </c>
      <c r="EI240" s="11"/>
      <c r="EJ240" s="12" t="e">
        <f t="shared" si="1557"/>
        <v>#DIV/0!</v>
      </c>
      <c r="EK240" s="11"/>
      <c r="EL240" s="12" t="e">
        <f t="shared" si="1558"/>
        <v>#DIV/0!</v>
      </c>
      <c r="EM240" s="13"/>
      <c r="EN240" s="11"/>
      <c r="EO240" s="11"/>
      <c r="EP240" s="14"/>
      <c r="EQ240" s="10"/>
      <c r="ER240" s="11"/>
      <c r="ES240" s="69">
        <f t="shared" ref="ES240:ET245" si="1589">ES239-EQ240</f>
        <v>0</v>
      </c>
      <c r="ET240" s="69">
        <f t="shared" si="1589"/>
        <v>0</v>
      </c>
      <c r="EU240" s="11"/>
      <c r="EV240" s="12" t="e">
        <f t="shared" si="1559"/>
        <v>#DIV/0!</v>
      </c>
      <c r="EW240" s="11"/>
      <c r="EX240" s="12" t="e">
        <f t="shared" si="1560"/>
        <v>#DIV/0!</v>
      </c>
      <c r="EY240" s="13"/>
      <c r="EZ240" s="11"/>
      <c r="FA240" s="11"/>
      <c r="FB240" s="14"/>
      <c r="FC240" s="10"/>
      <c r="FD240" s="11"/>
      <c r="FE240" s="69">
        <f t="shared" ref="FE240:FF245" si="1590">FE239-FC240</f>
        <v>0</v>
      </c>
      <c r="FF240" s="69">
        <f t="shared" si="1590"/>
        <v>0</v>
      </c>
      <c r="FG240" s="11"/>
      <c r="FH240" s="12" t="e">
        <f t="shared" si="1561"/>
        <v>#DIV/0!</v>
      </c>
      <c r="FI240" s="11"/>
      <c r="FJ240" s="12" t="e">
        <f t="shared" si="1562"/>
        <v>#DIV/0!</v>
      </c>
      <c r="FK240" s="13"/>
      <c r="FL240" s="11"/>
      <c r="FM240" s="11"/>
      <c r="FN240" s="14"/>
      <c r="FO240" s="10"/>
      <c r="FP240" s="11"/>
      <c r="FQ240" s="69">
        <f t="shared" ref="FQ240:FR245" si="1591">FQ239-FO240</f>
        <v>0</v>
      </c>
      <c r="FR240" s="69">
        <f t="shared" si="1591"/>
        <v>0</v>
      </c>
      <c r="FS240" s="11"/>
      <c r="FT240" s="12" t="e">
        <f t="shared" si="1563"/>
        <v>#DIV/0!</v>
      </c>
      <c r="FU240" s="11"/>
      <c r="FV240" s="12" t="e">
        <f t="shared" si="1564"/>
        <v>#DIV/0!</v>
      </c>
      <c r="FW240" s="13"/>
      <c r="FX240" s="11"/>
      <c r="FY240" s="11"/>
      <c r="FZ240" s="14"/>
      <c r="GA240" s="10"/>
      <c r="GB240" s="11"/>
      <c r="GC240" s="69">
        <f t="shared" ref="GC240:GD245" si="1592">GC239-GA240</f>
        <v>0</v>
      </c>
      <c r="GD240" s="69">
        <f t="shared" si="1592"/>
        <v>0</v>
      </c>
      <c r="GE240" s="11"/>
      <c r="GF240" s="12" t="e">
        <f t="shared" si="1565"/>
        <v>#DIV/0!</v>
      </c>
      <c r="GG240" s="11"/>
      <c r="GH240" s="12" t="e">
        <f t="shared" si="1566"/>
        <v>#DIV/0!</v>
      </c>
      <c r="GI240" s="13"/>
      <c r="GJ240" s="11"/>
      <c r="GK240" s="11"/>
      <c r="GL240" s="14"/>
      <c r="GM240" s="10"/>
      <c r="GN240" s="11"/>
      <c r="GO240" s="69">
        <f t="shared" ref="GO240:GP245" si="1593">GO239-GM240</f>
        <v>0</v>
      </c>
      <c r="GP240" s="69">
        <f t="shared" si="1593"/>
        <v>0</v>
      </c>
      <c r="GQ240" s="11"/>
      <c r="GR240" s="12" t="e">
        <f t="shared" si="1567"/>
        <v>#DIV/0!</v>
      </c>
      <c r="GS240" s="11"/>
      <c r="GT240" s="12" t="e">
        <f t="shared" si="1568"/>
        <v>#DIV/0!</v>
      </c>
      <c r="GU240" s="13"/>
      <c r="GV240" s="11"/>
      <c r="GW240" s="11"/>
      <c r="GX240" s="14"/>
      <c r="GY240" s="10"/>
      <c r="GZ240" s="11"/>
      <c r="HA240" s="69">
        <f t="shared" ref="HA240:HB245" si="1594">HA239-GY240</f>
        <v>0</v>
      </c>
      <c r="HB240" s="69">
        <f t="shared" si="1594"/>
        <v>0</v>
      </c>
      <c r="HC240" s="11"/>
      <c r="HD240" s="12" t="e">
        <f t="shared" si="1569"/>
        <v>#DIV/0!</v>
      </c>
      <c r="HE240" s="11"/>
      <c r="HF240" s="12" t="e">
        <f t="shared" si="1570"/>
        <v>#DIV/0!</v>
      </c>
      <c r="HG240" s="13"/>
      <c r="HH240" s="11"/>
      <c r="HI240" s="11"/>
      <c r="HJ240" s="14"/>
      <c r="HK240" s="10">
        <f t="shared" si="1571"/>
        <v>1</v>
      </c>
      <c r="HL240" s="11">
        <f t="shared" si="1571"/>
        <v>0</v>
      </c>
      <c r="HM240" s="11">
        <f t="shared" si="1571"/>
        <v>3399</v>
      </c>
      <c r="HN240" s="11">
        <f t="shared" si="1571"/>
        <v>263</v>
      </c>
      <c r="HO240" s="11">
        <f t="shared" si="1572"/>
        <v>1230</v>
      </c>
      <c r="HP240" s="95">
        <f t="shared" si="1573"/>
        <v>0.36187113857016767</v>
      </c>
      <c r="HQ240" s="15">
        <f t="shared" si="1574"/>
        <v>106</v>
      </c>
      <c r="HR240" s="12">
        <f t="shared" ref="HR240:HR246" si="1595">+(HQ240/(HO240))</f>
        <v>8.6178861788617889E-2</v>
      </c>
      <c r="HS240" s="16">
        <v>72.3</v>
      </c>
      <c r="HT240" s="17">
        <v>1075</v>
      </c>
      <c r="HU240" s="16">
        <f t="shared" si="1575"/>
        <v>87.398373983739845</v>
      </c>
      <c r="HV240" s="15"/>
      <c r="HW240" s="14"/>
    </row>
    <row r="241" spans="1:231" ht="18.75" x14ac:dyDescent="0.25">
      <c r="A241" s="374"/>
      <c r="B241" s="41">
        <f t="shared" si="1235"/>
        <v>45125</v>
      </c>
      <c r="C241" s="10"/>
      <c r="D241" s="11"/>
      <c r="E241" s="69">
        <f t="shared" si="1576"/>
        <v>602</v>
      </c>
      <c r="F241" s="69">
        <f t="shared" si="1576"/>
        <v>47</v>
      </c>
      <c r="G241" s="11">
        <v>219</v>
      </c>
      <c r="H241" s="12">
        <f t="shared" si="1536"/>
        <v>0.39534883720930231</v>
      </c>
      <c r="I241" s="11">
        <v>19</v>
      </c>
      <c r="J241" s="12">
        <f t="shared" si="1577"/>
        <v>7.9831932773109238E-2</v>
      </c>
      <c r="K241" s="13"/>
      <c r="L241" s="11"/>
      <c r="M241" s="11"/>
      <c r="N241" s="14"/>
      <c r="O241" s="10"/>
      <c r="P241" s="11"/>
      <c r="Q241" s="69">
        <f t="shared" si="1578"/>
        <v>612</v>
      </c>
      <c r="R241" s="69">
        <f t="shared" si="1578"/>
        <v>47</v>
      </c>
      <c r="S241" s="11">
        <v>216</v>
      </c>
      <c r="T241" s="12">
        <f t="shared" si="1537"/>
        <v>0.38562091503267976</v>
      </c>
      <c r="U241" s="11">
        <v>20</v>
      </c>
      <c r="V241" s="12">
        <f t="shared" si="1538"/>
        <v>8.4745762711864403E-2</v>
      </c>
      <c r="W241" s="13"/>
      <c r="X241" s="11"/>
      <c r="Y241" s="11"/>
      <c r="Z241" s="14"/>
      <c r="AA241" s="10"/>
      <c r="AB241" s="11"/>
      <c r="AC241" s="69">
        <f t="shared" si="1579"/>
        <v>143</v>
      </c>
      <c r="AD241" s="69">
        <f t="shared" si="1579"/>
        <v>11</v>
      </c>
      <c r="AE241" s="11">
        <v>43</v>
      </c>
      <c r="AF241" s="12">
        <f t="shared" si="1539"/>
        <v>0.34265734265734266</v>
      </c>
      <c r="AG241" s="11">
        <v>6</v>
      </c>
      <c r="AH241" s="12">
        <f t="shared" si="1540"/>
        <v>0.12244897959183673</v>
      </c>
      <c r="AI241" s="13"/>
      <c r="AJ241" s="11"/>
      <c r="AK241" s="11"/>
      <c r="AL241" s="14"/>
      <c r="AM241" s="10"/>
      <c r="AN241" s="11"/>
      <c r="AO241" s="69">
        <f t="shared" si="1580"/>
        <v>682</v>
      </c>
      <c r="AP241" s="69">
        <f t="shared" si="1580"/>
        <v>52</v>
      </c>
      <c r="AQ241" s="11">
        <v>236</v>
      </c>
      <c r="AR241" s="12">
        <f t="shared" si="1541"/>
        <v>0.38416422287390029</v>
      </c>
      <c r="AS241" s="11">
        <v>26</v>
      </c>
      <c r="AT241" s="12">
        <f t="shared" si="1542"/>
        <v>9.9236641221374045E-2</v>
      </c>
      <c r="AU241" s="13"/>
      <c r="AV241" s="11"/>
      <c r="AW241" s="11"/>
      <c r="AX241" s="14"/>
      <c r="AY241" s="10"/>
      <c r="AZ241" s="11"/>
      <c r="BA241" s="69">
        <f t="shared" si="1581"/>
        <v>681</v>
      </c>
      <c r="BB241" s="69">
        <f t="shared" si="1581"/>
        <v>53</v>
      </c>
      <c r="BC241" s="11">
        <v>219</v>
      </c>
      <c r="BD241" s="12">
        <f t="shared" si="1543"/>
        <v>0.36270190895741555</v>
      </c>
      <c r="BE241" s="11">
        <v>28</v>
      </c>
      <c r="BF241" s="12">
        <f t="shared" si="1544"/>
        <v>0.11336032388663968</v>
      </c>
      <c r="BG241" s="13"/>
      <c r="BH241" s="11"/>
      <c r="BI241" s="11"/>
      <c r="BJ241" s="14"/>
      <c r="BK241" s="10">
        <v>1</v>
      </c>
      <c r="BL241" s="11"/>
      <c r="BM241" s="69">
        <f t="shared" si="1582"/>
        <v>678</v>
      </c>
      <c r="BN241" s="69">
        <f t="shared" si="1582"/>
        <v>53</v>
      </c>
      <c r="BO241" s="11">
        <v>283</v>
      </c>
      <c r="BP241" s="12">
        <f t="shared" si="1545"/>
        <v>0.43657817109144542</v>
      </c>
      <c r="BQ241" s="11">
        <v>13</v>
      </c>
      <c r="BR241" s="12">
        <f t="shared" si="1546"/>
        <v>4.3918918918918921E-2</v>
      </c>
      <c r="BS241" s="13"/>
      <c r="BT241" s="11"/>
      <c r="BU241" s="11"/>
      <c r="BV241" s="14"/>
      <c r="BW241" s="10"/>
      <c r="BX241" s="11"/>
      <c r="BY241" s="69">
        <f t="shared" si="1583"/>
        <v>0</v>
      </c>
      <c r="BZ241" s="69">
        <f t="shared" si="1583"/>
        <v>0</v>
      </c>
      <c r="CA241" s="11"/>
      <c r="CB241" s="12" t="e">
        <f t="shared" si="1547"/>
        <v>#DIV/0!</v>
      </c>
      <c r="CC241" s="11"/>
      <c r="CD241" s="12" t="e">
        <f t="shared" si="1548"/>
        <v>#DIV/0!</v>
      </c>
      <c r="CE241" s="13"/>
      <c r="CF241" s="11"/>
      <c r="CG241" s="11"/>
      <c r="CH241" s="14"/>
      <c r="CI241" s="10"/>
      <c r="CJ241" s="11"/>
      <c r="CK241" s="69">
        <f t="shared" si="1584"/>
        <v>0</v>
      </c>
      <c r="CL241" s="69">
        <f t="shared" si="1584"/>
        <v>0</v>
      </c>
      <c r="CM241" s="11"/>
      <c r="CN241" s="12" t="e">
        <f t="shared" si="1549"/>
        <v>#DIV/0!</v>
      </c>
      <c r="CO241" s="11"/>
      <c r="CP241" s="12" t="e">
        <f t="shared" si="1550"/>
        <v>#DIV/0!</v>
      </c>
      <c r="CQ241" s="13"/>
      <c r="CR241" s="11"/>
      <c r="CS241" s="11"/>
      <c r="CT241" s="14"/>
      <c r="CU241" s="10"/>
      <c r="CV241" s="11"/>
      <c r="CW241" s="69">
        <f t="shared" si="1585"/>
        <v>0</v>
      </c>
      <c r="CX241" s="69">
        <f t="shared" si="1585"/>
        <v>0</v>
      </c>
      <c r="CY241" s="11"/>
      <c r="CZ241" s="12" t="e">
        <f t="shared" si="1551"/>
        <v>#DIV/0!</v>
      </c>
      <c r="DA241" s="11"/>
      <c r="DB241" s="12" t="e">
        <f t="shared" si="1552"/>
        <v>#DIV/0!</v>
      </c>
      <c r="DC241" s="13"/>
      <c r="DD241" s="11"/>
      <c r="DE241" s="11"/>
      <c r="DF241" s="14"/>
      <c r="DG241" s="10"/>
      <c r="DH241" s="11"/>
      <c r="DI241" s="69">
        <f t="shared" si="1586"/>
        <v>0</v>
      </c>
      <c r="DJ241" s="69">
        <f t="shared" si="1586"/>
        <v>0</v>
      </c>
      <c r="DK241" s="11"/>
      <c r="DL241" s="12" t="e">
        <f t="shared" si="1553"/>
        <v>#DIV/0!</v>
      </c>
      <c r="DM241" s="11"/>
      <c r="DN241" s="12" t="e">
        <f t="shared" si="1554"/>
        <v>#DIV/0!</v>
      </c>
      <c r="DO241" s="13"/>
      <c r="DP241" s="11"/>
      <c r="DQ241" s="11"/>
      <c r="DR241" s="14"/>
      <c r="DS241" s="10"/>
      <c r="DT241" s="11"/>
      <c r="DU241" s="69">
        <f t="shared" si="1587"/>
        <v>0</v>
      </c>
      <c r="DV241" s="69">
        <f t="shared" si="1587"/>
        <v>0</v>
      </c>
      <c r="DW241" s="11"/>
      <c r="DX241" s="12" t="e">
        <f t="shared" si="1555"/>
        <v>#DIV/0!</v>
      </c>
      <c r="DY241" s="11"/>
      <c r="DZ241" s="12" t="e">
        <f t="shared" si="1556"/>
        <v>#DIV/0!</v>
      </c>
      <c r="EA241" s="13"/>
      <c r="EB241" s="11"/>
      <c r="EC241" s="11"/>
      <c r="ED241" s="14"/>
      <c r="EE241" s="10"/>
      <c r="EF241" s="11"/>
      <c r="EG241" s="69">
        <f t="shared" si="1588"/>
        <v>0</v>
      </c>
      <c r="EH241" s="69">
        <f t="shared" si="1588"/>
        <v>0</v>
      </c>
      <c r="EI241" s="11"/>
      <c r="EJ241" s="12" t="e">
        <f t="shared" si="1557"/>
        <v>#DIV/0!</v>
      </c>
      <c r="EK241" s="11"/>
      <c r="EL241" s="12" t="e">
        <f t="shared" si="1558"/>
        <v>#DIV/0!</v>
      </c>
      <c r="EM241" s="13"/>
      <c r="EN241" s="11"/>
      <c r="EO241" s="11"/>
      <c r="EP241" s="14"/>
      <c r="EQ241" s="10"/>
      <c r="ER241" s="11"/>
      <c r="ES241" s="69">
        <f t="shared" si="1589"/>
        <v>0</v>
      </c>
      <c r="ET241" s="69">
        <f t="shared" si="1589"/>
        <v>0</v>
      </c>
      <c r="EU241" s="11"/>
      <c r="EV241" s="12" t="e">
        <f t="shared" si="1559"/>
        <v>#DIV/0!</v>
      </c>
      <c r="EW241" s="11"/>
      <c r="EX241" s="12" t="e">
        <f t="shared" si="1560"/>
        <v>#DIV/0!</v>
      </c>
      <c r="EY241" s="13"/>
      <c r="EZ241" s="11"/>
      <c r="FA241" s="11"/>
      <c r="FB241" s="14"/>
      <c r="FC241" s="10"/>
      <c r="FD241" s="11"/>
      <c r="FE241" s="69">
        <f t="shared" si="1590"/>
        <v>0</v>
      </c>
      <c r="FF241" s="69">
        <f t="shared" si="1590"/>
        <v>0</v>
      </c>
      <c r="FG241" s="11"/>
      <c r="FH241" s="12" t="e">
        <f t="shared" si="1561"/>
        <v>#DIV/0!</v>
      </c>
      <c r="FI241" s="11"/>
      <c r="FJ241" s="12" t="e">
        <f t="shared" si="1562"/>
        <v>#DIV/0!</v>
      </c>
      <c r="FK241" s="13"/>
      <c r="FL241" s="11"/>
      <c r="FM241" s="11"/>
      <c r="FN241" s="14"/>
      <c r="FO241" s="10"/>
      <c r="FP241" s="11"/>
      <c r="FQ241" s="69">
        <f t="shared" si="1591"/>
        <v>0</v>
      </c>
      <c r="FR241" s="69">
        <f t="shared" si="1591"/>
        <v>0</v>
      </c>
      <c r="FS241" s="11"/>
      <c r="FT241" s="12" t="e">
        <f t="shared" si="1563"/>
        <v>#DIV/0!</v>
      </c>
      <c r="FU241" s="11"/>
      <c r="FV241" s="12" t="e">
        <f t="shared" si="1564"/>
        <v>#DIV/0!</v>
      </c>
      <c r="FW241" s="13"/>
      <c r="FX241" s="11"/>
      <c r="FY241" s="11"/>
      <c r="FZ241" s="14"/>
      <c r="GA241" s="10"/>
      <c r="GB241" s="11"/>
      <c r="GC241" s="69">
        <f t="shared" si="1592"/>
        <v>0</v>
      </c>
      <c r="GD241" s="69">
        <f t="shared" si="1592"/>
        <v>0</v>
      </c>
      <c r="GE241" s="11"/>
      <c r="GF241" s="12" t="e">
        <f t="shared" si="1565"/>
        <v>#DIV/0!</v>
      </c>
      <c r="GG241" s="11"/>
      <c r="GH241" s="12" t="e">
        <f t="shared" si="1566"/>
        <v>#DIV/0!</v>
      </c>
      <c r="GI241" s="13"/>
      <c r="GJ241" s="11"/>
      <c r="GK241" s="11"/>
      <c r="GL241" s="14"/>
      <c r="GM241" s="10"/>
      <c r="GN241" s="11"/>
      <c r="GO241" s="69">
        <f t="shared" si="1593"/>
        <v>0</v>
      </c>
      <c r="GP241" s="69">
        <f t="shared" si="1593"/>
        <v>0</v>
      </c>
      <c r="GQ241" s="11"/>
      <c r="GR241" s="12" t="e">
        <f t="shared" si="1567"/>
        <v>#DIV/0!</v>
      </c>
      <c r="GS241" s="11"/>
      <c r="GT241" s="12" t="e">
        <f t="shared" si="1568"/>
        <v>#DIV/0!</v>
      </c>
      <c r="GU241" s="13"/>
      <c r="GV241" s="11"/>
      <c r="GW241" s="11"/>
      <c r="GX241" s="14"/>
      <c r="GY241" s="10"/>
      <c r="GZ241" s="11"/>
      <c r="HA241" s="69">
        <f t="shared" si="1594"/>
        <v>0</v>
      </c>
      <c r="HB241" s="69">
        <f t="shared" si="1594"/>
        <v>0</v>
      </c>
      <c r="HC241" s="11"/>
      <c r="HD241" s="12" t="e">
        <f t="shared" si="1569"/>
        <v>#DIV/0!</v>
      </c>
      <c r="HE241" s="11"/>
      <c r="HF241" s="12" t="e">
        <f t="shared" si="1570"/>
        <v>#DIV/0!</v>
      </c>
      <c r="HG241" s="13"/>
      <c r="HH241" s="11"/>
      <c r="HI241" s="11"/>
      <c r="HJ241" s="14"/>
      <c r="HK241" s="10">
        <f t="shared" si="1571"/>
        <v>1</v>
      </c>
      <c r="HL241" s="11">
        <f t="shared" si="1571"/>
        <v>0</v>
      </c>
      <c r="HM241" s="11">
        <f t="shared" si="1571"/>
        <v>3398</v>
      </c>
      <c r="HN241" s="11">
        <f t="shared" si="1571"/>
        <v>263</v>
      </c>
      <c r="HO241" s="11">
        <f t="shared" si="1572"/>
        <v>1328</v>
      </c>
      <c r="HP241" s="95">
        <f t="shared" si="1573"/>
        <v>0.39081812831077106</v>
      </c>
      <c r="HQ241" s="15">
        <f t="shared" si="1574"/>
        <v>112</v>
      </c>
      <c r="HR241" s="12">
        <f t="shared" si="1595"/>
        <v>8.4337349397590355E-2</v>
      </c>
      <c r="HS241" s="16">
        <v>72.400000000000006</v>
      </c>
      <c r="HT241" s="17">
        <v>1163</v>
      </c>
      <c r="HU241" s="16">
        <f t="shared" si="1575"/>
        <v>87.575301204819283</v>
      </c>
      <c r="HV241" s="15"/>
      <c r="HW241" s="14"/>
    </row>
    <row r="242" spans="1:231" ht="18.75" x14ac:dyDescent="0.25">
      <c r="A242" s="374"/>
      <c r="B242" s="41">
        <f t="shared" si="1235"/>
        <v>45126</v>
      </c>
      <c r="C242" s="10"/>
      <c r="D242" s="11"/>
      <c r="E242" s="69">
        <f t="shared" si="1576"/>
        <v>602</v>
      </c>
      <c r="F242" s="69">
        <f t="shared" si="1576"/>
        <v>47</v>
      </c>
      <c r="G242" s="11">
        <v>192</v>
      </c>
      <c r="H242" s="12">
        <f t="shared" si="1536"/>
        <v>0.35049833887043191</v>
      </c>
      <c r="I242" s="11">
        <v>19</v>
      </c>
      <c r="J242" s="12">
        <f t="shared" si="1577"/>
        <v>9.004739336492891E-2</v>
      </c>
      <c r="K242" s="11"/>
      <c r="L242" s="11"/>
      <c r="M242" s="18"/>
      <c r="N242" s="20"/>
      <c r="O242" s="10">
        <v>1</v>
      </c>
      <c r="P242" s="11"/>
      <c r="Q242" s="69">
        <f t="shared" si="1578"/>
        <v>611</v>
      </c>
      <c r="R242" s="69">
        <f t="shared" si="1578"/>
        <v>47</v>
      </c>
      <c r="S242" s="11">
        <v>204</v>
      </c>
      <c r="T242" s="12">
        <f t="shared" si="1537"/>
        <v>0.36006546644844517</v>
      </c>
      <c r="U242" s="11">
        <v>16</v>
      </c>
      <c r="V242" s="12">
        <f t="shared" si="1538"/>
        <v>7.2727272727272724E-2</v>
      </c>
      <c r="W242" s="11"/>
      <c r="X242" s="11"/>
      <c r="Y242" s="18"/>
      <c r="Z242" s="20"/>
      <c r="AA242" s="10"/>
      <c r="AB242" s="11"/>
      <c r="AC242" s="69">
        <f t="shared" si="1579"/>
        <v>143</v>
      </c>
      <c r="AD242" s="69">
        <f t="shared" si="1579"/>
        <v>11</v>
      </c>
      <c r="AE242" s="11">
        <v>45</v>
      </c>
      <c r="AF242" s="12">
        <f t="shared" si="1539"/>
        <v>0.33566433566433568</v>
      </c>
      <c r="AG242" s="11">
        <v>3</v>
      </c>
      <c r="AH242" s="12">
        <f t="shared" si="1540"/>
        <v>6.25E-2</v>
      </c>
      <c r="AI242" s="11"/>
      <c r="AJ242" s="11"/>
      <c r="AK242" s="18"/>
      <c r="AL242" s="20"/>
      <c r="AM242" s="10"/>
      <c r="AN242" s="11"/>
      <c r="AO242" s="69">
        <f t="shared" si="1580"/>
        <v>682</v>
      </c>
      <c r="AP242" s="69">
        <f t="shared" si="1580"/>
        <v>52</v>
      </c>
      <c r="AQ242" s="11">
        <v>202</v>
      </c>
      <c r="AR242" s="12">
        <f t="shared" si="1541"/>
        <v>0.3255131964809384</v>
      </c>
      <c r="AS242" s="11">
        <v>20</v>
      </c>
      <c r="AT242" s="12">
        <f t="shared" si="1542"/>
        <v>9.0090090090090086E-2</v>
      </c>
      <c r="AU242" s="11"/>
      <c r="AV242" s="11"/>
      <c r="AW242" s="18"/>
      <c r="AX242" s="20"/>
      <c r="AY242" s="10"/>
      <c r="AZ242" s="11"/>
      <c r="BA242" s="69">
        <f t="shared" si="1581"/>
        <v>681</v>
      </c>
      <c r="BB242" s="69">
        <f t="shared" si="1581"/>
        <v>53</v>
      </c>
      <c r="BC242" s="11">
        <v>203</v>
      </c>
      <c r="BD242" s="12">
        <f t="shared" si="1543"/>
        <v>0.32158590308370044</v>
      </c>
      <c r="BE242" s="11">
        <v>16</v>
      </c>
      <c r="BF242" s="12">
        <f t="shared" si="1544"/>
        <v>7.3059360730593603E-2</v>
      </c>
      <c r="BG242" s="11"/>
      <c r="BH242" s="11"/>
      <c r="BI242" s="18"/>
      <c r="BJ242" s="20"/>
      <c r="BK242" s="10"/>
      <c r="BL242" s="11"/>
      <c r="BM242" s="69">
        <f t="shared" si="1582"/>
        <v>678</v>
      </c>
      <c r="BN242" s="69">
        <f t="shared" si="1582"/>
        <v>53</v>
      </c>
      <c r="BO242" s="11">
        <v>207</v>
      </c>
      <c r="BP242" s="12">
        <f t="shared" si="1545"/>
        <v>0.32890855457227136</v>
      </c>
      <c r="BQ242" s="11">
        <v>16</v>
      </c>
      <c r="BR242" s="12">
        <f t="shared" si="1546"/>
        <v>7.1748878923766815E-2</v>
      </c>
      <c r="BS242" s="11"/>
      <c r="BT242" s="11"/>
      <c r="BU242" s="18"/>
      <c r="BV242" s="20"/>
      <c r="BW242" s="10"/>
      <c r="BX242" s="11"/>
      <c r="BY242" s="69">
        <f t="shared" si="1583"/>
        <v>0</v>
      </c>
      <c r="BZ242" s="69">
        <f t="shared" si="1583"/>
        <v>0</v>
      </c>
      <c r="CA242" s="11"/>
      <c r="CB242" s="12" t="e">
        <f t="shared" si="1547"/>
        <v>#DIV/0!</v>
      </c>
      <c r="CC242" s="11"/>
      <c r="CD242" s="12" t="e">
        <f t="shared" si="1548"/>
        <v>#DIV/0!</v>
      </c>
      <c r="CE242" s="11"/>
      <c r="CF242" s="11"/>
      <c r="CG242" s="18"/>
      <c r="CH242" s="20"/>
      <c r="CI242" s="10"/>
      <c r="CJ242" s="11"/>
      <c r="CK242" s="69">
        <f t="shared" si="1584"/>
        <v>0</v>
      </c>
      <c r="CL242" s="69">
        <f t="shared" si="1584"/>
        <v>0</v>
      </c>
      <c r="CM242" s="11"/>
      <c r="CN242" s="12" t="e">
        <f t="shared" si="1549"/>
        <v>#DIV/0!</v>
      </c>
      <c r="CO242" s="11"/>
      <c r="CP242" s="12" t="e">
        <f t="shared" si="1550"/>
        <v>#DIV/0!</v>
      </c>
      <c r="CQ242" s="11"/>
      <c r="CR242" s="11"/>
      <c r="CS242" s="18"/>
      <c r="CT242" s="20"/>
      <c r="CU242" s="10"/>
      <c r="CV242" s="11"/>
      <c r="CW242" s="69">
        <f t="shared" si="1585"/>
        <v>0</v>
      </c>
      <c r="CX242" s="69">
        <f t="shared" si="1585"/>
        <v>0</v>
      </c>
      <c r="CY242" s="11"/>
      <c r="CZ242" s="12" t="e">
        <f t="shared" si="1551"/>
        <v>#DIV/0!</v>
      </c>
      <c r="DA242" s="11"/>
      <c r="DB242" s="12" t="e">
        <f t="shared" si="1552"/>
        <v>#DIV/0!</v>
      </c>
      <c r="DC242" s="11"/>
      <c r="DD242" s="11"/>
      <c r="DE242" s="18"/>
      <c r="DF242" s="20"/>
      <c r="DG242" s="10"/>
      <c r="DH242" s="11"/>
      <c r="DI242" s="69">
        <f t="shared" si="1586"/>
        <v>0</v>
      </c>
      <c r="DJ242" s="69">
        <f t="shared" si="1586"/>
        <v>0</v>
      </c>
      <c r="DK242" s="11"/>
      <c r="DL242" s="12" t="e">
        <f t="shared" si="1553"/>
        <v>#DIV/0!</v>
      </c>
      <c r="DM242" s="11"/>
      <c r="DN242" s="12" t="e">
        <f t="shared" si="1554"/>
        <v>#DIV/0!</v>
      </c>
      <c r="DO242" s="11"/>
      <c r="DP242" s="11"/>
      <c r="DQ242" s="18"/>
      <c r="DR242" s="20"/>
      <c r="DS242" s="10"/>
      <c r="DT242" s="11"/>
      <c r="DU242" s="69">
        <f t="shared" si="1587"/>
        <v>0</v>
      </c>
      <c r="DV242" s="69">
        <f t="shared" si="1587"/>
        <v>0</v>
      </c>
      <c r="DW242" s="11"/>
      <c r="DX242" s="12" t="e">
        <f t="shared" si="1555"/>
        <v>#DIV/0!</v>
      </c>
      <c r="DY242" s="11"/>
      <c r="DZ242" s="12" t="e">
        <f t="shared" si="1556"/>
        <v>#DIV/0!</v>
      </c>
      <c r="EA242" s="11"/>
      <c r="EB242" s="11"/>
      <c r="EC242" s="18"/>
      <c r="ED242" s="20"/>
      <c r="EE242" s="10"/>
      <c r="EF242" s="11"/>
      <c r="EG242" s="69">
        <f t="shared" si="1588"/>
        <v>0</v>
      </c>
      <c r="EH242" s="69">
        <f t="shared" si="1588"/>
        <v>0</v>
      </c>
      <c r="EI242" s="11"/>
      <c r="EJ242" s="12" t="e">
        <f t="shared" si="1557"/>
        <v>#DIV/0!</v>
      </c>
      <c r="EK242" s="11"/>
      <c r="EL242" s="12" t="e">
        <f t="shared" si="1558"/>
        <v>#DIV/0!</v>
      </c>
      <c r="EM242" s="11"/>
      <c r="EN242" s="11"/>
      <c r="EO242" s="18"/>
      <c r="EP242" s="20"/>
      <c r="EQ242" s="10"/>
      <c r="ER242" s="11"/>
      <c r="ES242" s="69">
        <f t="shared" si="1589"/>
        <v>0</v>
      </c>
      <c r="ET242" s="69">
        <f t="shared" si="1589"/>
        <v>0</v>
      </c>
      <c r="EU242" s="11"/>
      <c r="EV242" s="12" t="e">
        <f t="shared" si="1559"/>
        <v>#DIV/0!</v>
      </c>
      <c r="EW242" s="11"/>
      <c r="EX242" s="12" t="e">
        <f t="shared" si="1560"/>
        <v>#DIV/0!</v>
      </c>
      <c r="EY242" s="11"/>
      <c r="EZ242" s="11"/>
      <c r="FA242" s="18"/>
      <c r="FB242" s="20"/>
      <c r="FC242" s="10"/>
      <c r="FD242" s="11"/>
      <c r="FE242" s="69">
        <f t="shared" si="1590"/>
        <v>0</v>
      </c>
      <c r="FF242" s="69">
        <f t="shared" si="1590"/>
        <v>0</v>
      </c>
      <c r="FG242" s="11"/>
      <c r="FH242" s="12" t="e">
        <f t="shared" si="1561"/>
        <v>#DIV/0!</v>
      </c>
      <c r="FI242" s="11"/>
      <c r="FJ242" s="12" t="e">
        <f t="shared" si="1562"/>
        <v>#DIV/0!</v>
      </c>
      <c r="FK242" s="11"/>
      <c r="FL242" s="11"/>
      <c r="FM242" s="18"/>
      <c r="FN242" s="20"/>
      <c r="FO242" s="10"/>
      <c r="FP242" s="11"/>
      <c r="FQ242" s="69">
        <f t="shared" si="1591"/>
        <v>0</v>
      </c>
      <c r="FR242" s="69">
        <f t="shared" si="1591"/>
        <v>0</v>
      </c>
      <c r="FS242" s="11"/>
      <c r="FT242" s="12" t="e">
        <f t="shared" si="1563"/>
        <v>#DIV/0!</v>
      </c>
      <c r="FU242" s="11"/>
      <c r="FV242" s="12" t="e">
        <f t="shared" si="1564"/>
        <v>#DIV/0!</v>
      </c>
      <c r="FW242" s="11"/>
      <c r="FX242" s="11"/>
      <c r="FY242" s="18"/>
      <c r="FZ242" s="20"/>
      <c r="GA242" s="10"/>
      <c r="GB242" s="11"/>
      <c r="GC242" s="69">
        <f t="shared" si="1592"/>
        <v>0</v>
      </c>
      <c r="GD242" s="69">
        <f t="shared" si="1592"/>
        <v>0</v>
      </c>
      <c r="GE242" s="11"/>
      <c r="GF242" s="12" t="e">
        <f t="shared" si="1565"/>
        <v>#DIV/0!</v>
      </c>
      <c r="GG242" s="11"/>
      <c r="GH242" s="12" t="e">
        <f t="shared" si="1566"/>
        <v>#DIV/0!</v>
      </c>
      <c r="GI242" s="11"/>
      <c r="GJ242" s="11"/>
      <c r="GK242" s="18"/>
      <c r="GL242" s="20"/>
      <c r="GM242" s="10"/>
      <c r="GN242" s="11"/>
      <c r="GO242" s="69">
        <f t="shared" si="1593"/>
        <v>0</v>
      </c>
      <c r="GP242" s="69">
        <f t="shared" si="1593"/>
        <v>0</v>
      </c>
      <c r="GQ242" s="11"/>
      <c r="GR242" s="12" t="e">
        <f t="shared" si="1567"/>
        <v>#DIV/0!</v>
      </c>
      <c r="GS242" s="11"/>
      <c r="GT242" s="12" t="e">
        <f t="shared" si="1568"/>
        <v>#DIV/0!</v>
      </c>
      <c r="GU242" s="11"/>
      <c r="GV242" s="11"/>
      <c r="GW242" s="18"/>
      <c r="GX242" s="20"/>
      <c r="GY242" s="10"/>
      <c r="GZ242" s="11"/>
      <c r="HA242" s="69">
        <f t="shared" si="1594"/>
        <v>0</v>
      </c>
      <c r="HB242" s="69">
        <f t="shared" si="1594"/>
        <v>0</v>
      </c>
      <c r="HC242" s="11"/>
      <c r="HD242" s="12" t="e">
        <f t="shared" si="1569"/>
        <v>#DIV/0!</v>
      </c>
      <c r="HE242" s="11"/>
      <c r="HF242" s="12" t="e">
        <f t="shared" si="1570"/>
        <v>#DIV/0!</v>
      </c>
      <c r="HG242" s="11"/>
      <c r="HH242" s="11"/>
      <c r="HI242" s="18"/>
      <c r="HJ242" s="20"/>
      <c r="HK242" s="10">
        <f t="shared" si="1571"/>
        <v>1</v>
      </c>
      <c r="HL242" s="11">
        <f t="shared" si="1571"/>
        <v>0</v>
      </c>
      <c r="HM242" s="11">
        <f t="shared" si="1571"/>
        <v>3397</v>
      </c>
      <c r="HN242" s="11">
        <f t="shared" si="1571"/>
        <v>263</v>
      </c>
      <c r="HO242" s="11">
        <f t="shared" si="1572"/>
        <v>1143</v>
      </c>
      <c r="HP242" s="95">
        <f t="shared" si="1573"/>
        <v>0.33647335884604063</v>
      </c>
      <c r="HQ242" s="15">
        <f t="shared" si="1574"/>
        <v>90</v>
      </c>
      <c r="HR242" s="12">
        <f t="shared" si="1595"/>
        <v>7.874015748031496E-2</v>
      </c>
      <c r="HS242" s="16">
        <v>71.3</v>
      </c>
      <c r="HT242" s="17">
        <v>1002</v>
      </c>
      <c r="HU242" s="16">
        <f t="shared" si="1575"/>
        <v>87.664041994750647</v>
      </c>
      <c r="HV242" s="18"/>
      <c r="HW242" s="20"/>
    </row>
    <row r="243" spans="1:231" ht="18.75" x14ac:dyDescent="0.25">
      <c r="A243" s="374"/>
      <c r="B243" s="41">
        <f t="shared" si="1235"/>
        <v>45127</v>
      </c>
      <c r="C243" s="10"/>
      <c r="D243" s="11"/>
      <c r="E243" s="69">
        <f t="shared" si="1576"/>
        <v>602</v>
      </c>
      <c r="F243" s="69">
        <f t="shared" si="1576"/>
        <v>47</v>
      </c>
      <c r="G243" s="11">
        <v>222</v>
      </c>
      <c r="H243" s="12">
        <f t="shared" si="1536"/>
        <v>0.39202657807308972</v>
      </c>
      <c r="I243" s="11">
        <v>14</v>
      </c>
      <c r="J243" s="12">
        <f t="shared" si="1577"/>
        <v>5.9322033898305086E-2</v>
      </c>
      <c r="K243" s="13"/>
      <c r="L243" s="13"/>
      <c r="M243" s="25"/>
      <c r="N243" s="38">
        <v>4680</v>
      </c>
      <c r="O243" s="10">
        <v>1</v>
      </c>
      <c r="P243" s="11"/>
      <c r="Q243" s="69">
        <f t="shared" si="1578"/>
        <v>610</v>
      </c>
      <c r="R243" s="69">
        <f t="shared" si="1578"/>
        <v>47</v>
      </c>
      <c r="S243" s="11">
        <v>211</v>
      </c>
      <c r="T243" s="12">
        <f t="shared" si="1537"/>
        <v>0.37704918032786883</v>
      </c>
      <c r="U243" s="11">
        <v>19</v>
      </c>
      <c r="V243" s="12">
        <f t="shared" si="1538"/>
        <v>8.2608695652173908E-2</v>
      </c>
      <c r="W243" s="13"/>
      <c r="X243" s="13"/>
      <c r="Y243" s="25"/>
      <c r="Z243" s="38">
        <v>4680</v>
      </c>
      <c r="AA243" s="10"/>
      <c r="AB243" s="11"/>
      <c r="AC243" s="69">
        <f t="shared" si="1579"/>
        <v>143</v>
      </c>
      <c r="AD243" s="69">
        <f t="shared" si="1579"/>
        <v>11</v>
      </c>
      <c r="AE243" s="11">
        <v>39</v>
      </c>
      <c r="AF243" s="12">
        <f t="shared" si="1539"/>
        <v>0.28671328671328672</v>
      </c>
      <c r="AG243" s="11">
        <v>2</v>
      </c>
      <c r="AH243" s="12">
        <f t="shared" si="1540"/>
        <v>4.878048780487805E-2</v>
      </c>
      <c r="AI243" s="13"/>
      <c r="AJ243" s="13"/>
      <c r="AK243" s="25"/>
      <c r="AL243" s="38">
        <v>4680</v>
      </c>
      <c r="AM243" s="10">
        <v>1</v>
      </c>
      <c r="AN243" s="11"/>
      <c r="AO243" s="69">
        <f t="shared" si="1580"/>
        <v>681</v>
      </c>
      <c r="AP243" s="69">
        <f t="shared" si="1580"/>
        <v>52</v>
      </c>
      <c r="AQ243" s="11">
        <v>229</v>
      </c>
      <c r="AR243" s="12">
        <f t="shared" si="1541"/>
        <v>0.3656387665198238</v>
      </c>
      <c r="AS243" s="11">
        <v>20</v>
      </c>
      <c r="AT243" s="12">
        <f t="shared" si="1542"/>
        <v>8.0321285140562249E-2</v>
      </c>
      <c r="AU243" s="13"/>
      <c r="AV243" s="13"/>
      <c r="AW243" s="25"/>
      <c r="AX243" s="38">
        <v>4680</v>
      </c>
      <c r="AY243" s="10"/>
      <c r="AZ243" s="11"/>
      <c r="BA243" s="69">
        <f t="shared" si="1581"/>
        <v>681</v>
      </c>
      <c r="BB243" s="69">
        <f t="shared" si="1581"/>
        <v>53</v>
      </c>
      <c r="BC243" s="11">
        <v>197</v>
      </c>
      <c r="BD243" s="12">
        <f t="shared" si="1543"/>
        <v>0.31277533039647576</v>
      </c>
      <c r="BE243" s="11">
        <v>16</v>
      </c>
      <c r="BF243" s="12">
        <f t="shared" si="1544"/>
        <v>7.5117370892018781E-2</v>
      </c>
      <c r="BG243" s="13"/>
      <c r="BH243" s="13"/>
      <c r="BI243" s="25"/>
      <c r="BJ243" s="38">
        <v>4680</v>
      </c>
      <c r="BK243" s="10">
        <v>2</v>
      </c>
      <c r="BL243" s="11"/>
      <c r="BM243" s="69">
        <f t="shared" si="1582"/>
        <v>676</v>
      </c>
      <c r="BN243" s="69">
        <f t="shared" si="1582"/>
        <v>53</v>
      </c>
      <c r="BO243" s="11">
        <v>234</v>
      </c>
      <c r="BP243" s="12">
        <f t="shared" si="1545"/>
        <v>0.38165680473372782</v>
      </c>
      <c r="BQ243" s="11">
        <v>24</v>
      </c>
      <c r="BR243" s="12">
        <f t="shared" si="1546"/>
        <v>9.3023255813953487E-2</v>
      </c>
      <c r="BS243" s="13"/>
      <c r="BT243" s="13"/>
      <c r="BU243" s="25"/>
      <c r="BV243" s="38">
        <v>4680</v>
      </c>
      <c r="BW243" s="10"/>
      <c r="BX243" s="11"/>
      <c r="BY243" s="69">
        <f t="shared" si="1583"/>
        <v>0</v>
      </c>
      <c r="BZ243" s="69">
        <f t="shared" si="1583"/>
        <v>0</v>
      </c>
      <c r="CA243" s="11"/>
      <c r="CB243" s="12" t="e">
        <f t="shared" si="1547"/>
        <v>#DIV/0!</v>
      </c>
      <c r="CC243" s="11"/>
      <c r="CD243" s="12" t="e">
        <f t="shared" si="1548"/>
        <v>#DIV/0!</v>
      </c>
      <c r="CE243" s="13"/>
      <c r="CF243" s="13"/>
      <c r="CG243" s="25"/>
      <c r="CH243" s="38"/>
      <c r="CI243" s="10"/>
      <c r="CJ243" s="11"/>
      <c r="CK243" s="69">
        <f t="shared" si="1584"/>
        <v>0</v>
      </c>
      <c r="CL243" s="69">
        <f t="shared" si="1584"/>
        <v>0</v>
      </c>
      <c r="CM243" s="11"/>
      <c r="CN243" s="12" t="e">
        <f t="shared" si="1549"/>
        <v>#DIV/0!</v>
      </c>
      <c r="CO243" s="11"/>
      <c r="CP243" s="12" t="e">
        <f t="shared" si="1550"/>
        <v>#DIV/0!</v>
      </c>
      <c r="CQ243" s="13"/>
      <c r="CR243" s="13"/>
      <c r="CS243" s="25"/>
      <c r="CT243" s="38"/>
      <c r="CU243" s="10"/>
      <c r="CV243" s="11"/>
      <c r="CW243" s="69">
        <f t="shared" si="1585"/>
        <v>0</v>
      </c>
      <c r="CX243" s="69">
        <f t="shared" si="1585"/>
        <v>0</v>
      </c>
      <c r="CY243" s="11"/>
      <c r="CZ243" s="12" t="e">
        <f t="shared" si="1551"/>
        <v>#DIV/0!</v>
      </c>
      <c r="DA243" s="11"/>
      <c r="DB243" s="12" t="e">
        <f t="shared" si="1552"/>
        <v>#DIV/0!</v>
      </c>
      <c r="DC243" s="13"/>
      <c r="DD243" s="13"/>
      <c r="DE243" s="25"/>
      <c r="DF243" s="38"/>
      <c r="DG243" s="10"/>
      <c r="DH243" s="11"/>
      <c r="DI243" s="69">
        <f t="shared" si="1586"/>
        <v>0</v>
      </c>
      <c r="DJ243" s="69">
        <f t="shared" si="1586"/>
        <v>0</v>
      </c>
      <c r="DK243" s="11"/>
      <c r="DL243" s="12" t="e">
        <f t="shared" si="1553"/>
        <v>#DIV/0!</v>
      </c>
      <c r="DM243" s="11"/>
      <c r="DN243" s="12" t="e">
        <f t="shared" si="1554"/>
        <v>#DIV/0!</v>
      </c>
      <c r="DO243" s="13"/>
      <c r="DP243" s="13"/>
      <c r="DQ243" s="25"/>
      <c r="DR243" s="38"/>
      <c r="DS243" s="10"/>
      <c r="DT243" s="11"/>
      <c r="DU243" s="69">
        <f t="shared" si="1587"/>
        <v>0</v>
      </c>
      <c r="DV243" s="69">
        <f t="shared" si="1587"/>
        <v>0</v>
      </c>
      <c r="DW243" s="11"/>
      <c r="DX243" s="12" t="e">
        <f t="shared" si="1555"/>
        <v>#DIV/0!</v>
      </c>
      <c r="DY243" s="11"/>
      <c r="DZ243" s="12" t="e">
        <f t="shared" si="1556"/>
        <v>#DIV/0!</v>
      </c>
      <c r="EA243" s="13"/>
      <c r="EB243" s="13"/>
      <c r="EC243" s="25"/>
      <c r="ED243" s="38"/>
      <c r="EE243" s="10"/>
      <c r="EF243" s="11"/>
      <c r="EG243" s="69">
        <f t="shared" si="1588"/>
        <v>0</v>
      </c>
      <c r="EH243" s="69">
        <f t="shared" si="1588"/>
        <v>0</v>
      </c>
      <c r="EI243" s="11"/>
      <c r="EJ243" s="12" t="e">
        <f t="shared" si="1557"/>
        <v>#DIV/0!</v>
      </c>
      <c r="EK243" s="11"/>
      <c r="EL243" s="12" t="e">
        <f t="shared" si="1558"/>
        <v>#DIV/0!</v>
      </c>
      <c r="EM243" s="13"/>
      <c r="EN243" s="13"/>
      <c r="EO243" s="25"/>
      <c r="EP243" s="38"/>
      <c r="EQ243" s="10"/>
      <c r="ER243" s="11"/>
      <c r="ES243" s="69">
        <f t="shared" si="1589"/>
        <v>0</v>
      </c>
      <c r="ET243" s="69">
        <f t="shared" si="1589"/>
        <v>0</v>
      </c>
      <c r="EU243" s="11"/>
      <c r="EV243" s="12" t="e">
        <f t="shared" si="1559"/>
        <v>#DIV/0!</v>
      </c>
      <c r="EW243" s="11"/>
      <c r="EX243" s="12" t="e">
        <f t="shared" si="1560"/>
        <v>#DIV/0!</v>
      </c>
      <c r="EY243" s="13"/>
      <c r="EZ243" s="13"/>
      <c r="FA243" s="25"/>
      <c r="FB243" s="38"/>
      <c r="FC243" s="10"/>
      <c r="FD243" s="11"/>
      <c r="FE243" s="69">
        <f t="shared" si="1590"/>
        <v>0</v>
      </c>
      <c r="FF243" s="69">
        <f t="shared" si="1590"/>
        <v>0</v>
      </c>
      <c r="FG243" s="11"/>
      <c r="FH243" s="12" t="e">
        <f t="shared" si="1561"/>
        <v>#DIV/0!</v>
      </c>
      <c r="FI243" s="11"/>
      <c r="FJ243" s="12" t="e">
        <f t="shared" si="1562"/>
        <v>#DIV/0!</v>
      </c>
      <c r="FK243" s="13"/>
      <c r="FL243" s="13"/>
      <c r="FM243" s="25"/>
      <c r="FN243" s="38"/>
      <c r="FO243" s="10"/>
      <c r="FP243" s="11"/>
      <c r="FQ243" s="69">
        <f t="shared" si="1591"/>
        <v>0</v>
      </c>
      <c r="FR243" s="69">
        <f t="shared" si="1591"/>
        <v>0</v>
      </c>
      <c r="FS243" s="11"/>
      <c r="FT243" s="12" t="e">
        <f t="shared" si="1563"/>
        <v>#DIV/0!</v>
      </c>
      <c r="FU243" s="11"/>
      <c r="FV243" s="12" t="e">
        <f t="shared" si="1564"/>
        <v>#DIV/0!</v>
      </c>
      <c r="FW243" s="13"/>
      <c r="FX243" s="13"/>
      <c r="FY243" s="25"/>
      <c r="FZ243" s="38"/>
      <c r="GA243" s="10"/>
      <c r="GB243" s="11"/>
      <c r="GC243" s="69">
        <f t="shared" si="1592"/>
        <v>0</v>
      </c>
      <c r="GD243" s="69">
        <f t="shared" si="1592"/>
        <v>0</v>
      </c>
      <c r="GE243" s="11"/>
      <c r="GF243" s="12" t="e">
        <f t="shared" si="1565"/>
        <v>#DIV/0!</v>
      </c>
      <c r="GG243" s="11"/>
      <c r="GH243" s="12" t="e">
        <f t="shared" si="1566"/>
        <v>#DIV/0!</v>
      </c>
      <c r="GI243" s="13"/>
      <c r="GJ243" s="13"/>
      <c r="GK243" s="25"/>
      <c r="GL243" s="38"/>
      <c r="GM243" s="10"/>
      <c r="GN243" s="11"/>
      <c r="GO243" s="69">
        <f t="shared" si="1593"/>
        <v>0</v>
      </c>
      <c r="GP243" s="69">
        <f t="shared" si="1593"/>
        <v>0</v>
      </c>
      <c r="GQ243" s="11"/>
      <c r="GR243" s="12" t="e">
        <f t="shared" si="1567"/>
        <v>#DIV/0!</v>
      </c>
      <c r="GS243" s="11"/>
      <c r="GT243" s="12" t="e">
        <f t="shared" si="1568"/>
        <v>#DIV/0!</v>
      </c>
      <c r="GU243" s="13"/>
      <c r="GV243" s="13"/>
      <c r="GW243" s="25"/>
      <c r="GX243" s="38"/>
      <c r="GY243" s="10"/>
      <c r="GZ243" s="11"/>
      <c r="HA243" s="69">
        <f t="shared" si="1594"/>
        <v>0</v>
      </c>
      <c r="HB243" s="69">
        <f t="shared" si="1594"/>
        <v>0</v>
      </c>
      <c r="HC243" s="11"/>
      <c r="HD243" s="12" t="e">
        <f t="shared" si="1569"/>
        <v>#DIV/0!</v>
      </c>
      <c r="HE243" s="11"/>
      <c r="HF243" s="12" t="e">
        <f t="shared" si="1570"/>
        <v>#DIV/0!</v>
      </c>
      <c r="HG243" s="13"/>
      <c r="HH243" s="13"/>
      <c r="HI243" s="25"/>
      <c r="HJ243" s="38"/>
      <c r="HK243" s="10">
        <f t="shared" si="1571"/>
        <v>4</v>
      </c>
      <c r="HL243" s="11">
        <f t="shared" si="1571"/>
        <v>0</v>
      </c>
      <c r="HM243" s="11">
        <f t="shared" si="1571"/>
        <v>3393</v>
      </c>
      <c r="HN243" s="11">
        <f t="shared" si="1571"/>
        <v>263</v>
      </c>
      <c r="HO243" s="11">
        <f t="shared" si="1572"/>
        <v>1227</v>
      </c>
      <c r="HP243" s="95">
        <f t="shared" si="1573"/>
        <v>0.36162687886825817</v>
      </c>
      <c r="HQ243" s="15">
        <f t="shared" si="1574"/>
        <v>95</v>
      </c>
      <c r="HR243" s="12">
        <f t="shared" si="1595"/>
        <v>7.7424612876935611E-2</v>
      </c>
      <c r="HS243" s="16">
        <v>71.400000000000006</v>
      </c>
      <c r="HT243" s="17">
        <v>1077</v>
      </c>
      <c r="HU243" s="16">
        <f t="shared" si="1575"/>
        <v>87.775061124694375</v>
      </c>
      <c r="HV243" s="23"/>
      <c r="HW243" s="22">
        <v>4680</v>
      </c>
    </row>
    <row r="244" spans="1:231" ht="18.75" x14ac:dyDescent="0.25">
      <c r="A244" s="374"/>
      <c r="B244" s="41">
        <f t="shared" si="1235"/>
        <v>45128</v>
      </c>
      <c r="C244" s="10">
        <v>2</v>
      </c>
      <c r="D244" s="11"/>
      <c r="E244" s="69">
        <f t="shared" si="1576"/>
        <v>600</v>
      </c>
      <c r="F244" s="69">
        <f t="shared" si="1576"/>
        <v>47</v>
      </c>
      <c r="G244" s="11">
        <v>213</v>
      </c>
      <c r="H244" s="12">
        <f t="shared" si="1536"/>
        <v>0.37333333333333335</v>
      </c>
      <c r="I244" s="11">
        <v>11</v>
      </c>
      <c r="J244" s="12">
        <f t="shared" si="1577"/>
        <v>4.9107142857142856E-2</v>
      </c>
      <c r="K244" s="13"/>
      <c r="L244" s="11"/>
      <c r="M244" s="25"/>
      <c r="N244" s="38">
        <v>4579</v>
      </c>
      <c r="O244" s="10"/>
      <c r="P244" s="11"/>
      <c r="Q244" s="69">
        <f t="shared" si="1578"/>
        <v>610</v>
      </c>
      <c r="R244" s="69">
        <f t="shared" si="1578"/>
        <v>47</v>
      </c>
      <c r="S244" s="11">
        <v>218</v>
      </c>
      <c r="T244" s="12">
        <f t="shared" si="1537"/>
        <v>0.37868852459016394</v>
      </c>
      <c r="U244" s="11">
        <v>13</v>
      </c>
      <c r="V244" s="12">
        <f t="shared" si="1538"/>
        <v>5.627705627705628E-2</v>
      </c>
      <c r="W244" s="13"/>
      <c r="X244" s="11"/>
      <c r="Y244" s="25"/>
      <c r="Z244" s="38">
        <v>4733.33</v>
      </c>
      <c r="AA244" s="10"/>
      <c r="AB244" s="11"/>
      <c r="AC244" s="69">
        <f t="shared" si="1579"/>
        <v>143</v>
      </c>
      <c r="AD244" s="69">
        <f t="shared" si="1579"/>
        <v>11</v>
      </c>
      <c r="AE244" s="11">
        <v>39</v>
      </c>
      <c r="AF244" s="12">
        <f t="shared" si="1539"/>
        <v>0.30069930069930068</v>
      </c>
      <c r="AG244" s="11">
        <v>4</v>
      </c>
      <c r="AH244" s="12">
        <f t="shared" si="1540"/>
        <v>9.3023255813953487E-2</v>
      </c>
      <c r="AI244" s="13"/>
      <c r="AJ244" s="11"/>
      <c r="AK244" s="25"/>
      <c r="AL244" s="38">
        <v>4536.67</v>
      </c>
      <c r="AM244" s="10">
        <v>1</v>
      </c>
      <c r="AN244" s="11"/>
      <c r="AO244" s="69">
        <f t="shared" si="1580"/>
        <v>680</v>
      </c>
      <c r="AP244" s="69">
        <f t="shared" si="1580"/>
        <v>52</v>
      </c>
      <c r="AQ244" s="11">
        <v>245</v>
      </c>
      <c r="AR244" s="12">
        <f t="shared" si="1541"/>
        <v>0.38529411764705884</v>
      </c>
      <c r="AS244" s="11">
        <v>17</v>
      </c>
      <c r="AT244" s="12">
        <f t="shared" si="1542"/>
        <v>6.4885496183206104E-2</v>
      </c>
      <c r="AU244" s="13"/>
      <c r="AV244" s="11"/>
      <c r="AW244" s="25"/>
      <c r="AX244" s="38">
        <v>5099.09</v>
      </c>
      <c r="AY244" s="10"/>
      <c r="AZ244" s="11"/>
      <c r="BA244" s="69">
        <f t="shared" si="1581"/>
        <v>681</v>
      </c>
      <c r="BB244" s="69">
        <f t="shared" si="1581"/>
        <v>53</v>
      </c>
      <c r="BC244" s="11">
        <v>240</v>
      </c>
      <c r="BD244" s="12">
        <f t="shared" si="1543"/>
        <v>0.38032305433186492</v>
      </c>
      <c r="BE244" s="11">
        <v>19</v>
      </c>
      <c r="BF244" s="12">
        <f t="shared" si="1544"/>
        <v>7.3359073359073365E-2</v>
      </c>
      <c r="BG244" s="13"/>
      <c r="BH244" s="11"/>
      <c r="BI244" s="25"/>
      <c r="BJ244" s="38">
        <v>5025.45</v>
      </c>
      <c r="BK244" s="10"/>
      <c r="BL244" s="11"/>
      <c r="BM244" s="69">
        <f t="shared" si="1582"/>
        <v>676</v>
      </c>
      <c r="BN244" s="69">
        <f t="shared" si="1582"/>
        <v>53</v>
      </c>
      <c r="BO244" s="11">
        <v>242</v>
      </c>
      <c r="BP244" s="12">
        <f t="shared" si="1545"/>
        <v>0.37721893491124259</v>
      </c>
      <c r="BQ244" s="11">
        <v>13</v>
      </c>
      <c r="BR244" s="12">
        <f t="shared" si="1546"/>
        <v>5.0980392156862744E-2</v>
      </c>
      <c r="BS244" s="13"/>
      <c r="BT244" s="11"/>
      <c r="BU244" s="25"/>
      <c r="BV244" s="38">
        <v>4919.17</v>
      </c>
      <c r="BW244" s="10"/>
      <c r="BX244" s="11"/>
      <c r="BY244" s="69">
        <f t="shared" si="1583"/>
        <v>0</v>
      </c>
      <c r="BZ244" s="69">
        <f t="shared" si="1583"/>
        <v>0</v>
      </c>
      <c r="CA244" s="11"/>
      <c r="CB244" s="12" t="e">
        <f t="shared" si="1547"/>
        <v>#DIV/0!</v>
      </c>
      <c r="CC244" s="11"/>
      <c r="CD244" s="12" t="e">
        <f t="shared" si="1548"/>
        <v>#DIV/0!</v>
      </c>
      <c r="CE244" s="13"/>
      <c r="CF244" s="11"/>
      <c r="CG244" s="25"/>
      <c r="CH244" s="38"/>
      <c r="CI244" s="10"/>
      <c r="CJ244" s="11"/>
      <c r="CK244" s="69">
        <f t="shared" si="1584"/>
        <v>0</v>
      </c>
      <c r="CL244" s="69">
        <f t="shared" si="1584"/>
        <v>0</v>
      </c>
      <c r="CM244" s="11"/>
      <c r="CN244" s="12" t="e">
        <f t="shared" si="1549"/>
        <v>#DIV/0!</v>
      </c>
      <c r="CO244" s="11"/>
      <c r="CP244" s="12" t="e">
        <f t="shared" si="1550"/>
        <v>#DIV/0!</v>
      </c>
      <c r="CQ244" s="13"/>
      <c r="CR244" s="11"/>
      <c r="CS244" s="25"/>
      <c r="CT244" s="38"/>
      <c r="CU244" s="10"/>
      <c r="CV244" s="11"/>
      <c r="CW244" s="69">
        <f t="shared" si="1585"/>
        <v>0</v>
      </c>
      <c r="CX244" s="69">
        <f t="shared" si="1585"/>
        <v>0</v>
      </c>
      <c r="CY244" s="11"/>
      <c r="CZ244" s="12" t="e">
        <f t="shared" si="1551"/>
        <v>#DIV/0!</v>
      </c>
      <c r="DA244" s="11"/>
      <c r="DB244" s="12" t="e">
        <f t="shared" si="1552"/>
        <v>#DIV/0!</v>
      </c>
      <c r="DC244" s="13"/>
      <c r="DD244" s="11"/>
      <c r="DE244" s="25"/>
      <c r="DF244" s="38"/>
      <c r="DG244" s="10"/>
      <c r="DH244" s="11"/>
      <c r="DI244" s="69">
        <f t="shared" si="1586"/>
        <v>0</v>
      </c>
      <c r="DJ244" s="69">
        <f t="shared" si="1586"/>
        <v>0</v>
      </c>
      <c r="DK244" s="11"/>
      <c r="DL244" s="12" t="e">
        <f t="shared" si="1553"/>
        <v>#DIV/0!</v>
      </c>
      <c r="DM244" s="11"/>
      <c r="DN244" s="12" t="e">
        <f t="shared" si="1554"/>
        <v>#DIV/0!</v>
      </c>
      <c r="DO244" s="13"/>
      <c r="DP244" s="11"/>
      <c r="DQ244" s="25"/>
      <c r="DR244" s="38"/>
      <c r="DS244" s="10"/>
      <c r="DT244" s="11"/>
      <c r="DU244" s="69">
        <f t="shared" si="1587"/>
        <v>0</v>
      </c>
      <c r="DV244" s="69">
        <f t="shared" si="1587"/>
        <v>0</v>
      </c>
      <c r="DW244" s="11"/>
      <c r="DX244" s="12" t="e">
        <f t="shared" si="1555"/>
        <v>#DIV/0!</v>
      </c>
      <c r="DY244" s="11"/>
      <c r="DZ244" s="12" t="e">
        <f t="shared" si="1556"/>
        <v>#DIV/0!</v>
      </c>
      <c r="EA244" s="13"/>
      <c r="EB244" s="11"/>
      <c r="EC244" s="25"/>
      <c r="ED244" s="38"/>
      <c r="EE244" s="10"/>
      <c r="EF244" s="11"/>
      <c r="EG244" s="69">
        <f t="shared" si="1588"/>
        <v>0</v>
      </c>
      <c r="EH244" s="69">
        <f t="shared" si="1588"/>
        <v>0</v>
      </c>
      <c r="EI244" s="11"/>
      <c r="EJ244" s="12" t="e">
        <f t="shared" si="1557"/>
        <v>#DIV/0!</v>
      </c>
      <c r="EK244" s="11"/>
      <c r="EL244" s="12" t="e">
        <f t="shared" si="1558"/>
        <v>#DIV/0!</v>
      </c>
      <c r="EM244" s="13"/>
      <c r="EN244" s="11"/>
      <c r="EO244" s="25"/>
      <c r="EP244" s="38"/>
      <c r="EQ244" s="10"/>
      <c r="ER244" s="11"/>
      <c r="ES244" s="69">
        <f t="shared" si="1589"/>
        <v>0</v>
      </c>
      <c r="ET244" s="69">
        <f t="shared" si="1589"/>
        <v>0</v>
      </c>
      <c r="EU244" s="11"/>
      <c r="EV244" s="12" t="e">
        <f t="shared" si="1559"/>
        <v>#DIV/0!</v>
      </c>
      <c r="EW244" s="11"/>
      <c r="EX244" s="12" t="e">
        <f t="shared" si="1560"/>
        <v>#DIV/0!</v>
      </c>
      <c r="EY244" s="13"/>
      <c r="EZ244" s="11"/>
      <c r="FA244" s="25"/>
      <c r="FB244" s="38"/>
      <c r="FC244" s="10"/>
      <c r="FD244" s="11"/>
      <c r="FE244" s="69">
        <f t="shared" si="1590"/>
        <v>0</v>
      </c>
      <c r="FF244" s="69">
        <f t="shared" si="1590"/>
        <v>0</v>
      </c>
      <c r="FG244" s="11"/>
      <c r="FH244" s="12" t="e">
        <f t="shared" si="1561"/>
        <v>#DIV/0!</v>
      </c>
      <c r="FI244" s="11"/>
      <c r="FJ244" s="12" t="e">
        <f t="shared" si="1562"/>
        <v>#DIV/0!</v>
      </c>
      <c r="FK244" s="13"/>
      <c r="FL244" s="11"/>
      <c r="FM244" s="25"/>
      <c r="FN244" s="38"/>
      <c r="FO244" s="10"/>
      <c r="FP244" s="11"/>
      <c r="FQ244" s="69">
        <f t="shared" si="1591"/>
        <v>0</v>
      </c>
      <c r="FR244" s="69">
        <f t="shared" si="1591"/>
        <v>0</v>
      </c>
      <c r="FS244" s="11"/>
      <c r="FT244" s="12" t="e">
        <f t="shared" si="1563"/>
        <v>#DIV/0!</v>
      </c>
      <c r="FU244" s="11"/>
      <c r="FV244" s="12" t="e">
        <f t="shared" si="1564"/>
        <v>#DIV/0!</v>
      </c>
      <c r="FW244" s="13"/>
      <c r="FX244" s="11"/>
      <c r="FY244" s="25"/>
      <c r="FZ244" s="38"/>
      <c r="GA244" s="10"/>
      <c r="GB244" s="11"/>
      <c r="GC244" s="69">
        <f t="shared" si="1592"/>
        <v>0</v>
      </c>
      <c r="GD244" s="69">
        <f t="shared" si="1592"/>
        <v>0</v>
      </c>
      <c r="GE244" s="11"/>
      <c r="GF244" s="12" t="e">
        <f t="shared" si="1565"/>
        <v>#DIV/0!</v>
      </c>
      <c r="GG244" s="11"/>
      <c r="GH244" s="12" t="e">
        <f t="shared" si="1566"/>
        <v>#DIV/0!</v>
      </c>
      <c r="GI244" s="13"/>
      <c r="GJ244" s="11"/>
      <c r="GK244" s="25"/>
      <c r="GL244" s="38"/>
      <c r="GM244" s="10"/>
      <c r="GN244" s="11"/>
      <c r="GO244" s="69">
        <f t="shared" si="1593"/>
        <v>0</v>
      </c>
      <c r="GP244" s="69">
        <f t="shared" si="1593"/>
        <v>0</v>
      </c>
      <c r="GQ244" s="11"/>
      <c r="GR244" s="12" t="e">
        <f t="shared" si="1567"/>
        <v>#DIV/0!</v>
      </c>
      <c r="GS244" s="11"/>
      <c r="GT244" s="12" t="e">
        <f t="shared" si="1568"/>
        <v>#DIV/0!</v>
      </c>
      <c r="GU244" s="13"/>
      <c r="GV244" s="11"/>
      <c r="GW244" s="25"/>
      <c r="GX244" s="38"/>
      <c r="GY244" s="10"/>
      <c r="GZ244" s="11"/>
      <c r="HA244" s="69">
        <f t="shared" si="1594"/>
        <v>0</v>
      </c>
      <c r="HB244" s="69">
        <f t="shared" si="1594"/>
        <v>0</v>
      </c>
      <c r="HC244" s="11"/>
      <c r="HD244" s="12" t="e">
        <f t="shared" si="1569"/>
        <v>#DIV/0!</v>
      </c>
      <c r="HE244" s="11"/>
      <c r="HF244" s="12" t="e">
        <f t="shared" si="1570"/>
        <v>#DIV/0!</v>
      </c>
      <c r="HG244" s="13"/>
      <c r="HH244" s="11"/>
      <c r="HI244" s="25"/>
      <c r="HJ244" s="38"/>
      <c r="HK244" s="10">
        <f t="shared" si="1571"/>
        <v>3</v>
      </c>
      <c r="HL244" s="11">
        <f t="shared" si="1571"/>
        <v>0</v>
      </c>
      <c r="HM244" s="11">
        <f t="shared" si="1571"/>
        <v>3390</v>
      </c>
      <c r="HN244" s="11">
        <f t="shared" si="1571"/>
        <v>263</v>
      </c>
      <c r="HO244" s="11">
        <f t="shared" si="1572"/>
        <v>1274</v>
      </c>
      <c r="HP244" s="95">
        <f t="shared" si="1573"/>
        <v>0.375811209439528</v>
      </c>
      <c r="HQ244" s="15">
        <f t="shared" si="1574"/>
        <v>77</v>
      </c>
      <c r="HR244" s="12">
        <f t="shared" si="1595"/>
        <v>6.043956043956044E-2</v>
      </c>
      <c r="HS244" s="16">
        <v>71.3</v>
      </c>
      <c r="HT244" s="17">
        <v>1141</v>
      </c>
      <c r="HU244" s="16">
        <f t="shared" si="1575"/>
        <v>89.560439560439562</v>
      </c>
      <c r="HV244" s="23"/>
      <c r="HW244" s="22">
        <v>4864.29</v>
      </c>
    </row>
    <row r="245" spans="1:231" ht="18.75" x14ac:dyDescent="0.25">
      <c r="A245" s="374"/>
      <c r="B245" s="41">
        <f t="shared" si="1235"/>
        <v>45129</v>
      </c>
      <c r="C245" s="10"/>
      <c r="D245" s="11"/>
      <c r="E245" s="69">
        <f>E244-C245</f>
        <v>600</v>
      </c>
      <c r="F245" s="69">
        <f>F244-D245</f>
        <v>47</v>
      </c>
      <c r="G245" s="11">
        <v>211</v>
      </c>
      <c r="H245" s="12">
        <f t="shared" si="1536"/>
        <v>0.39</v>
      </c>
      <c r="I245" s="11">
        <v>23</v>
      </c>
      <c r="J245" s="12">
        <f t="shared" si="1577"/>
        <v>9.8290598290598288E-2</v>
      </c>
      <c r="K245" s="13"/>
      <c r="L245" s="11"/>
      <c r="M245" s="39"/>
      <c r="N245" s="43">
        <v>100</v>
      </c>
      <c r="O245" s="10"/>
      <c r="P245" s="11"/>
      <c r="Q245" s="69">
        <f t="shared" si="1578"/>
        <v>610</v>
      </c>
      <c r="R245" s="69">
        <f t="shared" si="1578"/>
        <v>47</v>
      </c>
      <c r="S245" s="11">
        <v>193</v>
      </c>
      <c r="T245" s="12">
        <f t="shared" si="1537"/>
        <v>0.3557377049180328</v>
      </c>
      <c r="U245" s="11">
        <v>24</v>
      </c>
      <c r="V245" s="12">
        <f t="shared" si="1538"/>
        <v>0.11059907834101383</v>
      </c>
      <c r="W245" s="13"/>
      <c r="X245" s="11"/>
      <c r="Y245" s="39"/>
      <c r="Z245" s="43">
        <v>100</v>
      </c>
      <c r="AA245" s="10"/>
      <c r="AB245" s="11"/>
      <c r="AC245" s="69">
        <f t="shared" si="1579"/>
        <v>143</v>
      </c>
      <c r="AD245" s="69">
        <f t="shared" si="1579"/>
        <v>11</v>
      </c>
      <c r="AE245" s="11">
        <v>49</v>
      </c>
      <c r="AF245" s="12">
        <f t="shared" si="1539"/>
        <v>0.34265734265734266</v>
      </c>
      <c r="AG245" s="11">
        <v>0</v>
      </c>
      <c r="AH245" s="12">
        <f t="shared" si="1540"/>
        <v>0</v>
      </c>
      <c r="AI245" s="13"/>
      <c r="AJ245" s="11"/>
      <c r="AK245" s="39"/>
      <c r="AL245" s="43">
        <v>100</v>
      </c>
      <c r="AM245" s="10">
        <v>1</v>
      </c>
      <c r="AN245" s="11"/>
      <c r="AO245" s="69">
        <f t="shared" si="1580"/>
        <v>679</v>
      </c>
      <c r="AP245" s="69">
        <f t="shared" si="1580"/>
        <v>52</v>
      </c>
      <c r="AQ245" s="11">
        <v>241</v>
      </c>
      <c r="AR245" s="12">
        <f t="shared" si="1541"/>
        <v>0.37849779086892488</v>
      </c>
      <c r="AS245" s="11">
        <v>16</v>
      </c>
      <c r="AT245" s="12">
        <f t="shared" si="1542"/>
        <v>6.2256809338521402E-2</v>
      </c>
      <c r="AU245" s="13"/>
      <c r="AV245" s="11"/>
      <c r="AW245" s="39"/>
      <c r="AX245" s="43">
        <v>100</v>
      </c>
      <c r="AY245" s="10"/>
      <c r="AZ245" s="11"/>
      <c r="BA245" s="69">
        <f t="shared" si="1581"/>
        <v>681</v>
      </c>
      <c r="BB245" s="69">
        <f t="shared" si="1581"/>
        <v>53</v>
      </c>
      <c r="BC245" s="11">
        <v>216</v>
      </c>
      <c r="BD245" s="12">
        <f t="shared" si="1543"/>
        <v>0.34361233480176212</v>
      </c>
      <c r="BE245" s="11">
        <v>18</v>
      </c>
      <c r="BF245" s="12">
        <f t="shared" si="1544"/>
        <v>7.6923076923076927E-2</v>
      </c>
      <c r="BG245" s="13"/>
      <c r="BH245" s="11"/>
      <c r="BI245" s="39"/>
      <c r="BJ245" s="43">
        <v>90.91</v>
      </c>
      <c r="BK245" s="10"/>
      <c r="BL245" s="11"/>
      <c r="BM245" s="69">
        <f t="shared" si="1582"/>
        <v>676</v>
      </c>
      <c r="BN245" s="69">
        <f t="shared" si="1582"/>
        <v>53</v>
      </c>
      <c r="BO245" s="11">
        <v>231</v>
      </c>
      <c r="BP245" s="12">
        <f t="shared" si="1545"/>
        <v>0.36390532544378701</v>
      </c>
      <c r="BQ245" s="11">
        <v>15</v>
      </c>
      <c r="BR245" s="12">
        <f t="shared" si="1546"/>
        <v>6.097560975609756E-2</v>
      </c>
      <c r="BS245" s="13"/>
      <c r="BT245" s="11"/>
      <c r="BU245" s="39"/>
      <c r="BV245" s="43">
        <v>100</v>
      </c>
      <c r="BW245" s="10"/>
      <c r="BX245" s="11"/>
      <c r="BY245" s="69">
        <f t="shared" si="1583"/>
        <v>0</v>
      </c>
      <c r="BZ245" s="69">
        <f t="shared" si="1583"/>
        <v>0</v>
      </c>
      <c r="CA245" s="11"/>
      <c r="CB245" s="12" t="e">
        <f t="shared" si="1547"/>
        <v>#DIV/0!</v>
      </c>
      <c r="CC245" s="11"/>
      <c r="CD245" s="12" t="e">
        <f t="shared" si="1548"/>
        <v>#DIV/0!</v>
      </c>
      <c r="CE245" s="13"/>
      <c r="CF245" s="11"/>
      <c r="CG245" s="39"/>
      <c r="CH245" s="43"/>
      <c r="CI245" s="10"/>
      <c r="CJ245" s="11"/>
      <c r="CK245" s="69">
        <f t="shared" si="1584"/>
        <v>0</v>
      </c>
      <c r="CL245" s="69">
        <f t="shared" si="1584"/>
        <v>0</v>
      </c>
      <c r="CM245" s="11"/>
      <c r="CN245" s="12" t="e">
        <f t="shared" si="1549"/>
        <v>#DIV/0!</v>
      </c>
      <c r="CO245" s="11"/>
      <c r="CP245" s="12" t="e">
        <f t="shared" si="1550"/>
        <v>#DIV/0!</v>
      </c>
      <c r="CQ245" s="13"/>
      <c r="CR245" s="11"/>
      <c r="CS245" s="39"/>
      <c r="CT245" s="43"/>
      <c r="CU245" s="10"/>
      <c r="CV245" s="11"/>
      <c r="CW245" s="69">
        <f t="shared" si="1585"/>
        <v>0</v>
      </c>
      <c r="CX245" s="69">
        <f t="shared" si="1585"/>
        <v>0</v>
      </c>
      <c r="CY245" s="11"/>
      <c r="CZ245" s="12" t="e">
        <f t="shared" si="1551"/>
        <v>#DIV/0!</v>
      </c>
      <c r="DA245" s="11"/>
      <c r="DB245" s="12" t="e">
        <f t="shared" si="1552"/>
        <v>#DIV/0!</v>
      </c>
      <c r="DC245" s="13"/>
      <c r="DD245" s="11"/>
      <c r="DE245" s="39"/>
      <c r="DF245" s="43"/>
      <c r="DG245" s="10"/>
      <c r="DH245" s="11"/>
      <c r="DI245" s="69">
        <f t="shared" si="1586"/>
        <v>0</v>
      </c>
      <c r="DJ245" s="69">
        <f t="shared" si="1586"/>
        <v>0</v>
      </c>
      <c r="DK245" s="11"/>
      <c r="DL245" s="12" t="e">
        <f t="shared" si="1553"/>
        <v>#DIV/0!</v>
      </c>
      <c r="DM245" s="11"/>
      <c r="DN245" s="12" t="e">
        <f t="shared" si="1554"/>
        <v>#DIV/0!</v>
      </c>
      <c r="DO245" s="13"/>
      <c r="DP245" s="11"/>
      <c r="DQ245" s="39"/>
      <c r="DR245" s="43"/>
      <c r="DS245" s="10"/>
      <c r="DT245" s="11"/>
      <c r="DU245" s="69">
        <f t="shared" si="1587"/>
        <v>0</v>
      </c>
      <c r="DV245" s="69">
        <f t="shared" si="1587"/>
        <v>0</v>
      </c>
      <c r="DW245" s="11"/>
      <c r="DX245" s="12" t="e">
        <f t="shared" si="1555"/>
        <v>#DIV/0!</v>
      </c>
      <c r="DY245" s="11"/>
      <c r="DZ245" s="12" t="e">
        <f t="shared" si="1556"/>
        <v>#DIV/0!</v>
      </c>
      <c r="EA245" s="13"/>
      <c r="EB245" s="11"/>
      <c r="EC245" s="39"/>
      <c r="ED245" s="43"/>
      <c r="EE245" s="10"/>
      <c r="EF245" s="11"/>
      <c r="EG245" s="69">
        <f t="shared" si="1588"/>
        <v>0</v>
      </c>
      <c r="EH245" s="69">
        <f t="shared" si="1588"/>
        <v>0</v>
      </c>
      <c r="EI245" s="11"/>
      <c r="EJ245" s="12" t="e">
        <f t="shared" si="1557"/>
        <v>#DIV/0!</v>
      </c>
      <c r="EK245" s="11"/>
      <c r="EL245" s="12" t="e">
        <f t="shared" si="1558"/>
        <v>#DIV/0!</v>
      </c>
      <c r="EM245" s="13"/>
      <c r="EN245" s="11"/>
      <c r="EO245" s="39"/>
      <c r="EP245" s="43"/>
      <c r="EQ245" s="10"/>
      <c r="ER245" s="11"/>
      <c r="ES245" s="69">
        <f t="shared" si="1589"/>
        <v>0</v>
      </c>
      <c r="ET245" s="69">
        <f t="shared" si="1589"/>
        <v>0</v>
      </c>
      <c r="EU245" s="11"/>
      <c r="EV245" s="12" t="e">
        <f t="shared" si="1559"/>
        <v>#DIV/0!</v>
      </c>
      <c r="EW245" s="11"/>
      <c r="EX245" s="12" t="e">
        <f t="shared" si="1560"/>
        <v>#DIV/0!</v>
      </c>
      <c r="EY245" s="13"/>
      <c r="EZ245" s="11"/>
      <c r="FA245" s="39"/>
      <c r="FB245" s="43"/>
      <c r="FC245" s="10"/>
      <c r="FD245" s="11"/>
      <c r="FE245" s="69">
        <f t="shared" si="1590"/>
        <v>0</v>
      </c>
      <c r="FF245" s="69">
        <f t="shared" si="1590"/>
        <v>0</v>
      </c>
      <c r="FG245" s="11"/>
      <c r="FH245" s="12" t="e">
        <f t="shared" si="1561"/>
        <v>#DIV/0!</v>
      </c>
      <c r="FI245" s="11"/>
      <c r="FJ245" s="12" t="e">
        <f t="shared" si="1562"/>
        <v>#DIV/0!</v>
      </c>
      <c r="FK245" s="13"/>
      <c r="FL245" s="11"/>
      <c r="FM245" s="39"/>
      <c r="FN245" s="43"/>
      <c r="FO245" s="10"/>
      <c r="FP245" s="11"/>
      <c r="FQ245" s="69">
        <f t="shared" si="1591"/>
        <v>0</v>
      </c>
      <c r="FR245" s="69">
        <f t="shared" si="1591"/>
        <v>0</v>
      </c>
      <c r="FS245" s="11"/>
      <c r="FT245" s="12" t="e">
        <f t="shared" si="1563"/>
        <v>#DIV/0!</v>
      </c>
      <c r="FU245" s="11"/>
      <c r="FV245" s="12" t="e">
        <f t="shared" si="1564"/>
        <v>#DIV/0!</v>
      </c>
      <c r="FW245" s="13"/>
      <c r="FX245" s="11"/>
      <c r="FY245" s="39"/>
      <c r="FZ245" s="43"/>
      <c r="GA245" s="10"/>
      <c r="GB245" s="11"/>
      <c r="GC245" s="69">
        <f t="shared" si="1592"/>
        <v>0</v>
      </c>
      <c r="GD245" s="69">
        <f t="shared" si="1592"/>
        <v>0</v>
      </c>
      <c r="GE245" s="11"/>
      <c r="GF245" s="12" t="e">
        <f t="shared" si="1565"/>
        <v>#DIV/0!</v>
      </c>
      <c r="GG245" s="11"/>
      <c r="GH245" s="12" t="e">
        <f t="shared" si="1566"/>
        <v>#DIV/0!</v>
      </c>
      <c r="GI245" s="13"/>
      <c r="GJ245" s="11"/>
      <c r="GK245" s="39"/>
      <c r="GL245" s="43"/>
      <c r="GM245" s="10"/>
      <c r="GN245" s="11"/>
      <c r="GO245" s="69">
        <f t="shared" si="1593"/>
        <v>0</v>
      </c>
      <c r="GP245" s="69">
        <f t="shared" si="1593"/>
        <v>0</v>
      </c>
      <c r="GQ245" s="11"/>
      <c r="GR245" s="12" t="e">
        <f t="shared" si="1567"/>
        <v>#DIV/0!</v>
      </c>
      <c r="GS245" s="11"/>
      <c r="GT245" s="12" t="e">
        <f t="shared" si="1568"/>
        <v>#DIV/0!</v>
      </c>
      <c r="GU245" s="13"/>
      <c r="GV245" s="11"/>
      <c r="GW245" s="39"/>
      <c r="GX245" s="43"/>
      <c r="GY245" s="10"/>
      <c r="GZ245" s="11"/>
      <c r="HA245" s="69">
        <f t="shared" si="1594"/>
        <v>0</v>
      </c>
      <c r="HB245" s="69">
        <f t="shared" si="1594"/>
        <v>0</v>
      </c>
      <c r="HC245" s="11"/>
      <c r="HD245" s="12" t="e">
        <f t="shared" si="1569"/>
        <v>#DIV/0!</v>
      </c>
      <c r="HE245" s="11"/>
      <c r="HF245" s="12" t="e">
        <f t="shared" si="1570"/>
        <v>#DIV/0!</v>
      </c>
      <c r="HG245" s="13"/>
      <c r="HH245" s="11"/>
      <c r="HI245" s="39"/>
      <c r="HJ245" s="43"/>
      <c r="HK245" s="10">
        <f t="shared" si="1571"/>
        <v>1</v>
      </c>
      <c r="HL245" s="11">
        <f t="shared" si="1571"/>
        <v>0</v>
      </c>
      <c r="HM245" s="11">
        <f t="shared" si="1571"/>
        <v>3389</v>
      </c>
      <c r="HN245" s="11">
        <f t="shared" si="1571"/>
        <v>263</v>
      </c>
      <c r="HO245" s="11">
        <f t="shared" si="1572"/>
        <v>1237</v>
      </c>
      <c r="HP245" s="95">
        <f t="shared" si="1573"/>
        <v>0.36500442608439065</v>
      </c>
      <c r="HQ245" s="15">
        <f t="shared" si="1574"/>
        <v>96</v>
      </c>
      <c r="HR245" s="12">
        <f t="shared" si="1595"/>
        <v>7.7607113985448672E-2</v>
      </c>
      <c r="HS245" s="16">
        <v>70.5</v>
      </c>
      <c r="HT245" s="17">
        <v>1087</v>
      </c>
      <c r="HU245" s="16">
        <f t="shared" si="1575"/>
        <v>87.873888439773651</v>
      </c>
      <c r="HV245" s="23"/>
      <c r="HW245" s="22">
        <v>85.71</v>
      </c>
    </row>
    <row r="246" spans="1:231" ht="19.5" thickBot="1" x14ac:dyDescent="0.3">
      <c r="A246" s="374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1456</v>
      </c>
      <c r="H246" s="28">
        <f>((G246+I246)/7)/E245</f>
        <v>0.37571428571428567</v>
      </c>
      <c r="I246" s="27">
        <f>SUM(I239:I245)</f>
        <v>122</v>
      </c>
      <c r="J246" s="28">
        <f>(I246/(I246+G246))</f>
        <v>7.731305449936629E-2</v>
      </c>
      <c r="K246" s="27"/>
      <c r="L246" s="27"/>
      <c r="M246" s="29" t="e">
        <f>M244/M243*100-100</f>
        <v>#DIV/0!</v>
      </c>
      <c r="N246" s="29">
        <f>N244/N243*100-100</f>
        <v>-2.1581196581196593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1479</v>
      </c>
      <c r="T246" s="28">
        <f>((S246+U246)/7)/Q245</f>
        <v>0.37751756440281031</v>
      </c>
      <c r="U246" s="27">
        <f>SUM(U239:U245)</f>
        <v>133</v>
      </c>
      <c r="V246" s="28">
        <f>(U246/(U246+S246))</f>
        <v>8.2506203473945411E-2</v>
      </c>
      <c r="W246" s="27"/>
      <c r="X246" s="27"/>
      <c r="Y246" s="29" t="e">
        <f>Y244/Y243*100-100</f>
        <v>#DIV/0!</v>
      </c>
      <c r="Z246" s="29">
        <f>Z244/Z243*100-100</f>
        <v>1.139529914529902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321</v>
      </c>
      <c r="AF246" s="28">
        <f>((AE246+AG246)/7)/AC245</f>
        <v>0.34165834165834164</v>
      </c>
      <c r="AG246" s="27">
        <f>SUM(AG239:AG245)</f>
        <v>21</v>
      </c>
      <c r="AH246" s="28">
        <f>(AG246/(AG246+AE246))</f>
        <v>6.1403508771929821E-2</v>
      </c>
      <c r="AI246" s="27"/>
      <c r="AJ246" s="27"/>
      <c r="AK246" s="29" t="e">
        <f>AK244/AK243*100-100</f>
        <v>#DIV/0!</v>
      </c>
      <c r="AL246" s="29">
        <f>AL244/AL243*100-100</f>
        <v>-3.0626068376068361</v>
      </c>
      <c r="AM246" s="26">
        <f>SUM(AM239:AM245)</f>
        <v>3</v>
      </c>
      <c r="AN246" s="27">
        <f>SUM(AN239:AN245)</f>
        <v>0</v>
      </c>
      <c r="AO246" s="27"/>
      <c r="AP246" s="27"/>
      <c r="AQ246" s="27">
        <f>SUM(AQ239:AQ245)</f>
        <v>1592</v>
      </c>
      <c r="AR246" s="28">
        <f>((AQ246+AS246)/7)/AO245</f>
        <v>0.36566379128971177</v>
      </c>
      <c r="AS246" s="27">
        <f>SUM(AS239:AS245)</f>
        <v>146</v>
      </c>
      <c r="AT246" s="28">
        <f>(AS246/(AS246+AQ246))</f>
        <v>8.400460299194476E-2</v>
      </c>
      <c r="AU246" s="27"/>
      <c r="AV246" s="27"/>
      <c r="AW246" s="29" t="e">
        <f>AW244/AW243*100-100</f>
        <v>#DIV/0!</v>
      </c>
      <c r="AX246" s="29">
        <f>AX244/AX243*100-100</f>
        <v>8.9549145299145323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1503</v>
      </c>
      <c r="BD246" s="28">
        <f>((BC246+BE246)/7)/BA245</f>
        <v>0.34256345710090202</v>
      </c>
      <c r="BE246" s="27">
        <f>SUM(BE239:BE245)</f>
        <v>130</v>
      </c>
      <c r="BF246" s="28">
        <f>(BE246/(BE246+BC246))</f>
        <v>7.9608083282302511E-2</v>
      </c>
      <c r="BG246" s="27"/>
      <c r="BH246" s="27"/>
      <c r="BI246" s="29" t="e">
        <f>BI244/BI243*100-100</f>
        <v>#DIV/0!</v>
      </c>
      <c r="BJ246" s="29">
        <f>BJ244/BJ243*100-100</f>
        <v>7.3814102564102626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1655</v>
      </c>
      <c r="BP246" s="28">
        <f>((BO246+BQ246)/7)/BM245</f>
        <v>0.37320371935756552</v>
      </c>
      <c r="BQ246" s="27">
        <f>SUM(BQ239:BQ245)</f>
        <v>111</v>
      </c>
      <c r="BR246" s="28">
        <f>(BQ246/(BQ246+BO246))</f>
        <v>6.2853907134767836E-2</v>
      </c>
      <c r="BS246" s="27"/>
      <c r="BT246" s="27"/>
      <c r="BU246" s="29" t="e">
        <f>BU244/BU243*100-100</f>
        <v>#DIV/0!</v>
      </c>
      <c r="BV246" s="67">
        <f>BV244/BV243*100-100</f>
        <v>5.110470085470098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7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7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7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7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7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7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7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7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7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7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7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7" t="e">
        <f>HJ244/HJ243*100-100</f>
        <v>#DIV/0!</v>
      </c>
      <c r="HK246" s="26">
        <f t="shared" si="1571"/>
        <v>11</v>
      </c>
      <c r="HL246" s="27">
        <f t="shared" si="1571"/>
        <v>0</v>
      </c>
      <c r="HM246" s="27">
        <f t="shared" si="1571"/>
        <v>0</v>
      </c>
      <c r="HN246" s="27">
        <f t="shared" si="1571"/>
        <v>0</v>
      </c>
      <c r="HO246" s="27">
        <f t="shared" si="1572"/>
        <v>8669</v>
      </c>
      <c r="HP246" s="96">
        <f>+((HO246)/HM245)/7</f>
        <v>0.3654259579311217</v>
      </c>
      <c r="HQ246" s="62">
        <f t="shared" si="1574"/>
        <v>663</v>
      </c>
      <c r="HR246" s="52">
        <f t="shared" si="1595"/>
        <v>7.6479409389779679E-2</v>
      </c>
      <c r="HS246" s="53">
        <f>SUM(HS239:HS245)/7</f>
        <v>71.471428571428575</v>
      </c>
      <c r="HT246" s="54">
        <f>SUM(HT239:HT245)</f>
        <v>7637</v>
      </c>
      <c r="HU246" s="53">
        <f>AVERAGE(HU239:HU245)</f>
        <v>88.089656301870761</v>
      </c>
      <c r="HV246" s="63" t="e">
        <f>HV244/HV243*100-100</f>
        <v>#DIV/0!</v>
      </c>
      <c r="HW246" s="63">
        <f>HW244/HW243*100-100</f>
        <v>3.9378205128205224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3.2352941176470589E-3</v>
      </c>
      <c r="HL247" s="66">
        <f>HL246/HN236</f>
        <v>0</v>
      </c>
      <c r="HM247" s="45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373">
        <v>52</v>
      </c>
      <c r="B248" s="68">
        <f>B245+1</f>
        <v>45130</v>
      </c>
      <c r="C248" s="33"/>
      <c r="D248" s="34"/>
      <c r="E248" s="34">
        <f>E245-C248</f>
        <v>600</v>
      </c>
      <c r="F248" s="34">
        <f>F245-D248</f>
        <v>47</v>
      </c>
      <c r="G248" s="34">
        <v>214</v>
      </c>
      <c r="H248" s="35">
        <f t="shared" ref="H248:H254" si="1596">((G248+I248)/E248)</f>
        <v>0.375</v>
      </c>
      <c r="I248" s="34">
        <v>11</v>
      </c>
      <c r="J248" s="35">
        <f>I248/(G248+I248)</f>
        <v>4.8888888888888891E-2</v>
      </c>
      <c r="K248" s="36"/>
      <c r="L248" s="34"/>
      <c r="M248" s="34"/>
      <c r="N248" s="37"/>
      <c r="O248" s="33"/>
      <c r="P248" s="34"/>
      <c r="Q248" s="34">
        <f>Q245-O248</f>
        <v>610</v>
      </c>
      <c r="R248" s="34">
        <f>R245-P248</f>
        <v>47</v>
      </c>
      <c r="S248" s="34">
        <v>220</v>
      </c>
      <c r="T248" s="35">
        <f t="shared" ref="T248:T254" si="1597">((S248+U248)/Q248)</f>
        <v>0.38688524590163936</v>
      </c>
      <c r="U248" s="34">
        <v>16</v>
      </c>
      <c r="V248" s="35">
        <f t="shared" ref="V248:V254" si="1598">U248/(S248+U248)</f>
        <v>6.7796610169491525E-2</v>
      </c>
      <c r="W248" s="36"/>
      <c r="X248" s="34"/>
      <c r="Y248" s="34"/>
      <c r="Z248" s="37"/>
      <c r="AA248" s="33"/>
      <c r="AB248" s="34"/>
      <c r="AC248" s="34">
        <f>AC245-AA248</f>
        <v>143</v>
      </c>
      <c r="AD248" s="34">
        <f>AD245-AB248</f>
        <v>11</v>
      </c>
      <c r="AE248" s="34">
        <v>39</v>
      </c>
      <c r="AF248" s="35">
        <f t="shared" ref="AF248:AF254" si="1599">((AE248+AG248)/AC248)</f>
        <v>0.28671328671328672</v>
      </c>
      <c r="AG248" s="34">
        <v>2</v>
      </c>
      <c r="AH248" s="35">
        <f t="shared" ref="AH248:AH254" si="1600">AG248/(AE248+AG248)</f>
        <v>4.878048780487805E-2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678</v>
      </c>
      <c r="AP248" s="34">
        <f>AP245-AN248</f>
        <v>52</v>
      </c>
      <c r="AQ248" s="34">
        <v>231</v>
      </c>
      <c r="AR248" s="35">
        <f t="shared" ref="AR248:AR254" si="1601">((AQ248+AS248)/AO248)</f>
        <v>0.36725663716814161</v>
      </c>
      <c r="AS248" s="34">
        <v>18</v>
      </c>
      <c r="AT248" s="35">
        <f t="shared" ref="AT248:AT254" si="1602">AS248/(AQ248+AS248)</f>
        <v>7.2289156626506021E-2</v>
      </c>
      <c r="AU248" s="36"/>
      <c r="AV248" s="34"/>
      <c r="AW248" s="34"/>
      <c r="AX248" s="37"/>
      <c r="AY248" s="33"/>
      <c r="AZ248" s="34"/>
      <c r="BA248" s="34">
        <f>BA245-AY248</f>
        <v>681</v>
      </c>
      <c r="BB248" s="34">
        <f>BB245-AZ248</f>
        <v>53</v>
      </c>
      <c r="BC248" s="34">
        <v>221</v>
      </c>
      <c r="BD248" s="35">
        <f t="shared" ref="BD248:BD254" si="1603">((BC248+BE248)/BA248)</f>
        <v>0.34948604992657856</v>
      </c>
      <c r="BE248" s="34">
        <v>17</v>
      </c>
      <c r="BF248" s="35">
        <f t="shared" ref="BF248:BF254" si="1604">BE248/(BC248+BE248)</f>
        <v>7.1428571428571425E-2</v>
      </c>
      <c r="BG248" s="36"/>
      <c r="BH248" s="34"/>
      <c r="BI248" s="34"/>
      <c r="BJ248" s="37"/>
      <c r="BK248" s="33"/>
      <c r="BL248" s="34"/>
      <c r="BM248" s="34">
        <f>BM245-BK248</f>
        <v>676</v>
      </c>
      <c r="BN248" s="34">
        <f>BN245-BL248</f>
        <v>53</v>
      </c>
      <c r="BO248" s="34">
        <v>261</v>
      </c>
      <c r="BP248" s="35">
        <f t="shared" ref="BP248:BP254" si="1605">((BO248+BQ248)/BM248)</f>
        <v>0.40384615384615385</v>
      </c>
      <c r="BQ248" s="34">
        <v>12</v>
      </c>
      <c r="BR248" s="35">
        <f t="shared" ref="BR248:BR254" si="1606">BQ248/(BO248+BQ248)</f>
        <v>4.3956043956043959E-2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0</v>
      </c>
      <c r="CA248" s="34"/>
      <c r="CB248" s="35" t="e">
        <f t="shared" ref="CB248:CB254" si="1607">((CA248+CC248)/BY248)</f>
        <v>#DIV/0!</v>
      </c>
      <c r="CC248" s="34"/>
      <c r="CD248" s="35" t="e">
        <f t="shared" ref="CD248:CD254" si="1608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609">((CM248+CO248)/CK248)</f>
        <v>#DIV/0!</v>
      </c>
      <c r="CO248" s="34"/>
      <c r="CP248" s="35" t="e">
        <f t="shared" ref="CP248:CP254" si="1610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611">((CY248+DA248)/CW248)</f>
        <v>#DIV/0!</v>
      </c>
      <c r="DA248" s="34"/>
      <c r="DB248" s="35" t="e">
        <f t="shared" ref="DB248:DB254" si="1612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613">((DK248+DM248)/DI248)</f>
        <v>#DIV/0!</v>
      </c>
      <c r="DM248" s="34"/>
      <c r="DN248" s="35" t="e">
        <f t="shared" ref="DN248:DN254" si="1614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615">((DW248+DY248)/DU248)</f>
        <v>#DIV/0!</v>
      </c>
      <c r="DY248" s="34"/>
      <c r="DZ248" s="35" t="e">
        <f t="shared" ref="DZ248:DZ254" si="1616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617">((EI248+EK248)/EG248)</f>
        <v>#DIV/0!</v>
      </c>
      <c r="EK248" s="34"/>
      <c r="EL248" s="35" t="e">
        <f t="shared" ref="EL248:EL254" si="1618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619">((EU248+EW248)/ES248)</f>
        <v>#DIV/0!</v>
      </c>
      <c r="EW248" s="34"/>
      <c r="EX248" s="35" t="e">
        <f t="shared" ref="EX248:EX254" si="1620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621">((FG248+FI248)/FE248)</f>
        <v>#DIV/0!</v>
      </c>
      <c r="FI248" s="34"/>
      <c r="FJ248" s="35" t="e">
        <f t="shared" ref="FJ248:FJ254" si="1622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623">((FS248+FU248)/FQ248)</f>
        <v>#DIV/0!</v>
      </c>
      <c r="FU248" s="34"/>
      <c r="FV248" s="35" t="e">
        <f t="shared" ref="FV248:FV254" si="1624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625">((GE248+GG248)/GC248)</f>
        <v>#DIV/0!</v>
      </c>
      <c r="GG248" s="34"/>
      <c r="GH248" s="35" t="e">
        <f t="shared" ref="GH248:GH254" si="1626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627">((GQ248+GS248)/GO248)</f>
        <v>#DIV/0!</v>
      </c>
      <c r="GS248" s="34"/>
      <c r="GT248" s="35" t="e">
        <f t="shared" ref="GT248:GT254" si="1628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629">((HC248+HE248)/HA248)</f>
        <v>#DIV/0!</v>
      </c>
      <c r="HE248" s="34"/>
      <c r="HF248" s="35" t="e">
        <f t="shared" ref="HF248:HF254" si="1630">HE248/(HC248+HE248)</f>
        <v>#DIV/0!</v>
      </c>
      <c r="HG248" s="36"/>
      <c r="HH248" s="34"/>
      <c r="HI248" s="34"/>
      <c r="HJ248" s="37"/>
      <c r="HK248" s="33">
        <f t="shared" ref="HK248:HN255" si="1631">+C248+O248+AA248+AM248+AY248+BK248+BW248+CI248+CU248+DG248+DS248+EE248+EQ248+FC248+FO248+GA248+GM248+GY248</f>
        <v>1</v>
      </c>
      <c r="HL248" s="34">
        <f t="shared" si="1631"/>
        <v>0</v>
      </c>
      <c r="HM248" s="34">
        <f t="shared" si="1631"/>
        <v>3388</v>
      </c>
      <c r="HN248" s="34">
        <f t="shared" si="1631"/>
        <v>263</v>
      </c>
      <c r="HO248" s="34">
        <f t="shared" ref="HO248:HO255" si="1632">+G248+S248+AE248+AQ248+BC248+BO248+CA248+CM248+CY248+DK248+DW248+EI248+EU248+FG248+FS248+GE248+GQ248+HC248+I248+U248+AG248+AS248+BE248+BQ248+CC248+CO248+DA248+DM248+DY248+EK248+EW248+FI248+FU248+GG248+GS248+HE248</f>
        <v>1262</v>
      </c>
      <c r="HP248" s="94">
        <f t="shared" ref="HP248:HP254" si="1633">+(HO248)/HM248</f>
        <v>0.37249114521841792</v>
      </c>
      <c r="HQ248" s="48">
        <f t="shared" ref="HQ248:HQ255" si="1634">+I248+U248+AG248+AS248+BE248+BQ248+CC248+CO248+DA248+DM248+DY248+EK248+EW248+FI248+FU248+GG248+GS248+HE248</f>
        <v>76</v>
      </c>
      <c r="HR248" s="35">
        <f>+(HQ248/(HO248))</f>
        <v>6.0221870047543584E-2</v>
      </c>
      <c r="HS248" s="49">
        <v>71</v>
      </c>
      <c r="HT248" s="50">
        <v>1141</v>
      </c>
      <c r="HU248" s="49">
        <f t="shared" ref="HU248:HU254" si="1635">+HT248/HO248*100</f>
        <v>90.412044374009497</v>
      </c>
      <c r="HV248" s="48"/>
      <c r="HW248" s="37"/>
    </row>
    <row r="249" spans="1:231" ht="18.75" x14ac:dyDescent="0.25">
      <c r="A249" s="374"/>
      <c r="B249" s="41">
        <f t="shared" si="1235"/>
        <v>45131</v>
      </c>
      <c r="C249" s="10"/>
      <c r="D249" s="11"/>
      <c r="E249" s="69">
        <f t="shared" ref="E249:F253" si="1636">E248-C249</f>
        <v>600</v>
      </c>
      <c r="F249" s="69">
        <f t="shared" si="1636"/>
        <v>47</v>
      </c>
      <c r="G249" s="11">
        <v>208</v>
      </c>
      <c r="H249" s="12">
        <f t="shared" si="1596"/>
        <v>0.36333333333333334</v>
      </c>
      <c r="I249" s="11">
        <v>10</v>
      </c>
      <c r="J249" s="12">
        <f t="shared" ref="J249:J254" si="1637">I249/(G249+I249)</f>
        <v>4.5871559633027525E-2</v>
      </c>
      <c r="K249" s="13"/>
      <c r="L249" s="11"/>
      <c r="M249" s="11"/>
      <c r="N249" s="14"/>
      <c r="O249" s="10">
        <v>1</v>
      </c>
      <c r="P249" s="11"/>
      <c r="Q249" s="69">
        <f t="shared" ref="Q249:R254" si="1638">Q248-O249</f>
        <v>609</v>
      </c>
      <c r="R249" s="69">
        <f t="shared" si="1638"/>
        <v>47</v>
      </c>
      <c r="S249" s="11">
        <v>187</v>
      </c>
      <c r="T249" s="12">
        <f t="shared" si="1597"/>
        <v>0.33004926108374383</v>
      </c>
      <c r="U249" s="11">
        <v>14</v>
      </c>
      <c r="V249" s="12">
        <f t="shared" si="1598"/>
        <v>6.965174129353234E-2</v>
      </c>
      <c r="W249" s="13"/>
      <c r="X249" s="11"/>
      <c r="Y249" s="11"/>
      <c r="Z249" s="14"/>
      <c r="AA249" s="10"/>
      <c r="AB249" s="11"/>
      <c r="AC249" s="69">
        <f t="shared" ref="AC249:AD254" si="1639">AC248-AA249</f>
        <v>143</v>
      </c>
      <c r="AD249" s="69">
        <f t="shared" si="1639"/>
        <v>11</v>
      </c>
      <c r="AE249" s="11">
        <v>47</v>
      </c>
      <c r="AF249" s="12">
        <f t="shared" si="1599"/>
        <v>0.34265734265734266</v>
      </c>
      <c r="AG249" s="11">
        <v>2</v>
      </c>
      <c r="AH249" s="12">
        <f t="shared" si="1600"/>
        <v>4.0816326530612242E-2</v>
      </c>
      <c r="AI249" s="13"/>
      <c r="AJ249" s="11"/>
      <c r="AK249" s="11"/>
      <c r="AL249" s="14"/>
      <c r="AM249" s="10">
        <v>2</v>
      </c>
      <c r="AN249" s="11"/>
      <c r="AO249" s="69">
        <f t="shared" ref="AO249:AP254" si="1640">AO248-AM249</f>
        <v>676</v>
      </c>
      <c r="AP249" s="69">
        <f t="shared" si="1640"/>
        <v>52</v>
      </c>
      <c r="AQ249" s="11">
        <v>218</v>
      </c>
      <c r="AR249" s="12">
        <f t="shared" si="1601"/>
        <v>0.34171597633136097</v>
      </c>
      <c r="AS249" s="11">
        <v>13</v>
      </c>
      <c r="AT249" s="12">
        <f t="shared" si="1602"/>
        <v>5.627705627705628E-2</v>
      </c>
      <c r="AU249" s="13"/>
      <c r="AV249" s="11"/>
      <c r="AW249" s="11"/>
      <c r="AX249" s="14"/>
      <c r="AY249" s="10"/>
      <c r="AZ249" s="11"/>
      <c r="BA249" s="69">
        <f t="shared" ref="BA249:BB254" si="1641">BA248-AY249</f>
        <v>681</v>
      </c>
      <c r="BB249" s="69">
        <f t="shared" si="1641"/>
        <v>53</v>
      </c>
      <c r="BC249" s="11">
        <v>215</v>
      </c>
      <c r="BD249" s="12">
        <f t="shared" si="1603"/>
        <v>0.33920704845814981</v>
      </c>
      <c r="BE249" s="11">
        <v>16</v>
      </c>
      <c r="BF249" s="12">
        <f t="shared" si="1604"/>
        <v>6.9264069264069264E-2</v>
      </c>
      <c r="BG249" s="13"/>
      <c r="BH249" s="11"/>
      <c r="BI249" s="11"/>
      <c r="BJ249" s="14"/>
      <c r="BK249" s="10"/>
      <c r="BL249" s="11"/>
      <c r="BM249" s="69">
        <f t="shared" ref="BM249:BN254" si="1642">BM248-BK249</f>
        <v>676</v>
      </c>
      <c r="BN249" s="69">
        <f t="shared" si="1642"/>
        <v>53</v>
      </c>
      <c r="BO249" s="11">
        <v>204</v>
      </c>
      <c r="BP249" s="12">
        <f t="shared" si="1605"/>
        <v>0.31952662721893493</v>
      </c>
      <c r="BQ249" s="11">
        <v>12</v>
      </c>
      <c r="BR249" s="12">
        <f t="shared" si="1606"/>
        <v>5.5555555555555552E-2</v>
      </c>
      <c r="BS249" s="13"/>
      <c r="BT249" s="11"/>
      <c r="BU249" s="11"/>
      <c r="BV249" s="14"/>
      <c r="BW249" s="10"/>
      <c r="BX249" s="11"/>
      <c r="BY249" s="69">
        <f t="shared" ref="BY249:BZ254" si="1643">BY248-BW249</f>
        <v>0</v>
      </c>
      <c r="BZ249" s="69">
        <f t="shared" si="1643"/>
        <v>0</v>
      </c>
      <c r="CA249" s="11"/>
      <c r="CB249" s="12" t="e">
        <f t="shared" si="1607"/>
        <v>#DIV/0!</v>
      </c>
      <c r="CC249" s="11"/>
      <c r="CD249" s="12" t="e">
        <f t="shared" si="1608"/>
        <v>#DIV/0!</v>
      </c>
      <c r="CE249" s="13"/>
      <c r="CF249" s="11"/>
      <c r="CG249" s="11"/>
      <c r="CH249" s="14"/>
      <c r="CI249" s="10"/>
      <c r="CJ249" s="11"/>
      <c r="CK249" s="69">
        <f t="shared" ref="CK249:CL254" si="1644">CK248-CI249</f>
        <v>0</v>
      </c>
      <c r="CL249" s="69">
        <f t="shared" si="1644"/>
        <v>0</v>
      </c>
      <c r="CM249" s="11"/>
      <c r="CN249" s="12" t="e">
        <f t="shared" si="1609"/>
        <v>#DIV/0!</v>
      </c>
      <c r="CO249" s="11"/>
      <c r="CP249" s="12" t="e">
        <f t="shared" si="1610"/>
        <v>#DIV/0!</v>
      </c>
      <c r="CQ249" s="13"/>
      <c r="CR249" s="11"/>
      <c r="CS249" s="11"/>
      <c r="CT249" s="14"/>
      <c r="CU249" s="10"/>
      <c r="CV249" s="11"/>
      <c r="CW249" s="69">
        <f t="shared" ref="CW249:CX254" si="1645">CW248-CU249</f>
        <v>0</v>
      </c>
      <c r="CX249" s="69">
        <f t="shared" si="1645"/>
        <v>0</v>
      </c>
      <c r="CY249" s="11"/>
      <c r="CZ249" s="12" t="e">
        <f t="shared" si="1611"/>
        <v>#DIV/0!</v>
      </c>
      <c r="DA249" s="11"/>
      <c r="DB249" s="12" t="e">
        <f t="shared" si="1612"/>
        <v>#DIV/0!</v>
      </c>
      <c r="DC249" s="13"/>
      <c r="DD249" s="11"/>
      <c r="DE249" s="11"/>
      <c r="DF249" s="14"/>
      <c r="DG249" s="10"/>
      <c r="DH249" s="11"/>
      <c r="DI249" s="69">
        <f t="shared" ref="DI249:DJ254" si="1646">DI248-DG249</f>
        <v>0</v>
      </c>
      <c r="DJ249" s="69">
        <f t="shared" si="1646"/>
        <v>0</v>
      </c>
      <c r="DK249" s="11"/>
      <c r="DL249" s="12" t="e">
        <f t="shared" si="1613"/>
        <v>#DIV/0!</v>
      </c>
      <c r="DM249" s="11"/>
      <c r="DN249" s="12" t="e">
        <f t="shared" si="1614"/>
        <v>#DIV/0!</v>
      </c>
      <c r="DO249" s="13"/>
      <c r="DP249" s="11"/>
      <c r="DQ249" s="11"/>
      <c r="DR249" s="14"/>
      <c r="DS249" s="10"/>
      <c r="DT249" s="11"/>
      <c r="DU249" s="69">
        <f t="shared" ref="DU249:DV254" si="1647">DU248-DS249</f>
        <v>0</v>
      </c>
      <c r="DV249" s="69">
        <f t="shared" si="1647"/>
        <v>0</v>
      </c>
      <c r="DW249" s="11"/>
      <c r="DX249" s="12" t="e">
        <f t="shared" si="1615"/>
        <v>#DIV/0!</v>
      </c>
      <c r="DY249" s="11"/>
      <c r="DZ249" s="12" t="e">
        <f t="shared" si="1616"/>
        <v>#DIV/0!</v>
      </c>
      <c r="EA249" s="13"/>
      <c r="EB249" s="11"/>
      <c r="EC249" s="11"/>
      <c r="ED249" s="14"/>
      <c r="EE249" s="10"/>
      <c r="EF249" s="11"/>
      <c r="EG249" s="69">
        <f t="shared" ref="EG249:EH254" si="1648">EG248-EE249</f>
        <v>0</v>
      </c>
      <c r="EH249" s="69">
        <f t="shared" si="1648"/>
        <v>0</v>
      </c>
      <c r="EI249" s="11"/>
      <c r="EJ249" s="12" t="e">
        <f t="shared" si="1617"/>
        <v>#DIV/0!</v>
      </c>
      <c r="EK249" s="11"/>
      <c r="EL249" s="12" t="e">
        <f t="shared" si="1618"/>
        <v>#DIV/0!</v>
      </c>
      <c r="EM249" s="13"/>
      <c r="EN249" s="11"/>
      <c r="EO249" s="11"/>
      <c r="EP249" s="14"/>
      <c r="EQ249" s="10"/>
      <c r="ER249" s="11"/>
      <c r="ES249" s="69">
        <f t="shared" ref="ES249:ET254" si="1649">ES248-EQ249</f>
        <v>0</v>
      </c>
      <c r="ET249" s="69">
        <f t="shared" si="1649"/>
        <v>0</v>
      </c>
      <c r="EU249" s="11"/>
      <c r="EV249" s="12" t="e">
        <f t="shared" si="1619"/>
        <v>#DIV/0!</v>
      </c>
      <c r="EW249" s="11"/>
      <c r="EX249" s="12" t="e">
        <f t="shared" si="1620"/>
        <v>#DIV/0!</v>
      </c>
      <c r="EY249" s="13"/>
      <c r="EZ249" s="11"/>
      <c r="FA249" s="11"/>
      <c r="FB249" s="14"/>
      <c r="FC249" s="10"/>
      <c r="FD249" s="11"/>
      <c r="FE249" s="69">
        <f t="shared" ref="FE249:FF254" si="1650">FE248-FC249</f>
        <v>0</v>
      </c>
      <c r="FF249" s="69">
        <f t="shared" si="1650"/>
        <v>0</v>
      </c>
      <c r="FG249" s="11"/>
      <c r="FH249" s="12" t="e">
        <f t="shared" si="1621"/>
        <v>#DIV/0!</v>
      </c>
      <c r="FI249" s="11"/>
      <c r="FJ249" s="12" t="e">
        <f t="shared" si="1622"/>
        <v>#DIV/0!</v>
      </c>
      <c r="FK249" s="13"/>
      <c r="FL249" s="11"/>
      <c r="FM249" s="11"/>
      <c r="FN249" s="14"/>
      <c r="FO249" s="10"/>
      <c r="FP249" s="11"/>
      <c r="FQ249" s="69">
        <f t="shared" ref="FQ249:FR254" si="1651">FQ248-FO249</f>
        <v>0</v>
      </c>
      <c r="FR249" s="69">
        <f t="shared" si="1651"/>
        <v>0</v>
      </c>
      <c r="FS249" s="11"/>
      <c r="FT249" s="12" t="e">
        <f t="shared" si="1623"/>
        <v>#DIV/0!</v>
      </c>
      <c r="FU249" s="11"/>
      <c r="FV249" s="12" t="e">
        <f t="shared" si="1624"/>
        <v>#DIV/0!</v>
      </c>
      <c r="FW249" s="13"/>
      <c r="FX249" s="11"/>
      <c r="FY249" s="11"/>
      <c r="FZ249" s="14"/>
      <c r="GA249" s="10"/>
      <c r="GB249" s="11"/>
      <c r="GC249" s="69">
        <f t="shared" ref="GC249:GD254" si="1652">GC248-GA249</f>
        <v>0</v>
      </c>
      <c r="GD249" s="69">
        <f t="shared" si="1652"/>
        <v>0</v>
      </c>
      <c r="GE249" s="11"/>
      <c r="GF249" s="12" t="e">
        <f t="shared" si="1625"/>
        <v>#DIV/0!</v>
      </c>
      <c r="GG249" s="11"/>
      <c r="GH249" s="12" t="e">
        <f t="shared" si="1626"/>
        <v>#DIV/0!</v>
      </c>
      <c r="GI249" s="13"/>
      <c r="GJ249" s="11"/>
      <c r="GK249" s="11"/>
      <c r="GL249" s="14"/>
      <c r="GM249" s="10"/>
      <c r="GN249" s="11"/>
      <c r="GO249" s="69">
        <f t="shared" ref="GO249:GP254" si="1653">GO248-GM249</f>
        <v>0</v>
      </c>
      <c r="GP249" s="69">
        <f t="shared" si="1653"/>
        <v>0</v>
      </c>
      <c r="GQ249" s="11"/>
      <c r="GR249" s="12" t="e">
        <f t="shared" si="1627"/>
        <v>#DIV/0!</v>
      </c>
      <c r="GS249" s="11"/>
      <c r="GT249" s="12" t="e">
        <f t="shared" si="1628"/>
        <v>#DIV/0!</v>
      </c>
      <c r="GU249" s="13"/>
      <c r="GV249" s="11"/>
      <c r="GW249" s="11"/>
      <c r="GX249" s="14"/>
      <c r="GY249" s="10"/>
      <c r="GZ249" s="11"/>
      <c r="HA249" s="69">
        <f t="shared" ref="HA249:HB254" si="1654">HA248-GY249</f>
        <v>0</v>
      </c>
      <c r="HB249" s="69">
        <f t="shared" si="1654"/>
        <v>0</v>
      </c>
      <c r="HC249" s="11"/>
      <c r="HD249" s="12" t="e">
        <f t="shared" si="1629"/>
        <v>#DIV/0!</v>
      </c>
      <c r="HE249" s="11"/>
      <c r="HF249" s="12" t="e">
        <f t="shared" si="1630"/>
        <v>#DIV/0!</v>
      </c>
      <c r="HG249" s="13"/>
      <c r="HH249" s="11"/>
      <c r="HI249" s="11"/>
      <c r="HJ249" s="14"/>
      <c r="HK249" s="10">
        <f t="shared" si="1631"/>
        <v>3</v>
      </c>
      <c r="HL249" s="11">
        <f t="shared" si="1631"/>
        <v>0</v>
      </c>
      <c r="HM249" s="11">
        <f t="shared" si="1631"/>
        <v>3385</v>
      </c>
      <c r="HN249" s="11">
        <f t="shared" si="1631"/>
        <v>263</v>
      </c>
      <c r="HO249" s="11">
        <f t="shared" si="1632"/>
        <v>1146</v>
      </c>
      <c r="HP249" s="95">
        <f t="shared" si="1633"/>
        <v>0.33855243722304285</v>
      </c>
      <c r="HQ249" s="15">
        <f t="shared" si="1634"/>
        <v>67</v>
      </c>
      <c r="HR249" s="12">
        <f t="shared" ref="HR249:HR255" si="1655">+(HQ249/(HO249))</f>
        <v>5.8464223385689351E-2</v>
      </c>
      <c r="HS249" s="16">
        <v>71.099999999999994</v>
      </c>
      <c r="HT249" s="17">
        <v>1035</v>
      </c>
      <c r="HU249" s="16">
        <f t="shared" si="1635"/>
        <v>90.314136125654457</v>
      </c>
      <c r="HV249" s="15"/>
      <c r="HW249" s="14"/>
    </row>
    <row r="250" spans="1:231" ht="18.75" x14ac:dyDescent="0.25">
      <c r="A250" s="374"/>
      <c r="B250" s="41">
        <f t="shared" si="1235"/>
        <v>45132</v>
      </c>
      <c r="C250" s="10"/>
      <c r="D250" s="11"/>
      <c r="E250" s="69">
        <f t="shared" si="1636"/>
        <v>600</v>
      </c>
      <c r="F250" s="69">
        <f t="shared" si="1636"/>
        <v>47</v>
      </c>
      <c r="G250" s="11">
        <v>197</v>
      </c>
      <c r="H250" s="12">
        <f t="shared" si="1596"/>
        <v>0.35166666666666668</v>
      </c>
      <c r="I250" s="11">
        <v>14</v>
      </c>
      <c r="J250" s="12">
        <f t="shared" si="1637"/>
        <v>6.6350710900473939E-2</v>
      </c>
      <c r="K250" s="13"/>
      <c r="L250" s="11"/>
      <c r="M250" s="11"/>
      <c r="N250" s="14"/>
      <c r="O250" s="10"/>
      <c r="P250" s="11"/>
      <c r="Q250" s="69">
        <f t="shared" si="1638"/>
        <v>609</v>
      </c>
      <c r="R250" s="69">
        <f t="shared" si="1638"/>
        <v>47</v>
      </c>
      <c r="S250" s="11">
        <v>196</v>
      </c>
      <c r="T250" s="12">
        <f t="shared" si="1597"/>
        <v>0.34975369458128081</v>
      </c>
      <c r="U250" s="11">
        <v>17</v>
      </c>
      <c r="V250" s="12">
        <f t="shared" si="1598"/>
        <v>7.9812206572769953E-2</v>
      </c>
      <c r="W250" s="13"/>
      <c r="X250" s="11"/>
      <c r="Y250" s="11"/>
      <c r="Z250" s="14"/>
      <c r="AA250" s="10">
        <v>1</v>
      </c>
      <c r="AB250" s="11"/>
      <c r="AC250" s="69">
        <f t="shared" si="1639"/>
        <v>142</v>
      </c>
      <c r="AD250" s="69">
        <f t="shared" si="1639"/>
        <v>11</v>
      </c>
      <c r="AE250" s="11">
        <v>37</v>
      </c>
      <c r="AF250" s="12">
        <f t="shared" si="1599"/>
        <v>0.28169014084507044</v>
      </c>
      <c r="AG250" s="11">
        <v>3</v>
      </c>
      <c r="AH250" s="12">
        <f t="shared" si="1600"/>
        <v>7.4999999999999997E-2</v>
      </c>
      <c r="AI250" s="13"/>
      <c r="AJ250" s="11"/>
      <c r="AK250" s="11"/>
      <c r="AL250" s="14"/>
      <c r="AM250" s="10">
        <v>1</v>
      </c>
      <c r="AN250" s="11"/>
      <c r="AO250" s="69">
        <f t="shared" si="1640"/>
        <v>675</v>
      </c>
      <c r="AP250" s="69">
        <f t="shared" si="1640"/>
        <v>52</v>
      </c>
      <c r="AQ250" s="11">
        <v>241</v>
      </c>
      <c r="AR250" s="12">
        <f t="shared" si="1601"/>
        <v>0.37777777777777777</v>
      </c>
      <c r="AS250" s="11">
        <v>14</v>
      </c>
      <c r="AT250" s="12">
        <f t="shared" si="1602"/>
        <v>5.4901960784313725E-2</v>
      </c>
      <c r="AU250" s="13"/>
      <c r="AV250" s="11"/>
      <c r="AW250" s="11"/>
      <c r="AX250" s="14"/>
      <c r="AY250" s="10"/>
      <c r="AZ250" s="11"/>
      <c r="BA250" s="69">
        <f t="shared" si="1641"/>
        <v>681</v>
      </c>
      <c r="BB250" s="69">
        <f t="shared" si="1641"/>
        <v>53</v>
      </c>
      <c r="BC250" s="11">
        <v>212</v>
      </c>
      <c r="BD250" s="12">
        <f t="shared" si="1603"/>
        <v>0.33186490455212925</v>
      </c>
      <c r="BE250" s="11">
        <v>14</v>
      </c>
      <c r="BF250" s="12">
        <f t="shared" si="1604"/>
        <v>6.1946902654867256E-2</v>
      </c>
      <c r="BG250" s="13"/>
      <c r="BH250" s="11"/>
      <c r="BI250" s="11"/>
      <c r="BJ250" s="14"/>
      <c r="BK250" s="10"/>
      <c r="BL250" s="11"/>
      <c r="BM250" s="69">
        <f t="shared" si="1642"/>
        <v>676</v>
      </c>
      <c r="BN250" s="69">
        <f t="shared" si="1642"/>
        <v>53</v>
      </c>
      <c r="BO250" s="11">
        <v>263</v>
      </c>
      <c r="BP250" s="12">
        <f t="shared" si="1605"/>
        <v>0.40976331360946744</v>
      </c>
      <c r="BQ250" s="11">
        <v>14</v>
      </c>
      <c r="BR250" s="12">
        <f t="shared" si="1606"/>
        <v>5.0541516245487361E-2</v>
      </c>
      <c r="BS250" s="13"/>
      <c r="BT250" s="11"/>
      <c r="BU250" s="11"/>
      <c r="BV250" s="14"/>
      <c r="BW250" s="10"/>
      <c r="BX250" s="11"/>
      <c r="BY250" s="69">
        <f t="shared" si="1643"/>
        <v>0</v>
      </c>
      <c r="BZ250" s="69">
        <f t="shared" si="1643"/>
        <v>0</v>
      </c>
      <c r="CA250" s="11"/>
      <c r="CB250" s="12" t="e">
        <f t="shared" si="1607"/>
        <v>#DIV/0!</v>
      </c>
      <c r="CC250" s="11"/>
      <c r="CD250" s="12" t="e">
        <f t="shared" si="1608"/>
        <v>#DIV/0!</v>
      </c>
      <c r="CE250" s="13"/>
      <c r="CF250" s="11"/>
      <c r="CG250" s="11"/>
      <c r="CH250" s="14"/>
      <c r="CI250" s="10"/>
      <c r="CJ250" s="11"/>
      <c r="CK250" s="69">
        <f t="shared" si="1644"/>
        <v>0</v>
      </c>
      <c r="CL250" s="69">
        <f t="shared" si="1644"/>
        <v>0</v>
      </c>
      <c r="CM250" s="11"/>
      <c r="CN250" s="12" t="e">
        <f t="shared" si="1609"/>
        <v>#DIV/0!</v>
      </c>
      <c r="CO250" s="11"/>
      <c r="CP250" s="12" t="e">
        <f t="shared" si="1610"/>
        <v>#DIV/0!</v>
      </c>
      <c r="CQ250" s="13"/>
      <c r="CR250" s="11"/>
      <c r="CS250" s="11"/>
      <c r="CT250" s="14"/>
      <c r="CU250" s="10"/>
      <c r="CV250" s="11"/>
      <c r="CW250" s="69">
        <f t="shared" si="1645"/>
        <v>0</v>
      </c>
      <c r="CX250" s="69">
        <f t="shared" si="1645"/>
        <v>0</v>
      </c>
      <c r="CY250" s="11"/>
      <c r="CZ250" s="12" t="e">
        <f t="shared" si="1611"/>
        <v>#DIV/0!</v>
      </c>
      <c r="DA250" s="11"/>
      <c r="DB250" s="12" t="e">
        <f t="shared" si="1612"/>
        <v>#DIV/0!</v>
      </c>
      <c r="DC250" s="13"/>
      <c r="DD250" s="11"/>
      <c r="DE250" s="11"/>
      <c r="DF250" s="14"/>
      <c r="DG250" s="10"/>
      <c r="DH250" s="11"/>
      <c r="DI250" s="69">
        <f t="shared" si="1646"/>
        <v>0</v>
      </c>
      <c r="DJ250" s="69">
        <f t="shared" si="1646"/>
        <v>0</v>
      </c>
      <c r="DK250" s="11"/>
      <c r="DL250" s="12" t="e">
        <f t="shared" si="1613"/>
        <v>#DIV/0!</v>
      </c>
      <c r="DM250" s="11"/>
      <c r="DN250" s="12" t="e">
        <f t="shared" si="1614"/>
        <v>#DIV/0!</v>
      </c>
      <c r="DO250" s="13"/>
      <c r="DP250" s="11"/>
      <c r="DQ250" s="11"/>
      <c r="DR250" s="14"/>
      <c r="DS250" s="10"/>
      <c r="DT250" s="11"/>
      <c r="DU250" s="69">
        <f t="shared" si="1647"/>
        <v>0</v>
      </c>
      <c r="DV250" s="69">
        <f t="shared" si="1647"/>
        <v>0</v>
      </c>
      <c r="DW250" s="11"/>
      <c r="DX250" s="12" t="e">
        <f t="shared" si="1615"/>
        <v>#DIV/0!</v>
      </c>
      <c r="DY250" s="11"/>
      <c r="DZ250" s="12" t="e">
        <f t="shared" si="1616"/>
        <v>#DIV/0!</v>
      </c>
      <c r="EA250" s="13"/>
      <c r="EB250" s="11"/>
      <c r="EC250" s="11"/>
      <c r="ED250" s="14"/>
      <c r="EE250" s="10"/>
      <c r="EF250" s="11"/>
      <c r="EG250" s="69">
        <f t="shared" si="1648"/>
        <v>0</v>
      </c>
      <c r="EH250" s="69">
        <f t="shared" si="1648"/>
        <v>0</v>
      </c>
      <c r="EI250" s="11"/>
      <c r="EJ250" s="12" t="e">
        <f t="shared" si="1617"/>
        <v>#DIV/0!</v>
      </c>
      <c r="EK250" s="11"/>
      <c r="EL250" s="12" t="e">
        <f t="shared" si="1618"/>
        <v>#DIV/0!</v>
      </c>
      <c r="EM250" s="13"/>
      <c r="EN250" s="11"/>
      <c r="EO250" s="11"/>
      <c r="EP250" s="14"/>
      <c r="EQ250" s="10"/>
      <c r="ER250" s="11"/>
      <c r="ES250" s="69">
        <f t="shared" si="1649"/>
        <v>0</v>
      </c>
      <c r="ET250" s="69">
        <f t="shared" si="1649"/>
        <v>0</v>
      </c>
      <c r="EU250" s="11"/>
      <c r="EV250" s="12" t="e">
        <f t="shared" si="1619"/>
        <v>#DIV/0!</v>
      </c>
      <c r="EW250" s="11"/>
      <c r="EX250" s="12" t="e">
        <f t="shared" si="1620"/>
        <v>#DIV/0!</v>
      </c>
      <c r="EY250" s="13"/>
      <c r="EZ250" s="11"/>
      <c r="FA250" s="11"/>
      <c r="FB250" s="14"/>
      <c r="FC250" s="10"/>
      <c r="FD250" s="11"/>
      <c r="FE250" s="69">
        <f t="shared" si="1650"/>
        <v>0</v>
      </c>
      <c r="FF250" s="69">
        <f t="shared" si="1650"/>
        <v>0</v>
      </c>
      <c r="FG250" s="11"/>
      <c r="FH250" s="12" t="e">
        <f t="shared" si="1621"/>
        <v>#DIV/0!</v>
      </c>
      <c r="FI250" s="11"/>
      <c r="FJ250" s="12" t="e">
        <f t="shared" si="1622"/>
        <v>#DIV/0!</v>
      </c>
      <c r="FK250" s="13"/>
      <c r="FL250" s="11"/>
      <c r="FM250" s="11"/>
      <c r="FN250" s="14"/>
      <c r="FO250" s="10"/>
      <c r="FP250" s="11"/>
      <c r="FQ250" s="69">
        <f t="shared" si="1651"/>
        <v>0</v>
      </c>
      <c r="FR250" s="69">
        <f t="shared" si="1651"/>
        <v>0</v>
      </c>
      <c r="FS250" s="11"/>
      <c r="FT250" s="12" t="e">
        <f t="shared" si="1623"/>
        <v>#DIV/0!</v>
      </c>
      <c r="FU250" s="11"/>
      <c r="FV250" s="12" t="e">
        <f t="shared" si="1624"/>
        <v>#DIV/0!</v>
      </c>
      <c r="FW250" s="13"/>
      <c r="FX250" s="11"/>
      <c r="FY250" s="11"/>
      <c r="FZ250" s="14"/>
      <c r="GA250" s="10"/>
      <c r="GB250" s="11"/>
      <c r="GC250" s="69">
        <f t="shared" si="1652"/>
        <v>0</v>
      </c>
      <c r="GD250" s="69">
        <f t="shared" si="1652"/>
        <v>0</v>
      </c>
      <c r="GE250" s="11"/>
      <c r="GF250" s="12" t="e">
        <f t="shared" si="1625"/>
        <v>#DIV/0!</v>
      </c>
      <c r="GG250" s="11"/>
      <c r="GH250" s="12" t="e">
        <f t="shared" si="1626"/>
        <v>#DIV/0!</v>
      </c>
      <c r="GI250" s="13"/>
      <c r="GJ250" s="11"/>
      <c r="GK250" s="11"/>
      <c r="GL250" s="14"/>
      <c r="GM250" s="10"/>
      <c r="GN250" s="11"/>
      <c r="GO250" s="69">
        <f t="shared" si="1653"/>
        <v>0</v>
      </c>
      <c r="GP250" s="69">
        <f t="shared" si="1653"/>
        <v>0</v>
      </c>
      <c r="GQ250" s="11"/>
      <c r="GR250" s="12" t="e">
        <f t="shared" si="1627"/>
        <v>#DIV/0!</v>
      </c>
      <c r="GS250" s="11"/>
      <c r="GT250" s="12" t="e">
        <f t="shared" si="1628"/>
        <v>#DIV/0!</v>
      </c>
      <c r="GU250" s="13"/>
      <c r="GV250" s="11"/>
      <c r="GW250" s="11"/>
      <c r="GX250" s="14"/>
      <c r="GY250" s="10"/>
      <c r="GZ250" s="11"/>
      <c r="HA250" s="69">
        <f t="shared" si="1654"/>
        <v>0</v>
      </c>
      <c r="HB250" s="69">
        <f t="shared" si="1654"/>
        <v>0</v>
      </c>
      <c r="HC250" s="11"/>
      <c r="HD250" s="12" t="e">
        <f t="shared" si="1629"/>
        <v>#DIV/0!</v>
      </c>
      <c r="HE250" s="11"/>
      <c r="HF250" s="12" t="e">
        <f t="shared" si="1630"/>
        <v>#DIV/0!</v>
      </c>
      <c r="HG250" s="13"/>
      <c r="HH250" s="11"/>
      <c r="HI250" s="11"/>
      <c r="HJ250" s="14"/>
      <c r="HK250" s="10">
        <f t="shared" si="1631"/>
        <v>2</v>
      </c>
      <c r="HL250" s="11">
        <f t="shared" si="1631"/>
        <v>0</v>
      </c>
      <c r="HM250" s="11">
        <f t="shared" si="1631"/>
        <v>3383</v>
      </c>
      <c r="HN250" s="11">
        <f t="shared" si="1631"/>
        <v>263</v>
      </c>
      <c r="HO250" s="11">
        <f t="shared" si="1632"/>
        <v>1222</v>
      </c>
      <c r="HP250" s="95">
        <f t="shared" si="1633"/>
        <v>0.36121785397576117</v>
      </c>
      <c r="HQ250" s="15">
        <f t="shared" si="1634"/>
        <v>76</v>
      </c>
      <c r="HR250" s="12">
        <f t="shared" si="1655"/>
        <v>6.2193126022913256E-2</v>
      </c>
      <c r="HS250" s="16">
        <v>71</v>
      </c>
      <c r="HT250" s="17">
        <v>1111</v>
      </c>
      <c r="HU250" s="16">
        <f t="shared" si="1635"/>
        <v>90.916530278232415</v>
      </c>
      <c r="HV250" s="15"/>
      <c r="HW250" s="14"/>
    </row>
    <row r="251" spans="1:231" ht="18.75" x14ac:dyDescent="0.25">
      <c r="A251" s="374"/>
      <c r="B251" s="41">
        <f t="shared" si="1235"/>
        <v>45133</v>
      </c>
      <c r="C251" s="10">
        <v>2</v>
      </c>
      <c r="D251" s="11"/>
      <c r="E251" s="69">
        <f t="shared" si="1636"/>
        <v>598</v>
      </c>
      <c r="F251" s="69">
        <f t="shared" si="1636"/>
        <v>47</v>
      </c>
      <c r="G251" s="11">
        <v>222</v>
      </c>
      <c r="H251" s="12">
        <f t="shared" si="1596"/>
        <v>0.39297658862876256</v>
      </c>
      <c r="I251" s="11">
        <v>13</v>
      </c>
      <c r="J251" s="12">
        <f t="shared" si="1637"/>
        <v>5.5319148936170209E-2</v>
      </c>
      <c r="K251" s="11"/>
      <c r="L251" s="11"/>
      <c r="M251" s="18"/>
      <c r="N251" s="20"/>
      <c r="O251" s="10"/>
      <c r="P251" s="11"/>
      <c r="Q251" s="69">
        <f t="shared" si="1638"/>
        <v>609</v>
      </c>
      <c r="R251" s="69">
        <f t="shared" si="1638"/>
        <v>47</v>
      </c>
      <c r="S251" s="11">
        <v>207</v>
      </c>
      <c r="T251" s="12">
        <f t="shared" si="1597"/>
        <v>0.37438423645320196</v>
      </c>
      <c r="U251" s="11">
        <v>21</v>
      </c>
      <c r="V251" s="12">
        <f t="shared" si="1598"/>
        <v>9.2105263157894732E-2</v>
      </c>
      <c r="W251" s="11"/>
      <c r="X251" s="11"/>
      <c r="Y251" s="18"/>
      <c r="Z251" s="20"/>
      <c r="AA251" s="10">
        <v>2</v>
      </c>
      <c r="AB251" s="11"/>
      <c r="AC251" s="69">
        <f t="shared" si="1639"/>
        <v>140</v>
      </c>
      <c r="AD251" s="69">
        <f t="shared" si="1639"/>
        <v>11</v>
      </c>
      <c r="AE251" s="11">
        <v>44</v>
      </c>
      <c r="AF251" s="12">
        <f t="shared" si="1599"/>
        <v>0.33571428571428569</v>
      </c>
      <c r="AG251" s="11">
        <v>3</v>
      </c>
      <c r="AH251" s="12">
        <f t="shared" si="1600"/>
        <v>6.3829787234042548E-2</v>
      </c>
      <c r="AI251" s="11"/>
      <c r="AJ251" s="11"/>
      <c r="AK251" s="18"/>
      <c r="AL251" s="20"/>
      <c r="AM251" s="10"/>
      <c r="AN251" s="11"/>
      <c r="AO251" s="69">
        <f t="shared" si="1640"/>
        <v>675</v>
      </c>
      <c r="AP251" s="69">
        <f t="shared" si="1640"/>
        <v>52</v>
      </c>
      <c r="AQ251" s="11">
        <v>223</v>
      </c>
      <c r="AR251" s="12">
        <f t="shared" si="1601"/>
        <v>0.3540740740740741</v>
      </c>
      <c r="AS251" s="11">
        <v>16</v>
      </c>
      <c r="AT251" s="12">
        <f t="shared" si="1602"/>
        <v>6.6945606694560664E-2</v>
      </c>
      <c r="AU251" s="11"/>
      <c r="AV251" s="11"/>
      <c r="AW251" s="18"/>
      <c r="AX251" s="20"/>
      <c r="AY251" s="10"/>
      <c r="AZ251" s="11"/>
      <c r="BA251" s="69">
        <f t="shared" si="1641"/>
        <v>681</v>
      </c>
      <c r="BB251" s="69">
        <f t="shared" si="1641"/>
        <v>53</v>
      </c>
      <c r="BC251" s="11">
        <v>226</v>
      </c>
      <c r="BD251" s="12">
        <f t="shared" si="1603"/>
        <v>0.35829662261380324</v>
      </c>
      <c r="BE251" s="11">
        <v>18</v>
      </c>
      <c r="BF251" s="12">
        <f t="shared" si="1604"/>
        <v>7.3770491803278687E-2</v>
      </c>
      <c r="BG251" s="11"/>
      <c r="BH251" s="11"/>
      <c r="BI251" s="18"/>
      <c r="BJ251" s="20"/>
      <c r="BK251" s="10">
        <v>1</v>
      </c>
      <c r="BL251" s="11"/>
      <c r="BM251" s="69">
        <f t="shared" si="1642"/>
        <v>675</v>
      </c>
      <c r="BN251" s="69">
        <f t="shared" si="1642"/>
        <v>53</v>
      </c>
      <c r="BO251" s="11">
        <v>237</v>
      </c>
      <c r="BP251" s="12">
        <f t="shared" si="1605"/>
        <v>0.3674074074074074</v>
      </c>
      <c r="BQ251" s="11">
        <v>11</v>
      </c>
      <c r="BR251" s="12">
        <f t="shared" si="1606"/>
        <v>4.4354838709677422E-2</v>
      </c>
      <c r="BS251" s="11"/>
      <c r="BT251" s="11"/>
      <c r="BU251" s="18"/>
      <c r="BV251" s="20"/>
      <c r="BW251" s="10"/>
      <c r="BX251" s="11"/>
      <c r="BY251" s="69">
        <f t="shared" si="1643"/>
        <v>0</v>
      </c>
      <c r="BZ251" s="69">
        <f t="shared" si="1643"/>
        <v>0</v>
      </c>
      <c r="CA251" s="11"/>
      <c r="CB251" s="12" t="e">
        <f t="shared" si="1607"/>
        <v>#DIV/0!</v>
      </c>
      <c r="CC251" s="11"/>
      <c r="CD251" s="12" t="e">
        <f t="shared" si="1608"/>
        <v>#DIV/0!</v>
      </c>
      <c r="CE251" s="11"/>
      <c r="CF251" s="11"/>
      <c r="CG251" s="18"/>
      <c r="CH251" s="20"/>
      <c r="CI251" s="10"/>
      <c r="CJ251" s="11"/>
      <c r="CK251" s="69">
        <f t="shared" si="1644"/>
        <v>0</v>
      </c>
      <c r="CL251" s="69">
        <f t="shared" si="1644"/>
        <v>0</v>
      </c>
      <c r="CM251" s="11"/>
      <c r="CN251" s="12" t="e">
        <f t="shared" si="1609"/>
        <v>#DIV/0!</v>
      </c>
      <c r="CO251" s="11"/>
      <c r="CP251" s="12" t="e">
        <f t="shared" si="1610"/>
        <v>#DIV/0!</v>
      </c>
      <c r="CQ251" s="11"/>
      <c r="CR251" s="11"/>
      <c r="CS251" s="18"/>
      <c r="CT251" s="20"/>
      <c r="CU251" s="10"/>
      <c r="CV251" s="11"/>
      <c r="CW251" s="69">
        <f t="shared" si="1645"/>
        <v>0</v>
      </c>
      <c r="CX251" s="69">
        <f t="shared" si="1645"/>
        <v>0</v>
      </c>
      <c r="CY251" s="11"/>
      <c r="CZ251" s="12" t="e">
        <f t="shared" si="1611"/>
        <v>#DIV/0!</v>
      </c>
      <c r="DA251" s="11"/>
      <c r="DB251" s="12" t="e">
        <f t="shared" si="1612"/>
        <v>#DIV/0!</v>
      </c>
      <c r="DC251" s="11"/>
      <c r="DD251" s="11"/>
      <c r="DE251" s="18"/>
      <c r="DF251" s="20"/>
      <c r="DG251" s="10"/>
      <c r="DH251" s="11"/>
      <c r="DI251" s="69">
        <f t="shared" si="1646"/>
        <v>0</v>
      </c>
      <c r="DJ251" s="69">
        <f t="shared" si="1646"/>
        <v>0</v>
      </c>
      <c r="DK251" s="11"/>
      <c r="DL251" s="12" t="e">
        <f t="shared" si="1613"/>
        <v>#DIV/0!</v>
      </c>
      <c r="DM251" s="11"/>
      <c r="DN251" s="12" t="e">
        <f t="shared" si="1614"/>
        <v>#DIV/0!</v>
      </c>
      <c r="DO251" s="11"/>
      <c r="DP251" s="11"/>
      <c r="DQ251" s="18"/>
      <c r="DR251" s="20"/>
      <c r="DS251" s="10"/>
      <c r="DT251" s="11"/>
      <c r="DU251" s="69">
        <f t="shared" si="1647"/>
        <v>0</v>
      </c>
      <c r="DV251" s="69">
        <f t="shared" si="1647"/>
        <v>0</v>
      </c>
      <c r="DW251" s="11"/>
      <c r="DX251" s="12" t="e">
        <f t="shared" si="1615"/>
        <v>#DIV/0!</v>
      </c>
      <c r="DY251" s="11"/>
      <c r="DZ251" s="12" t="e">
        <f t="shared" si="1616"/>
        <v>#DIV/0!</v>
      </c>
      <c r="EA251" s="11"/>
      <c r="EB251" s="11"/>
      <c r="EC251" s="18"/>
      <c r="ED251" s="20"/>
      <c r="EE251" s="10"/>
      <c r="EF251" s="11"/>
      <c r="EG251" s="69">
        <f t="shared" si="1648"/>
        <v>0</v>
      </c>
      <c r="EH251" s="69">
        <f t="shared" si="1648"/>
        <v>0</v>
      </c>
      <c r="EI251" s="11"/>
      <c r="EJ251" s="12" t="e">
        <f t="shared" si="1617"/>
        <v>#DIV/0!</v>
      </c>
      <c r="EK251" s="11"/>
      <c r="EL251" s="12" t="e">
        <f t="shared" si="1618"/>
        <v>#DIV/0!</v>
      </c>
      <c r="EM251" s="11"/>
      <c r="EN251" s="11"/>
      <c r="EO251" s="18"/>
      <c r="EP251" s="20"/>
      <c r="EQ251" s="10"/>
      <c r="ER251" s="11"/>
      <c r="ES251" s="69">
        <f t="shared" si="1649"/>
        <v>0</v>
      </c>
      <c r="ET251" s="69">
        <f t="shared" si="1649"/>
        <v>0</v>
      </c>
      <c r="EU251" s="11"/>
      <c r="EV251" s="12" t="e">
        <f t="shared" si="1619"/>
        <v>#DIV/0!</v>
      </c>
      <c r="EW251" s="11"/>
      <c r="EX251" s="12" t="e">
        <f t="shared" si="1620"/>
        <v>#DIV/0!</v>
      </c>
      <c r="EY251" s="11"/>
      <c r="EZ251" s="11"/>
      <c r="FA251" s="18"/>
      <c r="FB251" s="20"/>
      <c r="FC251" s="10"/>
      <c r="FD251" s="11"/>
      <c r="FE251" s="69">
        <f t="shared" si="1650"/>
        <v>0</v>
      </c>
      <c r="FF251" s="69">
        <f t="shared" si="1650"/>
        <v>0</v>
      </c>
      <c r="FG251" s="11"/>
      <c r="FH251" s="12" t="e">
        <f t="shared" si="1621"/>
        <v>#DIV/0!</v>
      </c>
      <c r="FI251" s="11"/>
      <c r="FJ251" s="12" t="e">
        <f t="shared" si="1622"/>
        <v>#DIV/0!</v>
      </c>
      <c r="FK251" s="11"/>
      <c r="FL251" s="11"/>
      <c r="FM251" s="18"/>
      <c r="FN251" s="20"/>
      <c r="FO251" s="10"/>
      <c r="FP251" s="11"/>
      <c r="FQ251" s="69">
        <f t="shared" si="1651"/>
        <v>0</v>
      </c>
      <c r="FR251" s="69">
        <f t="shared" si="1651"/>
        <v>0</v>
      </c>
      <c r="FS251" s="11"/>
      <c r="FT251" s="12" t="e">
        <f t="shared" si="1623"/>
        <v>#DIV/0!</v>
      </c>
      <c r="FU251" s="11"/>
      <c r="FV251" s="12" t="e">
        <f t="shared" si="1624"/>
        <v>#DIV/0!</v>
      </c>
      <c r="FW251" s="11"/>
      <c r="FX251" s="11"/>
      <c r="FY251" s="18"/>
      <c r="FZ251" s="20"/>
      <c r="GA251" s="10"/>
      <c r="GB251" s="11"/>
      <c r="GC251" s="69">
        <f t="shared" si="1652"/>
        <v>0</v>
      </c>
      <c r="GD251" s="69">
        <f t="shared" si="1652"/>
        <v>0</v>
      </c>
      <c r="GE251" s="11"/>
      <c r="GF251" s="12" t="e">
        <f t="shared" si="1625"/>
        <v>#DIV/0!</v>
      </c>
      <c r="GG251" s="11"/>
      <c r="GH251" s="12" t="e">
        <f t="shared" si="1626"/>
        <v>#DIV/0!</v>
      </c>
      <c r="GI251" s="11"/>
      <c r="GJ251" s="11"/>
      <c r="GK251" s="18"/>
      <c r="GL251" s="20"/>
      <c r="GM251" s="10"/>
      <c r="GN251" s="11"/>
      <c r="GO251" s="69">
        <f t="shared" si="1653"/>
        <v>0</v>
      </c>
      <c r="GP251" s="69">
        <f t="shared" si="1653"/>
        <v>0</v>
      </c>
      <c r="GQ251" s="11"/>
      <c r="GR251" s="12" t="e">
        <f t="shared" si="1627"/>
        <v>#DIV/0!</v>
      </c>
      <c r="GS251" s="11"/>
      <c r="GT251" s="12" t="e">
        <f t="shared" si="1628"/>
        <v>#DIV/0!</v>
      </c>
      <c r="GU251" s="11"/>
      <c r="GV251" s="11"/>
      <c r="GW251" s="18"/>
      <c r="GX251" s="20"/>
      <c r="GY251" s="10"/>
      <c r="GZ251" s="11"/>
      <c r="HA251" s="69">
        <f t="shared" si="1654"/>
        <v>0</v>
      </c>
      <c r="HB251" s="69">
        <f t="shared" si="1654"/>
        <v>0</v>
      </c>
      <c r="HC251" s="11"/>
      <c r="HD251" s="12" t="e">
        <f t="shared" si="1629"/>
        <v>#DIV/0!</v>
      </c>
      <c r="HE251" s="11"/>
      <c r="HF251" s="12" t="e">
        <f t="shared" si="1630"/>
        <v>#DIV/0!</v>
      </c>
      <c r="HG251" s="11"/>
      <c r="HH251" s="11"/>
      <c r="HI251" s="18"/>
      <c r="HJ251" s="20"/>
      <c r="HK251" s="10">
        <f t="shared" si="1631"/>
        <v>5</v>
      </c>
      <c r="HL251" s="11">
        <f t="shared" si="1631"/>
        <v>0</v>
      </c>
      <c r="HM251" s="11">
        <f t="shared" si="1631"/>
        <v>3378</v>
      </c>
      <c r="HN251" s="11">
        <f t="shared" si="1631"/>
        <v>263</v>
      </c>
      <c r="HO251" s="11">
        <f t="shared" si="1632"/>
        <v>1241</v>
      </c>
      <c r="HP251" s="95">
        <f t="shared" si="1633"/>
        <v>0.36737714624037893</v>
      </c>
      <c r="HQ251" s="15">
        <f t="shared" si="1634"/>
        <v>82</v>
      </c>
      <c r="HR251" s="12">
        <f t="shared" si="1655"/>
        <v>6.6075745366639807E-2</v>
      </c>
      <c r="HS251" s="16">
        <v>70.8</v>
      </c>
      <c r="HT251" s="17">
        <v>1115</v>
      </c>
      <c r="HU251" s="16">
        <f t="shared" si="1635"/>
        <v>89.846897663174857</v>
      </c>
      <c r="HV251" s="18"/>
      <c r="HW251" s="20"/>
    </row>
    <row r="252" spans="1:231" ht="18.75" x14ac:dyDescent="0.25">
      <c r="A252" s="374"/>
      <c r="B252" s="41">
        <f t="shared" ref="B252:B315" si="1656">+B251+1</f>
        <v>45134</v>
      </c>
      <c r="C252" s="10"/>
      <c r="D252" s="11"/>
      <c r="E252" s="69">
        <f t="shared" si="1636"/>
        <v>598</v>
      </c>
      <c r="F252" s="69">
        <f t="shared" si="1636"/>
        <v>47</v>
      </c>
      <c r="G252" s="11">
        <v>192</v>
      </c>
      <c r="H252" s="12">
        <f t="shared" si="1596"/>
        <v>0.34782608695652173</v>
      </c>
      <c r="I252" s="11">
        <v>16</v>
      </c>
      <c r="J252" s="12">
        <f t="shared" si="1637"/>
        <v>7.6923076923076927E-2</v>
      </c>
      <c r="K252" s="13"/>
      <c r="L252" s="13"/>
      <c r="M252" s="25">
        <v>4305</v>
      </c>
      <c r="N252" s="38">
        <v>4700</v>
      </c>
      <c r="O252" s="10"/>
      <c r="P252" s="11"/>
      <c r="Q252" s="69">
        <f t="shared" si="1638"/>
        <v>609</v>
      </c>
      <c r="R252" s="69">
        <f t="shared" si="1638"/>
        <v>47</v>
      </c>
      <c r="S252" s="11">
        <v>196</v>
      </c>
      <c r="T252" s="12">
        <f t="shared" si="1597"/>
        <v>0.34482758620689657</v>
      </c>
      <c r="U252" s="11">
        <v>14</v>
      </c>
      <c r="V252" s="12">
        <f t="shared" si="1598"/>
        <v>6.6666666666666666E-2</v>
      </c>
      <c r="W252" s="13"/>
      <c r="X252" s="13"/>
      <c r="Y252" s="25">
        <v>4305</v>
      </c>
      <c r="Z252" s="38">
        <v>4700</v>
      </c>
      <c r="AA252" s="10"/>
      <c r="AB252" s="11"/>
      <c r="AC252" s="69">
        <f t="shared" si="1639"/>
        <v>140</v>
      </c>
      <c r="AD252" s="69">
        <f t="shared" si="1639"/>
        <v>11</v>
      </c>
      <c r="AE252" s="11">
        <v>45</v>
      </c>
      <c r="AF252" s="12">
        <f t="shared" si="1599"/>
        <v>0.33571428571428569</v>
      </c>
      <c r="AG252" s="11">
        <v>2</v>
      </c>
      <c r="AH252" s="12">
        <f t="shared" si="1600"/>
        <v>4.2553191489361701E-2</v>
      </c>
      <c r="AI252" s="13"/>
      <c r="AJ252" s="13"/>
      <c r="AK252" s="25">
        <v>4305</v>
      </c>
      <c r="AL252" s="38">
        <v>4700</v>
      </c>
      <c r="AM252" s="10"/>
      <c r="AN252" s="11"/>
      <c r="AO252" s="69">
        <f t="shared" si="1640"/>
        <v>675</v>
      </c>
      <c r="AP252" s="69">
        <f t="shared" si="1640"/>
        <v>52</v>
      </c>
      <c r="AQ252" s="11">
        <v>244</v>
      </c>
      <c r="AR252" s="12">
        <f t="shared" si="1601"/>
        <v>0.38074074074074077</v>
      </c>
      <c r="AS252" s="11">
        <v>13</v>
      </c>
      <c r="AT252" s="12">
        <f t="shared" si="1602"/>
        <v>5.0583657587548639E-2</v>
      </c>
      <c r="AU252" s="13"/>
      <c r="AV252" s="13"/>
      <c r="AW252" s="25">
        <v>4305</v>
      </c>
      <c r="AX252" s="38">
        <v>4700</v>
      </c>
      <c r="AY252" s="10"/>
      <c r="AZ252" s="11"/>
      <c r="BA252" s="69">
        <f t="shared" si="1641"/>
        <v>681</v>
      </c>
      <c r="BB252" s="69">
        <f t="shared" si="1641"/>
        <v>53</v>
      </c>
      <c r="BC252" s="11">
        <v>213</v>
      </c>
      <c r="BD252" s="12">
        <f t="shared" si="1603"/>
        <v>0.34508076358296624</v>
      </c>
      <c r="BE252" s="11">
        <v>22</v>
      </c>
      <c r="BF252" s="12">
        <f t="shared" si="1604"/>
        <v>9.3617021276595741E-2</v>
      </c>
      <c r="BG252" s="13"/>
      <c r="BH252" s="13"/>
      <c r="BI252" s="25">
        <v>4305</v>
      </c>
      <c r="BJ252" s="38">
        <v>4700</v>
      </c>
      <c r="BK252" s="10">
        <v>1</v>
      </c>
      <c r="BL252" s="11"/>
      <c r="BM252" s="69">
        <f t="shared" si="1642"/>
        <v>674</v>
      </c>
      <c r="BN252" s="69">
        <f t="shared" si="1642"/>
        <v>53</v>
      </c>
      <c r="BO252" s="11">
        <v>249</v>
      </c>
      <c r="BP252" s="12">
        <f t="shared" si="1605"/>
        <v>0.38724035608308605</v>
      </c>
      <c r="BQ252" s="11">
        <v>12</v>
      </c>
      <c r="BR252" s="12">
        <f t="shared" si="1606"/>
        <v>4.5977011494252873E-2</v>
      </c>
      <c r="BS252" s="13"/>
      <c r="BT252" s="13"/>
      <c r="BU252" s="25">
        <v>4305</v>
      </c>
      <c r="BV252" s="38">
        <v>4700</v>
      </c>
      <c r="BW252" s="10"/>
      <c r="BX252" s="11"/>
      <c r="BY252" s="69">
        <f t="shared" si="1643"/>
        <v>0</v>
      </c>
      <c r="BZ252" s="69">
        <f t="shared" si="1643"/>
        <v>0</v>
      </c>
      <c r="CA252" s="11"/>
      <c r="CB252" s="12" t="e">
        <f t="shared" si="1607"/>
        <v>#DIV/0!</v>
      </c>
      <c r="CC252" s="11"/>
      <c r="CD252" s="12" t="e">
        <f t="shared" si="1608"/>
        <v>#DIV/0!</v>
      </c>
      <c r="CE252" s="13"/>
      <c r="CF252" s="13"/>
      <c r="CG252" s="25"/>
      <c r="CH252" s="38"/>
      <c r="CI252" s="10"/>
      <c r="CJ252" s="11"/>
      <c r="CK252" s="69">
        <f t="shared" si="1644"/>
        <v>0</v>
      </c>
      <c r="CL252" s="69">
        <f t="shared" si="1644"/>
        <v>0</v>
      </c>
      <c r="CM252" s="11"/>
      <c r="CN252" s="12" t="e">
        <f t="shared" si="1609"/>
        <v>#DIV/0!</v>
      </c>
      <c r="CO252" s="11"/>
      <c r="CP252" s="12" t="e">
        <f t="shared" si="1610"/>
        <v>#DIV/0!</v>
      </c>
      <c r="CQ252" s="13"/>
      <c r="CR252" s="13"/>
      <c r="CS252" s="25"/>
      <c r="CT252" s="38"/>
      <c r="CU252" s="10"/>
      <c r="CV252" s="11"/>
      <c r="CW252" s="69">
        <f t="shared" si="1645"/>
        <v>0</v>
      </c>
      <c r="CX252" s="69">
        <f t="shared" si="1645"/>
        <v>0</v>
      </c>
      <c r="CY252" s="11"/>
      <c r="CZ252" s="12" t="e">
        <f t="shared" si="1611"/>
        <v>#DIV/0!</v>
      </c>
      <c r="DA252" s="11"/>
      <c r="DB252" s="12" t="e">
        <f t="shared" si="1612"/>
        <v>#DIV/0!</v>
      </c>
      <c r="DC252" s="13"/>
      <c r="DD252" s="13"/>
      <c r="DE252" s="25"/>
      <c r="DF252" s="38"/>
      <c r="DG252" s="10"/>
      <c r="DH252" s="11"/>
      <c r="DI252" s="69">
        <f t="shared" si="1646"/>
        <v>0</v>
      </c>
      <c r="DJ252" s="69">
        <f t="shared" si="1646"/>
        <v>0</v>
      </c>
      <c r="DK252" s="11"/>
      <c r="DL252" s="12" t="e">
        <f t="shared" si="1613"/>
        <v>#DIV/0!</v>
      </c>
      <c r="DM252" s="11"/>
      <c r="DN252" s="12" t="e">
        <f t="shared" si="1614"/>
        <v>#DIV/0!</v>
      </c>
      <c r="DO252" s="13"/>
      <c r="DP252" s="13"/>
      <c r="DQ252" s="25"/>
      <c r="DR252" s="38"/>
      <c r="DS252" s="10"/>
      <c r="DT252" s="11"/>
      <c r="DU252" s="69">
        <f t="shared" si="1647"/>
        <v>0</v>
      </c>
      <c r="DV252" s="69">
        <f t="shared" si="1647"/>
        <v>0</v>
      </c>
      <c r="DW252" s="11"/>
      <c r="DX252" s="12" t="e">
        <f t="shared" si="1615"/>
        <v>#DIV/0!</v>
      </c>
      <c r="DY252" s="11"/>
      <c r="DZ252" s="12" t="e">
        <f t="shared" si="1616"/>
        <v>#DIV/0!</v>
      </c>
      <c r="EA252" s="13"/>
      <c r="EB252" s="13"/>
      <c r="EC252" s="25"/>
      <c r="ED252" s="38"/>
      <c r="EE252" s="10"/>
      <c r="EF252" s="11"/>
      <c r="EG252" s="69">
        <f t="shared" si="1648"/>
        <v>0</v>
      </c>
      <c r="EH252" s="69">
        <f t="shared" si="1648"/>
        <v>0</v>
      </c>
      <c r="EI252" s="11"/>
      <c r="EJ252" s="12" t="e">
        <f t="shared" si="1617"/>
        <v>#DIV/0!</v>
      </c>
      <c r="EK252" s="11"/>
      <c r="EL252" s="12" t="e">
        <f t="shared" si="1618"/>
        <v>#DIV/0!</v>
      </c>
      <c r="EM252" s="13"/>
      <c r="EN252" s="13"/>
      <c r="EO252" s="25"/>
      <c r="EP252" s="38"/>
      <c r="EQ252" s="10"/>
      <c r="ER252" s="11"/>
      <c r="ES252" s="69">
        <f t="shared" si="1649"/>
        <v>0</v>
      </c>
      <c r="ET252" s="69">
        <f t="shared" si="1649"/>
        <v>0</v>
      </c>
      <c r="EU252" s="11"/>
      <c r="EV252" s="12" t="e">
        <f t="shared" si="1619"/>
        <v>#DIV/0!</v>
      </c>
      <c r="EW252" s="11"/>
      <c r="EX252" s="12" t="e">
        <f t="shared" si="1620"/>
        <v>#DIV/0!</v>
      </c>
      <c r="EY252" s="13"/>
      <c r="EZ252" s="13"/>
      <c r="FA252" s="25"/>
      <c r="FB252" s="38"/>
      <c r="FC252" s="10"/>
      <c r="FD252" s="11"/>
      <c r="FE252" s="69">
        <f t="shared" si="1650"/>
        <v>0</v>
      </c>
      <c r="FF252" s="69">
        <f t="shared" si="1650"/>
        <v>0</v>
      </c>
      <c r="FG252" s="11"/>
      <c r="FH252" s="12" t="e">
        <f t="shared" si="1621"/>
        <v>#DIV/0!</v>
      </c>
      <c r="FI252" s="11"/>
      <c r="FJ252" s="12" t="e">
        <f t="shared" si="1622"/>
        <v>#DIV/0!</v>
      </c>
      <c r="FK252" s="13"/>
      <c r="FL252" s="13"/>
      <c r="FM252" s="25"/>
      <c r="FN252" s="38"/>
      <c r="FO252" s="10"/>
      <c r="FP252" s="11"/>
      <c r="FQ252" s="69">
        <f t="shared" si="1651"/>
        <v>0</v>
      </c>
      <c r="FR252" s="69">
        <f t="shared" si="1651"/>
        <v>0</v>
      </c>
      <c r="FS252" s="11"/>
      <c r="FT252" s="12" t="e">
        <f t="shared" si="1623"/>
        <v>#DIV/0!</v>
      </c>
      <c r="FU252" s="11"/>
      <c r="FV252" s="12" t="e">
        <f t="shared" si="1624"/>
        <v>#DIV/0!</v>
      </c>
      <c r="FW252" s="13"/>
      <c r="FX252" s="13"/>
      <c r="FY252" s="25"/>
      <c r="FZ252" s="38"/>
      <c r="GA252" s="10"/>
      <c r="GB252" s="11"/>
      <c r="GC252" s="69">
        <f t="shared" si="1652"/>
        <v>0</v>
      </c>
      <c r="GD252" s="69">
        <f t="shared" si="1652"/>
        <v>0</v>
      </c>
      <c r="GE252" s="11"/>
      <c r="GF252" s="12" t="e">
        <f t="shared" si="1625"/>
        <v>#DIV/0!</v>
      </c>
      <c r="GG252" s="11"/>
      <c r="GH252" s="12" t="e">
        <f t="shared" si="1626"/>
        <v>#DIV/0!</v>
      </c>
      <c r="GI252" s="13"/>
      <c r="GJ252" s="13"/>
      <c r="GK252" s="25"/>
      <c r="GL252" s="38"/>
      <c r="GM252" s="10"/>
      <c r="GN252" s="11"/>
      <c r="GO252" s="69">
        <f t="shared" si="1653"/>
        <v>0</v>
      </c>
      <c r="GP252" s="69">
        <f t="shared" si="1653"/>
        <v>0</v>
      </c>
      <c r="GQ252" s="11"/>
      <c r="GR252" s="12" t="e">
        <f t="shared" si="1627"/>
        <v>#DIV/0!</v>
      </c>
      <c r="GS252" s="11"/>
      <c r="GT252" s="12" t="e">
        <f t="shared" si="1628"/>
        <v>#DIV/0!</v>
      </c>
      <c r="GU252" s="13"/>
      <c r="GV252" s="13"/>
      <c r="GW252" s="25"/>
      <c r="GX252" s="38"/>
      <c r="GY252" s="10"/>
      <c r="GZ252" s="11"/>
      <c r="HA252" s="69">
        <f t="shared" si="1654"/>
        <v>0</v>
      </c>
      <c r="HB252" s="69">
        <f t="shared" si="1654"/>
        <v>0</v>
      </c>
      <c r="HC252" s="11"/>
      <c r="HD252" s="12" t="e">
        <f t="shared" si="1629"/>
        <v>#DIV/0!</v>
      </c>
      <c r="HE252" s="11"/>
      <c r="HF252" s="12" t="e">
        <f t="shared" si="1630"/>
        <v>#DIV/0!</v>
      </c>
      <c r="HG252" s="13"/>
      <c r="HH252" s="13"/>
      <c r="HI252" s="25"/>
      <c r="HJ252" s="38"/>
      <c r="HK252" s="10">
        <f t="shared" si="1631"/>
        <v>1</v>
      </c>
      <c r="HL252" s="11">
        <f t="shared" si="1631"/>
        <v>0</v>
      </c>
      <c r="HM252" s="11">
        <f t="shared" si="1631"/>
        <v>3377</v>
      </c>
      <c r="HN252" s="11">
        <f t="shared" si="1631"/>
        <v>263</v>
      </c>
      <c r="HO252" s="11">
        <f t="shared" si="1632"/>
        <v>1218</v>
      </c>
      <c r="HP252" s="95">
        <f t="shared" si="1633"/>
        <v>0.3606751554634291</v>
      </c>
      <c r="HQ252" s="15">
        <f t="shared" si="1634"/>
        <v>79</v>
      </c>
      <c r="HR252" s="12">
        <f t="shared" si="1655"/>
        <v>6.4860426929392451E-2</v>
      </c>
      <c r="HS252" s="16">
        <v>71</v>
      </c>
      <c r="HT252" s="17">
        <v>1083</v>
      </c>
      <c r="HU252" s="16">
        <f t="shared" si="1635"/>
        <v>88.916256157635459</v>
      </c>
      <c r="HV252" s="23">
        <v>4305</v>
      </c>
      <c r="HW252" s="22">
        <v>4700</v>
      </c>
    </row>
    <row r="253" spans="1:231" ht="18.75" x14ac:dyDescent="0.25">
      <c r="A253" s="374"/>
      <c r="B253" s="41">
        <f t="shared" si="1656"/>
        <v>45135</v>
      </c>
      <c r="C253" s="10"/>
      <c r="D253" s="11"/>
      <c r="E253" s="69">
        <f t="shared" si="1636"/>
        <v>598</v>
      </c>
      <c r="F253" s="69">
        <f t="shared" si="1636"/>
        <v>47</v>
      </c>
      <c r="G253" s="11">
        <v>192</v>
      </c>
      <c r="H253" s="12">
        <f t="shared" si="1596"/>
        <v>0.34949832775919731</v>
      </c>
      <c r="I253" s="11">
        <v>17</v>
      </c>
      <c r="J253" s="12">
        <f t="shared" si="1637"/>
        <v>8.1339712918660281E-2</v>
      </c>
      <c r="K253" s="13"/>
      <c r="L253" s="11"/>
      <c r="M253" s="25">
        <v>4585.5172413793107</v>
      </c>
      <c r="N253" s="38">
        <v>4835.7142857142853</v>
      </c>
      <c r="O253" s="10">
        <v>1</v>
      </c>
      <c r="P253" s="11"/>
      <c r="Q253" s="69">
        <f t="shared" si="1638"/>
        <v>608</v>
      </c>
      <c r="R253" s="69">
        <f t="shared" si="1638"/>
        <v>47</v>
      </c>
      <c r="S253" s="11">
        <v>215</v>
      </c>
      <c r="T253" s="12">
        <f t="shared" si="1597"/>
        <v>0.38157894736842107</v>
      </c>
      <c r="U253" s="11">
        <v>17</v>
      </c>
      <c r="V253" s="12">
        <f t="shared" si="1598"/>
        <v>7.3275862068965511E-2</v>
      </c>
      <c r="W253" s="13"/>
      <c r="X253" s="11"/>
      <c r="Y253" s="25">
        <v>4693.1428571428569</v>
      </c>
      <c r="Z253" s="38">
        <v>4839.2307692307695</v>
      </c>
      <c r="AA253" s="10"/>
      <c r="AB253" s="11"/>
      <c r="AC253" s="69">
        <f t="shared" si="1639"/>
        <v>140</v>
      </c>
      <c r="AD253" s="69">
        <f t="shared" si="1639"/>
        <v>11</v>
      </c>
      <c r="AE253" s="11">
        <v>42</v>
      </c>
      <c r="AF253" s="12">
        <f t="shared" si="1599"/>
        <v>0.32857142857142857</v>
      </c>
      <c r="AG253" s="11">
        <v>4</v>
      </c>
      <c r="AH253" s="12">
        <f t="shared" si="1600"/>
        <v>8.6956521739130432E-2</v>
      </c>
      <c r="AI253" s="13"/>
      <c r="AJ253" s="11"/>
      <c r="AK253" s="25">
        <v>4655.5555555555557</v>
      </c>
      <c r="AL253" s="38">
        <v>4762.5</v>
      </c>
      <c r="AM253" s="10">
        <v>1</v>
      </c>
      <c r="AN253" s="11"/>
      <c r="AO253" s="69">
        <f t="shared" si="1640"/>
        <v>674</v>
      </c>
      <c r="AP253" s="69">
        <f t="shared" si="1640"/>
        <v>52</v>
      </c>
      <c r="AQ253" s="11">
        <v>208</v>
      </c>
      <c r="AR253" s="12">
        <f t="shared" si="1601"/>
        <v>0.32344213649851633</v>
      </c>
      <c r="AS253" s="11">
        <v>10</v>
      </c>
      <c r="AT253" s="12">
        <f t="shared" si="1602"/>
        <v>4.5871559633027525E-2</v>
      </c>
      <c r="AU253" s="13"/>
      <c r="AV253" s="11"/>
      <c r="AW253" s="25">
        <v>4679.166666666667</v>
      </c>
      <c r="AX253" s="38">
        <v>5084.166666666667</v>
      </c>
      <c r="AY253" s="10"/>
      <c r="AZ253" s="11"/>
      <c r="BA253" s="69">
        <f t="shared" si="1641"/>
        <v>681</v>
      </c>
      <c r="BB253" s="69">
        <f t="shared" si="1641"/>
        <v>53</v>
      </c>
      <c r="BC253" s="11">
        <v>207</v>
      </c>
      <c r="BD253" s="12">
        <f t="shared" si="1603"/>
        <v>0.32599118942731276</v>
      </c>
      <c r="BE253" s="11">
        <v>15</v>
      </c>
      <c r="BF253" s="12">
        <f t="shared" si="1604"/>
        <v>6.7567567567567571E-2</v>
      </c>
      <c r="BG253" s="13"/>
      <c r="BH253" s="11"/>
      <c r="BI253" s="25">
        <v>4826</v>
      </c>
      <c r="BJ253" s="38">
        <v>5279.333333333333</v>
      </c>
      <c r="BK253" s="10"/>
      <c r="BL253" s="11"/>
      <c r="BM253" s="69">
        <f t="shared" si="1642"/>
        <v>674</v>
      </c>
      <c r="BN253" s="69">
        <f t="shared" si="1642"/>
        <v>53</v>
      </c>
      <c r="BO253" s="11">
        <v>231</v>
      </c>
      <c r="BP253" s="12">
        <f t="shared" si="1605"/>
        <v>0.36943620178041542</v>
      </c>
      <c r="BQ253" s="11">
        <v>18</v>
      </c>
      <c r="BR253" s="12">
        <f t="shared" si="1606"/>
        <v>7.2289156626506021E-2</v>
      </c>
      <c r="BS253" s="13"/>
      <c r="BT253" s="11"/>
      <c r="BU253" s="25">
        <v>4790.909090909091</v>
      </c>
      <c r="BV253" s="38">
        <v>5326.1538461538457</v>
      </c>
      <c r="BW253" s="10"/>
      <c r="BX253" s="11"/>
      <c r="BY253" s="69">
        <f t="shared" si="1643"/>
        <v>0</v>
      </c>
      <c r="BZ253" s="69">
        <f t="shared" si="1643"/>
        <v>0</v>
      </c>
      <c r="CA253" s="11"/>
      <c r="CB253" s="12" t="e">
        <f t="shared" si="1607"/>
        <v>#DIV/0!</v>
      </c>
      <c r="CC253" s="11"/>
      <c r="CD253" s="12" t="e">
        <f t="shared" si="1608"/>
        <v>#DIV/0!</v>
      </c>
      <c r="CE253" s="13"/>
      <c r="CF253" s="11"/>
      <c r="CG253" s="25"/>
      <c r="CH253" s="38"/>
      <c r="CI253" s="10"/>
      <c r="CJ253" s="11"/>
      <c r="CK253" s="69">
        <f t="shared" si="1644"/>
        <v>0</v>
      </c>
      <c r="CL253" s="69">
        <f t="shared" si="1644"/>
        <v>0</v>
      </c>
      <c r="CM253" s="11"/>
      <c r="CN253" s="12" t="e">
        <f t="shared" si="1609"/>
        <v>#DIV/0!</v>
      </c>
      <c r="CO253" s="11"/>
      <c r="CP253" s="12" t="e">
        <f t="shared" si="1610"/>
        <v>#DIV/0!</v>
      </c>
      <c r="CQ253" s="13"/>
      <c r="CR253" s="11"/>
      <c r="CS253" s="25"/>
      <c r="CT253" s="38"/>
      <c r="CU253" s="10"/>
      <c r="CV253" s="11"/>
      <c r="CW253" s="69">
        <f t="shared" si="1645"/>
        <v>0</v>
      </c>
      <c r="CX253" s="69">
        <f t="shared" si="1645"/>
        <v>0</v>
      </c>
      <c r="CY253" s="11"/>
      <c r="CZ253" s="12" t="e">
        <f t="shared" si="1611"/>
        <v>#DIV/0!</v>
      </c>
      <c r="DA253" s="11"/>
      <c r="DB253" s="12" t="e">
        <f t="shared" si="1612"/>
        <v>#DIV/0!</v>
      </c>
      <c r="DC253" s="13"/>
      <c r="DD253" s="11"/>
      <c r="DE253" s="25"/>
      <c r="DF253" s="38"/>
      <c r="DG253" s="10"/>
      <c r="DH253" s="11"/>
      <c r="DI253" s="69">
        <f t="shared" si="1646"/>
        <v>0</v>
      </c>
      <c r="DJ253" s="69">
        <f t="shared" si="1646"/>
        <v>0</v>
      </c>
      <c r="DK253" s="11"/>
      <c r="DL253" s="12" t="e">
        <f t="shared" si="1613"/>
        <v>#DIV/0!</v>
      </c>
      <c r="DM253" s="11"/>
      <c r="DN253" s="12" t="e">
        <f t="shared" si="1614"/>
        <v>#DIV/0!</v>
      </c>
      <c r="DO253" s="13"/>
      <c r="DP253" s="11"/>
      <c r="DQ253" s="25"/>
      <c r="DR253" s="38"/>
      <c r="DS253" s="10"/>
      <c r="DT253" s="11"/>
      <c r="DU253" s="69">
        <f t="shared" si="1647"/>
        <v>0</v>
      </c>
      <c r="DV253" s="69">
        <f t="shared" si="1647"/>
        <v>0</v>
      </c>
      <c r="DW253" s="11"/>
      <c r="DX253" s="12" t="e">
        <f t="shared" si="1615"/>
        <v>#DIV/0!</v>
      </c>
      <c r="DY253" s="11"/>
      <c r="DZ253" s="12" t="e">
        <f t="shared" si="1616"/>
        <v>#DIV/0!</v>
      </c>
      <c r="EA253" s="13"/>
      <c r="EB253" s="11"/>
      <c r="EC253" s="25"/>
      <c r="ED253" s="38"/>
      <c r="EE253" s="10"/>
      <c r="EF253" s="11"/>
      <c r="EG253" s="69">
        <f t="shared" si="1648"/>
        <v>0</v>
      </c>
      <c r="EH253" s="69">
        <f t="shared" si="1648"/>
        <v>0</v>
      </c>
      <c r="EI253" s="11"/>
      <c r="EJ253" s="12" t="e">
        <f t="shared" si="1617"/>
        <v>#DIV/0!</v>
      </c>
      <c r="EK253" s="11"/>
      <c r="EL253" s="12" t="e">
        <f t="shared" si="1618"/>
        <v>#DIV/0!</v>
      </c>
      <c r="EM253" s="13"/>
      <c r="EN253" s="11"/>
      <c r="EO253" s="25"/>
      <c r="EP253" s="38"/>
      <c r="EQ253" s="10"/>
      <c r="ER253" s="11"/>
      <c r="ES253" s="69">
        <f t="shared" si="1649"/>
        <v>0</v>
      </c>
      <c r="ET253" s="69">
        <f t="shared" si="1649"/>
        <v>0</v>
      </c>
      <c r="EU253" s="11"/>
      <c r="EV253" s="12" t="e">
        <f t="shared" si="1619"/>
        <v>#DIV/0!</v>
      </c>
      <c r="EW253" s="11"/>
      <c r="EX253" s="12" t="e">
        <f t="shared" si="1620"/>
        <v>#DIV/0!</v>
      </c>
      <c r="EY253" s="13"/>
      <c r="EZ253" s="11"/>
      <c r="FA253" s="25"/>
      <c r="FB253" s="38"/>
      <c r="FC253" s="10"/>
      <c r="FD253" s="11"/>
      <c r="FE253" s="69">
        <f t="shared" si="1650"/>
        <v>0</v>
      </c>
      <c r="FF253" s="69">
        <f t="shared" si="1650"/>
        <v>0</v>
      </c>
      <c r="FG253" s="11"/>
      <c r="FH253" s="12" t="e">
        <f t="shared" si="1621"/>
        <v>#DIV/0!</v>
      </c>
      <c r="FI253" s="11"/>
      <c r="FJ253" s="12" t="e">
        <f t="shared" si="1622"/>
        <v>#DIV/0!</v>
      </c>
      <c r="FK253" s="13"/>
      <c r="FL253" s="11"/>
      <c r="FM253" s="25"/>
      <c r="FN253" s="38"/>
      <c r="FO253" s="10"/>
      <c r="FP253" s="11"/>
      <c r="FQ253" s="69">
        <f t="shared" si="1651"/>
        <v>0</v>
      </c>
      <c r="FR253" s="69">
        <f t="shared" si="1651"/>
        <v>0</v>
      </c>
      <c r="FS253" s="11"/>
      <c r="FT253" s="12" t="e">
        <f t="shared" si="1623"/>
        <v>#DIV/0!</v>
      </c>
      <c r="FU253" s="11"/>
      <c r="FV253" s="12" t="e">
        <f t="shared" si="1624"/>
        <v>#DIV/0!</v>
      </c>
      <c r="FW253" s="13"/>
      <c r="FX253" s="11"/>
      <c r="FY253" s="25"/>
      <c r="FZ253" s="38"/>
      <c r="GA253" s="10"/>
      <c r="GB253" s="11"/>
      <c r="GC253" s="69">
        <f t="shared" si="1652"/>
        <v>0</v>
      </c>
      <c r="GD253" s="69">
        <f t="shared" si="1652"/>
        <v>0</v>
      </c>
      <c r="GE253" s="11"/>
      <c r="GF253" s="12" t="e">
        <f t="shared" si="1625"/>
        <v>#DIV/0!</v>
      </c>
      <c r="GG253" s="11"/>
      <c r="GH253" s="12" t="e">
        <f t="shared" si="1626"/>
        <v>#DIV/0!</v>
      </c>
      <c r="GI253" s="13"/>
      <c r="GJ253" s="11"/>
      <c r="GK253" s="25"/>
      <c r="GL253" s="38"/>
      <c r="GM253" s="10"/>
      <c r="GN253" s="11"/>
      <c r="GO253" s="69">
        <f t="shared" si="1653"/>
        <v>0</v>
      </c>
      <c r="GP253" s="69">
        <f t="shared" si="1653"/>
        <v>0</v>
      </c>
      <c r="GQ253" s="11"/>
      <c r="GR253" s="12" t="e">
        <f t="shared" si="1627"/>
        <v>#DIV/0!</v>
      </c>
      <c r="GS253" s="11"/>
      <c r="GT253" s="12" t="e">
        <f t="shared" si="1628"/>
        <v>#DIV/0!</v>
      </c>
      <c r="GU253" s="13"/>
      <c r="GV253" s="11"/>
      <c r="GW253" s="25"/>
      <c r="GX253" s="38"/>
      <c r="GY253" s="10"/>
      <c r="GZ253" s="11"/>
      <c r="HA253" s="69">
        <f t="shared" si="1654"/>
        <v>0</v>
      </c>
      <c r="HB253" s="69">
        <f t="shared" si="1654"/>
        <v>0</v>
      </c>
      <c r="HC253" s="11"/>
      <c r="HD253" s="12" t="e">
        <f t="shared" si="1629"/>
        <v>#DIV/0!</v>
      </c>
      <c r="HE253" s="11"/>
      <c r="HF253" s="12" t="e">
        <f t="shared" si="1630"/>
        <v>#DIV/0!</v>
      </c>
      <c r="HG253" s="13"/>
      <c r="HH253" s="11"/>
      <c r="HI253" s="25"/>
      <c r="HJ253" s="38"/>
      <c r="HK253" s="10">
        <f t="shared" si="1631"/>
        <v>2</v>
      </c>
      <c r="HL253" s="11">
        <f t="shared" si="1631"/>
        <v>0</v>
      </c>
      <c r="HM253" s="11">
        <f t="shared" si="1631"/>
        <v>3375</v>
      </c>
      <c r="HN253" s="11">
        <f t="shared" si="1631"/>
        <v>263</v>
      </c>
      <c r="HO253" s="11">
        <f t="shared" si="1632"/>
        <v>1176</v>
      </c>
      <c r="HP253" s="95">
        <f t="shared" si="1633"/>
        <v>0.34844444444444445</v>
      </c>
      <c r="HQ253" s="15">
        <f t="shared" si="1634"/>
        <v>81</v>
      </c>
      <c r="HR253" s="12">
        <f t="shared" si="1655"/>
        <v>6.8877551020408156E-2</v>
      </c>
      <c r="HS253" s="16">
        <v>71.2</v>
      </c>
      <c r="HT253" s="17">
        <v>1046</v>
      </c>
      <c r="HU253" s="16">
        <f t="shared" si="1635"/>
        <v>88.945578231292515</v>
      </c>
      <c r="HV253" s="23">
        <v>4722.4352331606215</v>
      </c>
      <c r="HW253" s="22">
        <v>5082.03125</v>
      </c>
    </row>
    <row r="254" spans="1:231" ht="18.75" x14ac:dyDescent="0.25">
      <c r="A254" s="374"/>
      <c r="B254" s="41">
        <f t="shared" si="1656"/>
        <v>45136</v>
      </c>
      <c r="C254" s="10">
        <v>1</v>
      </c>
      <c r="D254" s="11"/>
      <c r="E254" s="69">
        <f>E253-C254</f>
        <v>597</v>
      </c>
      <c r="F254" s="69">
        <f>F253-D254</f>
        <v>47</v>
      </c>
      <c r="G254" s="11">
        <v>215</v>
      </c>
      <c r="H254" s="12">
        <f t="shared" si="1596"/>
        <v>0.38860971524288107</v>
      </c>
      <c r="I254" s="11">
        <v>17</v>
      </c>
      <c r="J254" s="12">
        <f t="shared" si="1637"/>
        <v>7.3275862068965511E-2</v>
      </c>
      <c r="K254" s="13"/>
      <c r="L254" s="11"/>
      <c r="M254" s="39">
        <v>100</v>
      </c>
      <c r="N254" s="43">
        <v>100</v>
      </c>
      <c r="O254" s="10"/>
      <c r="P254" s="11"/>
      <c r="Q254" s="69">
        <f t="shared" si="1638"/>
        <v>608</v>
      </c>
      <c r="R254" s="69">
        <f t="shared" si="1638"/>
        <v>47</v>
      </c>
      <c r="S254" s="11">
        <v>199</v>
      </c>
      <c r="T254" s="12">
        <f t="shared" si="1597"/>
        <v>0.34868421052631576</v>
      </c>
      <c r="U254" s="11">
        <v>13</v>
      </c>
      <c r="V254" s="12">
        <f t="shared" si="1598"/>
        <v>6.1320754716981132E-2</v>
      </c>
      <c r="W254" s="13"/>
      <c r="X254" s="11"/>
      <c r="Y254" s="39">
        <v>91.428571428571431</v>
      </c>
      <c r="Z254" s="43">
        <v>84.615384615384613</v>
      </c>
      <c r="AA254" s="10"/>
      <c r="AB254" s="11"/>
      <c r="AC254" s="69">
        <f t="shared" si="1639"/>
        <v>140</v>
      </c>
      <c r="AD254" s="69">
        <f t="shared" si="1639"/>
        <v>11</v>
      </c>
      <c r="AE254" s="11">
        <v>48</v>
      </c>
      <c r="AF254" s="12">
        <f t="shared" si="1599"/>
        <v>0.35714285714285715</v>
      </c>
      <c r="AG254" s="11">
        <v>2</v>
      </c>
      <c r="AH254" s="12">
        <f t="shared" si="1600"/>
        <v>0.04</v>
      </c>
      <c r="AI254" s="13"/>
      <c r="AJ254" s="11"/>
      <c r="AK254" s="39">
        <v>88.888888888888886</v>
      </c>
      <c r="AL254" s="43">
        <v>100</v>
      </c>
      <c r="AM254" s="10">
        <v>1</v>
      </c>
      <c r="AN254" s="11"/>
      <c r="AO254" s="69">
        <f t="shared" si="1640"/>
        <v>673</v>
      </c>
      <c r="AP254" s="69">
        <f t="shared" si="1640"/>
        <v>52</v>
      </c>
      <c r="AQ254" s="11">
        <v>229</v>
      </c>
      <c r="AR254" s="12">
        <f t="shared" si="1601"/>
        <v>0.36106983655274888</v>
      </c>
      <c r="AS254" s="11">
        <v>14</v>
      </c>
      <c r="AT254" s="12">
        <f t="shared" si="1602"/>
        <v>5.7613168724279837E-2</v>
      </c>
      <c r="AU254" s="13"/>
      <c r="AV254" s="11"/>
      <c r="AW254" s="39">
        <v>77.777777777777771</v>
      </c>
      <c r="AX254" s="43">
        <v>100</v>
      </c>
      <c r="AY254" s="10"/>
      <c r="AZ254" s="11"/>
      <c r="BA254" s="69">
        <f t="shared" si="1641"/>
        <v>681</v>
      </c>
      <c r="BB254" s="69">
        <f t="shared" si="1641"/>
        <v>53</v>
      </c>
      <c r="BC254" s="11">
        <v>233</v>
      </c>
      <c r="BD254" s="12">
        <f t="shared" si="1603"/>
        <v>0.3656387665198238</v>
      </c>
      <c r="BE254" s="11">
        <v>16</v>
      </c>
      <c r="BF254" s="12">
        <f t="shared" si="1604"/>
        <v>6.4257028112449793E-2</v>
      </c>
      <c r="BG254" s="13"/>
      <c r="BH254" s="11"/>
      <c r="BI254" s="39">
        <v>75</v>
      </c>
      <c r="BJ254" s="43">
        <v>86.666666666666671</v>
      </c>
      <c r="BK254" s="10"/>
      <c r="BL254" s="11"/>
      <c r="BM254" s="69">
        <f t="shared" si="1642"/>
        <v>674</v>
      </c>
      <c r="BN254" s="69">
        <f t="shared" si="1642"/>
        <v>53</v>
      </c>
      <c r="BO254" s="11">
        <v>238</v>
      </c>
      <c r="BP254" s="12">
        <f t="shared" si="1605"/>
        <v>0.37091988130563797</v>
      </c>
      <c r="BQ254" s="11">
        <v>12</v>
      </c>
      <c r="BR254" s="12">
        <f t="shared" si="1606"/>
        <v>4.8000000000000001E-2</v>
      </c>
      <c r="BS254" s="13"/>
      <c r="BT254" s="11"/>
      <c r="BU254" s="39">
        <v>70.454545454545453</v>
      </c>
      <c r="BV254" s="43">
        <v>84.615384615384613</v>
      </c>
      <c r="BW254" s="10"/>
      <c r="BX254" s="11"/>
      <c r="BY254" s="69">
        <f t="shared" si="1643"/>
        <v>0</v>
      </c>
      <c r="BZ254" s="69">
        <f t="shared" si="1643"/>
        <v>0</v>
      </c>
      <c r="CA254" s="11"/>
      <c r="CB254" s="12" t="e">
        <f t="shared" si="1607"/>
        <v>#DIV/0!</v>
      </c>
      <c r="CC254" s="11"/>
      <c r="CD254" s="12" t="e">
        <f t="shared" si="1608"/>
        <v>#DIV/0!</v>
      </c>
      <c r="CE254" s="13"/>
      <c r="CF254" s="11"/>
      <c r="CG254" s="39"/>
      <c r="CH254" s="43"/>
      <c r="CI254" s="10"/>
      <c r="CJ254" s="11"/>
      <c r="CK254" s="69">
        <f t="shared" si="1644"/>
        <v>0</v>
      </c>
      <c r="CL254" s="69">
        <f t="shared" si="1644"/>
        <v>0</v>
      </c>
      <c r="CM254" s="11"/>
      <c r="CN254" s="12" t="e">
        <f t="shared" si="1609"/>
        <v>#DIV/0!</v>
      </c>
      <c r="CO254" s="11"/>
      <c r="CP254" s="12" t="e">
        <f t="shared" si="1610"/>
        <v>#DIV/0!</v>
      </c>
      <c r="CQ254" s="13"/>
      <c r="CR254" s="11"/>
      <c r="CS254" s="39"/>
      <c r="CT254" s="43"/>
      <c r="CU254" s="10"/>
      <c r="CV254" s="11"/>
      <c r="CW254" s="69">
        <f t="shared" si="1645"/>
        <v>0</v>
      </c>
      <c r="CX254" s="69">
        <f t="shared" si="1645"/>
        <v>0</v>
      </c>
      <c r="CY254" s="11"/>
      <c r="CZ254" s="12" t="e">
        <f t="shared" si="1611"/>
        <v>#DIV/0!</v>
      </c>
      <c r="DA254" s="11"/>
      <c r="DB254" s="12" t="e">
        <f t="shared" si="1612"/>
        <v>#DIV/0!</v>
      </c>
      <c r="DC254" s="13"/>
      <c r="DD254" s="11"/>
      <c r="DE254" s="39"/>
      <c r="DF254" s="43"/>
      <c r="DG254" s="10"/>
      <c r="DH254" s="11"/>
      <c r="DI254" s="69">
        <f t="shared" si="1646"/>
        <v>0</v>
      </c>
      <c r="DJ254" s="69">
        <f t="shared" si="1646"/>
        <v>0</v>
      </c>
      <c r="DK254" s="11"/>
      <c r="DL254" s="12" t="e">
        <f t="shared" si="1613"/>
        <v>#DIV/0!</v>
      </c>
      <c r="DM254" s="11"/>
      <c r="DN254" s="12" t="e">
        <f t="shared" si="1614"/>
        <v>#DIV/0!</v>
      </c>
      <c r="DO254" s="13"/>
      <c r="DP254" s="11"/>
      <c r="DQ254" s="39"/>
      <c r="DR254" s="43"/>
      <c r="DS254" s="10"/>
      <c r="DT254" s="11"/>
      <c r="DU254" s="69">
        <f t="shared" si="1647"/>
        <v>0</v>
      </c>
      <c r="DV254" s="69">
        <f t="shared" si="1647"/>
        <v>0</v>
      </c>
      <c r="DW254" s="11"/>
      <c r="DX254" s="12" t="e">
        <f t="shared" si="1615"/>
        <v>#DIV/0!</v>
      </c>
      <c r="DY254" s="11"/>
      <c r="DZ254" s="12" t="e">
        <f t="shared" si="1616"/>
        <v>#DIV/0!</v>
      </c>
      <c r="EA254" s="13"/>
      <c r="EB254" s="11"/>
      <c r="EC254" s="39"/>
      <c r="ED254" s="43"/>
      <c r="EE254" s="10"/>
      <c r="EF254" s="11"/>
      <c r="EG254" s="69">
        <f t="shared" si="1648"/>
        <v>0</v>
      </c>
      <c r="EH254" s="69">
        <f t="shared" si="1648"/>
        <v>0</v>
      </c>
      <c r="EI254" s="11"/>
      <c r="EJ254" s="12" t="e">
        <f t="shared" si="1617"/>
        <v>#DIV/0!</v>
      </c>
      <c r="EK254" s="11"/>
      <c r="EL254" s="12" t="e">
        <f t="shared" si="1618"/>
        <v>#DIV/0!</v>
      </c>
      <c r="EM254" s="13"/>
      <c r="EN254" s="11"/>
      <c r="EO254" s="39"/>
      <c r="EP254" s="43"/>
      <c r="EQ254" s="10"/>
      <c r="ER254" s="11"/>
      <c r="ES254" s="69">
        <f t="shared" si="1649"/>
        <v>0</v>
      </c>
      <c r="ET254" s="69">
        <f t="shared" si="1649"/>
        <v>0</v>
      </c>
      <c r="EU254" s="11"/>
      <c r="EV254" s="12" t="e">
        <f t="shared" si="1619"/>
        <v>#DIV/0!</v>
      </c>
      <c r="EW254" s="11"/>
      <c r="EX254" s="12" t="e">
        <f t="shared" si="1620"/>
        <v>#DIV/0!</v>
      </c>
      <c r="EY254" s="13"/>
      <c r="EZ254" s="11"/>
      <c r="FA254" s="39"/>
      <c r="FB254" s="43"/>
      <c r="FC254" s="10"/>
      <c r="FD254" s="11"/>
      <c r="FE254" s="69">
        <f t="shared" si="1650"/>
        <v>0</v>
      </c>
      <c r="FF254" s="69">
        <f t="shared" si="1650"/>
        <v>0</v>
      </c>
      <c r="FG254" s="11"/>
      <c r="FH254" s="12" t="e">
        <f t="shared" si="1621"/>
        <v>#DIV/0!</v>
      </c>
      <c r="FI254" s="11"/>
      <c r="FJ254" s="12" t="e">
        <f t="shared" si="1622"/>
        <v>#DIV/0!</v>
      </c>
      <c r="FK254" s="13"/>
      <c r="FL254" s="11"/>
      <c r="FM254" s="39"/>
      <c r="FN254" s="43"/>
      <c r="FO254" s="10"/>
      <c r="FP254" s="11"/>
      <c r="FQ254" s="69">
        <f t="shared" si="1651"/>
        <v>0</v>
      </c>
      <c r="FR254" s="69">
        <f t="shared" si="1651"/>
        <v>0</v>
      </c>
      <c r="FS254" s="11"/>
      <c r="FT254" s="12" t="e">
        <f t="shared" si="1623"/>
        <v>#DIV/0!</v>
      </c>
      <c r="FU254" s="11"/>
      <c r="FV254" s="12" t="e">
        <f t="shared" si="1624"/>
        <v>#DIV/0!</v>
      </c>
      <c r="FW254" s="13"/>
      <c r="FX254" s="11"/>
      <c r="FY254" s="39"/>
      <c r="FZ254" s="43"/>
      <c r="GA254" s="10"/>
      <c r="GB254" s="11"/>
      <c r="GC254" s="69">
        <f t="shared" si="1652"/>
        <v>0</v>
      </c>
      <c r="GD254" s="69">
        <f t="shared" si="1652"/>
        <v>0</v>
      </c>
      <c r="GE254" s="11"/>
      <c r="GF254" s="12" t="e">
        <f t="shared" si="1625"/>
        <v>#DIV/0!</v>
      </c>
      <c r="GG254" s="11"/>
      <c r="GH254" s="12" t="e">
        <f t="shared" si="1626"/>
        <v>#DIV/0!</v>
      </c>
      <c r="GI254" s="13"/>
      <c r="GJ254" s="11"/>
      <c r="GK254" s="39"/>
      <c r="GL254" s="43"/>
      <c r="GM254" s="10"/>
      <c r="GN254" s="11"/>
      <c r="GO254" s="69">
        <f t="shared" si="1653"/>
        <v>0</v>
      </c>
      <c r="GP254" s="69">
        <f t="shared" si="1653"/>
        <v>0</v>
      </c>
      <c r="GQ254" s="11"/>
      <c r="GR254" s="12" t="e">
        <f t="shared" si="1627"/>
        <v>#DIV/0!</v>
      </c>
      <c r="GS254" s="11"/>
      <c r="GT254" s="12" t="e">
        <f t="shared" si="1628"/>
        <v>#DIV/0!</v>
      </c>
      <c r="GU254" s="13"/>
      <c r="GV254" s="11"/>
      <c r="GW254" s="39"/>
      <c r="GX254" s="43"/>
      <c r="GY254" s="10"/>
      <c r="GZ254" s="11"/>
      <c r="HA254" s="69">
        <f t="shared" si="1654"/>
        <v>0</v>
      </c>
      <c r="HB254" s="69">
        <f t="shared" si="1654"/>
        <v>0</v>
      </c>
      <c r="HC254" s="11"/>
      <c r="HD254" s="12" t="e">
        <f t="shared" si="1629"/>
        <v>#DIV/0!</v>
      </c>
      <c r="HE254" s="11"/>
      <c r="HF254" s="12" t="e">
        <f t="shared" si="1630"/>
        <v>#DIV/0!</v>
      </c>
      <c r="HG254" s="13"/>
      <c r="HH254" s="11"/>
      <c r="HI254" s="39"/>
      <c r="HJ254" s="43"/>
      <c r="HK254" s="10">
        <f t="shared" si="1631"/>
        <v>2</v>
      </c>
      <c r="HL254" s="11">
        <f t="shared" si="1631"/>
        <v>0</v>
      </c>
      <c r="HM254" s="11">
        <f t="shared" si="1631"/>
        <v>3373</v>
      </c>
      <c r="HN254" s="11">
        <f t="shared" si="1631"/>
        <v>263</v>
      </c>
      <c r="HO254" s="11">
        <f t="shared" si="1632"/>
        <v>1236</v>
      </c>
      <c r="HP254" s="95">
        <f t="shared" si="1633"/>
        <v>0.3664393714793952</v>
      </c>
      <c r="HQ254" s="15">
        <f t="shared" si="1634"/>
        <v>74</v>
      </c>
      <c r="HR254" s="12">
        <f t="shared" si="1655"/>
        <v>5.9870550161812294E-2</v>
      </c>
      <c r="HS254" s="16">
        <v>71.3</v>
      </c>
      <c r="HT254" s="17">
        <v>1118</v>
      </c>
      <c r="HU254" s="16">
        <f t="shared" si="1635"/>
        <v>90.453074433656951</v>
      </c>
      <c r="HV254" s="23">
        <v>79.274611398963728</v>
      </c>
      <c r="HW254" s="22">
        <v>75</v>
      </c>
    </row>
    <row r="255" spans="1:231" ht="19.5" thickBot="1" x14ac:dyDescent="0.3">
      <c r="A255" s="374"/>
      <c r="B255" s="42"/>
      <c r="C255" s="26">
        <f>SUM(C248:C254)</f>
        <v>3</v>
      </c>
      <c r="D255" s="27">
        <f>SUM(D248:D254)</f>
        <v>0</v>
      </c>
      <c r="E255" s="27"/>
      <c r="F255" s="27"/>
      <c r="G255" s="27">
        <f>SUM(G248:G254)</f>
        <v>1440</v>
      </c>
      <c r="H255" s="28">
        <f>((G255+I255)/7)/E254</f>
        <v>0.36803062933716202</v>
      </c>
      <c r="I255" s="27">
        <f>SUM(I248:I254)</f>
        <v>98</v>
      </c>
      <c r="J255" s="28">
        <f>(I255/(I255+G255))</f>
        <v>6.3719115734720416E-2</v>
      </c>
      <c r="K255" s="27"/>
      <c r="L255" s="27"/>
      <c r="M255" s="29">
        <f>M253/M252*100-100</f>
        <v>6.5160799391245234</v>
      </c>
      <c r="N255" s="67">
        <f>N253/N252*100-100</f>
        <v>2.887537993920958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1420</v>
      </c>
      <c r="T255" s="28">
        <f>((S255+U255)/7)/Q254</f>
        <v>0.35996240601503759</v>
      </c>
      <c r="U255" s="27">
        <f>SUM(U248:U254)</f>
        <v>112</v>
      </c>
      <c r="V255" s="28">
        <f>(U255/(U255+S255))</f>
        <v>7.3107049608355096E-2</v>
      </c>
      <c r="W255" s="27"/>
      <c r="X255" s="27"/>
      <c r="Y255" s="29">
        <f>Y253/Y252*100-100</f>
        <v>9.016094242575079</v>
      </c>
      <c r="Z255" s="67">
        <f>Z253/Z252*100-100</f>
        <v>2.9623567921440213</v>
      </c>
      <c r="AA255" s="26">
        <f>SUM(AA248:AA254)</f>
        <v>3</v>
      </c>
      <c r="AB255" s="27">
        <f>SUM(AB248:AB254)</f>
        <v>0</v>
      </c>
      <c r="AC255" s="27"/>
      <c r="AD255" s="27"/>
      <c r="AE255" s="27">
        <f>SUM(AE248:AE254)</f>
        <v>302</v>
      </c>
      <c r="AF255" s="28">
        <f>((AE255+AG255)/7)/AC254</f>
        <v>0.32653061224489799</v>
      </c>
      <c r="AG255" s="27">
        <f>SUM(AG248:AG254)</f>
        <v>18</v>
      </c>
      <c r="AH255" s="28">
        <f>(AG255/(AG255+AE255))</f>
        <v>5.6250000000000001E-2</v>
      </c>
      <c r="AI255" s="27"/>
      <c r="AJ255" s="27"/>
      <c r="AK255" s="29">
        <f>AK253/AK252*100-100</f>
        <v>8.1429861917666813</v>
      </c>
      <c r="AL255" s="67">
        <f>AL253/AL252*100-100</f>
        <v>1.3297872340425556</v>
      </c>
      <c r="AM255" s="26">
        <f>SUM(AM248:AM254)</f>
        <v>6</v>
      </c>
      <c r="AN255" s="27">
        <f>SUM(AN248:AN254)</f>
        <v>0</v>
      </c>
      <c r="AO255" s="27">
        <v>1</v>
      </c>
      <c r="AP255" s="27"/>
      <c r="AQ255" s="27">
        <f>SUM(AQ248:AQ254)</f>
        <v>1594</v>
      </c>
      <c r="AR255" s="28">
        <f>((AQ255+AS255)/7)/AO254</f>
        <v>0.35915941413712588</v>
      </c>
      <c r="AS255" s="27">
        <f>SUM(AS248:AS254)</f>
        <v>98</v>
      </c>
      <c r="AT255" s="28">
        <f>(AS255/(AS255+AQ255))</f>
        <v>5.7919621749408984E-2</v>
      </c>
      <c r="AU255" s="27"/>
      <c r="AV255" s="27"/>
      <c r="AW255" s="29">
        <f>AW253/AW252*100-100</f>
        <v>8.6914440572977156</v>
      </c>
      <c r="AX255" s="67">
        <f>AX253/AX252*100-100</f>
        <v>8.1737588652482316</v>
      </c>
      <c r="AY255" s="26">
        <f>SUM(AY248:AY254)</f>
        <v>0</v>
      </c>
      <c r="AZ255" s="27">
        <f>SUM(AZ248:AZ254)</f>
        <v>0</v>
      </c>
      <c r="BA255" s="27"/>
      <c r="BB255" s="27"/>
      <c r="BC255" s="27">
        <f>SUM(BC248:BC254)</f>
        <v>1527</v>
      </c>
      <c r="BD255" s="28">
        <f>((BC255+BE255)/7)/BA254</f>
        <v>0.34508076358296624</v>
      </c>
      <c r="BE255" s="27">
        <f>SUM(BE248:BE254)</f>
        <v>118</v>
      </c>
      <c r="BF255" s="28">
        <f>(BE255/(BE255+BC255))</f>
        <v>7.1732522796352588E-2</v>
      </c>
      <c r="BG255" s="27"/>
      <c r="BH255" s="27"/>
      <c r="BI255" s="29">
        <f>BI253/BI252*100-100</f>
        <v>12.102206736353068</v>
      </c>
      <c r="BJ255" s="67">
        <f>BJ253/BJ252*100-100</f>
        <v>12.326241134751754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1683</v>
      </c>
      <c r="BP255" s="28">
        <f>((BO255+BQ255)/7)/BM254</f>
        <v>0.37600678253497244</v>
      </c>
      <c r="BQ255" s="27">
        <f>SUM(BQ248:BQ254)</f>
        <v>91</v>
      </c>
      <c r="BR255" s="28">
        <f>(BQ255/(BQ255+BO255))</f>
        <v>5.1296505073280721E-2</v>
      </c>
      <c r="BS255" s="27"/>
      <c r="BT255" s="27"/>
      <c r="BU255" s="29">
        <f>BU253/BU252*100-100</f>
        <v>11.287086896842993</v>
      </c>
      <c r="BV255" s="67">
        <f>BV253/BV252*100-100</f>
        <v>13.322422258592454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7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7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7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7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7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7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7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7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7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7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7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7" t="e">
        <f>HJ253/HJ252*100-100</f>
        <v>#DIV/0!</v>
      </c>
      <c r="HK255" s="26">
        <f t="shared" si="1631"/>
        <v>16</v>
      </c>
      <c r="HL255" s="27">
        <f t="shared" si="1631"/>
        <v>0</v>
      </c>
      <c r="HM255" s="27">
        <f t="shared" si="1631"/>
        <v>1</v>
      </c>
      <c r="HN255" s="27">
        <f t="shared" si="1631"/>
        <v>0</v>
      </c>
      <c r="HO255" s="27">
        <f t="shared" si="1632"/>
        <v>8501</v>
      </c>
      <c r="HP255" s="96">
        <f>+((HO255)/HM254)/7</f>
        <v>0.36004404726610478</v>
      </c>
      <c r="HQ255" s="62">
        <f t="shared" si="1634"/>
        <v>535</v>
      </c>
      <c r="HR255" s="52">
        <f t="shared" si="1655"/>
        <v>6.2933772497353255E-2</v>
      </c>
      <c r="HS255" s="53">
        <f>SUM(HS248:HS254)/7</f>
        <v>71.05714285714285</v>
      </c>
      <c r="HT255" s="54">
        <f>SUM(HT248:HT254)</f>
        <v>7649</v>
      </c>
      <c r="HU255" s="53">
        <f>AVERAGE(HU248:HU254)</f>
        <v>89.97207389480802</v>
      </c>
      <c r="HV255" s="63">
        <f>HV253/HV252*100-100</f>
        <v>9.696521095484826</v>
      </c>
      <c r="HW255" s="67">
        <f>HW253/HW252*100-100</f>
        <v>8.1283244680851112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4.7211566833874298E-3</v>
      </c>
      <c r="HL256" s="66">
        <f>HL255/HN245</f>
        <v>0</v>
      </c>
      <c r="HM256" s="45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373">
        <v>53</v>
      </c>
      <c r="B257" s="68">
        <f>B254+1</f>
        <v>45137</v>
      </c>
      <c r="C257" s="33"/>
      <c r="D257" s="34"/>
      <c r="E257" s="34">
        <f>E254-C257</f>
        <v>597</v>
      </c>
      <c r="F257" s="34">
        <f>F254-D257</f>
        <v>47</v>
      </c>
      <c r="G257" s="34">
        <v>150</v>
      </c>
      <c r="H257" s="35">
        <f t="shared" ref="H257:H263" si="1657">((G257+I257)/E257)</f>
        <v>0.27805695142378561</v>
      </c>
      <c r="I257" s="34">
        <v>16</v>
      </c>
      <c r="J257" s="35">
        <f>I257/(G257+I257)</f>
        <v>9.6385542168674704E-2</v>
      </c>
      <c r="K257" s="36"/>
      <c r="L257" s="34"/>
      <c r="M257" s="34"/>
      <c r="N257" s="37"/>
      <c r="O257" s="33"/>
      <c r="P257" s="34"/>
      <c r="Q257" s="34">
        <f>Q254-O257</f>
        <v>608</v>
      </c>
      <c r="R257" s="34">
        <f>R254-P257</f>
        <v>47</v>
      </c>
      <c r="S257" s="34">
        <v>212</v>
      </c>
      <c r="T257" s="35">
        <f t="shared" ref="T257:T263" si="1658">((S257+U257)/Q257)</f>
        <v>0.37828947368421051</v>
      </c>
      <c r="U257" s="34">
        <v>18</v>
      </c>
      <c r="V257" s="35">
        <f t="shared" ref="V257:V263" si="1659">U257/(S257+U257)</f>
        <v>7.8260869565217397E-2</v>
      </c>
      <c r="W257" s="36"/>
      <c r="X257" s="34"/>
      <c r="Y257" s="34"/>
      <c r="Z257" s="37"/>
      <c r="AA257" s="33"/>
      <c r="AB257" s="34"/>
      <c r="AC257" s="34">
        <f>AC254-AA257</f>
        <v>140</v>
      </c>
      <c r="AD257" s="34">
        <f>AD254-AB257</f>
        <v>11</v>
      </c>
      <c r="AE257" s="34">
        <v>40</v>
      </c>
      <c r="AF257" s="35">
        <f t="shared" ref="AF257:AF263" si="1660">((AE257+AG257)/AC257)</f>
        <v>0.30714285714285716</v>
      </c>
      <c r="AG257" s="34">
        <v>3</v>
      </c>
      <c r="AH257" s="35">
        <f t="shared" ref="AH257:AH263" si="1661">AG257/(AE257+AG257)</f>
        <v>6.9767441860465115E-2</v>
      </c>
      <c r="AI257" s="36"/>
      <c r="AJ257" s="34"/>
      <c r="AK257" s="34"/>
      <c r="AL257" s="37"/>
      <c r="AM257" s="33">
        <v>1</v>
      </c>
      <c r="AN257" s="34"/>
      <c r="AO257" s="34">
        <f>AO254-AM257</f>
        <v>672</v>
      </c>
      <c r="AP257" s="34">
        <f>AP254-AN257</f>
        <v>52</v>
      </c>
      <c r="AQ257" s="34">
        <v>212</v>
      </c>
      <c r="AR257" s="35">
        <f t="shared" ref="AR257:AR263" si="1662">((AQ257+AS257)/AO257)</f>
        <v>0.33184523809523808</v>
      </c>
      <c r="AS257" s="34">
        <v>11</v>
      </c>
      <c r="AT257" s="35">
        <f t="shared" ref="AT257:AT263" si="1663">AS257/(AQ257+AS257)</f>
        <v>4.9327354260089683E-2</v>
      </c>
      <c r="AU257" s="36"/>
      <c r="AV257" s="34"/>
      <c r="AW257" s="34"/>
      <c r="AX257" s="37"/>
      <c r="AY257" s="33">
        <v>1</v>
      </c>
      <c r="AZ257" s="34"/>
      <c r="BA257" s="34">
        <f>BA254-AY257</f>
        <v>680</v>
      </c>
      <c r="BB257" s="34">
        <f>BB254-AZ257</f>
        <v>53</v>
      </c>
      <c r="BC257" s="34">
        <v>225</v>
      </c>
      <c r="BD257" s="35">
        <f t="shared" ref="BD257:BD263" si="1664">((BC257+BE257)/BA257)</f>
        <v>0.36176470588235293</v>
      </c>
      <c r="BE257" s="34">
        <v>21</v>
      </c>
      <c r="BF257" s="35">
        <f t="shared" ref="BF257:BF263" si="1665">BE257/(BC257+BE257)</f>
        <v>8.5365853658536592E-2</v>
      </c>
      <c r="BG257" s="36"/>
      <c r="BH257" s="34"/>
      <c r="BI257" s="34"/>
      <c r="BJ257" s="37"/>
      <c r="BK257" s="33"/>
      <c r="BL257" s="34"/>
      <c r="BM257" s="34">
        <f>BM254-BK257</f>
        <v>674</v>
      </c>
      <c r="BN257" s="34">
        <f>BN254-BL257</f>
        <v>53</v>
      </c>
      <c r="BO257" s="34">
        <v>235</v>
      </c>
      <c r="BP257" s="35">
        <f t="shared" ref="BP257:BP263" si="1666">((BO257+BQ257)/BM257)</f>
        <v>0.36350148367952523</v>
      </c>
      <c r="BQ257" s="34">
        <v>10</v>
      </c>
      <c r="BR257" s="35">
        <f t="shared" ref="BR257:BR263" si="1667">BQ257/(BO257+BQ257)</f>
        <v>4.0816326530612242E-2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0</v>
      </c>
      <c r="CA257" s="34"/>
      <c r="CB257" s="35" t="e">
        <f t="shared" ref="CB257:CB263" si="1668">((CA257+CC257)/BY257)</f>
        <v>#DIV/0!</v>
      </c>
      <c r="CC257" s="34"/>
      <c r="CD257" s="35" t="e">
        <f t="shared" ref="CD257:CD263" si="1669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670">((CM257+CO257)/CK257)</f>
        <v>#DIV/0!</v>
      </c>
      <c r="CO257" s="34"/>
      <c r="CP257" s="35" t="e">
        <f t="shared" ref="CP257:CP263" si="1671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672">((CY257+DA257)/CW257)</f>
        <v>#DIV/0!</v>
      </c>
      <c r="DA257" s="34"/>
      <c r="DB257" s="35" t="e">
        <f t="shared" ref="DB257:DB263" si="1673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674">((DK257+DM257)/DI257)</f>
        <v>#DIV/0!</v>
      </c>
      <c r="DM257" s="34"/>
      <c r="DN257" s="35" t="e">
        <f t="shared" ref="DN257:DN263" si="1675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676">((DW257+DY257)/DU257)</f>
        <v>#DIV/0!</v>
      </c>
      <c r="DY257" s="34"/>
      <c r="DZ257" s="35" t="e">
        <f t="shared" ref="DZ257:DZ263" si="1677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678">((EI257+EK257)/EG257)</f>
        <v>#DIV/0!</v>
      </c>
      <c r="EK257" s="34"/>
      <c r="EL257" s="35" t="e">
        <f t="shared" ref="EL257:EL263" si="1679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680">((EU257+EW257)/ES257)</f>
        <v>#DIV/0!</v>
      </c>
      <c r="EW257" s="34"/>
      <c r="EX257" s="35" t="e">
        <f t="shared" ref="EX257:EX263" si="1681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682">((FG257+FI257)/FE257)</f>
        <v>#DIV/0!</v>
      </c>
      <c r="FI257" s="34"/>
      <c r="FJ257" s="35" t="e">
        <f t="shared" ref="FJ257:FJ263" si="1683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684">((FS257+FU257)/FQ257)</f>
        <v>#DIV/0!</v>
      </c>
      <c r="FU257" s="34"/>
      <c r="FV257" s="35" t="e">
        <f t="shared" ref="FV257:FV263" si="1685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686">((GE257+GG257)/GC257)</f>
        <v>#DIV/0!</v>
      </c>
      <c r="GG257" s="34"/>
      <c r="GH257" s="35" t="e">
        <f t="shared" ref="GH257:GH263" si="1687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688">((GQ257+GS257)/GO257)</f>
        <v>#DIV/0!</v>
      </c>
      <c r="GS257" s="34"/>
      <c r="GT257" s="35" t="e">
        <f t="shared" ref="GT257:GT263" si="1689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690">((HC257+HE257)/HA257)</f>
        <v>#DIV/0!</v>
      </c>
      <c r="HE257" s="34"/>
      <c r="HF257" s="35" t="e">
        <f t="shared" ref="HF257:HF263" si="1691">HE257/(HC257+HE257)</f>
        <v>#DIV/0!</v>
      </c>
      <c r="HG257" s="36"/>
      <c r="HH257" s="34"/>
      <c r="HI257" s="34"/>
      <c r="HJ257" s="37"/>
      <c r="HK257" s="33">
        <f t="shared" ref="HK257:HN264" si="1692">+C257+O257+AA257+AM257+AY257+BK257+BW257+CI257+CU257+DG257+DS257+EE257+EQ257+FC257+FO257+GA257+GM257+GY257</f>
        <v>2</v>
      </c>
      <c r="HL257" s="34">
        <f t="shared" si="1692"/>
        <v>0</v>
      </c>
      <c r="HM257" s="34">
        <f t="shared" si="1692"/>
        <v>3371</v>
      </c>
      <c r="HN257" s="34">
        <f t="shared" si="1692"/>
        <v>263</v>
      </c>
      <c r="HO257" s="34">
        <f t="shared" ref="HO257:HO264" si="1693">+G257+S257+AE257+AQ257+BC257+BO257+CA257+CM257+CY257+DK257+DW257+EI257+EU257+FG257+FS257+GE257+GQ257+HC257+I257+U257+AG257+AS257+BE257+BQ257+CC257+CO257+DA257+DM257+DY257+EK257+EW257+FI257+FU257+GG257+GS257+HE257</f>
        <v>1153</v>
      </c>
      <c r="HP257" s="94">
        <f t="shared" ref="HP257:HP263" si="1694">+(HO257)/HM257</f>
        <v>0.34203500444971818</v>
      </c>
      <c r="HQ257" s="48">
        <f t="shared" ref="HQ257:HQ264" si="1695">+I257+U257+AG257+AS257+BE257+BQ257+CC257+CO257+DA257+DM257+DY257+EK257+EW257+FI257+FU257+GG257+GS257+HE257</f>
        <v>79</v>
      </c>
      <c r="HR257" s="35">
        <f>+(HQ257/(HO257))</f>
        <v>6.8516912402428451E-2</v>
      </c>
      <c r="HS257" s="49">
        <v>71.3</v>
      </c>
      <c r="HT257" s="50">
        <v>1046</v>
      </c>
      <c r="HU257" s="49">
        <f t="shared" ref="HU257:HU263" si="1696">+HT257/HO257*100</f>
        <v>90.719861231569823</v>
      </c>
      <c r="HV257" s="48"/>
      <c r="HW257" s="37"/>
    </row>
    <row r="258" spans="1:231" ht="18.75" x14ac:dyDescent="0.25">
      <c r="A258" s="374"/>
      <c r="B258" s="41">
        <f t="shared" si="1656"/>
        <v>45138</v>
      </c>
      <c r="C258" s="10">
        <v>1</v>
      </c>
      <c r="D258" s="11"/>
      <c r="E258" s="69">
        <f t="shared" ref="E258:F262" si="1697">E257-C258</f>
        <v>596</v>
      </c>
      <c r="F258" s="69">
        <f t="shared" si="1697"/>
        <v>47</v>
      </c>
      <c r="G258" s="11">
        <v>213</v>
      </c>
      <c r="H258" s="12">
        <f t="shared" si="1657"/>
        <v>0.37248322147651008</v>
      </c>
      <c r="I258" s="11">
        <v>9</v>
      </c>
      <c r="J258" s="12">
        <f t="shared" ref="J258:J263" si="1698">I258/(G258+I258)</f>
        <v>4.0540540540540543E-2</v>
      </c>
      <c r="K258" s="13"/>
      <c r="L258" s="11"/>
      <c r="M258" s="11"/>
      <c r="N258" s="14"/>
      <c r="O258" s="10">
        <v>1</v>
      </c>
      <c r="P258" s="11"/>
      <c r="Q258" s="69">
        <f t="shared" ref="Q258:R263" si="1699">Q257-O258</f>
        <v>607</v>
      </c>
      <c r="R258" s="69">
        <f t="shared" si="1699"/>
        <v>47</v>
      </c>
      <c r="S258" s="11">
        <v>174</v>
      </c>
      <c r="T258" s="35">
        <f t="shared" si="1658"/>
        <v>0.3031301482701812</v>
      </c>
      <c r="U258" s="11">
        <v>10</v>
      </c>
      <c r="V258" s="12">
        <f t="shared" si="1659"/>
        <v>5.434782608695652E-2</v>
      </c>
      <c r="W258" s="13"/>
      <c r="X258" s="11"/>
      <c r="Y258" s="11"/>
      <c r="Z258" s="14"/>
      <c r="AA258" s="10"/>
      <c r="AB258" s="11"/>
      <c r="AC258" s="69">
        <f t="shared" ref="AC258:AD263" si="1700">AC257-AA258</f>
        <v>140</v>
      </c>
      <c r="AD258" s="69">
        <f t="shared" si="1700"/>
        <v>11</v>
      </c>
      <c r="AE258" s="11">
        <v>34</v>
      </c>
      <c r="AF258" s="12">
        <f t="shared" si="1660"/>
        <v>0.24285714285714285</v>
      </c>
      <c r="AG258" s="11">
        <v>0</v>
      </c>
      <c r="AH258" s="12">
        <f t="shared" si="1661"/>
        <v>0</v>
      </c>
      <c r="AI258" s="13"/>
      <c r="AJ258" s="11"/>
      <c r="AK258" s="11"/>
      <c r="AL258" s="14"/>
      <c r="AM258" s="10"/>
      <c r="AN258" s="11"/>
      <c r="AO258" s="69">
        <f t="shared" ref="AO258:AP263" si="1701">AO257-AM258</f>
        <v>672</v>
      </c>
      <c r="AP258" s="69">
        <f t="shared" si="1701"/>
        <v>52</v>
      </c>
      <c r="AQ258" s="11">
        <v>226</v>
      </c>
      <c r="AR258" s="12">
        <f t="shared" si="1662"/>
        <v>0.3482142857142857</v>
      </c>
      <c r="AS258" s="11">
        <v>8</v>
      </c>
      <c r="AT258" s="12">
        <f t="shared" si="1663"/>
        <v>3.4188034188034191E-2</v>
      </c>
      <c r="AU258" s="13"/>
      <c r="AV258" s="11"/>
      <c r="AW258" s="11"/>
      <c r="AX258" s="14"/>
      <c r="AY258" s="10"/>
      <c r="AZ258" s="11"/>
      <c r="BA258" s="69">
        <f t="shared" ref="BA258:BB263" si="1702">BA257-AY258</f>
        <v>680</v>
      </c>
      <c r="BB258" s="69">
        <f t="shared" si="1702"/>
        <v>53</v>
      </c>
      <c r="BC258" s="11">
        <v>187</v>
      </c>
      <c r="BD258" s="12">
        <f t="shared" si="1664"/>
        <v>0.2838235294117647</v>
      </c>
      <c r="BE258" s="11">
        <v>6</v>
      </c>
      <c r="BF258" s="12">
        <f t="shared" si="1665"/>
        <v>3.1088082901554404E-2</v>
      </c>
      <c r="BG258" s="13"/>
      <c r="BH258" s="11"/>
      <c r="BI258" s="11"/>
      <c r="BJ258" s="14"/>
      <c r="BK258" s="10"/>
      <c r="BL258" s="11"/>
      <c r="BM258" s="69">
        <f t="shared" ref="BM258:BN263" si="1703">BM257-BK258</f>
        <v>674</v>
      </c>
      <c r="BN258" s="69">
        <f t="shared" si="1703"/>
        <v>53</v>
      </c>
      <c r="BO258" s="11">
        <v>223</v>
      </c>
      <c r="BP258" s="12">
        <f t="shared" si="1666"/>
        <v>0.3456973293768546</v>
      </c>
      <c r="BQ258" s="11">
        <v>10</v>
      </c>
      <c r="BR258" s="12">
        <f t="shared" si="1667"/>
        <v>4.2918454935622317E-2</v>
      </c>
      <c r="BS258" s="13"/>
      <c r="BT258" s="11"/>
      <c r="BU258" s="11"/>
      <c r="BV258" s="14"/>
      <c r="BW258" s="10"/>
      <c r="BX258" s="11"/>
      <c r="BY258" s="69">
        <f t="shared" ref="BY258:BZ263" si="1704">BY257-BW258</f>
        <v>0</v>
      </c>
      <c r="BZ258" s="69">
        <f t="shared" si="1704"/>
        <v>0</v>
      </c>
      <c r="CA258" s="11"/>
      <c r="CB258" s="12" t="e">
        <f t="shared" si="1668"/>
        <v>#DIV/0!</v>
      </c>
      <c r="CC258" s="11"/>
      <c r="CD258" s="12" t="e">
        <f t="shared" si="1669"/>
        <v>#DIV/0!</v>
      </c>
      <c r="CE258" s="13"/>
      <c r="CF258" s="11"/>
      <c r="CG258" s="11"/>
      <c r="CH258" s="14"/>
      <c r="CI258" s="10"/>
      <c r="CJ258" s="11"/>
      <c r="CK258" s="69">
        <f t="shared" ref="CK258:CL263" si="1705">CK257-CI258</f>
        <v>0</v>
      </c>
      <c r="CL258" s="69">
        <f t="shared" si="1705"/>
        <v>0</v>
      </c>
      <c r="CM258" s="11"/>
      <c r="CN258" s="12" t="e">
        <f t="shared" si="1670"/>
        <v>#DIV/0!</v>
      </c>
      <c r="CO258" s="11"/>
      <c r="CP258" s="12" t="e">
        <f t="shared" si="1671"/>
        <v>#DIV/0!</v>
      </c>
      <c r="CQ258" s="13"/>
      <c r="CR258" s="11"/>
      <c r="CS258" s="11"/>
      <c r="CT258" s="14"/>
      <c r="CU258" s="10"/>
      <c r="CV258" s="11"/>
      <c r="CW258" s="69">
        <f t="shared" ref="CW258:CX263" si="1706">CW257-CU258</f>
        <v>0</v>
      </c>
      <c r="CX258" s="69">
        <f t="shared" si="1706"/>
        <v>0</v>
      </c>
      <c r="CY258" s="11"/>
      <c r="CZ258" s="12" t="e">
        <f t="shared" si="1672"/>
        <v>#DIV/0!</v>
      </c>
      <c r="DA258" s="11"/>
      <c r="DB258" s="12" t="e">
        <f t="shared" si="1673"/>
        <v>#DIV/0!</v>
      </c>
      <c r="DC258" s="13"/>
      <c r="DD258" s="11"/>
      <c r="DE258" s="11"/>
      <c r="DF258" s="14"/>
      <c r="DG258" s="10"/>
      <c r="DH258" s="11"/>
      <c r="DI258" s="69">
        <f t="shared" ref="DI258:DJ263" si="1707">DI257-DG258</f>
        <v>0</v>
      </c>
      <c r="DJ258" s="69">
        <f t="shared" si="1707"/>
        <v>0</v>
      </c>
      <c r="DK258" s="11"/>
      <c r="DL258" s="12" t="e">
        <f t="shared" si="1674"/>
        <v>#DIV/0!</v>
      </c>
      <c r="DM258" s="11"/>
      <c r="DN258" s="12" t="e">
        <f t="shared" si="1675"/>
        <v>#DIV/0!</v>
      </c>
      <c r="DO258" s="13"/>
      <c r="DP258" s="11"/>
      <c r="DQ258" s="11"/>
      <c r="DR258" s="14"/>
      <c r="DS258" s="10"/>
      <c r="DT258" s="11"/>
      <c r="DU258" s="69">
        <f t="shared" ref="DU258:DV263" si="1708">DU257-DS258</f>
        <v>0</v>
      </c>
      <c r="DV258" s="69">
        <f t="shared" si="1708"/>
        <v>0</v>
      </c>
      <c r="DW258" s="11"/>
      <c r="DX258" s="12" t="e">
        <f t="shared" si="1676"/>
        <v>#DIV/0!</v>
      </c>
      <c r="DY258" s="11"/>
      <c r="DZ258" s="12" t="e">
        <f t="shared" si="1677"/>
        <v>#DIV/0!</v>
      </c>
      <c r="EA258" s="13"/>
      <c r="EB258" s="11"/>
      <c r="EC258" s="11"/>
      <c r="ED258" s="14"/>
      <c r="EE258" s="10"/>
      <c r="EF258" s="11"/>
      <c r="EG258" s="69">
        <f t="shared" ref="EG258:EH263" si="1709">EG257-EE258</f>
        <v>0</v>
      </c>
      <c r="EH258" s="69">
        <f t="shared" si="1709"/>
        <v>0</v>
      </c>
      <c r="EI258" s="11"/>
      <c r="EJ258" s="12" t="e">
        <f t="shared" si="1678"/>
        <v>#DIV/0!</v>
      </c>
      <c r="EK258" s="11"/>
      <c r="EL258" s="12" t="e">
        <f t="shared" si="1679"/>
        <v>#DIV/0!</v>
      </c>
      <c r="EM258" s="13"/>
      <c r="EN258" s="11"/>
      <c r="EO258" s="11"/>
      <c r="EP258" s="14"/>
      <c r="EQ258" s="10"/>
      <c r="ER258" s="11"/>
      <c r="ES258" s="69">
        <f t="shared" ref="ES258:ET263" si="1710">ES257-EQ258</f>
        <v>0</v>
      </c>
      <c r="ET258" s="69">
        <f t="shared" si="1710"/>
        <v>0</v>
      </c>
      <c r="EU258" s="11"/>
      <c r="EV258" s="12" t="e">
        <f t="shared" si="1680"/>
        <v>#DIV/0!</v>
      </c>
      <c r="EW258" s="11"/>
      <c r="EX258" s="12" t="e">
        <f t="shared" si="1681"/>
        <v>#DIV/0!</v>
      </c>
      <c r="EY258" s="13"/>
      <c r="EZ258" s="11"/>
      <c r="FA258" s="11"/>
      <c r="FB258" s="14"/>
      <c r="FC258" s="10"/>
      <c r="FD258" s="11"/>
      <c r="FE258" s="69">
        <f t="shared" ref="FE258:FF263" si="1711">FE257-FC258</f>
        <v>0</v>
      </c>
      <c r="FF258" s="69">
        <f t="shared" si="1711"/>
        <v>0</v>
      </c>
      <c r="FG258" s="11"/>
      <c r="FH258" s="12" t="e">
        <f t="shared" si="1682"/>
        <v>#DIV/0!</v>
      </c>
      <c r="FI258" s="11"/>
      <c r="FJ258" s="12" t="e">
        <f t="shared" si="1683"/>
        <v>#DIV/0!</v>
      </c>
      <c r="FK258" s="13"/>
      <c r="FL258" s="11"/>
      <c r="FM258" s="11"/>
      <c r="FN258" s="14"/>
      <c r="FO258" s="10"/>
      <c r="FP258" s="11"/>
      <c r="FQ258" s="69">
        <f t="shared" ref="FQ258:FR263" si="1712">FQ257-FO258</f>
        <v>0</v>
      </c>
      <c r="FR258" s="69">
        <f t="shared" si="1712"/>
        <v>0</v>
      </c>
      <c r="FS258" s="11"/>
      <c r="FT258" s="12" t="e">
        <f t="shared" si="1684"/>
        <v>#DIV/0!</v>
      </c>
      <c r="FU258" s="11"/>
      <c r="FV258" s="12" t="e">
        <f t="shared" si="1685"/>
        <v>#DIV/0!</v>
      </c>
      <c r="FW258" s="13"/>
      <c r="FX258" s="11"/>
      <c r="FY258" s="11"/>
      <c r="FZ258" s="14"/>
      <c r="GA258" s="10"/>
      <c r="GB258" s="11"/>
      <c r="GC258" s="69">
        <f t="shared" ref="GC258:GD263" si="1713">GC257-GA258</f>
        <v>0</v>
      </c>
      <c r="GD258" s="69">
        <f t="shared" si="1713"/>
        <v>0</v>
      </c>
      <c r="GE258" s="11"/>
      <c r="GF258" s="12" t="e">
        <f t="shared" si="1686"/>
        <v>#DIV/0!</v>
      </c>
      <c r="GG258" s="11"/>
      <c r="GH258" s="12" t="e">
        <f t="shared" si="1687"/>
        <v>#DIV/0!</v>
      </c>
      <c r="GI258" s="13"/>
      <c r="GJ258" s="11"/>
      <c r="GK258" s="11"/>
      <c r="GL258" s="14"/>
      <c r="GM258" s="10"/>
      <c r="GN258" s="11"/>
      <c r="GO258" s="69">
        <f t="shared" ref="GO258:GP263" si="1714">GO257-GM258</f>
        <v>0</v>
      </c>
      <c r="GP258" s="69">
        <f t="shared" si="1714"/>
        <v>0</v>
      </c>
      <c r="GQ258" s="11"/>
      <c r="GR258" s="12" t="e">
        <f t="shared" si="1688"/>
        <v>#DIV/0!</v>
      </c>
      <c r="GS258" s="11"/>
      <c r="GT258" s="12" t="e">
        <f t="shared" si="1689"/>
        <v>#DIV/0!</v>
      </c>
      <c r="GU258" s="13"/>
      <c r="GV258" s="11"/>
      <c r="GW258" s="11"/>
      <c r="GX258" s="14"/>
      <c r="GY258" s="10"/>
      <c r="GZ258" s="11"/>
      <c r="HA258" s="69">
        <f t="shared" ref="HA258:HB263" si="1715">HA257-GY258</f>
        <v>0</v>
      </c>
      <c r="HB258" s="69">
        <f t="shared" si="1715"/>
        <v>0</v>
      </c>
      <c r="HC258" s="11"/>
      <c r="HD258" s="12" t="e">
        <f t="shared" si="1690"/>
        <v>#DIV/0!</v>
      </c>
      <c r="HE258" s="11"/>
      <c r="HF258" s="12" t="e">
        <f t="shared" si="1691"/>
        <v>#DIV/0!</v>
      </c>
      <c r="HG258" s="13"/>
      <c r="HH258" s="11"/>
      <c r="HI258" s="11"/>
      <c r="HJ258" s="14"/>
      <c r="HK258" s="10">
        <f t="shared" si="1692"/>
        <v>2</v>
      </c>
      <c r="HL258" s="11">
        <f t="shared" si="1692"/>
        <v>0</v>
      </c>
      <c r="HM258" s="11">
        <f t="shared" si="1692"/>
        <v>3369</v>
      </c>
      <c r="HN258" s="11">
        <f t="shared" si="1692"/>
        <v>263</v>
      </c>
      <c r="HO258" s="11">
        <f t="shared" si="1693"/>
        <v>1100</v>
      </c>
      <c r="HP258" s="95">
        <f t="shared" si="1694"/>
        <v>0.32650638171564261</v>
      </c>
      <c r="HQ258" s="15">
        <f t="shared" si="1695"/>
        <v>43</v>
      </c>
      <c r="HR258" s="12">
        <f t="shared" ref="HR258:HR264" si="1716">+(HQ258/(HO258))</f>
        <v>3.9090909090909093E-2</v>
      </c>
      <c r="HS258" s="16">
        <v>71.5</v>
      </c>
      <c r="HT258" s="17">
        <v>1034</v>
      </c>
      <c r="HU258" s="16">
        <f t="shared" si="1696"/>
        <v>94</v>
      </c>
      <c r="HV258" s="15"/>
      <c r="HW258" s="14"/>
    </row>
    <row r="259" spans="1:231" ht="18.75" x14ac:dyDescent="0.25">
      <c r="A259" s="374"/>
      <c r="B259" s="41">
        <f t="shared" si="1656"/>
        <v>45139</v>
      </c>
      <c r="C259" s="10">
        <v>1</v>
      </c>
      <c r="D259" s="11"/>
      <c r="E259" s="69">
        <f t="shared" si="1697"/>
        <v>595</v>
      </c>
      <c r="F259" s="69">
        <f t="shared" si="1697"/>
        <v>47</v>
      </c>
      <c r="G259" s="11">
        <v>186</v>
      </c>
      <c r="H259" s="12">
        <f t="shared" si="1657"/>
        <v>0.34453781512605042</v>
      </c>
      <c r="I259" s="11">
        <v>19</v>
      </c>
      <c r="J259" s="12">
        <f t="shared" si="1698"/>
        <v>9.2682926829268292E-2</v>
      </c>
      <c r="K259" s="13"/>
      <c r="L259" s="11"/>
      <c r="M259" s="11"/>
      <c r="N259" s="14"/>
      <c r="O259" s="10">
        <v>1</v>
      </c>
      <c r="P259" s="11"/>
      <c r="Q259" s="69">
        <f t="shared" si="1699"/>
        <v>606</v>
      </c>
      <c r="R259" s="69">
        <f t="shared" si="1699"/>
        <v>47</v>
      </c>
      <c r="S259" s="11">
        <v>201</v>
      </c>
      <c r="T259" s="12">
        <f t="shared" si="1658"/>
        <v>0.36303630363036304</v>
      </c>
      <c r="U259" s="11">
        <v>19</v>
      </c>
      <c r="V259" s="12">
        <f t="shared" si="1659"/>
        <v>8.6363636363636365E-2</v>
      </c>
      <c r="W259" s="13"/>
      <c r="X259" s="11"/>
      <c r="Y259" s="11"/>
      <c r="Z259" s="14"/>
      <c r="AA259" s="10"/>
      <c r="AB259" s="11"/>
      <c r="AC259" s="69">
        <f t="shared" si="1700"/>
        <v>140</v>
      </c>
      <c r="AD259" s="69">
        <f t="shared" si="1700"/>
        <v>11</v>
      </c>
      <c r="AE259" s="11">
        <v>44</v>
      </c>
      <c r="AF259" s="12">
        <f t="shared" si="1660"/>
        <v>0.32857142857142857</v>
      </c>
      <c r="AG259" s="11">
        <v>2</v>
      </c>
      <c r="AH259" s="12">
        <f t="shared" si="1661"/>
        <v>4.3478260869565216E-2</v>
      </c>
      <c r="AI259" s="13"/>
      <c r="AJ259" s="11"/>
      <c r="AK259" s="11"/>
      <c r="AL259" s="14"/>
      <c r="AM259" s="10"/>
      <c r="AN259" s="11"/>
      <c r="AO259" s="69">
        <f t="shared" si="1701"/>
        <v>672</v>
      </c>
      <c r="AP259" s="69">
        <f t="shared" si="1701"/>
        <v>52</v>
      </c>
      <c r="AQ259" s="11">
        <v>214</v>
      </c>
      <c r="AR259" s="12">
        <f t="shared" si="1662"/>
        <v>0.34077380952380953</v>
      </c>
      <c r="AS259" s="11">
        <v>15</v>
      </c>
      <c r="AT259" s="12">
        <f t="shared" si="1663"/>
        <v>6.5502183406113537E-2</v>
      </c>
      <c r="AU259" s="13"/>
      <c r="AV259" s="11"/>
      <c r="AW259" s="11"/>
      <c r="AX259" s="14"/>
      <c r="AY259" s="10">
        <v>1</v>
      </c>
      <c r="AZ259" s="11"/>
      <c r="BA259" s="69">
        <f t="shared" si="1702"/>
        <v>679</v>
      </c>
      <c r="BB259" s="69">
        <f t="shared" si="1702"/>
        <v>53</v>
      </c>
      <c r="BC259" s="11">
        <v>233</v>
      </c>
      <c r="BD259" s="12">
        <f t="shared" si="1664"/>
        <v>0.37555228276877761</v>
      </c>
      <c r="BE259" s="11">
        <v>22</v>
      </c>
      <c r="BF259" s="12">
        <f t="shared" si="1665"/>
        <v>8.6274509803921567E-2</v>
      </c>
      <c r="BG259" s="13"/>
      <c r="BH259" s="11"/>
      <c r="BI259" s="11"/>
      <c r="BJ259" s="14"/>
      <c r="BK259" s="10"/>
      <c r="BL259" s="11"/>
      <c r="BM259" s="69">
        <f t="shared" si="1703"/>
        <v>674</v>
      </c>
      <c r="BN259" s="69">
        <f t="shared" si="1703"/>
        <v>53</v>
      </c>
      <c r="BO259" s="11">
        <v>215</v>
      </c>
      <c r="BP259" s="12">
        <f t="shared" si="1666"/>
        <v>0.34124629080118696</v>
      </c>
      <c r="BQ259" s="11">
        <v>15</v>
      </c>
      <c r="BR259" s="12">
        <f t="shared" si="1667"/>
        <v>6.5217391304347824E-2</v>
      </c>
      <c r="BS259" s="13"/>
      <c r="BT259" s="11"/>
      <c r="BU259" s="11"/>
      <c r="BV259" s="14"/>
      <c r="BW259" s="10"/>
      <c r="BX259" s="11"/>
      <c r="BY259" s="69">
        <f t="shared" si="1704"/>
        <v>0</v>
      </c>
      <c r="BZ259" s="69">
        <f t="shared" si="1704"/>
        <v>0</v>
      </c>
      <c r="CA259" s="11"/>
      <c r="CB259" s="12" t="e">
        <f t="shared" si="1668"/>
        <v>#DIV/0!</v>
      </c>
      <c r="CC259" s="11"/>
      <c r="CD259" s="12" t="e">
        <f t="shared" si="1669"/>
        <v>#DIV/0!</v>
      </c>
      <c r="CE259" s="13"/>
      <c r="CF259" s="11"/>
      <c r="CG259" s="11"/>
      <c r="CH259" s="14"/>
      <c r="CI259" s="10"/>
      <c r="CJ259" s="11"/>
      <c r="CK259" s="69">
        <f t="shared" si="1705"/>
        <v>0</v>
      </c>
      <c r="CL259" s="69">
        <f t="shared" si="1705"/>
        <v>0</v>
      </c>
      <c r="CM259" s="11"/>
      <c r="CN259" s="12" t="e">
        <f t="shared" si="1670"/>
        <v>#DIV/0!</v>
      </c>
      <c r="CO259" s="11"/>
      <c r="CP259" s="12" t="e">
        <f t="shared" si="1671"/>
        <v>#DIV/0!</v>
      </c>
      <c r="CQ259" s="13"/>
      <c r="CR259" s="11"/>
      <c r="CS259" s="11"/>
      <c r="CT259" s="14"/>
      <c r="CU259" s="10"/>
      <c r="CV259" s="11"/>
      <c r="CW259" s="69">
        <f t="shared" si="1706"/>
        <v>0</v>
      </c>
      <c r="CX259" s="69">
        <f t="shared" si="1706"/>
        <v>0</v>
      </c>
      <c r="CY259" s="11"/>
      <c r="CZ259" s="12" t="e">
        <f t="shared" si="1672"/>
        <v>#DIV/0!</v>
      </c>
      <c r="DA259" s="11"/>
      <c r="DB259" s="12" t="e">
        <f t="shared" si="1673"/>
        <v>#DIV/0!</v>
      </c>
      <c r="DC259" s="13"/>
      <c r="DD259" s="11"/>
      <c r="DE259" s="11"/>
      <c r="DF259" s="14"/>
      <c r="DG259" s="10"/>
      <c r="DH259" s="11"/>
      <c r="DI259" s="69">
        <f t="shared" si="1707"/>
        <v>0</v>
      </c>
      <c r="DJ259" s="69">
        <f t="shared" si="1707"/>
        <v>0</v>
      </c>
      <c r="DK259" s="11"/>
      <c r="DL259" s="12" t="e">
        <f t="shared" si="1674"/>
        <v>#DIV/0!</v>
      </c>
      <c r="DM259" s="11"/>
      <c r="DN259" s="12" t="e">
        <f t="shared" si="1675"/>
        <v>#DIV/0!</v>
      </c>
      <c r="DO259" s="13"/>
      <c r="DP259" s="11"/>
      <c r="DQ259" s="11"/>
      <c r="DR259" s="14"/>
      <c r="DS259" s="10"/>
      <c r="DT259" s="11"/>
      <c r="DU259" s="69">
        <f t="shared" si="1708"/>
        <v>0</v>
      </c>
      <c r="DV259" s="69">
        <f t="shared" si="1708"/>
        <v>0</v>
      </c>
      <c r="DW259" s="11"/>
      <c r="DX259" s="12" t="e">
        <f t="shared" si="1676"/>
        <v>#DIV/0!</v>
      </c>
      <c r="DY259" s="11"/>
      <c r="DZ259" s="12" t="e">
        <f t="shared" si="1677"/>
        <v>#DIV/0!</v>
      </c>
      <c r="EA259" s="13"/>
      <c r="EB259" s="11"/>
      <c r="EC259" s="11"/>
      <c r="ED259" s="14"/>
      <c r="EE259" s="10"/>
      <c r="EF259" s="11"/>
      <c r="EG259" s="69">
        <f t="shared" si="1709"/>
        <v>0</v>
      </c>
      <c r="EH259" s="69">
        <f t="shared" si="1709"/>
        <v>0</v>
      </c>
      <c r="EI259" s="11"/>
      <c r="EJ259" s="12" t="e">
        <f t="shared" si="1678"/>
        <v>#DIV/0!</v>
      </c>
      <c r="EK259" s="11"/>
      <c r="EL259" s="12" t="e">
        <f t="shared" si="1679"/>
        <v>#DIV/0!</v>
      </c>
      <c r="EM259" s="13"/>
      <c r="EN259" s="11"/>
      <c r="EO259" s="11"/>
      <c r="EP259" s="14"/>
      <c r="EQ259" s="10"/>
      <c r="ER259" s="11"/>
      <c r="ES259" s="69">
        <f t="shared" si="1710"/>
        <v>0</v>
      </c>
      <c r="ET259" s="69">
        <f t="shared" si="1710"/>
        <v>0</v>
      </c>
      <c r="EU259" s="11"/>
      <c r="EV259" s="12" t="e">
        <f t="shared" si="1680"/>
        <v>#DIV/0!</v>
      </c>
      <c r="EW259" s="11"/>
      <c r="EX259" s="12" t="e">
        <f t="shared" si="1681"/>
        <v>#DIV/0!</v>
      </c>
      <c r="EY259" s="13"/>
      <c r="EZ259" s="11"/>
      <c r="FA259" s="11"/>
      <c r="FB259" s="14"/>
      <c r="FC259" s="10"/>
      <c r="FD259" s="11"/>
      <c r="FE259" s="69">
        <f t="shared" si="1711"/>
        <v>0</v>
      </c>
      <c r="FF259" s="69">
        <f t="shared" si="1711"/>
        <v>0</v>
      </c>
      <c r="FG259" s="11"/>
      <c r="FH259" s="12" t="e">
        <f t="shared" si="1682"/>
        <v>#DIV/0!</v>
      </c>
      <c r="FI259" s="11"/>
      <c r="FJ259" s="12" t="e">
        <f t="shared" si="1683"/>
        <v>#DIV/0!</v>
      </c>
      <c r="FK259" s="13"/>
      <c r="FL259" s="11"/>
      <c r="FM259" s="11"/>
      <c r="FN259" s="14"/>
      <c r="FO259" s="10"/>
      <c r="FP259" s="11"/>
      <c r="FQ259" s="69">
        <f t="shared" si="1712"/>
        <v>0</v>
      </c>
      <c r="FR259" s="69">
        <f t="shared" si="1712"/>
        <v>0</v>
      </c>
      <c r="FS259" s="11"/>
      <c r="FT259" s="12" t="e">
        <f t="shared" si="1684"/>
        <v>#DIV/0!</v>
      </c>
      <c r="FU259" s="11"/>
      <c r="FV259" s="12" t="e">
        <f t="shared" si="1685"/>
        <v>#DIV/0!</v>
      </c>
      <c r="FW259" s="13"/>
      <c r="FX259" s="11"/>
      <c r="FY259" s="11"/>
      <c r="FZ259" s="14"/>
      <c r="GA259" s="10"/>
      <c r="GB259" s="11"/>
      <c r="GC259" s="69">
        <f t="shared" si="1713"/>
        <v>0</v>
      </c>
      <c r="GD259" s="69">
        <f t="shared" si="1713"/>
        <v>0</v>
      </c>
      <c r="GE259" s="11"/>
      <c r="GF259" s="12" t="e">
        <f t="shared" si="1686"/>
        <v>#DIV/0!</v>
      </c>
      <c r="GG259" s="11"/>
      <c r="GH259" s="12" t="e">
        <f t="shared" si="1687"/>
        <v>#DIV/0!</v>
      </c>
      <c r="GI259" s="13"/>
      <c r="GJ259" s="11"/>
      <c r="GK259" s="11"/>
      <c r="GL259" s="14"/>
      <c r="GM259" s="10"/>
      <c r="GN259" s="11"/>
      <c r="GO259" s="69">
        <f t="shared" si="1714"/>
        <v>0</v>
      </c>
      <c r="GP259" s="69">
        <f t="shared" si="1714"/>
        <v>0</v>
      </c>
      <c r="GQ259" s="11"/>
      <c r="GR259" s="12" t="e">
        <f t="shared" si="1688"/>
        <v>#DIV/0!</v>
      </c>
      <c r="GS259" s="11"/>
      <c r="GT259" s="12" t="e">
        <f t="shared" si="1689"/>
        <v>#DIV/0!</v>
      </c>
      <c r="GU259" s="13"/>
      <c r="GV259" s="11"/>
      <c r="GW259" s="11"/>
      <c r="GX259" s="14"/>
      <c r="GY259" s="10"/>
      <c r="GZ259" s="11"/>
      <c r="HA259" s="69">
        <f t="shared" si="1715"/>
        <v>0</v>
      </c>
      <c r="HB259" s="69">
        <f t="shared" si="1715"/>
        <v>0</v>
      </c>
      <c r="HC259" s="11"/>
      <c r="HD259" s="12" t="e">
        <f t="shared" si="1690"/>
        <v>#DIV/0!</v>
      </c>
      <c r="HE259" s="11"/>
      <c r="HF259" s="12" t="e">
        <f t="shared" si="1691"/>
        <v>#DIV/0!</v>
      </c>
      <c r="HG259" s="13"/>
      <c r="HH259" s="11"/>
      <c r="HI259" s="11"/>
      <c r="HJ259" s="14"/>
      <c r="HK259" s="10">
        <f t="shared" si="1692"/>
        <v>3</v>
      </c>
      <c r="HL259" s="11">
        <f t="shared" si="1692"/>
        <v>0</v>
      </c>
      <c r="HM259" s="11">
        <f t="shared" si="1692"/>
        <v>3366</v>
      </c>
      <c r="HN259" s="11">
        <f t="shared" si="1692"/>
        <v>263</v>
      </c>
      <c r="HO259" s="11">
        <f t="shared" si="1693"/>
        <v>1185</v>
      </c>
      <c r="HP259" s="95">
        <f t="shared" si="1694"/>
        <v>0.35204991087344029</v>
      </c>
      <c r="HQ259" s="15">
        <f t="shared" si="1695"/>
        <v>92</v>
      </c>
      <c r="HR259" s="12">
        <f t="shared" si="1716"/>
        <v>7.763713080168777E-2</v>
      </c>
      <c r="HS259" s="16">
        <v>71</v>
      </c>
      <c r="HT259" s="17">
        <v>1046</v>
      </c>
      <c r="HU259" s="16">
        <f t="shared" si="1696"/>
        <v>88.270042194092824</v>
      </c>
      <c r="HV259" s="15"/>
      <c r="HW259" s="14"/>
    </row>
    <row r="260" spans="1:231" ht="18.75" x14ac:dyDescent="0.25">
      <c r="A260" s="374"/>
      <c r="B260" s="41">
        <f t="shared" si="1656"/>
        <v>45140</v>
      </c>
      <c r="C260" s="10"/>
      <c r="D260" s="11"/>
      <c r="E260" s="69">
        <f t="shared" si="1697"/>
        <v>595</v>
      </c>
      <c r="F260" s="69">
        <f t="shared" si="1697"/>
        <v>47</v>
      </c>
      <c r="G260" s="11">
        <v>196</v>
      </c>
      <c r="H260" s="12">
        <f t="shared" si="1657"/>
        <v>0.35126050420168065</v>
      </c>
      <c r="I260" s="11">
        <v>13</v>
      </c>
      <c r="J260" s="12">
        <f t="shared" si="1698"/>
        <v>6.2200956937799042E-2</v>
      </c>
      <c r="K260" s="11"/>
      <c r="L260" s="11"/>
      <c r="M260" s="18"/>
      <c r="N260" s="20"/>
      <c r="O260" s="10"/>
      <c r="P260" s="11"/>
      <c r="Q260" s="69">
        <f t="shared" si="1699"/>
        <v>606</v>
      </c>
      <c r="R260" s="69">
        <f t="shared" si="1699"/>
        <v>47</v>
      </c>
      <c r="S260" s="11">
        <v>183</v>
      </c>
      <c r="T260" s="12">
        <f t="shared" si="1658"/>
        <v>0.32178217821782179</v>
      </c>
      <c r="U260" s="11">
        <v>12</v>
      </c>
      <c r="V260" s="12">
        <f t="shared" si="1659"/>
        <v>6.1538461538461542E-2</v>
      </c>
      <c r="W260" s="11"/>
      <c r="X260" s="11"/>
      <c r="Y260" s="18"/>
      <c r="Z260" s="20"/>
      <c r="AA260" s="10"/>
      <c r="AB260" s="11"/>
      <c r="AC260" s="69">
        <f t="shared" si="1700"/>
        <v>140</v>
      </c>
      <c r="AD260" s="69">
        <f t="shared" si="1700"/>
        <v>11</v>
      </c>
      <c r="AE260" s="11">
        <v>39</v>
      </c>
      <c r="AF260" s="12">
        <f t="shared" si="1660"/>
        <v>0.29285714285714287</v>
      </c>
      <c r="AG260" s="11">
        <v>2</v>
      </c>
      <c r="AH260" s="12">
        <f t="shared" si="1661"/>
        <v>4.878048780487805E-2</v>
      </c>
      <c r="AI260" s="11"/>
      <c r="AJ260" s="11"/>
      <c r="AK260" s="18"/>
      <c r="AL260" s="20"/>
      <c r="AM260" s="10"/>
      <c r="AN260" s="11"/>
      <c r="AO260" s="69">
        <f t="shared" si="1701"/>
        <v>672</v>
      </c>
      <c r="AP260" s="69">
        <f t="shared" si="1701"/>
        <v>52</v>
      </c>
      <c r="AQ260" s="11">
        <v>212</v>
      </c>
      <c r="AR260" s="12">
        <f t="shared" si="1662"/>
        <v>0.32738095238095238</v>
      </c>
      <c r="AS260" s="11">
        <v>8</v>
      </c>
      <c r="AT260" s="12">
        <f t="shared" si="1663"/>
        <v>3.6363636363636362E-2</v>
      </c>
      <c r="AU260" s="11"/>
      <c r="AV260" s="11"/>
      <c r="AW260" s="18"/>
      <c r="AX260" s="20"/>
      <c r="AY260" s="10"/>
      <c r="AZ260" s="11"/>
      <c r="BA260" s="69">
        <f t="shared" si="1702"/>
        <v>679</v>
      </c>
      <c r="BB260" s="69">
        <f t="shared" si="1702"/>
        <v>53</v>
      </c>
      <c r="BC260" s="11">
        <v>236</v>
      </c>
      <c r="BD260" s="12">
        <f t="shared" si="1664"/>
        <v>0.35787923416789397</v>
      </c>
      <c r="BE260" s="11">
        <v>7</v>
      </c>
      <c r="BF260" s="12">
        <f t="shared" si="1665"/>
        <v>2.8806584362139918E-2</v>
      </c>
      <c r="BG260" s="11"/>
      <c r="BH260" s="11"/>
      <c r="BI260" s="18"/>
      <c r="BJ260" s="20"/>
      <c r="BK260" s="10">
        <v>1</v>
      </c>
      <c r="BL260" s="11"/>
      <c r="BM260" s="69">
        <f t="shared" si="1703"/>
        <v>673</v>
      </c>
      <c r="BN260" s="69">
        <f t="shared" si="1703"/>
        <v>53</v>
      </c>
      <c r="BO260" s="11">
        <v>229</v>
      </c>
      <c r="BP260" s="12">
        <f t="shared" si="1666"/>
        <v>0.35661218424962854</v>
      </c>
      <c r="BQ260" s="11">
        <v>11</v>
      </c>
      <c r="BR260" s="12">
        <f t="shared" si="1667"/>
        <v>4.583333333333333E-2</v>
      </c>
      <c r="BS260" s="11"/>
      <c r="BT260" s="11"/>
      <c r="BU260" s="18"/>
      <c r="BV260" s="20"/>
      <c r="BW260" s="10"/>
      <c r="BX260" s="11"/>
      <c r="BY260" s="69">
        <f t="shared" si="1704"/>
        <v>0</v>
      </c>
      <c r="BZ260" s="69">
        <f t="shared" si="1704"/>
        <v>0</v>
      </c>
      <c r="CA260" s="11"/>
      <c r="CB260" s="12" t="e">
        <f t="shared" si="1668"/>
        <v>#DIV/0!</v>
      </c>
      <c r="CC260" s="11"/>
      <c r="CD260" s="12" t="e">
        <f t="shared" si="1669"/>
        <v>#DIV/0!</v>
      </c>
      <c r="CE260" s="11"/>
      <c r="CF260" s="11"/>
      <c r="CG260" s="18"/>
      <c r="CH260" s="20"/>
      <c r="CI260" s="10"/>
      <c r="CJ260" s="11"/>
      <c r="CK260" s="69">
        <f t="shared" si="1705"/>
        <v>0</v>
      </c>
      <c r="CL260" s="69">
        <f t="shared" si="1705"/>
        <v>0</v>
      </c>
      <c r="CM260" s="11"/>
      <c r="CN260" s="12" t="e">
        <f t="shared" si="1670"/>
        <v>#DIV/0!</v>
      </c>
      <c r="CO260" s="11"/>
      <c r="CP260" s="12" t="e">
        <f t="shared" si="1671"/>
        <v>#DIV/0!</v>
      </c>
      <c r="CQ260" s="11"/>
      <c r="CR260" s="11"/>
      <c r="CS260" s="18"/>
      <c r="CT260" s="20"/>
      <c r="CU260" s="10"/>
      <c r="CV260" s="11"/>
      <c r="CW260" s="69">
        <f t="shared" si="1706"/>
        <v>0</v>
      </c>
      <c r="CX260" s="69">
        <f t="shared" si="1706"/>
        <v>0</v>
      </c>
      <c r="CY260" s="11"/>
      <c r="CZ260" s="12" t="e">
        <f t="shared" si="1672"/>
        <v>#DIV/0!</v>
      </c>
      <c r="DA260" s="11"/>
      <c r="DB260" s="12" t="e">
        <f t="shared" si="1673"/>
        <v>#DIV/0!</v>
      </c>
      <c r="DC260" s="11"/>
      <c r="DD260" s="11"/>
      <c r="DE260" s="18"/>
      <c r="DF260" s="20"/>
      <c r="DG260" s="10"/>
      <c r="DH260" s="11"/>
      <c r="DI260" s="69">
        <f t="shared" si="1707"/>
        <v>0</v>
      </c>
      <c r="DJ260" s="69">
        <f t="shared" si="1707"/>
        <v>0</v>
      </c>
      <c r="DK260" s="11"/>
      <c r="DL260" s="12" t="e">
        <f t="shared" si="1674"/>
        <v>#DIV/0!</v>
      </c>
      <c r="DM260" s="11"/>
      <c r="DN260" s="12" t="e">
        <f t="shared" si="1675"/>
        <v>#DIV/0!</v>
      </c>
      <c r="DO260" s="11"/>
      <c r="DP260" s="11"/>
      <c r="DQ260" s="18"/>
      <c r="DR260" s="20"/>
      <c r="DS260" s="10"/>
      <c r="DT260" s="11"/>
      <c r="DU260" s="69">
        <f t="shared" si="1708"/>
        <v>0</v>
      </c>
      <c r="DV260" s="69">
        <f t="shared" si="1708"/>
        <v>0</v>
      </c>
      <c r="DW260" s="11"/>
      <c r="DX260" s="12" t="e">
        <f t="shared" si="1676"/>
        <v>#DIV/0!</v>
      </c>
      <c r="DY260" s="11"/>
      <c r="DZ260" s="12" t="e">
        <f t="shared" si="1677"/>
        <v>#DIV/0!</v>
      </c>
      <c r="EA260" s="11"/>
      <c r="EB260" s="11"/>
      <c r="EC260" s="18"/>
      <c r="ED260" s="20"/>
      <c r="EE260" s="10"/>
      <c r="EF260" s="11"/>
      <c r="EG260" s="69">
        <f t="shared" si="1709"/>
        <v>0</v>
      </c>
      <c r="EH260" s="69">
        <f t="shared" si="1709"/>
        <v>0</v>
      </c>
      <c r="EI260" s="11"/>
      <c r="EJ260" s="12" t="e">
        <f t="shared" si="1678"/>
        <v>#DIV/0!</v>
      </c>
      <c r="EK260" s="11"/>
      <c r="EL260" s="12" t="e">
        <f t="shared" si="1679"/>
        <v>#DIV/0!</v>
      </c>
      <c r="EM260" s="11"/>
      <c r="EN260" s="11"/>
      <c r="EO260" s="18"/>
      <c r="EP260" s="20"/>
      <c r="EQ260" s="10"/>
      <c r="ER260" s="11"/>
      <c r="ES260" s="69">
        <f t="shared" si="1710"/>
        <v>0</v>
      </c>
      <c r="ET260" s="69">
        <f t="shared" si="1710"/>
        <v>0</v>
      </c>
      <c r="EU260" s="11"/>
      <c r="EV260" s="12" t="e">
        <f t="shared" si="1680"/>
        <v>#DIV/0!</v>
      </c>
      <c r="EW260" s="11"/>
      <c r="EX260" s="12" t="e">
        <f t="shared" si="1681"/>
        <v>#DIV/0!</v>
      </c>
      <c r="EY260" s="11"/>
      <c r="EZ260" s="11"/>
      <c r="FA260" s="18"/>
      <c r="FB260" s="20"/>
      <c r="FC260" s="10"/>
      <c r="FD260" s="11"/>
      <c r="FE260" s="69">
        <f t="shared" si="1711"/>
        <v>0</v>
      </c>
      <c r="FF260" s="69">
        <f t="shared" si="1711"/>
        <v>0</v>
      </c>
      <c r="FG260" s="11"/>
      <c r="FH260" s="12" t="e">
        <f t="shared" si="1682"/>
        <v>#DIV/0!</v>
      </c>
      <c r="FI260" s="11"/>
      <c r="FJ260" s="12" t="e">
        <f t="shared" si="1683"/>
        <v>#DIV/0!</v>
      </c>
      <c r="FK260" s="11"/>
      <c r="FL260" s="11"/>
      <c r="FM260" s="18"/>
      <c r="FN260" s="20"/>
      <c r="FO260" s="10"/>
      <c r="FP260" s="11"/>
      <c r="FQ260" s="69">
        <f t="shared" si="1712"/>
        <v>0</v>
      </c>
      <c r="FR260" s="69">
        <f t="shared" si="1712"/>
        <v>0</v>
      </c>
      <c r="FS260" s="11"/>
      <c r="FT260" s="12" t="e">
        <f t="shared" si="1684"/>
        <v>#DIV/0!</v>
      </c>
      <c r="FU260" s="11"/>
      <c r="FV260" s="12" t="e">
        <f t="shared" si="1685"/>
        <v>#DIV/0!</v>
      </c>
      <c r="FW260" s="11"/>
      <c r="FX260" s="11"/>
      <c r="FY260" s="18"/>
      <c r="FZ260" s="20"/>
      <c r="GA260" s="10"/>
      <c r="GB260" s="11"/>
      <c r="GC260" s="69">
        <f t="shared" si="1713"/>
        <v>0</v>
      </c>
      <c r="GD260" s="69">
        <f t="shared" si="1713"/>
        <v>0</v>
      </c>
      <c r="GE260" s="11"/>
      <c r="GF260" s="12" t="e">
        <f t="shared" si="1686"/>
        <v>#DIV/0!</v>
      </c>
      <c r="GG260" s="11"/>
      <c r="GH260" s="12" t="e">
        <f t="shared" si="1687"/>
        <v>#DIV/0!</v>
      </c>
      <c r="GI260" s="11"/>
      <c r="GJ260" s="11"/>
      <c r="GK260" s="18"/>
      <c r="GL260" s="20"/>
      <c r="GM260" s="10"/>
      <c r="GN260" s="11"/>
      <c r="GO260" s="69">
        <f t="shared" si="1714"/>
        <v>0</v>
      </c>
      <c r="GP260" s="69">
        <f t="shared" si="1714"/>
        <v>0</v>
      </c>
      <c r="GQ260" s="11"/>
      <c r="GR260" s="12" t="e">
        <f t="shared" si="1688"/>
        <v>#DIV/0!</v>
      </c>
      <c r="GS260" s="11"/>
      <c r="GT260" s="12" t="e">
        <f t="shared" si="1689"/>
        <v>#DIV/0!</v>
      </c>
      <c r="GU260" s="11"/>
      <c r="GV260" s="11"/>
      <c r="GW260" s="18"/>
      <c r="GX260" s="20"/>
      <c r="GY260" s="10"/>
      <c r="GZ260" s="11"/>
      <c r="HA260" s="69">
        <f t="shared" si="1715"/>
        <v>0</v>
      </c>
      <c r="HB260" s="69">
        <f t="shared" si="1715"/>
        <v>0</v>
      </c>
      <c r="HC260" s="11"/>
      <c r="HD260" s="12" t="e">
        <f t="shared" si="1690"/>
        <v>#DIV/0!</v>
      </c>
      <c r="HE260" s="11"/>
      <c r="HF260" s="12" t="e">
        <f t="shared" si="1691"/>
        <v>#DIV/0!</v>
      </c>
      <c r="HG260" s="11"/>
      <c r="HH260" s="11"/>
      <c r="HI260" s="18"/>
      <c r="HJ260" s="20"/>
      <c r="HK260" s="10">
        <f t="shared" si="1692"/>
        <v>1</v>
      </c>
      <c r="HL260" s="11">
        <f t="shared" si="1692"/>
        <v>0</v>
      </c>
      <c r="HM260" s="11">
        <f t="shared" si="1692"/>
        <v>3365</v>
      </c>
      <c r="HN260" s="11">
        <f t="shared" si="1692"/>
        <v>263</v>
      </c>
      <c r="HO260" s="11">
        <f t="shared" si="1693"/>
        <v>1148</v>
      </c>
      <c r="HP260" s="95">
        <f t="shared" si="1694"/>
        <v>0.3411589895988113</v>
      </c>
      <c r="HQ260" s="15">
        <f t="shared" si="1695"/>
        <v>53</v>
      </c>
      <c r="HR260" s="12">
        <f t="shared" si="1716"/>
        <v>4.6167247386759584E-2</v>
      </c>
      <c r="HS260" s="16">
        <v>71.2</v>
      </c>
      <c r="HT260" s="17">
        <v>1060</v>
      </c>
      <c r="HU260" s="16">
        <f t="shared" si="1696"/>
        <v>92.334494773519154</v>
      </c>
      <c r="HV260" s="18"/>
      <c r="HW260" s="20"/>
    </row>
    <row r="261" spans="1:231" ht="18.75" x14ac:dyDescent="0.25">
      <c r="A261" s="374"/>
      <c r="B261" s="41">
        <f t="shared" si="1656"/>
        <v>45141</v>
      </c>
      <c r="C261" s="10"/>
      <c r="D261" s="11"/>
      <c r="E261" s="69">
        <f t="shared" si="1697"/>
        <v>595</v>
      </c>
      <c r="F261" s="69">
        <f t="shared" si="1697"/>
        <v>47</v>
      </c>
      <c r="G261" s="11">
        <v>181</v>
      </c>
      <c r="H261" s="12">
        <f t="shared" si="1657"/>
        <v>0.32941176470588235</v>
      </c>
      <c r="I261" s="11">
        <v>15</v>
      </c>
      <c r="J261" s="12">
        <f t="shared" si="1698"/>
        <v>7.6530612244897961E-2</v>
      </c>
      <c r="K261" s="13"/>
      <c r="L261" s="13"/>
      <c r="M261" s="25"/>
      <c r="N261" s="38">
        <v>4720</v>
      </c>
      <c r="O261" s="10"/>
      <c r="P261" s="11"/>
      <c r="Q261" s="69">
        <f t="shared" si="1699"/>
        <v>606</v>
      </c>
      <c r="R261" s="69">
        <f t="shared" si="1699"/>
        <v>47</v>
      </c>
      <c r="S261" s="11">
        <v>183</v>
      </c>
      <c r="T261" s="12">
        <f t="shared" si="1658"/>
        <v>0.33003300330033003</v>
      </c>
      <c r="U261" s="11">
        <v>17</v>
      </c>
      <c r="V261" s="12">
        <f t="shared" si="1659"/>
        <v>8.5000000000000006E-2</v>
      </c>
      <c r="W261" s="13"/>
      <c r="X261" s="13"/>
      <c r="Y261" s="25"/>
      <c r="Z261" s="38">
        <v>4720</v>
      </c>
      <c r="AA261" s="10"/>
      <c r="AB261" s="11"/>
      <c r="AC261" s="69">
        <f t="shared" si="1700"/>
        <v>140</v>
      </c>
      <c r="AD261" s="69">
        <f t="shared" si="1700"/>
        <v>11</v>
      </c>
      <c r="AE261" s="11">
        <v>34</v>
      </c>
      <c r="AF261" s="12">
        <f t="shared" si="1660"/>
        <v>0.25</v>
      </c>
      <c r="AG261" s="11">
        <v>1</v>
      </c>
      <c r="AH261" s="12">
        <f t="shared" si="1661"/>
        <v>2.8571428571428571E-2</v>
      </c>
      <c r="AI261" s="13"/>
      <c r="AJ261" s="13"/>
      <c r="AK261" s="25"/>
      <c r="AL261" s="38">
        <v>4720</v>
      </c>
      <c r="AM261" s="10"/>
      <c r="AN261" s="11"/>
      <c r="AO261" s="69">
        <f t="shared" si="1701"/>
        <v>672</v>
      </c>
      <c r="AP261" s="69">
        <f t="shared" si="1701"/>
        <v>52</v>
      </c>
      <c r="AQ261" s="11">
        <v>203</v>
      </c>
      <c r="AR261" s="12">
        <f t="shared" si="1662"/>
        <v>0.3169642857142857</v>
      </c>
      <c r="AS261" s="11">
        <v>10</v>
      </c>
      <c r="AT261" s="12">
        <f t="shared" si="1663"/>
        <v>4.6948356807511735E-2</v>
      </c>
      <c r="AU261" s="13"/>
      <c r="AV261" s="13"/>
      <c r="AW261" s="25"/>
      <c r="AX261" s="38">
        <v>4720</v>
      </c>
      <c r="AY261" s="10"/>
      <c r="AZ261" s="11"/>
      <c r="BA261" s="69">
        <f t="shared" si="1702"/>
        <v>679</v>
      </c>
      <c r="BB261" s="69">
        <f t="shared" si="1702"/>
        <v>53</v>
      </c>
      <c r="BC261" s="11">
        <v>228</v>
      </c>
      <c r="BD261" s="12">
        <f t="shared" si="1664"/>
        <v>0.36082474226804123</v>
      </c>
      <c r="BE261" s="11">
        <v>17</v>
      </c>
      <c r="BF261" s="12">
        <f t="shared" si="1665"/>
        <v>6.9387755102040816E-2</v>
      </c>
      <c r="BG261" s="13"/>
      <c r="BH261" s="13"/>
      <c r="BI261" s="25"/>
      <c r="BJ261" s="38">
        <v>4720</v>
      </c>
      <c r="BK261" s="10"/>
      <c r="BL261" s="11"/>
      <c r="BM261" s="69">
        <f t="shared" si="1703"/>
        <v>673</v>
      </c>
      <c r="BN261" s="69">
        <f t="shared" si="1703"/>
        <v>53</v>
      </c>
      <c r="BO261" s="11">
        <v>220</v>
      </c>
      <c r="BP261" s="12">
        <f t="shared" si="1666"/>
        <v>0.3476968796433878</v>
      </c>
      <c r="BQ261" s="11">
        <v>14</v>
      </c>
      <c r="BR261" s="12">
        <f t="shared" si="1667"/>
        <v>5.9829059829059832E-2</v>
      </c>
      <c r="BS261" s="13"/>
      <c r="BT261" s="13"/>
      <c r="BU261" s="25"/>
      <c r="BV261" s="38">
        <v>4720</v>
      </c>
      <c r="BW261" s="10"/>
      <c r="BX261" s="11"/>
      <c r="BY261" s="69">
        <f t="shared" si="1704"/>
        <v>0</v>
      </c>
      <c r="BZ261" s="69">
        <f t="shared" si="1704"/>
        <v>0</v>
      </c>
      <c r="CA261" s="11"/>
      <c r="CB261" s="12" t="e">
        <f t="shared" si="1668"/>
        <v>#DIV/0!</v>
      </c>
      <c r="CC261" s="11"/>
      <c r="CD261" s="12" t="e">
        <f t="shared" si="1669"/>
        <v>#DIV/0!</v>
      </c>
      <c r="CE261" s="13"/>
      <c r="CF261" s="13"/>
      <c r="CG261" s="25"/>
      <c r="CH261" s="38"/>
      <c r="CI261" s="10"/>
      <c r="CJ261" s="11"/>
      <c r="CK261" s="69">
        <f t="shared" si="1705"/>
        <v>0</v>
      </c>
      <c r="CL261" s="69">
        <f t="shared" si="1705"/>
        <v>0</v>
      </c>
      <c r="CM261" s="11"/>
      <c r="CN261" s="12" t="e">
        <f t="shared" si="1670"/>
        <v>#DIV/0!</v>
      </c>
      <c r="CO261" s="11"/>
      <c r="CP261" s="12" t="e">
        <f t="shared" si="1671"/>
        <v>#DIV/0!</v>
      </c>
      <c r="CQ261" s="13"/>
      <c r="CR261" s="13"/>
      <c r="CS261" s="25"/>
      <c r="CT261" s="38"/>
      <c r="CU261" s="10"/>
      <c r="CV261" s="11"/>
      <c r="CW261" s="69">
        <f t="shared" si="1706"/>
        <v>0</v>
      </c>
      <c r="CX261" s="69">
        <f t="shared" si="1706"/>
        <v>0</v>
      </c>
      <c r="CY261" s="11"/>
      <c r="CZ261" s="12" t="e">
        <f t="shared" si="1672"/>
        <v>#DIV/0!</v>
      </c>
      <c r="DA261" s="11"/>
      <c r="DB261" s="12" t="e">
        <f t="shared" si="1673"/>
        <v>#DIV/0!</v>
      </c>
      <c r="DC261" s="13"/>
      <c r="DD261" s="13"/>
      <c r="DE261" s="25"/>
      <c r="DF261" s="38"/>
      <c r="DG261" s="10"/>
      <c r="DH261" s="11"/>
      <c r="DI261" s="69">
        <f t="shared" si="1707"/>
        <v>0</v>
      </c>
      <c r="DJ261" s="69">
        <f t="shared" si="1707"/>
        <v>0</v>
      </c>
      <c r="DK261" s="11"/>
      <c r="DL261" s="12" t="e">
        <f t="shared" si="1674"/>
        <v>#DIV/0!</v>
      </c>
      <c r="DM261" s="11"/>
      <c r="DN261" s="12" t="e">
        <f t="shared" si="1675"/>
        <v>#DIV/0!</v>
      </c>
      <c r="DO261" s="13"/>
      <c r="DP261" s="13"/>
      <c r="DQ261" s="25"/>
      <c r="DR261" s="38"/>
      <c r="DS261" s="10"/>
      <c r="DT261" s="11"/>
      <c r="DU261" s="69">
        <f t="shared" si="1708"/>
        <v>0</v>
      </c>
      <c r="DV261" s="69">
        <f t="shared" si="1708"/>
        <v>0</v>
      </c>
      <c r="DW261" s="11"/>
      <c r="DX261" s="12" t="e">
        <f t="shared" si="1676"/>
        <v>#DIV/0!</v>
      </c>
      <c r="DY261" s="11"/>
      <c r="DZ261" s="12" t="e">
        <f t="shared" si="1677"/>
        <v>#DIV/0!</v>
      </c>
      <c r="EA261" s="13"/>
      <c r="EB261" s="13"/>
      <c r="EC261" s="25"/>
      <c r="ED261" s="38"/>
      <c r="EE261" s="10"/>
      <c r="EF261" s="11"/>
      <c r="EG261" s="69">
        <f t="shared" si="1709"/>
        <v>0</v>
      </c>
      <c r="EH261" s="69">
        <f t="shared" si="1709"/>
        <v>0</v>
      </c>
      <c r="EI261" s="11"/>
      <c r="EJ261" s="12" t="e">
        <f t="shared" si="1678"/>
        <v>#DIV/0!</v>
      </c>
      <c r="EK261" s="11"/>
      <c r="EL261" s="12" t="e">
        <f t="shared" si="1679"/>
        <v>#DIV/0!</v>
      </c>
      <c r="EM261" s="13"/>
      <c r="EN261" s="13"/>
      <c r="EO261" s="25"/>
      <c r="EP261" s="38"/>
      <c r="EQ261" s="10"/>
      <c r="ER261" s="11"/>
      <c r="ES261" s="69">
        <f t="shared" si="1710"/>
        <v>0</v>
      </c>
      <c r="ET261" s="69">
        <f t="shared" si="1710"/>
        <v>0</v>
      </c>
      <c r="EU261" s="11"/>
      <c r="EV261" s="12" t="e">
        <f t="shared" si="1680"/>
        <v>#DIV/0!</v>
      </c>
      <c r="EW261" s="11"/>
      <c r="EX261" s="12" t="e">
        <f t="shared" si="1681"/>
        <v>#DIV/0!</v>
      </c>
      <c r="EY261" s="13"/>
      <c r="EZ261" s="13"/>
      <c r="FA261" s="25"/>
      <c r="FB261" s="38"/>
      <c r="FC261" s="10"/>
      <c r="FD261" s="11"/>
      <c r="FE261" s="69">
        <f t="shared" si="1711"/>
        <v>0</v>
      </c>
      <c r="FF261" s="69">
        <f t="shared" si="1711"/>
        <v>0</v>
      </c>
      <c r="FG261" s="11"/>
      <c r="FH261" s="12" t="e">
        <f t="shared" si="1682"/>
        <v>#DIV/0!</v>
      </c>
      <c r="FI261" s="11"/>
      <c r="FJ261" s="12" t="e">
        <f t="shared" si="1683"/>
        <v>#DIV/0!</v>
      </c>
      <c r="FK261" s="13"/>
      <c r="FL261" s="13"/>
      <c r="FM261" s="25"/>
      <c r="FN261" s="38"/>
      <c r="FO261" s="10"/>
      <c r="FP261" s="11"/>
      <c r="FQ261" s="69">
        <f t="shared" si="1712"/>
        <v>0</v>
      </c>
      <c r="FR261" s="69">
        <f t="shared" si="1712"/>
        <v>0</v>
      </c>
      <c r="FS261" s="11"/>
      <c r="FT261" s="12" t="e">
        <f t="shared" si="1684"/>
        <v>#DIV/0!</v>
      </c>
      <c r="FU261" s="11"/>
      <c r="FV261" s="12" t="e">
        <f t="shared" si="1685"/>
        <v>#DIV/0!</v>
      </c>
      <c r="FW261" s="13"/>
      <c r="FX261" s="13"/>
      <c r="FY261" s="25"/>
      <c r="FZ261" s="38"/>
      <c r="GA261" s="10"/>
      <c r="GB261" s="11"/>
      <c r="GC261" s="69">
        <f t="shared" si="1713"/>
        <v>0</v>
      </c>
      <c r="GD261" s="69">
        <f t="shared" si="1713"/>
        <v>0</v>
      </c>
      <c r="GE261" s="11"/>
      <c r="GF261" s="12" t="e">
        <f t="shared" si="1686"/>
        <v>#DIV/0!</v>
      </c>
      <c r="GG261" s="11"/>
      <c r="GH261" s="12" t="e">
        <f t="shared" si="1687"/>
        <v>#DIV/0!</v>
      </c>
      <c r="GI261" s="13"/>
      <c r="GJ261" s="13"/>
      <c r="GK261" s="25"/>
      <c r="GL261" s="38"/>
      <c r="GM261" s="10"/>
      <c r="GN261" s="11"/>
      <c r="GO261" s="69">
        <f t="shared" si="1714"/>
        <v>0</v>
      </c>
      <c r="GP261" s="69">
        <f t="shared" si="1714"/>
        <v>0</v>
      </c>
      <c r="GQ261" s="11"/>
      <c r="GR261" s="12" t="e">
        <f t="shared" si="1688"/>
        <v>#DIV/0!</v>
      </c>
      <c r="GS261" s="11"/>
      <c r="GT261" s="12" t="e">
        <f t="shared" si="1689"/>
        <v>#DIV/0!</v>
      </c>
      <c r="GU261" s="13"/>
      <c r="GV261" s="13"/>
      <c r="GW261" s="25"/>
      <c r="GX261" s="38"/>
      <c r="GY261" s="10"/>
      <c r="GZ261" s="11"/>
      <c r="HA261" s="69">
        <f t="shared" si="1715"/>
        <v>0</v>
      </c>
      <c r="HB261" s="69">
        <f t="shared" si="1715"/>
        <v>0</v>
      </c>
      <c r="HC261" s="11"/>
      <c r="HD261" s="12" t="e">
        <f t="shared" si="1690"/>
        <v>#DIV/0!</v>
      </c>
      <c r="HE261" s="11"/>
      <c r="HF261" s="12" t="e">
        <f t="shared" si="1691"/>
        <v>#DIV/0!</v>
      </c>
      <c r="HG261" s="13"/>
      <c r="HH261" s="13"/>
      <c r="HI261" s="25"/>
      <c r="HJ261" s="38"/>
      <c r="HK261" s="10">
        <f t="shared" si="1692"/>
        <v>0</v>
      </c>
      <c r="HL261" s="11">
        <f t="shared" si="1692"/>
        <v>0</v>
      </c>
      <c r="HM261" s="11">
        <f t="shared" si="1692"/>
        <v>3365</v>
      </c>
      <c r="HN261" s="11">
        <f t="shared" si="1692"/>
        <v>263</v>
      </c>
      <c r="HO261" s="11">
        <f t="shared" si="1693"/>
        <v>1123</v>
      </c>
      <c r="HP261" s="95">
        <f t="shared" si="1694"/>
        <v>0.33372956909361068</v>
      </c>
      <c r="HQ261" s="15">
        <f t="shared" si="1695"/>
        <v>74</v>
      </c>
      <c r="HR261" s="12">
        <f t="shared" si="1716"/>
        <v>6.5894924309884237E-2</v>
      </c>
      <c r="HS261" s="16">
        <v>71.7</v>
      </c>
      <c r="HT261" s="17">
        <v>1008</v>
      </c>
      <c r="HU261" s="16">
        <f t="shared" si="1696"/>
        <v>89.759572573463927</v>
      </c>
      <c r="HV261" s="23"/>
      <c r="HW261" s="22">
        <v>4720</v>
      </c>
    </row>
    <row r="262" spans="1:231" ht="18.75" x14ac:dyDescent="0.25">
      <c r="A262" s="374"/>
      <c r="B262" s="41">
        <f t="shared" si="1656"/>
        <v>45142</v>
      </c>
      <c r="C262" s="10"/>
      <c r="D262" s="11"/>
      <c r="E262" s="69">
        <f t="shared" si="1697"/>
        <v>595</v>
      </c>
      <c r="F262" s="69">
        <f t="shared" si="1697"/>
        <v>47</v>
      </c>
      <c r="G262" s="11">
        <v>178</v>
      </c>
      <c r="H262" s="12">
        <f t="shared" si="1657"/>
        <v>0.31596638655462184</v>
      </c>
      <c r="I262" s="11">
        <v>10</v>
      </c>
      <c r="J262" s="12">
        <f t="shared" si="1698"/>
        <v>5.3191489361702128E-2</v>
      </c>
      <c r="K262" s="13"/>
      <c r="L262" s="11"/>
      <c r="M262" s="25"/>
      <c r="N262" s="38">
        <v>4791</v>
      </c>
      <c r="O262" s="10"/>
      <c r="P262" s="11"/>
      <c r="Q262" s="69">
        <f t="shared" si="1699"/>
        <v>606</v>
      </c>
      <c r="R262" s="69">
        <f t="shared" si="1699"/>
        <v>47</v>
      </c>
      <c r="S262" s="11">
        <v>180</v>
      </c>
      <c r="T262" s="12">
        <f t="shared" si="1658"/>
        <v>0.32508250825082508</v>
      </c>
      <c r="U262" s="11">
        <v>17</v>
      </c>
      <c r="V262" s="12">
        <f t="shared" si="1659"/>
        <v>8.6294416243654817E-2</v>
      </c>
      <c r="W262" s="13"/>
      <c r="X262" s="11"/>
      <c r="Y262" s="25"/>
      <c r="Z262" s="38">
        <v>5041.818181818182</v>
      </c>
      <c r="AA262" s="10"/>
      <c r="AB262" s="11"/>
      <c r="AC262" s="69">
        <f t="shared" si="1700"/>
        <v>140</v>
      </c>
      <c r="AD262" s="69">
        <f t="shared" si="1700"/>
        <v>11</v>
      </c>
      <c r="AE262" s="11">
        <v>47</v>
      </c>
      <c r="AF262" s="12">
        <f t="shared" si="1660"/>
        <v>0.37142857142857144</v>
      </c>
      <c r="AG262" s="11">
        <v>5</v>
      </c>
      <c r="AH262" s="12">
        <f t="shared" si="1661"/>
        <v>9.6153846153846159E-2</v>
      </c>
      <c r="AI262" s="13"/>
      <c r="AJ262" s="11"/>
      <c r="AK262" s="25"/>
      <c r="AL262" s="38">
        <v>4570</v>
      </c>
      <c r="AM262" s="10"/>
      <c r="AN262" s="11"/>
      <c r="AO262" s="69">
        <f t="shared" si="1701"/>
        <v>672</v>
      </c>
      <c r="AP262" s="69">
        <f t="shared" si="1701"/>
        <v>52</v>
      </c>
      <c r="AQ262" s="11">
        <v>209</v>
      </c>
      <c r="AR262" s="12">
        <f t="shared" si="1662"/>
        <v>0.32886904761904762</v>
      </c>
      <c r="AS262" s="11">
        <v>12</v>
      </c>
      <c r="AT262" s="12">
        <f t="shared" si="1663"/>
        <v>5.4298642533936653E-2</v>
      </c>
      <c r="AU262" s="13"/>
      <c r="AV262" s="11"/>
      <c r="AW262" s="25"/>
      <c r="AX262" s="38">
        <v>5127</v>
      </c>
      <c r="AY262" s="10"/>
      <c r="AZ262" s="11"/>
      <c r="BA262" s="69">
        <f t="shared" si="1702"/>
        <v>679</v>
      </c>
      <c r="BB262" s="69">
        <f t="shared" si="1702"/>
        <v>53</v>
      </c>
      <c r="BC262" s="11">
        <v>212</v>
      </c>
      <c r="BD262" s="12">
        <f t="shared" si="1664"/>
        <v>0.32989690721649484</v>
      </c>
      <c r="BE262" s="11">
        <v>12</v>
      </c>
      <c r="BF262" s="12">
        <f t="shared" si="1665"/>
        <v>5.3571428571428568E-2</v>
      </c>
      <c r="BG262" s="13"/>
      <c r="BH262" s="11"/>
      <c r="BI262" s="25"/>
      <c r="BJ262" s="38">
        <v>5055.833333333333</v>
      </c>
      <c r="BK262" s="10"/>
      <c r="BL262" s="11"/>
      <c r="BM262" s="69">
        <f t="shared" si="1703"/>
        <v>673</v>
      </c>
      <c r="BN262" s="69">
        <f t="shared" si="1703"/>
        <v>53</v>
      </c>
      <c r="BO262" s="11">
        <v>226</v>
      </c>
      <c r="BP262" s="12">
        <f t="shared" si="1666"/>
        <v>0.35958395245170877</v>
      </c>
      <c r="BQ262" s="11">
        <v>16</v>
      </c>
      <c r="BR262" s="12">
        <f t="shared" si="1667"/>
        <v>6.6115702479338845E-2</v>
      </c>
      <c r="BS262" s="13"/>
      <c r="BT262" s="11"/>
      <c r="BU262" s="25"/>
      <c r="BV262" s="38">
        <v>5561.4285714285716</v>
      </c>
      <c r="BW262" s="10"/>
      <c r="BX262" s="11"/>
      <c r="BY262" s="69">
        <f t="shared" si="1704"/>
        <v>0</v>
      </c>
      <c r="BZ262" s="69">
        <f t="shared" si="1704"/>
        <v>0</v>
      </c>
      <c r="CA262" s="11"/>
      <c r="CB262" s="12" t="e">
        <f t="shared" si="1668"/>
        <v>#DIV/0!</v>
      </c>
      <c r="CC262" s="11"/>
      <c r="CD262" s="12" t="e">
        <f t="shared" si="1669"/>
        <v>#DIV/0!</v>
      </c>
      <c r="CE262" s="13"/>
      <c r="CF262" s="11"/>
      <c r="CG262" s="25"/>
      <c r="CH262" s="38"/>
      <c r="CI262" s="10"/>
      <c r="CJ262" s="11"/>
      <c r="CK262" s="69">
        <f t="shared" si="1705"/>
        <v>0</v>
      </c>
      <c r="CL262" s="69">
        <f t="shared" si="1705"/>
        <v>0</v>
      </c>
      <c r="CM262" s="11"/>
      <c r="CN262" s="12" t="e">
        <f t="shared" si="1670"/>
        <v>#DIV/0!</v>
      </c>
      <c r="CO262" s="11"/>
      <c r="CP262" s="12" t="e">
        <f t="shared" si="1671"/>
        <v>#DIV/0!</v>
      </c>
      <c r="CQ262" s="13"/>
      <c r="CR262" s="11"/>
      <c r="CS262" s="25"/>
      <c r="CT262" s="38"/>
      <c r="CU262" s="10"/>
      <c r="CV262" s="11"/>
      <c r="CW262" s="69">
        <f t="shared" si="1706"/>
        <v>0</v>
      </c>
      <c r="CX262" s="69">
        <f t="shared" si="1706"/>
        <v>0</v>
      </c>
      <c r="CY262" s="11"/>
      <c r="CZ262" s="12" t="e">
        <f t="shared" si="1672"/>
        <v>#DIV/0!</v>
      </c>
      <c r="DA262" s="11"/>
      <c r="DB262" s="12" t="e">
        <f t="shared" si="1673"/>
        <v>#DIV/0!</v>
      </c>
      <c r="DC262" s="13"/>
      <c r="DD262" s="11"/>
      <c r="DE262" s="25"/>
      <c r="DF262" s="38"/>
      <c r="DG262" s="10"/>
      <c r="DH262" s="11"/>
      <c r="DI262" s="69">
        <f t="shared" si="1707"/>
        <v>0</v>
      </c>
      <c r="DJ262" s="69">
        <f t="shared" si="1707"/>
        <v>0</v>
      </c>
      <c r="DK262" s="11"/>
      <c r="DL262" s="12" t="e">
        <f t="shared" si="1674"/>
        <v>#DIV/0!</v>
      </c>
      <c r="DM262" s="11"/>
      <c r="DN262" s="12" t="e">
        <f t="shared" si="1675"/>
        <v>#DIV/0!</v>
      </c>
      <c r="DO262" s="13"/>
      <c r="DP262" s="11"/>
      <c r="DQ262" s="25"/>
      <c r="DR262" s="38"/>
      <c r="DS262" s="10"/>
      <c r="DT262" s="11"/>
      <c r="DU262" s="69">
        <f t="shared" si="1708"/>
        <v>0</v>
      </c>
      <c r="DV262" s="69">
        <f t="shared" si="1708"/>
        <v>0</v>
      </c>
      <c r="DW262" s="11"/>
      <c r="DX262" s="12" t="e">
        <f t="shared" si="1676"/>
        <v>#DIV/0!</v>
      </c>
      <c r="DY262" s="11"/>
      <c r="DZ262" s="12" t="e">
        <f t="shared" si="1677"/>
        <v>#DIV/0!</v>
      </c>
      <c r="EA262" s="13"/>
      <c r="EB262" s="11"/>
      <c r="EC262" s="25"/>
      <c r="ED262" s="38"/>
      <c r="EE262" s="10"/>
      <c r="EF262" s="11"/>
      <c r="EG262" s="69">
        <f t="shared" si="1709"/>
        <v>0</v>
      </c>
      <c r="EH262" s="69">
        <f t="shared" si="1709"/>
        <v>0</v>
      </c>
      <c r="EI262" s="11"/>
      <c r="EJ262" s="12" t="e">
        <f t="shared" si="1678"/>
        <v>#DIV/0!</v>
      </c>
      <c r="EK262" s="11"/>
      <c r="EL262" s="12" t="e">
        <f t="shared" si="1679"/>
        <v>#DIV/0!</v>
      </c>
      <c r="EM262" s="13"/>
      <c r="EN262" s="11"/>
      <c r="EO262" s="25"/>
      <c r="EP262" s="38"/>
      <c r="EQ262" s="10"/>
      <c r="ER262" s="11"/>
      <c r="ES262" s="69">
        <f t="shared" si="1710"/>
        <v>0</v>
      </c>
      <c r="ET262" s="69">
        <f t="shared" si="1710"/>
        <v>0</v>
      </c>
      <c r="EU262" s="11"/>
      <c r="EV262" s="12" t="e">
        <f t="shared" si="1680"/>
        <v>#DIV/0!</v>
      </c>
      <c r="EW262" s="11"/>
      <c r="EX262" s="12" t="e">
        <f t="shared" si="1681"/>
        <v>#DIV/0!</v>
      </c>
      <c r="EY262" s="13"/>
      <c r="EZ262" s="11"/>
      <c r="FA262" s="25"/>
      <c r="FB262" s="38"/>
      <c r="FC262" s="10"/>
      <c r="FD262" s="11"/>
      <c r="FE262" s="69">
        <f t="shared" si="1711"/>
        <v>0</v>
      </c>
      <c r="FF262" s="69">
        <f t="shared" si="1711"/>
        <v>0</v>
      </c>
      <c r="FG262" s="11"/>
      <c r="FH262" s="12" t="e">
        <f t="shared" si="1682"/>
        <v>#DIV/0!</v>
      </c>
      <c r="FI262" s="11"/>
      <c r="FJ262" s="12" t="e">
        <f t="shared" si="1683"/>
        <v>#DIV/0!</v>
      </c>
      <c r="FK262" s="13"/>
      <c r="FL262" s="11"/>
      <c r="FM262" s="25"/>
      <c r="FN262" s="38"/>
      <c r="FO262" s="10"/>
      <c r="FP262" s="11"/>
      <c r="FQ262" s="69">
        <f t="shared" si="1712"/>
        <v>0</v>
      </c>
      <c r="FR262" s="69">
        <f t="shared" si="1712"/>
        <v>0</v>
      </c>
      <c r="FS262" s="11"/>
      <c r="FT262" s="12" t="e">
        <f t="shared" si="1684"/>
        <v>#DIV/0!</v>
      </c>
      <c r="FU262" s="11"/>
      <c r="FV262" s="12" t="e">
        <f t="shared" si="1685"/>
        <v>#DIV/0!</v>
      </c>
      <c r="FW262" s="13"/>
      <c r="FX262" s="11"/>
      <c r="FY262" s="25"/>
      <c r="FZ262" s="38"/>
      <c r="GA262" s="10"/>
      <c r="GB262" s="11"/>
      <c r="GC262" s="69">
        <f t="shared" si="1713"/>
        <v>0</v>
      </c>
      <c r="GD262" s="69">
        <f t="shared" si="1713"/>
        <v>0</v>
      </c>
      <c r="GE262" s="11"/>
      <c r="GF262" s="12" t="e">
        <f t="shared" si="1686"/>
        <v>#DIV/0!</v>
      </c>
      <c r="GG262" s="11"/>
      <c r="GH262" s="12" t="e">
        <f t="shared" si="1687"/>
        <v>#DIV/0!</v>
      </c>
      <c r="GI262" s="13"/>
      <c r="GJ262" s="11"/>
      <c r="GK262" s="25"/>
      <c r="GL262" s="38"/>
      <c r="GM262" s="10"/>
      <c r="GN262" s="11"/>
      <c r="GO262" s="69">
        <f t="shared" si="1714"/>
        <v>0</v>
      </c>
      <c r="GP262" s="69">
        <f t="shared" si="1714"/>
        <v>0</v>
      </c>
      <c r="GQ262" s="11"/>
      <c r="GR262" s="12" t="e">
        <f t="shared" si="1688"/>
        <v>#DIV/0!</v>
      </c>
      <c r="GS262" s="11"/>
      <c r="GT262" s="12" t="e">
        <f t="shared" si="1689"/>
        <v>#DIV/0!</v>
      </c>
      <c r="GU262" s="13"/>
      <c r="GV262" s="11"/>
      <c r="GW262" s="25"/>
      <c r="GX262" s="38"/>
      <c r="GY262" s="10"/>
      <c r="GZ262" s="11"/>
      <c r="HA262" s="69">
        <f t="shared" si="1715"/>
        <v>0</v>
      </c>
      <c r="HB262" s="69">
        <f t="shared" si="1715"/>
        <v>0</v>
      </c>
      <c r="HC262" s="11"/>
      <c r="HD262" s="12" t="e">
        <f t="shared" si="1690"/>
        <v>#DIV/0!</v>
      </c>
      <c r="HE262" s="11"/>
      <c r="HF262" s="12" t="e">
        <f t="shared" si="1691"/>
        <v>#DIV/0!</v>
      </c>
      <c r="HG262" s="13"/>
      <c r="HH262" s="11"/>
      <c r="HI262" s="25"/>
      <c r="HJ262" s="38"/>
      <c r="HK262" s="10">
        <f t="shared" si="1692"/>
        <v>0</v>
      </c>
      <c r="HL262" s="11">
        <f t="shared" si="1692"/>
        <v>0</v>
      </c>
      <c r="HM262" s="11">
        <f t="shared" si="1692"/>
        <v>3365</v>
      </c>
      <c r="HN262" s="11">
        <f t="shared" si="1692"/>
        <v>263</v>
      </c>
      <c r="HO262" s="11">
        <f t="shared" si="1693"/>
        <v>1124</v>
      </c>
      <c r="HP262" s="95">
        <f t="shared" si="1694"/>
        <v>0.3340267459138187</v>
      </c>
      <c r="HQ262" s="15">
        <f t="shared" si="1695"/>
        <v>72</v>
      </c>
      <c r="HR262" s="12">
        <f t="shared" si="1716"/>
        <v>6.4056939501779361E-2</v>
      </c>
      <c r="HS262" s="16">
        <v>71.7</v>
      </c>
      <c r="HT262" s="17">
        <v>1014</v>
      </c>
      <c r="HU262" s="16">
        <f t="shared" si="1696"/>
        <v>90.213523131672602</v>
      </c>
      <c r="HV262" s="23"/>
      <c r="HW262" s="22">
        <v>5065</v>
      </c>
    </row>
    <row r="263" spans="1:231" ht="18.75" x14ac:dyDescent="0.25">
      <c r="A263" s="374"/>
      <c r="B263" s="41">
        <f t="shared" si="1656"/>
        <v>45143</v>
      </c>
      <c r="C263" s="10"/>
      <c r="D263" s="11"/>
      <c r="E263" s="69">
        <f>E262-C263</f>
        <v>595</v>
      </c>
      <c r="F263" s="69">
        <f>F262-D263</f>
        <v>47</v>
      </c>
      <c r="G263" s="11">
        <v>194</v>
      </c>
      <c r="H263" s="12">
        <f t="shared" si="1657"/>
        <v>0.35294117647058826</v>
      </c>
      <c r="I263" s="11">
        <v>16</v>
      </c>
      <c r="J263" s="12">
        <f t="shared" si="1698"/>
        <v>7.6190476190476197E-2</v>
      </c>
      <c r="K263" s="13"/>
      <c r="L263" s="11"/>
      <c r="M263" s="39"/>
      <c r="N263" s="43">
        <v>100</v>
      </c>
      <c r="O263" s="10"/>
      <c r="P263" s="11"/>
      <c r="Q263" s="69">
        <f t="shared" si="1699"/>
        <v>606</v>
      </c>
      <c r="R263" s="69">
        <f t="shared" si="1699"/>
        <v>47</v>
      </c>
      <c r="S263" s="11">
        <v>198</v>
      </c>
      <c r="T263" s="12">
        <f t="shared" si="1658"/>
        <v>0.33993399339933994</v>
      </c>
      <c r="U263" s="11">
        <v>8</v>
      </c>
      <c r="V263" s="12">
        <f t="shared" si="1659"/>
        <v>3.8834951456310676E-2</v>
      </c>
      <c r="W263" s="13"/>
      <c r="X263" s="11"/>
      <c r="Y263" s="39"/>
      <c r="Z263" s="43">
        <v>90.909090909090907</v>
      </c>
      <c r="AA263" s="10"/>
      <c r="AB263" s="11">
        <v>1</v>
      </c>
      <c r="AC263" s="69">
        <f t="shared" si="1700"/>
        <v>140</v>
      </c>
      <c r="AD263" s="69">
        <f t="shared" si="1700"/>
        <v>10</v>
      </c>
      <c r="AE263" s="11">
        <v>45</v>
      </c>
      <c r="AF263" s="12">
        <f t="shared" si="1660"/>
        <v>0.36428571428571427</v>
      </c>
      <c r="AG263" s="11">
        <v>6</v>
      </c>
      <c r="AH263" s="12">
        <f t="shared" si="1661"/>
        <v>0.11764705882352941</v>
      </c>
      <c r="AI263" s="13"/>
      <c r="AJ263" s="11"/>
      <c r="AK263" s="39"/>
      <c r="AL263" s="43">
        <v>100</v>
      </c>
      <c r="AM263" s="10"/>
      <c r="AN263" s="11"/>
      <c r="AO263" s="69">
        <f t="shared" si="1701"/>
        <v>672</v>
      </c>
      <c r="AP263" s="69">
        <f t="shared" si="1701"/>
        <v>52</v>
      </c>
      <c r="AQ263" s="11">
        <v>219</v>
      </c>
      <c r="AR263" s="12">
        <f t="shared" si="1662"/>
        <v>0.34523809523809523</v>
      </c>
      <c r="AS263" s="11">
        <v>13</v>
      </c>
      <c r="AT263" s="12">
        <f t="shared" si="1663"/>
        <v>5.6034482758620691E-2</v>
      </c>
      <c r="AU263" s="13"/>
      <c r="AV263" s="11"/>
      <c r="AW263" s="39"/>
      <c r="AX263" s="43">
        <v>100</v>
      </c>
      <c r="AY263" s="10"/>
      <c r="AZ263" s="11"/>
      <c r="BA263" s="69">
        <f t="shared" si="1702"/>
        <v>679</v>
      </c>
      <c r="BB263" s="69">
        <f t="shared" si="1702"/>
        <v>53</v>
      </c>
      <c r="BC263" s="11">
        <v>194</v>
      </c>
      <c r="BD263" s="12">
        <f t="shared" si="1664"/>
        <v>0.29455081001472755</v>
      </c>
      <c r="BE263" s="11">
        <v>6</v>
      </c>
      <c r="BF263" s="12">
        <f t="shared" si="1665"/>
        <v>0.03</v>
      </c>
      <c r="BG263" s="13"/>
      <c r="BH263" s="11"/>
      <c r="BI263" s="39"/>
      <c r="BJ263" s="43">
        <v>91.666666666666671</v>
      </c>
      <c r="BK263" s="10"/>
      <c r="BL263" s="11"/>
      <c r="BM263" s="69">
        <f t="shared" si="1703"/>
        <v>673</v>
      </c>
      <c r="BN263" s="69">
        <f t="shared" si="1703"/>
        <v>53</v>
      </c>
      <c r="BO263" s="11">
        <v>228</v>
      </c>
      <c r="BP263" s="12">
        <f t="shared" si="1666"/>
        <v>0.35661218424962854</v>
      </c>
      <c r="BQ263" s="11">
        <v>12</v>
      </c>
      <c r="BR263" s="12">
        <f t="shared" si="1667"/>
        <v>0.05</v>
      </c>
      <c r="BS263" s="13"/>
      <c r="BT263" s="11"/>
      <c r="BU263" s="39"/>
      <c r="BV263" s="43">
        <v>100</v>
      </c>
      <c r="BW263" s="10"/>
      <c r="BX263" s="11"/>
      <c r="BY263" s="69">
        <f t="shared" si="1704"/>
        <v>0</v>
      </c>
      <c r="BZ263" s="69">
        <f t="shared" si="1704"/>
        <v>0</v>
      </c>
      <c r="CA263" s="11"/>
      <c r="CB263" s="12" t="e">
        <f t="shared" si="1668"/>
        <v>#DIV/0!</v>
      </c>
      <c r="CC263" s="11"/>
      <c r="CD263" s="12" t="e">
        <f t="shared" si="1669"/>
        <v>#DIV/0!</v>
      </c>
      <c r="CE263" s="13"/>
      <c r="CF263" s="11"/>
      <c r="CG263" s="39"/>
      <c r="CH263" s="43"/>
      <c r="CI263" s="10"/>
      <c r="CJ263" s="11"/>
      <c r="CK263" s="69">
        <f t="shared" si="1705"/>
        <v>0</v>
      </c>
      <c r="CL263" s="69">
        <f t="shared" si="1705"/>
        <v>0</v>
      </c>
      <c r="CM263" s="11"/>
      <c r="CN263" s="12" t="e">
        <f t="shared" si="1670"/>
        <v>#DIV/0!</v>
      </c>
      <c r="CO263" s="11"/>
      <c r="CP263" s="12" t="e">
        <f t="shared" si="1671"/>
        <v>#DIV/0!</v>
      </c>
      <c r="CQ263" s="13"/>
      <c r="CR263" s="11"/>
      <c r="CS263" s="39"/>
      <c r="CT263" s="43"/>
      <c r="CU263" s="10"/>
      <c r="CV263" s="11"/>
      <c r="CW263" s="69">
        <f t="shared" si="1706"/>
        <v>0</v>
      </c>
      <c r="CX263" s="69">
        <f t="shared" si="1706"/>
        <v>0</v>
      </c>
      <c r="CY263" s="11"/>
      <c r="CZ263" s="12" t="e">
        <f t="shared" si="1672"/>
        <v>#DIV/0!</v>
      </c>
      <c r="DA263" s="11"/>
      <c r="DB263" s="12" t="e">
        <f t="shared" si="1673"/>
        <v>#DIV/0!</v>
      </c>
      <c r="DC263" s="13"/>
      <c r="DD263" s="11"/>
      <c r="DE263" s="39"/>
      <c r="DF263" s="43"/>
      <c r="DG263" s="10"/>
      <c r="DH263" s="11"/>
      <c r="DI263" s="69">
        <f t="shared" si="1707"/>
        <v>0</v>
      </c>
      <c r="DJ263" s="69">
        <f t="shared" si="1707"/>
        <v>0</v>
      </c>
      <c r="DK263" s="11"/>
      <c r="DL263" s="12" t="e">
        <f t="shared" si="1674"/>
        <v>#DIV/0!</v>
      </c>
      <c r="DM263" s="11"/>
      <c r="DN263" s="12" t="e">
        <f t="shared" si="1675"/>
        <v>#DIV/0!</v>
      </c>
      <c r="DO263" s="13"/>
      <c r="DP263" s="11"/>
      <c r="DQ263" s="39"/>
      <c r="DR263" s="43"/>
      <c r="DS263" s="10"/>
      <c r="DT263" s="11"/>
      <c r="DU263" s="69">
        <f t="shared" si="1708"/>
        <v>0</v>
      </c>
      <c r="DV263" s="69">
        <f t="shared" si="1708"/>
        <v>0</v>
      </c>
      <c r="DW263" s="11"/>
      <c r="DX263" s="12" t="e">
        <f t="shared" si="1676"/>
        <v>#DIV/0!</v>
      </c>
      <c r="DY263" s="11"/>
      <c r="DZ263" s="12" t="e">
        <f t="shared" si="1677"/>
        <v>#DIV/0!</v>
      </c>
      <c r="EA263" s="13"/>
      <c r="EB263" s="11"/>
      <c r="EC263" s="39"/>
      <c r="ED263" s="43"/>
      <c r="EE263" s="10"/>
      <c r="EF263" s="11"/>
      <c r="EG263" s="69">
        <f t="shared" si="1709"/>
        <v>0</v>
      </c>
      <c r="EH263" s="69">
        <f t="shared" si="1709"/>
        <v>0</v>
      </c>
      <c r="EI263" s="11"/>
      <c r="EJ263" s="12" t="e">
        <f t="shared" si="1678"/>
        <v>#DIV/0!</v>
      </c>
      <c r="EK263" s="11"/>
      <c r="EL263" s="12" t="e">
        <f t="shared" si="1679"/>
        <v>#DIV/0!</v>
      </c>
      <c r="EM263" s="13"/>
      <c r="EN263" s="11"/>
      <c r="EO263" s="39"/>
      <c r="EP263" s="43"/>
      <c r="EQ263" s="10"/>
      <c r="ER263" s="11"/>
      <c r="ES263" s="69">
        <f t="shared" si="1710"/>
        <v>0</v>
      </c>
      <c r="ET263" s="69">
        <f t="shared" si="1710"/>
        <v>0</v>
      </c>
      <c r="EU263" s="11"/>
      <c r="EV263" s="12" t="e">
        <f t="shared" si="1680"/>
        <v>#DIV/0!</v>
      </c>
      <c r="EW263" s="11"/>
      <c r="EX263" s="12" t="e">
        <f t="shared" si="1681"/>
        <v>#DIV/0!</v>
      </c>
      <c r="EY263" s="13"/>
      <c r="EZ263" s="11"/>
      <c r="FA263" s="39"/>
      <c r="FB263" s="43"/>
      <c r="FC263" s="10"/>
      <c r="FD263" s="11"/>
      <c r="FE263" s="69">
        <f t="shared" si="1711"/>
        <v>0</v>
      </c>
      <c r="FF263" s="69">
        <f t="shared" si="1711"/>
        <v>0</v>
      </c>
      <c r="FG263" s="11"/>
      <c r="FH263" s="12" t="e">
        <f t="shared" si="1682"/>
        <v>#DIV/0!</v>
      </c>
      <c r="FI263" s="11"/>
      <c r="FJ263" s="12" t="e">
        <f t="shared" si="1683"/>
        <v>#DIV/0!</v>
      </c>
      <c r="FK263" s="13"/>
      <c r="FL263" s="11"/>
      <c r="FM263" s="39"/>
      <c r="FN263" s="43"/>
      <c r="FO263" s="10"/>
      <c r="FP263" s="11"/>
      <c r="FQ263" s="69">
        <f t="shared" si="1712"/>
        <v>0</v>
      </c>
      <c r="FR263" s="69">
        <f t="shared" si="1712"/>
        <v>0</v>
      </c>
      <c r="FS263" s="11"/>
      <c r="FT263" s="12" t="e">
        <f t="shared" si="1684"/>
        <v>#DIV/0!</v>
      </c>
      <c r="FU263" s="11"/>
      <c r="FV263" s="12" t="e">
        <f t="shared" si="1685"/>
        <v>#DIV/0!</v>
      </c>
      <c r="FW263" s="13"/>
      <c r="FX263" s="11"/>
      <c r="FY263" s="39"/>
      <c r="FZ263" s="43"/>
      <c r="GA263" s="10"/>
      <c r="GB263" s="11"/>
      <c r="GC263" s="69">
        <f t="shared" si="1713"/>
        <v>0</v>
      </c>
      <c r="GD263" s="69">
        <f t="shared" si="1713"/>
        <v>0</v>
      </c>
      <c r="GE263" s="11"/>
      <c r="GF263" s="12" t="e">
        <f t="shared" si="1686"/>
        <v>#DIV/0!</v>
      </c>
      <c r="GG263" s="11"/>
      <c r="GH263" s="12" t="e">
        <f t="shared" si="1687"/>
        <v>#DIV/0!</v>
      </c>
      <c r="GI263" s="13"/>
      <c r="GJ263" s="11"/>
      <c r="GK263" s="39"/>
      <c r="GL263" s="43"/>
      <c r="GM263" s="10"/>
      <c r="GN263" s="11"/>
      <c r="GO263" s="69">
        <f t="shared" si="1714"/>
        <v>0</v>
      </c>
      <c r="GP263" s="69">
        <f t="shared" si="1714"/>
        <v>0</v>
      </c>
      <c r="GQ263" s="11"/>
      <c r="GR263" s="12" t="e">
        <f t="shared" si="1688"/>
        <v>#DIV/0!</v>
      </c>
      <c r="GS263" s="11"/>
      <c r="GT263" s="12" t="e">
        <f t="shared" si="1689"/>
        <v>#DIV/0!</v>
      </c>
      <c r="GU263" s="13"/>
      <c r="GV263" s="11"/>
      <c r="GW263" s="39"/>
      <c r="GX263" s="43"/>
      <c r="GY263" s="10"/>
      <c r="GZ263" s="11"/>
      <c r="HA263" s="69">
        <f t="shared" si="1715"/>
        <v>0</v>
      </c>
      <c r="HB263" s="69">
        <f t="shared" si="1715"/>
        <v>0</v>
      </c>
      <c r="HC263" s="11"/>
      <c r="HD263" s="12" t="e">
        <f t="shared" si="1690"/>
        <v>#DIV/0!</v>
      </c>
      <c r="HE263" s="11"/>
      <c r="HF263" s="12" t="e">
        <f t="shared" si="1691"/>
        <v>#DIV/0!</v>
      </c>
      <c r="HG263" s="13"/>
      <c r="HH263" s="11"/>
      <c r="HI263" s="39"/>
      <c r="HJ263" s="43"/>
      <c r="HK263" s="10">
        <f t="shared" si="1692"/>
        <v>0</v>
      </c>
      <c r="HL263" s="11">
        <f t="shared" si="1692"/>
        <v>1</v>
      </c>
      <c r="HM263" s="11">
        <f t="shared" si="1692"/>
        <v>3365</v>
      </c>
      <c r="HN263" s="11">
        <f t="shared" si="1692"/>
        <v>262</v>
      </c>
      <c r="HO263" s="11">
        <f t="shared" si="1693"/>
        <v>1139</v>
      </c>
      <c r="HP263" s="95">
        <f t="shared" si="1694"/>
        <v>0.3384843982169391</v>
      </c>
      <c r="HQ263" s="15">
        <f t="shared" si="1695"/>
        <v>61</v>
      </c>
      <c r="HR263" s="12">
        <f t="shared" si="1716"/>
        <v>5.3555750658472345E-2</v>
      </c>
      <c r="HS263" s="16">
        <v>70.8</v>
      </c>
      <c r="HT263" s="17">
        <v>1036</v>
      </c>
      <c r="HU263" s="16">
        <f t="shared" si="1696"/>
        <v>90.956979806848111</v>
      </c>
      <c r="HV263" s="23"/>
      <c r="HW263" s="22">
        <v>82.692307692307693</v>
      </c>
    </row>
    <row r="264" spans="1:231" ht="19.5" thickBot="1" x14ac:dyDescent="0.3">
      <c r="A264" s="374"/>
      <c r="B264" s="42"/>
      <c r="C264" s="26">
        <f>SUM(C257:C263)</f>
        <v>2</v>
      </c>
      <c r="D264" s="27">
        <f>SUM(D257:D263)</f>
        <v>0</v>
      </c>
      <c r="E264" s="27"/>
      <c r="F264" s="27"/>
      <c r="G264" s="27">
        <f>SUM(G257:G263)</f>
        <v>1298</v>
      </c>
      <c r="H264" s="28">
        <f>((G264+I264)/7)/E263</f>
        <v>0.33517406962785112</v>
      </c>
      <c r="I264" s="27">
        <f>SUM(I257:I263)</f>
        <v>98</v>
      </c>
      <c r="J264" s="28">
        <f>(I264/(I264+G264))</f>
        <v>7.0200573065902577E-2</v>
      </c>
      <c r="K264" s="27"/>
      <c r="L264" s="27"/>
      <c r="M264" s="29" t="e">
        <f>M262/M261*100-100</f>
        <v>#DIV/0!</v>
      </c>
      <c r="N264" s="67">
        <f>N262/N261*100-100</f>
        <v>1.5042372881355988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1331</v>
      </c>
      <c r="T264" s="28">
        <f>((S264+U264)/7)/Q263</f>
        <v>0.33757661480433759</v>
      </c>
      <c r="U264" s="27">
        <f>SUM(U257:U263)</f>
        <v>101</v>
      </c>
      <c r="V264" s="28">
        <f>(U264/(U264+S264))</f>
        <v>7.0530726256983242E-2</v>
      </c>
      <c r="W264" s="27"/>
      <c r="X264" s="27"/>
      <c r="Y264" s="29" t="e">
        <f>Y262/Y261*100-100</f>
        <v>#DIV/0!</v>
      </c>
      <c r="Z264" s="67">
        <f>Z262/Z261*100-100</f>
        <v>6.818181818181813</v>
      </c>
      <c r="AA264" s="26">
        <f>SUM(AA257:AA263)</f>
        <v>0</v>
      </c>
      <c r="AB264" s="27">
        <f>SUM(AB257:AB263)</f>
        <v>1</v>
      </c>
      <c r="AC264" s="27"/>
      <c r="AD264" s="27"/>
      <c r="AE264" s="27">
        <f>SUM(AE257:AE263)</f>
        <v>283</v>
      </c>
      <c r="AF264" s="28">
        <f>((AE264+AG264)/7)/AC263</f>
        <v>0.30816326530612248</v>
      </c>
      <c r="AG264" s="27">
        <f>SUM(AG257:AG263)</f>
        <v>19</v>
      </c>
      <c r="AH264" s="28">
        <f>(AG264/(AG264+AE264))</f>
        <v>6.2913907284768214E-2</v>
      </c>
      <c r="AI264" s="27"/>
      <c r="AJ264" s="27"/>
      <c r="AK264" s="29" t="e">
        <f>AK262/AK261*100-100</f>
        <v>#DIV/0!</v>
      </c>
      <c r="AL264" s="67">
        <f>AL262/AL261*100-100</f>
        <v>-3.1779661016949206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1495</v>
      </c>
      <c r="AR264" s="28">
        <f>((AQ264+AS264)/7)/AO263</f>
        <v>0.33418367346938777</v>
      </c>
      <c r="AS264" s="27">
        <f>SUM(AS257:AS263)</f>
        <v>77</v>
      </c>
      <c r="AT264" s="28">
        <f>(AS264/(AS264+AQ264))</f>
        <v>4.8982188295165395E-2</v>
      </c>
      <c r="AU264" s="27"/>
      <c r="AV264" s="27"/>
      <c r="AW264" s="29" t="e">
        <f>AW262/AW261*100-100</f>
        <v>#DIV/0!</v>
      </c>
      <c r="AX264" s="67">
        <f>AX262/AX261*100-100</f>
        <v>8.6228813559322077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1515</v>
      </c>
      <c r="BD264" s="28">
        <f>((BC264+BE264)/7)/BA263</f>
        <v>0.33789185777403741</v>
      </c>
      <c r="BE264" s="27">
        <f>SUM(BE257:BE263)</f>
        <v>91</v>
      </c>
      <c r="BF264" s="28">
        <f>(BE264/(BE264+BC264))</f>
        <v>5.6662515566625153E-2</v>
      </c>
      <c r="BG264" s="27"/>
      <c r="BH264" s="27"/>
      <c r="BI264" s="29" t="e">
        <f>BI262/BI261*100-100</f>
        <v>#DIV/0!</v>
      </c>
      <c r="BJ264" s="67">
        <f>BJ262/BJ261*100-100</f>
        <v>7.1151129943502838</v>
      </c>
      <c r="BK264" s="26">
        <f>SUM(BK257:BK263)</f>
        <v>1</v>
      </c>
      <c r="BL264" s="27">
        <f>SUM(BL257:BL263)</f>
        <v>0</v>
      </c>
      <c r="BM264" s="27"/>
      <c r="BN264" s="27"/>
      <c r="BO264" s="27">
        <f>SUM(BO257:BO263)</f>
        <v>1576</v>
      </c>
      <c r="BP264" s="28">
        <f>((BO264+BQ264)/7)/BM263</f>
        <v>0.35321587773296542</v>
      </c>
      <c r="BQ264" s="27">
        <f>SUM(BQ257:BQ263)</f>
        <v>88</v>
      </c>
      <c r="BR264" s="28">
        <f>(BQ264/(BQ264+BO264))</f>
        <v>5.2884615384615384E-2</v>
      </c>
      <c r="BS264" s="27"/>
      <c r="BT264" s="27"/>
      <c r="BU264" s="29" t="e">
        <f>BU262/BU261*100-100</f>
        <v>#DIV/0!</v>
      </c>
      <c r="BV264" s="67">
        <f>BV262/BV261*100-100</f>
        <v>17.826876513317202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7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7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7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7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7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7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7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7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7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7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7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7" t="e">
        <f>HJ262/HJ261*100-100</f>
        <v>#DIV/0!</v>
      </c>
      <c r="HK264" s="26">
        <f t="shared" si="1692"/>
        <v>8</v>
      </c>
      <c r="HL264" s="27">
        <f t="shared" si="1692"/>
        <v>1</v>
      </c>
      <c r="HM264" s="27">
        <f t="shared" si="1692"/>
        <v>0</v>
      </c>
      <c r="HN264" s="27">
        <f t="shared" si="1692"/>
        <v>0</v>
      </c>
      <c r="HO264" s="27">
        <f t="shared" si="1693"/>
        <v>7972</v>
      </c>
      <c r="HP264" s="96">
        <f>+((HO264)/HM263)/7</f>
        <v>0.33844194438548081</v>
      </c>
      <c r="HQ264" s="62">
        <f t="shared" si="1695"/>
        <v>474</v>
      </c>
      <c r="HR264" s="52">
        <f t="shared" si="1716"/>
        <v>5.9458103361766185E-2</v>
      </c>
      <c r="HS264" s="53">
        <f>SUM(HS257:HS263)/7</f>
        <v>71.314285714285717</v>
      </c>
      <c r="HT264" s="54">
        <f>SUM(HT257:HT263)</f>
        <v>7244</v>
      </c>
      <c r="HU264" s="53">
        <f>AVERAGE(HU257:HU263)</f>
        <v>90.893496244452351</v>
      </c>
      <c r="HV264" s="63" t="e">
        <f>HV262/HV261*100-100</f>
        <v>#DIV/0!</v>
      </c>
      <c r="HW264" s="67">
        <f>HW262/HW261*100-100</f>
        <v>7.3093220338983116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2.3717758671805513E-3</v>
      </c>
      <c r="HL265" s="66">
        <f>HL264/HN254</f>
        <v>3.8022813688212928E-3</v>
      </c>
      <c r="HM265" s="45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373">
        <v>54</v>
      </c>
      <c r="B266" s="68">
        <f>B263+1</f>
        <v>45144</v>
      </c>
      <c r="C266" s="33"/>
      <c r="D266" s="34"/>
      <c r="E266" s="34">
        <f>E263-C266</f>
        <v>595</v>
      </c>
      <c r="F266" s="34">
        <f>F263-D266</f>
        <v>47</v>
      </c>
      <c r="G266" s="34">
        <v>203</v>
      </c>
      <c r="H266" s="35">
        <f t="shared" ref="H266:H272" si="1717">((G266+I266)/E266)</f>
        <v>0.36134453781512604</v>
      </c>
      <c r="I266" s="34">
        <v>12</v>
      </c>
      <c r="J266" s="35">
        <f>I266/(G266+I266)</f>
        <v>5.5813953488372092E-2</v>
      </c>
      <c r="K266" s="36"/>
      <c r="L266" s="34"/>
      <c r="M266" s="34"/>
      <c r="N266" s="37"/>
      <c r="O266" s="33"/>
      <c r="P266" s="34"/>
      <c r="Q266" s="34">
        <f>Q263-O266</f>
        <v>606</v>
      </c>
      <c r="R266" s="34">
        <f>R263-P266</f>
        <v>47</v>
      </c>
      <c r="S266" s="34">
        <v>202</v>
      </c>
      <c r="T266" s="35">
        <f t="shared" ref="T266:T272" si="1718">((S266+U266)/Q266)</f>
        <v>0.34818481848184818</v>
      </c>
      <c r="U266" s="34">
        <v>9</v>
      </c>
      <c r="V266" s="35">
        <f t="shared" ref="V266:V272" si="1719">U266/(S266+U266)</f>
        <v>4.2654028436018961E-2</v>
      </c>
      <c r="W266" s="36"/>
      <c r="X266" s="34"/>
      <c r="Y266" s="34"/>
      <c r="Z266" s="37"/>
      <c r="AA266" s="33"/>
      <c r="AB266" s="34"/>
      <c r="AC266" s="34">
        <f>AC263-AA266</f>
        <v>140</v>
      </c>
      <c r="AD266" s="34">
        <f>AD263-AB266</f>
        <v>10</v>
      </c>
      <c r="AE266" s="34">
        <v>44</v>
      </c>
      <c r="AF266" s="35">
        <f t="shared" ref="AF266:AF272" si="1720">((AE266+AG266)/AC266)</f>
        <v>0.33571428571428569</v>
      </c>
      <c r="AG266" s="34">
        <v>3</v>
      </c>
      <c r="AH266" s="35">
        <f t="shared" ref="AH266:AH272" si="1721">AG266/(AE266+AG266)</f>
        <v>6.3829787234042548E-2</v>
      </c>
      <c r="AI266" s="36"/>
      <c r="AJ266" s="34"/>
      <c r="AK266" s="34"/>
      <c r="AL266" s="37"/>
      <c r="AM266" s="33"/>
      <c r="AN266" s="34"/>
      <c r="AO266" s="34">
        <f>AO263-AM266</f>
        <v>672</v>
      </c>
      <c r="AP266" s="34">
        <f>AP263-AN266</f>
        <v>52</v>
      </c>
      <c r="AQ266" s="34">
        <v>211</v>
      </c>
      <c r="AR266" s="35">
        <f t="shared" ref="AR266:AR272" si="1722">((AQ266+AS266)/AO266)</f>
        <v>0.33779761904761907</v>
      </c>
      <c r="AS266" s="34">
        <v>16</v>
      </c>
      <c r="AT266" s="35">
        <f t="shared" ref="AT266:AT272" si="1723">AS266/(AQ266+AS266)</f>
        <v>7.0484581497797363E-2</v>
      </c>
      <c r="AU266" s="36"/>
      <c r="AV266" s="34"/>
      <c r="AW266" s="34"/>
      <c r="AX266" s="37"/>
      <c r="AY266" s="33"/>
      <c r="AZ266" s="34"/>
      <c r="BA266" s="34">
        <f>BA263-AY266</f>
        <v>679</v>
      </c>
      <c r="BB266" s="34">
        <f>BB263-AZ266</f>
        <v>53</v>
      </c>
      <c r="BC266" s="34">
        <v>213</v>
      </c>
      <c r="BD266" s="35">
        <f t="shared" ref="BD266:BD272" si="1724">((BC266+BE266)/BA266)</f>
        <v>0.33578792341678937</v>
      </c>
      <c r="BE266" s="34">
        <v>15</v>
      </c>
      <c r="BF266" s="35">
        <f t="shared" ref="BF266:BF272" si="1725">BE266/(BC266+BE266)</f>
        <v>6.5789473684210523E-2</v>
      </c>
      <c r="BG266" s="36"/>
      <c r="BH266" s="34"/>
      <c r="BI266" s="34"/>
      <c r="BJ266" s="37"/>
      <c r="BK266" s="33"/>
      <c r="BL266" s="34"/>
      <c r="BM266" s="34">
        <f>BM263-BK266</f>
        <v>673</v>
      </c>
      <c r="BN266" s="34">
        <f>BN263-BL266</f>
        <v>53</v>
      </c>
      <c r="BO266" s="34">
        <v>211</v>
      </c>
      <c r="BP266" s="35">
        <f t="shared" ref="BP266:BP272" si="1726">((BO266+BQ266)/BM266)</f>
        <v>0.33580980683506684</v>
      </c>
      <c r="BQ266" s="34">
        <v>15</v>
      </c>
      <c r="BR266" s="35">
        <f t="shared" ref="BR266:BR272" si="1727">BQ266/(BO266+BQ266)</f>
        <v>6.637168141592921E-2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0</v>
      </c>
      <c r="CA266" s="34"/>
      <c r="CB266" s="35" t="e">
        <f t="shared" ref="CB266:CB272" si="1728">((CA266+CC266)/BY266)</f>
        <v>#DIV/0!</v>
      </c>
      <c r="CC266" s="34"/>
      <c r="CD266" s="35" t="e">
        <f t="shared" ref="CD266:CD272" si="1729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730">((CM266+CO266)/CK266)</f>
        <v>#DIV/0!</v>
      </c>
      <c r="CO266" s="34"/>
      <c r="CP266" s="35" t="e">
        <f t="shared" ref="CP266:CP272" si="1731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732">((CY266+DA266)/CW266)</f>
        <v>#DIV/0!</v>
      </c>
      <c r="DA266" s="34"/>
      <c r="DB266" s="35" t="e">
        <f t="shared" ref="DB266:DB272" si="1733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734">((DK266+DM266)/DI266)</f>
        <v>#DIV/0!</v>
      </c>
      <c r="DM266" s="34"/>
      <c r="DN266" s="35" t="e">
        <f t="shared" ref="DN266:DN272" si="1735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736">((DW266+DY266)/DU266)</f>
        <v>#DIV/0!</v>
      </c>
      <c r="DY266" s="34"/>
      <c r="DZ266" s="35" t="e">
        <f t="shared" ref="DZ266:DZ272" si="1737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738">((EI266+EK266)/EG266)</f>
        <v>#DIV/0!</v>
      </c>
      <c r="EK266" s="34"/>
      <c r="EL266" s="35" t="e">
        <f t="shared" ref="EL266:EL272" si="1739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740">((EU266+EW266)/ES266)</f>
        <v>#DIV/0!</v>
      </c>
      <c r="EW266" s="34"/>
      <c r="EX266" s="35" t="e">
        <f t="shared" ref="EX266:EX272" si="1741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742">((FG266+FI266)/FE266)</f>
        <v>#DIV/0!</v>
      </c>
      <c r="FI266" s="34"/>
      <c r="FJ266" s="35" t="e">
        <f t="shared" ref="FJ266:FJ272" si="1743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744">((FS266+FU266)/FQ266)</f>
        <v>#DIV/0!</v>
      </c>
      <c r="FU266" s="34"/>
      <c r="FV266" s="35" t="e">
        <f t="shared" ref="FV266:FV272" si="1745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746">((GE266+GG266)/GC266)</f>
        <v>#DIV/0!</v>
      </c>
      <c r="GG266" s="34"/>
      <c r="GH266" s="35" t="e">
        <f t="shared" ref="GH266:GH272" si="1747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748">((GQ266+GS266)/GO266)</f>
        <v>#DIV/0!</v>
      </c>
      <c r="GS266" s="34"/>
      <c r="GT266" s="35" t="e">
        <f t="shared" ref="GT266:GT272" si="1749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750">((HC266+HE266)/HA266)</f>
        <v>#DIV/0!</v>
      </c>
      <c r="HE266" s="34"/>
      <c r="HF266" s="35" t="e">
        <f t="shared" ref="HF266:HF272" si="1751">HE266/(HC266+HE266)</f>
        <v>#DIV/0!</v>
      </c>
      <c r="HG266" s="36"/>
      <c r="HH266" s="34"/>
      <c r="HI266" s="34"/>
      <c r="HJ266" s="37"/>
      <c r="HK266" s="33">
        <f t="shared" ref="HK266:HN273" si="1752">+C266+O266+AA266+AM266+AY266+BK266+BW266+CI266+CU266+DG266+DS266+EE266+EQ266+FC266+FO266+GA266+GM266+GY266</f>
        <v>0</v>
      </c>
      <c r="HL266" s="34">
        <f t="shared" si="1752"/>
        <v>0</v>
      </c>
      <c r="HM266" s="34">
        <f t="shared" si="1752"/>
        <v>3365</v>
      </c>
      <c r="HN266" s="34">
        <f t="shared" si="1752"/>
        <v>262</v>
      </c>
      <c r="HO266" s="34">
        <f t="shared" ref="HO266:HO273" si="1753">+G266+S266+AE266+AQ266+BC266+BO266+CA266+CM266+CY266+DK266+DW266+EI266+EU266+FG266+FS266+GE266+GQ266+HC266+I266+U266+AG266+AS266+BE266+BQ266+CC266+CO266+DA266+DM266+DY266+EK266+EW266+FI266+FU266+GG266+GS266+HE266</f>
        <v>1154</v>
      </c>
      <c r="HP266" s="94">
        <f t="shared" ref="HP266:HP272" si="1754">+(HO266)/HM266</f>
        <v>0.34294205052005944</v>
      </c>
      <c r="HQ266" s="48">
        <f t="shared" ref="HQ266:HQ273" si="1755">+I266+U266+AG266+AS266+BE266+BQ266+CC266+CO266+DA266+DM266+DY266+EK266+EW266+FI266+FU266+GG266+GS266+HE266</f>
        <v>70</v>
      </c>
      <c r="HR266" s="35">
        <f>+(HQ266/(HO266))</f>
        <v>6.0658578856152515E-2</v>
      </c>
      <c r="HS266" s="49">
        <v>71.3</v>
      </c>
      <c r="HT266" s="50">
        <v>1039</v>
      </c>
      <c r="HU266" s="49">
        <f t="shared" ref="HU266:HU272" si="1756">+HT266/HO266*100</f>
        <v>90.034662045060657</v>
      </c>
      <c r="HV266" s="48"/>
      <c r="HW266" s="37"/>
    </row>
    <row r="267" spans="1:231" ht="18.75" x14ac:dyDescent="0.25">
      <c r="A267" s="374"/>
      <c r="B267" s="41">
        <f t="shared" si="1656"/>
        <v>45145</v>
      </c>
      <c r="C267" s="10">
        <v>1</v>
      </c>
      <c r="D267" s="11"/>
      <c r="E267" s="69">
        <f t="shared" ref="E267:F271" si="1757">E266-C267</f>
        <v>594</v>
      </c>
      <c r="F267" s="69">
        <f t="shared" si="1757"/>
        <v>47</v>
      </c>
      <c r="G267" s="11">
        <v>170</v>
      </c>
      <c r="H267" s="12">
        <f t="shared" si="1717"/>
        <v>0.31313131313131315</v>
      </c>
      <c r="I267" s="11">
        <v>16</v>
      </c>
      <c r="J267" s="12">
        <f t="shared" ref="J267:J272" si="1758">I267/(G267+I267)</f>
        <v>8.6021505376344093E-2</v>
      </c>
      <c r="K267" s="13"/>
      <c r="L267" s="11"/>
      <c r="M267" s="11"/>
      <c r="N267" s="14"/>
      <c r="O267" s="10"/>
      <c r="P267" s="11"/>
      <c r="Q267" s="69">
        <f t="shared" ref="Q267:R272" si="1759">Q266-O267</f>
        <v>606</v>
      </c>
      <c r="R267" s="69">
        <f t="shared" si="1759"/>
        <v>47</v>
      </c>
      <c r="S267" s="11">
        <v>179</v>
      </c>
      <c r="T267" s="12">
        <f t="shared" si="1718"/>
        <v>0.31848184818481851</v>
      </c>
      <c r="U267" s="11">
        <v>14</v>
      </c>
      <c r="V267" s="12">
        <f t="shared" si="1719"/>
        <v>7.2538860103626937E-2</v>
      </c>
      <c r="W267" s="13"/>
      <c r="X267" s="11"/>
      <c r="Y267" s="11"/>
      <c r="Z267" s="14"/>
      <c r="AA267" s="10"/>
      <c r="AB267" s="11"/>
      <c r="AC267" s="69">
        <f t="shared" ref="AC267:AD272" si="1760">AC266-AA267</f>
        <v>140</v>
      </c>
      <c r="AD267" s="69">
        <f t="shared" si="1760"/>
        <v>10</v>
      </c>
      <c r="AE267" s="11">
        <v>54</v>
      </c>
      <c r="AF267" s="12">
        <f t="shared" si="1720"/>
        <v>0.42142857142857143</v>
      </c>
      <c r="AG267" s="11">
        <v>5</v>
      </c>
      <c r="AH267" s="12">
        <f t="shared" si="1721"/>
        <v>8.4745762711864403E-2</v>
      </c>
      <c r="AI267" s="13"/>
      <c r="AJ267" s="11"/>
      <c r="AK267" s="11"/>
      <c r="AL267" s="14"/>
      <c r="AM267" s="10"/>
      <c r="AN267" s="11"/>
      <c r="AO267" s="69">
        <f t="shared" ref="AO267:AP272" si="1761">AO266-AM267</f>
        <v>672</v>
      </c>
      <c r="AP267" s="69">
        <f t="shared" si="1761"/>
        <v>52</v>
      </c>
      <c r="AQ267" s="11">
        <v>207</v>
      </c>
      <c r="AR267" s="12">
        <f t="shared" si="1722"/>
        <v>0.32440476190476192</v>
      </c>
      <c r="AS267" s="11">
        <v>11</v>
      </c>
      <c r="AT267" s="12">
        <f t="shared" si="1723"/>
        <v>5.0458715596330278E-2</v>
      </c>
      <c r="AU267" s="13"/>
      <c r="AV267" s="11"/>
      <c r="AW267" s="11"/>
      <c r="AX267" s="14"/>
      <c r="AY267" s="10">
        <v>1</v>
      </c>
      <c r="AZ267" s="11"/>
      <c r="BA267" s="69">
        <f t="shared" ref="BA267:BB272" si="1762">BA266-AY267</f>
        <v>678</v>
      </c>
      <c r="BB267" s="69">
        <f t="shared" si="1762"/>
        <v>53</v>
      </c>
      <c r="BC267" s="11">
        <v>209</v>
      </c>
      <c r="BD267" s="12">
        <f t="shared" si="1724"/>
        <v>0.33185840707964603</v>
      </c>
      <c r="BE267" s="11">
        <v>16</v>
      </c>
      <c r="BF267" s="12">
        <f t="shared" si="1725"/>
        <v>7.1111111111111111E-2</v>
      </c>
      <c r="BG267" s="13"/>
      <c r="BH267" s="11"/>
      <c r="BI267" s="11"/>
      <c r="BJ267" s="14"/>
      <c r="BK267" s="10"/>
      <c r="BL267" s="11"/>
      <c r="BM267" s="69">
        <f t="shared" ref="BM267:BN272" si="1763">BM266-BK267</f>
        <v>673</v>
      </c>
      <c r="BN267" s="69">
        <f t="shared" si="1763"/>
        <v>53</v>
      </c>
      <c r="BO267" s="11">
        <v>209</v>
      </c>
      <c r="BP267" s="12">
        <f t="shared" si="1726"/>
        <v>0.32392273402674593</v>
      </c>
      <c r="BQ267" s="11">
        <v>9</v>
      </c>
      <c r="BR267" s="12">
        <f t="shared" si="1727"/>
        <v>4.1284403669724773E-2</v>
      </c>
      <c r="BS267" s="13"/>
      <c r="BT267" s="11"/>
      <c r="BU267" s="11"/>
      <c r="BV267" s="14"/>
      <c r="BW267" s="10"/>
      <c r="BX267" s="11"/>
      <c r="BY267" s="69">
        <f t="shared" ref="BY267:BZ272" si="1764">BY266-BW267</f>
        <v>0</v>
      </c>
      <c r="BZ267" s="69">
        <f t="shared" si="1764"/>
        <v>0</v>
      </c>
      <c r="CA267" s="11"/>
      <c r="CB267" s="12" t="e">
        <f t="shared" si="1728"/>
        <v>#DIV/0!</v>
      </c>
      <c r="CC267" s="11"/>
      <c r="CD267" s="12" t="e">
        <f t="shared" si="1729"/>
        <v>#DIV/0!</v>
      </c>
      <c r="CE267" s="13"/>
      <c r="CF267" s="11"/>
      <c r="CG267" s="11"/>
      <c r="CH267" s="14"/>
      <c r="CI267" s="10"/>
      <c r="CJ267" s="11"/>
      <c r="CK267" s="69">
        <f t="shared" ref="CK267:CL272" si="1765">CK266-CI267</f>
        <v>0</v>
      </c>
      <c r="CL267" s="69">
        <f t="shared" si="1765"/>
        <v>0</v>
      </c>
      <c r="CM267" s="11"/>
      <c r="CN267" s="12" t="e">
        <f t="shared" si="1730"/>
        <v>#DIV/0!</v>
      </c>
      <c r="CO267" s="11"/>
      <c r="CP267" s="12" t="e">
        <f t="shared" si="1731"/>
        <v>#DIV/0!</v>
      </c>
      <c r="CQ267" s="13"/>
      <c r="CR267" s="11"/>
      <c r="CS267" s="11"/>
      <c r="CT267" s="14"/>
      <c r="CU267" s="10"/>
      <c r="CV267" s="11"/>
      <c r="CW267" s="69">
        <f t="shared" ref="CW267:CX272" si="1766">CW266-CU267</f>
        <v>0</v>
      </c>
      <c r="CX267" s="69">
        <f t="shared" si="1766"/>
        <v>0</v>
      </c>
      <c r="CY267" s="11"/>
      <c r="CZ267" s="12" t="e">
        <f t="shared" si="1732"/>
        <v>#DIV/0!</v>
      </c>
      <c r="DA267" s="11"/>
      <c r="DB267" s="12" t="e">
        <f t="shared" si="1733"/>
        <v>#DIV/0!</v>
      </c>
      <c r="DC267" s="13"/>
      <c r="DD267" s="11"/>
      <c r="DE267" s="11"/>
      <c r="DF267" s="14"/>
      <c r="DG267" s="10"/>
      <c r="DH267" s="11"/>
      <c r="DI267" s="69">
        <f t="shared" ref="DI267:DJ272" si="1767">DI266-DG267</f>
        <v>0</v>
      </c>
      <c r="DJ267" s="69">
        <f t="shared" si="1767"/>
        <v>0</v>
      </c>
      <c r="DK267" s="11"/>
      <c r="DL267" s="12" t="e">
        <f t="shared" si="1734"/>
        <v>#DIV/0!</v>
      </c>
      <c r="DM267" s="11"/>
      <c r="DN267" s="12" t="e">
        <f t="shared" si="1735"/>
        <v>#DIV/0!</v>
      </c>
      <c r="DO267" s="13"/>
      <c r="DP267" s="11"/>
      <c r="DQ267" s="11"/>
      <c r="DR267" s="14"/>
      <c r="DS267" s="10"/>
      <c r="DT267" s="11"/>
      <c r="DU267" s="69">
        <f t="shared" ref="DU267:DV272" si="1768">DU266-DS267</f>
        <v>0</v>
      </c>
      <c r="DV267" s="69">
        <f t="shared" si="1768"/>
        <v>0</v>
      </c>
      <c r="DW267" s="11"/>
      <c r="DX267" s="12" t="e">
        <f t="shared" si="1736"/>
        <v>#DIV/0!</v>
      </c>
      <c r="DY267" s="11"/>
      <c r="DZ267" s="12" t="e">
        <f t="shared" si="1737"/>
        <v>#DIV/0!</v>
      </c>
      <c r="EA267" s="13"/>
      <c r="EB267" s="11"/>
      <c r="EC267" s="11"/>
      <c r="ED267" s="14"/>
      <c r="EE267" s="10"/>
      <c r="EF267" s="11"/>
      <c r="EG267" s="69">
        <f t="shared" ref="EG267:EH272" si="1769">EG266-EE267</f>
        <v>0</v>
      </c>
      <c r="EH267" s="69">
        <f t="shared" si="1769"/>
        <v>0</v>
      </c>
      <c r="EI267" s="11"/>
      <c r="EJ267" s="12" t="e">
        <f t="shared" si="1738"/>
        <v>#DIV/0!</v>
      </c>
      <c r="EK267" s="11"/>
      <c r="EL267" s="12" t="e">
        <f t="shared" si="1739"/>
        <v>#DIV/0!</v>
      </c>
      <c r="EM267" s="13"/>
      <c r="EN267" s="11"/>
      <c r="EO267" s="11"/>
      <c r="EP267" s="14"/>
      <c r="EQ267" s="10"/>
      <c r="ER267" s="11"/>
      <c r="ES267" s="69">
        <f t="shared" ref="ES267:ET272" si="1770">ES266-EQ267</f>
        <v>0</v>
      </c>
      <c r="ET267" s="69">
        <f t="shared" si="1770"/>
        <v>0</v>
      </c>
      <c r="EU267" s="11"/>
      <c r="EV267" s="12" t="e">
        <f t="shared" si="1740"/>
        <v>#DIV/0!</v>
      </c>
      <c r="EW267" s="11"/>
      <c r="EX267" s="12" t="e">
        <f t="shared" si="1741"/>
        <v>#DIV/0!</v>
      </c>
      <c r="EY267" s="13"/>
      <c r="EZ267" s="11"/>
      <c r="FA267" s="11"/>
      <c r="FB267" s="14"/>
      <c r="FC267" s="10"/>
      <c r="FD267" s="11"/>
      <c r="FE267" s="69">
        <f t="shared" ref="FE267:FF272" si="1771">FE266-FC267</f>
        <v>0</v>
      </c>
      <c r="FF267" s="69">
        <f t="shared" si="1771"/>
        <v>0</v>
      </c>
      <c r="FG267" s="11"/>
      <c r="FH267" s="12" t="e">
        <f t="shared" si="1742"/>
        <v>#DIV/0!</v>
      </c>
      <c r="FI267" s="11"/>
      <c r="FJ267" s="12" t="e">
        <f t="shared" si="1743"/>
        <v>#DIV/0!</v>
      </c>
      <c r="FK267" s="13"/>
      <c r="FL267" s="11"/>
      <c r="FM267" s="11"/>
      <c r="FN267" s="14"/>
      <c r="FO267" s="10"/>
      <c r="FP267" s="11"/>
      <c r="FQ267" s="69">
        <f t="shared" ref="FQ267:FR272" si="1772">FQ266-FO267</f>
        <v>0</v>
      </c>
      <c r="FR267" s="69">
        <f t="shared" si="1772"/>
        <v>0</v>
      </c>
      <c r="FS267" s="11"/>
      <c r="FT267" s="12" t="e">
        <f t="shared" si="1744"/>
        <v>#DIV/0!</v>
      </c>
      <c r="FU267" s="11"/>
      <c r="FV267" s="12" t="e">
        <f t="shared" si="1745"/>
        <v>#DIV/0!</v>
      </c>
      <c r="FW267" s="13"/>
      <c r="FX267" s="11"/>
      <c r="FY267" s="11"/>
      <c r="FZ267" s="14"/>
      <c r="GA267" s="10"/>
      <c r="GB267" s="11"/>
      <c r="GC267" s="69">
        <f t="shared" ref="GC267:GD272" si="1773">GC266-GA267</f>
        <v>0</v>
      </c>
      <c r="GD267" s="69">
        <f t="shared" si="1773"/>
        <v>0</v>
      </c>
      <c r="GE267" s="11"/>
      <c r="GF267" s="12" t="e">
        <f t="shared" si="1746"/>
        <v>#DIV/0!</v>
      </c>
      <c r="GG267" s="11"/>
      <c r="GH267" s="12" t="e">
        <f t="shared" si="1747"/>
        <v>#DIV/0!</v>
      </c>
      <c r="GI267" s="13"/>
      <c r="GJ267" s="11"/>
      <c r="GK267" s="11"/>
      <c r="GL267" s="14"/>
      <c r="GM267" s="10"/>
      <c r="GN267" s="11"/>
      <c r="GO267" s="69">
        <f t="shared" ref="GO267:GP272" si="1774">GO266-GM267</f>
        <v>0</v>
      </c>
      <c r="GP267" s="69">
        <f t="shared" si="1774"/>
        <v>0</v>
      </c>
      <c r="GQ267" s="11"/>
      <c r="GR267" s="12" t="e">
        <f t="shared" si="1748"/>
        <v>#DIV/0!</v>
      </c>
      <c r="GS267" s="11"/>
      <c r="GT267" s="12" t="e">
        <f t="shared" si="1749"/>
        <v>#DIV/0!</v>
      </c>
      <c r="GU267" s="13"/>
      <c r="GV267" s="11"/>
      <c r="GW267" s="11"/>
      <c r="GX267" s="14"/>
      <c r="GY267" s="10"/>
      <c r="GZ267" s="11"/>
      <c r="HA267" s="69">
        <f t="shared" ref="HA267:HB272" si="1775">HA266-GY267</f>
        <v>0</v>
      </c>
      <c r="HB267" s="69">
        <f t="shared" si="1775"/>
        <v>0</v>
      </c>
      <c r="HC267" s="11"/>
      <c r="HD267" s="12" t="e">
        <f t="shared" si="1750"/>
        <v>#DIV/0!</v>
      </c>
      <c r="HE267" s="11"/>
      <c r="HF267" s="12" t="e">
        <f t="shared" si="1751"/>
        <v>#DIV/0!</v>
      </c>
      <c r="HG267" s="13"/>
      <c r="HH267" s="11"/>
      <c r="HI267" s="11"/>
      <c r="HJ267" s="14"/>
      <c r="HK267" s="10">
        <f t="shared" si="1752"/>
        <v>2</v>
      </c>
      <c r="HL267" s="11">
        <f t="shared" si="1752"/>
        <v>0</v>
      </c>
      <c r="HM267" s="11">
        <f t="shared" si="1752"/>
        <v>3363</v>
      </c>
      <c r="HN267" s="11">
        <f t="shared" si="1752"/>
        <v>262</v>
      </c>
      <c r="HO267" s="11">
        <f t="shared" si="1753"/>
        <v>1099</v>
      </c>
      <c r="HP267" s="95">
        <f t="shared" si="1754"/>
        <v>0.32679155515908415</v>
      </c>
      <c r="HQ267" s="15">
        <f t="shared" si="1755"/>
        <v>71</v>
      </c>
      <c r="HR267" s="12">
        <f t="shared" ref="HR267:HR273" si="1776">+(HQ267/(HO267))</f>
        <v>6.4604185623293897E-2</v>
      </c>
      <c r="HS267" s="16">
        <v>71.2</v>
      </c>
      <c r="HT267" s="17">
        <v>990</v>
      </c>
      <c r="HU267" s="16">
        <f t="shared" si="1756"/>
        <v>90.081892629663329</v>
      </c>
      <c r="HV267" s="15"/>
      <c r="HW267" s="14"/>
    </row>
    <row r="268" spans="1:231" ht="18.75" x14ac:dyDescent="0.25">
      <c r="A268" s="374"/>
      <c r="B268" s="41">
        <f t="shared" si="1656"/>
        <v>45146</v>
      </c>
      <c r="C268" s="10"/>
      <c r="D268" s="11"/>
      <c r="E268" s="69">
        <f t="shared" si="1757"/>
        <v>594</v>
      </c>
      <c r="F268" s="69">
        <f t="shared" si="1757"/>
        <v>47</v>
      </c>
      <c r="G268" s="11">
        <v>193</v>
      </c>
      <c r="H268" s="12">
        <f t="shared" si="1717"/>
        <v>0.34680134680134678</v>
      </c>
      <c r="I268" s="11">
        <v>13</v>
      </c>
      <c r="J268" s="12">
        <f t="shared" si="1758"/>
        <v>6.3106796116504854E-2</v>
      </c>
      <c r="K268" s="13"/>
      <c r="L268" s="11"/>
      <c r="M268" s="11"/>
      <c r="N268" s="14"/>
      <c r="O268" s="10"/>
      <c r="P268" s="11"/>
      <c r="Q268" s="69">
        <f t="shared" si="1759"/>
        <v>606</v>
      </c>
      <c r="R268" s="69">
        <f t="shared" si="1759"/>
        <v>47</v>
      </c>
      <c r="S268" s="11">
        <v>173</v>
      </c>
      <c r="T268" s="12">
        <f t="shared" si="1718"/>
        <v>0.30198019801980197</v>
      </c>
      <c r="U268" s="11">
        <v>10</v>
      </c>
      <c r="V268" s="12">
        <f t="shared" si="1719"/>
        <v>5.4644808743169397E-2</v>
      </c>
      <c r="W268" s="13"/>
      <c r="X268" s="11"/>
      <c r="Y268" s="11"/>
      <c r="Z268" s="14"/>
      <c r="AA268" s="10"/>
      <c r="AB268" s="11"/>
      <c r="AC268" s="69">
        <f t="shared" si="1760"/>
        <v>140</v>
      </c>
      <c r="AD268" s="69">
        <f t="shared" si="1760"/>
        <v>10</v>
      </c>
      <c r="AE268" s="11">
        <v>41</v>
      </c>
      <c r="AF268" s="12">
        <f t="shared" si="1720"/>
        <v>0.32142857142857145</v>
      </c>
      <c r="AG268" s="11">
        <v>4</v>
      </c>
      <c r="AH268" s="12">
        <f t="shared" si="1721"/>
        <v>8.8888888888888892E-2</v>
      </c>
      <c r="AI268" s="13"/>
      <c r="AJ268" s="11"/>
      <c r="AK268" s="11"/>
      <c r="AL268" s="14"/>
      <c r="AM268" s="10"/>
      <c r="AN268" s="11"/>
      <c r="AO268" s="69">
        <f t="shared" si="1761"/>
        <v>672</v>
      </c>
      <c r="AP268" s="69">
        <f t="shared" si="1761"/>
        <v>52</v>
      </c>
      <c r="AQ268" s="11">
        <v>207</v>
      </c>
      <c r="AR268" s="12">
        <f t="shared" si="1722"/>
        <v>0.32291666666666669</v>
      </c>
      <c r="AS268" s="11">
        <v>10</v>
      </c>
      <c r="AT268" s="12">
        <f t="shared" si="1723"/>
        <v>4.6082949308755762E-2</v>
      </c>
      <c r="AU268" s="13"/>
      <c r="AV268" s="11"/>
      <c r="AW268" s="11"/>
      <c r="AX268" s="14"/>
      <c r="AY268" s="10"/>
      <c r="AZ268" s="11"/>
      <c r="BA268" s="69">
        <f t="shared" si="1762"/>
        <v>678</v>
      </c>
      <c r="BB268" s="69">
        <f t="shared" si="1762"/>
        <v>53</v>
      </c>
      <c r="BC268" s="11">
        <v>194</v>
      </c>
      <c r="BD268" s="12">
        <f t="shared" si="1724"/>
        <v>0.30088495575221241</v>
      </c>
      <c r="BE268" s="11">
        <v>10</v>
      </c>
      <c r="BF268" s="12">
        <f t="shared" si="1725"/>
        <v>4.9019607843137254E-2</v>
      </c>
      <c r="BG268" s="13"/>
      <c r="BH268" s="11"/>
      <c r="BI268" s="11"/>
      <c r="BJ268" s="14"/>
      <c r="BK268" s="10"/>
      <c r="BL268" s="11"/>
      <c r="BM268" s="69">
        <f t="shared" si="1763"/>
        <v>673</v>
      </c>
      <c r="BN268" s="69">
        <f t="shared" si="1763"/>
        <v>53</v>
      </c>
      <c r="BO268" s="11">
        <v>216</v>
      </c>
      <c r="BP268" s="12">
        <f t="shared" si="1726"/>
        <v>0.34026745913818723</v>
      </c>
      <c r="BQ268" s="11">
        <v>13</v>
      </c>
      <c r="BR268" s="12">
        <f t="shared" si="1727"/>
        <v>5.6768558951965066E-2</v>
      </c>
      <c r="BS268" s="13"/>
      <c r="BT268" s="11"/>
      <c r="BU268" s="11"/>
      <c r="BV268" s="14"/>
      <c r="BW268" s="10"/>
      <c r="BX268" s="11"/>
      <c r="BY268" s="69">
        <f t="shared" si="1764"/>
        <v>0</v>
      </c>
      <c r="BZ268" s="69">
        <f t="shared" si="1764"/>
        <v>0</v>
      </c>
      <c r="CA268" s="11"/>
      <c r="CB268" s="12" t="e">
        <f t="shared" si="1728"/>
        <v>#DIV/0!</v>
      </c>
      <c r="CC268" s="11"/>
      <c r="CD268" s="12" t="e">
        <f t="shared" si="1729"/>
        <v>#DIV/0!</v>
      </c>
      <c r="CE268" s="13"/>
      <c r="CF268" s="11"/>
      <c r="CG268" s="11"/>
      <c r="CH268" s="14"/>
      <c r="CI268" s="10"/>
      <c r="CJ268" s="11"/>
      <c r="CK268" s="69">
        <f t="shared" si="1765"/>
        <v>0</v>
      </c>
      <c r="CL268" s="69">
        <f t="shared" si="1765"/>
        <v>0</v>
      </c>
      <c r="CM268" s="11"/>
      <c r="CN268" s="12" t="e">
        <f t="shared" si="1730"/>
        <v>#DIV/0!</v>
      </c>
      <c r="CO268" s="11"/>
      <c r="CP268" s="12" t="e">
        <f t="shared" si="1731"/>
        <v>#DIV/0!</v>
      </c>
      <c r="CQ268" s="13"/>
      <c r="CR268" s="11"/>
      <c r="CS268" s="11"/>
      <c r="CT268" s="14"/>
      <c r="CU268" s="10"/>
      <c r="CV268" s="11"/>
      <c r="CW268" s="69">
        <f t="shared" si="1766"/>
        <v>0</v>
      </c>
      <c r="CX268" s="69">
        <f t="shared" si="1766"/>
        <v>0</v>
      </c>
      <c r="CY268" s="11"/>
      <c r="CZ268" s="12" t="e">
        <f t="shared" si="1732"/>
        <v>#DIV/0!</v>
      </c>
      <c r="DA268" s="11"/>
      <c r="DB268" s="12" t="e">
        <f t="shared" si="1733"/>
        <v>#DIV/0!</v>
      </c>
      <c r="DC268" s="13"/>
      <c r="DD268" s="11"/>
      <c r="DE268" s="11"/>
      <c r="DF268" s="14"/>
      <c r="DG268" s="10"/>
      <c r="DH268" s="11"/>
      <c r="DI268" s="69">
        <f t="shared" si="1767"/>
        <v>0</v>
      </c>
      <c r="DJ268" s="69">
        <f t="shared" si="1767"/>
        <v>0</v>
      </c>
      <c r="DK268" s="11"/>
      <c r="DL268" s="12" t="e">
        <f t="shared" si="1734"/>
        <v>#DIV/0!</v>
      </c>
      <c r="DM268" s="11"/>
      <c r="DN268" s="12" t="e">
        <f t="shared" si="1735"/>
        <v>#DIV/0!</v>
      </c>
      <c r="DO268" s="13"/>
      <c r="DP268" s="11"/>
      <c r="DQ268" s="11"/>
      <c r="DR268" s="14"/>
      <c r="DS268" s="10"/>
      <c r="DT268" s="11"/>
      <c r="DU268" s="69">
        <f t="shared" si="1768"/>
        <v>0</v>
      </c>
      <c r="DV268" s="69">
        <f t="shared" si="1768"/>
        <v>0</v>
      </c>
      <c r="DW268" s="11"/>
      <c r="DX268" s="12" t="e">
        <f t="shared" si="1736"/>
        <v>#DIV/0!</v>
      </c>
      <c r="DY268" s="11"/>
      <c r="DZ268" s="12" t="e">
        <f t="shared" si="1737"/>
        <v>#DIV/0!</v>
      </c>
      <c r="EA268" s="13"/>
      <c r="EB268" s="11"/>
      <c r="EC268" s="11"/>
      <c r="ED268" s="14"/>
      <c r="EE268" s="10"/>
      <c r="EF268" s="11"/>
      <c r="EG268" s="69">
        <f t="shared" si="1769"/>
        <v>0</v>
      </c>
      <c r="EH268" s="69">
        <f t="shared" si="1769"/>
        <v>0</v>
      </c>
      <c r="EI268" s="11"/>
      <c r="EJ268" s="12" t="e">
        <f t="shared" si="1738"/>
        <v>#DIV/0!</v>
      </c>
      <c r="EK268" s="11"/>
      <c r="EL268" s="12" t="e">
        <f t="shared" si="1739"/>
        <v>#DIV/0!</v>
      </c>
      <c r="EM268" s="13"/>
      <c r="EN268" s="11"/>
      <c r="EO268" s="11"/>
      <c r="EP268" s="14"/>
      <c r="EQ268" s="10"/>
      <c r="ER268" s="11"/>
      <c r="ES268" s="69">
        <f t="shared" si="1770"/>
        <v>0</v>
      </c>
      <c r="ET268" s="69">
        <f t="shared" si="1770"/>
        <v>0</v>
      </c>
      <c r="EU268" s="11"/>
      <c r="EV268" s="12" t="e">
        <f t="shared" si="1740"/>
        <v>#DIV/0!</v>
      </c>
      <c r="EW268" s="11"/>
      <c r="EX268" s="12" t="e">
        <f t="shared" si="1741"/>
        <v>#DIV/0!</v>
      </c>
      <c r="EY268" s="13"/>
      <c r="EZ268" s="11"/>
      <c r="FA268" s="11"/>
      <c r="FB268" s="14"/>
      <c r="FC268" s="10"/>
      <c r="FD268" s="11"/>
      <c r="FE268" s="69">
        <f t="shared" si="1771"/>
        <v>0</v>
      </c>
      <c r="FF268" s="69">
        <f t="shared" si="1771"/>
        <v>0</v>
      </c>
      <c r="FG268" s="11"/>
      <c r="FH268" s="12" t="e">
        <f t="shared" si="1742"/>
        <v>#DIV/0!</v>
      </c>
      <c r="FI268" s="11"/>
      <c r="FJ268" s="12" t="e">
        <f t="shared" si="1743"/>
        <v>#DIV/0!</v>
      </c>
      <c r="FK268" s="13"/>
      <c r="FL268" s="11"/>
      <c r="FM268" s="11"/>
      <c r="FN268" s="14"/>
      <c r="FO268" s="10"/>
      <c r="FP268" s="11"/>
      <c r="FQ268" s="69">
        <f t="shared" si="1772"/>
        <v>0</v>
      </c>
      <c r="FR268" s="69">
        <f t="shared" si="1772"/>
        <v>0</v>
      </c>
      <c r="FS268" s="11"/>
      <c r="FT268" s="12" t="e">
        <f t="shared" si="1744"/>
        <v>#DIV/0!</v>
      </c>
      <c r="FU268" s="11"/>
      <c r="FV268" s="12" t="e">
        <f t="shared" si="1745"/>
        <v>#DIV/0!</v>
      </c>
      <c r="FW268" s="13"/>
      <c r="FX268" s="11"/>
      <c r="FY268" s="11"/>
      <c r="FZ268" s="14"/>
      <c r="GA268" s="10"/>
      <c r="GB268" s="11"/>
      <c r="GC268" s="69">
        <f t="shared" si="1773"/>
        <v>0</v>
      </c>
      <c r="GD268" s="69">
        <f t="shared" si="1773"/>
        <v>0</v>
      </c>
      <c r="GE268" s="11"/>
      <c r="GF268" s="12" t="e">
        <f t="shared" si="1746"/>
        <v>#DIV/0!</v>
      </c>
      <c r="GG268" s="11"/>
      <c r="GH268" s="12" t="e">
        <f t="shared" si="1747"/>
        <v>#DIV/0!</v>
      </c>
      <c r="GI268" s="13"/>
      <c r="GJ268" s="11"/>
      <c r="GK268" s="11"/>
      <c r="GL268" s="14"/>
      <c r="GM268" s="10"/>
      <c r="GN268" s="11"/>
      <c r="GO268" s="69">
        <f t="shared" si="1774"/>
        <v>0</v>
      </c>
      <c r="GP268" s="69">
        <f t="shared" si="1774"/>
        <v>0</v>
      </c>
      <c r="GQ268" s="11"/>
      <c r="GR268" s="12" t="e">
        <f t="shared" si="1748"/>
        <v>#DIV/0!</v>
      </c>
      <c r="GS268" s="11"/>
      <c r="GT268" s="12" t="e">
        <f t="shared" si="1749"/>
        <v>#DIV/0!</v>
      </c>
      <c r="GU268" s="13"/>
      <c r="GV268" s="11"/>
      <c r="GW268" s="11"/>
      <c r="GX268" s="14"/>
      <c r="GY268" s="10"/>
      <c r="GZ268" s="11"/>
      <c r="HA268" s="69">
        <f t="shared" si="1775"/>
        <v>0</v>
      </c>
      <c r="HB268" s="69">
        <f t="shared" si="1775"/>
        <v>0</v>
      </c>
      <c r="HC268" s="11"/>
      <c r="HD268" s="12" t="e">
        <f t="shared" si="1750"/>
        <v>#DIV/0!</v>
      </c>
      <c r="HE268" s="11"/>
      <c r="HF268" s="12" t="e">
        <f t="shared" si="1751"/>
        <v>#DIV/0!</v>
      </c>
      <c r="HG268" s="13"/>
      <c r="HH268" s="11"/>
      <c r="HI268" s="11"/>
      <c r="HJ268" s="14"/>
      <c r="HK268" s="10">
        <f t="shared" si="1752"/>
        <v>0</v>
      </c>
      <c r="HL268" s="11">
        <f t="shared" si="1752"/>
        <v>0</v>
      </c>
      <c r="HM268" s="11">
        <f t="shared" si="1752"/>
        <v>3363</v>
      </c>
      <c r="HN268" s="11">
        <f t="shared" si="1752"/>
        <v>262</v>
      </c>
      <c r="HO268" s="11">
        <f t="shared" si="1753"/>
        <v>1084</v>
      </c>
      <c r="HP268" s="95">
        <f t="shared" si="1754"/>
        <v>0.32233125185845973</v>
      </c>
      <c r="HQ268" s="15">
        <f t="shared" si="1755"/>
        <v>60</v>
      </c>
      <c r="HR268" s="12">
        <f t="shared" si="1776"/>
        <v>5.5350553505535055E-2</v>
      </c>
      <c r="HS268" s="16">
        <v>71.400000000000006</v>
      </c>
      <c r="HT268" s="17">
        <v>976</v>
      </c>
      <c r="HU268" s="16">
        <f t="shared" si="1756"/>
        <v>90.036900369003689</v>
      </c>
      <c r="HV268" s="15"/>
      <c r="HW268" s="14"/>
    </row>
    <row r="269" spans="1:231" ht="18.75" x14ac:dyDescent="0.25">
      <c r="A269" s="374"/>
      <c r="B269" s="41">
        <f t="shared" si="1656"/>
        <v>45147</v>
      </c>
      <c r="C269" s="10"/>
      <c r="D269" s="11"/>
      <c r="E269" s="69">
        <f t="shared" si="1757"/>
        <v>594</v>
      </c>
      <c r="F269" s="69">
        <f t="shared" si="1757"/>
        <v>47</v>
      </c>
      <c r="G269" s="11">
        <v>187</v>
      </c>
      <c r="H269" s="12">
        <f t="shared" si="1717"/>
        <v>0.34006734006734007</v>
      </c>
      <c r="I269" s="11">
        <v>15</v>
      </c>
      <c r="J269" s="12">
        <f t="shared" si="1758"/>
        <v>7.4257425742574254E-2</v>
      </c>
      <c r="K269" s="11"/>
      <c r="L269" s="11"/>
      <c r="M269" s="18"/>
      <c r="N269" s="20"/>
      <c r="O269" s="10"/>
      <c r="P269" s="11"/>
      <c r="Q269" s="69">
        <f t="shared" si="1759"/>
        <v>606</v>
      </c>
      <c r="R269" s="69">
        <f t="shared" si="1759"/>
        <v>47</v>
      </c>
      <c r="S269" s="11">
        <v>170</v>
      </c>
      <c r="T269" s="12">
        <f t="shared" si="1718"/>
        <v>0.30693069306930693</v>
      </c>
      <c r="U269" s="11">
        <v>16</v>
      </c>
      <c r="V269" s="12">
        <f t="shared" si="1719"/>
        <v>8.6021505376344093E-2</v>
      </c>
      <c r="W269" s="11"/>
      <c r="X269" s="11"/>
      <c r="Y269" s="18"/>
      <c r="Z269" s="20"/>
      <c r="AA269" s="10"/>
      <c r="AB269" s="11">
        <v>1</v>
      </c>
      <c r="AC269" s="69">
        <f t="shared" si="1760"/>
        <v>140</v>
      </c>
      <c r="AD269" s="69">
        <f t="shared" si="1760"/>
        <v>9</v>
      </c>
      <c r="AE269" s="11">
        <v>41</v>
      </c>
      <c r="AF269" s="12">
        <f t="shared" si="1720"/>
        <v>0.3</v>
      </c>
      <c r="AG269" s="11">
        <v>1</v>
      </c>
      <c r="AH269" s="12">
        <f t="shared" si="1721"/>
        <v>2.3809523809523808E-2</v>
      </c>
      <c r="AI269" s="11"/>
      <c r="AJ269" s="11"/>
      <c r="AK269" s="18"/>
      <c r="AL269" s="20"/>
      <c r="AM269" s="10"/>
      <c r="AN269" s="11"/>
      <c r="AO269" s="69">
        <f t="shared" si="1761"/>
        <v>672</v>
      </c>
      <c r="AP269" s="69">
        <f t="shared" si="1761"/>
        <v>52</v>
      </c>
      <c r="AQ269" s="11">
        <v>193</v>
      </c>
      <c r="AR269" s="12">
        <f t="shared" si="1722"/>
        <v>0.30505952380952384</v>
      </c>
      <c r="AS269" s="11">
        <v>12</v>
      </c>
      <c r="AT269" s="12">
        <f t="shared" si="1723"/>
        <v>5.8536585365853662E-2</v>
      </c>
      <c r="AU269" s="11"/>
      <c r="AV269" s="11"/>
      <c r="AW269" s="18"/>
      <c r="AX269" s="20"/>
      <c r="AY269" s="10">
        <v>1</v>
      </c>
      <c r="AZ269" s="11"/>
      <c r="BA269" s="69">
        <f t="shared" si="1762"/>
        <v>677</v>
      </c>
      <c r="BB269" s="69">
        <f t="shared" si="1762"/>
        <v>53</v>
      </c>
      <c r="BC269" s="11">
        <v>193</v>
      </c>
      <c r="BD269" s="12">
        <f t="shared" si="1724"/>
        <v>0.30723781388478583</v>
      </c>
      <c r="BE269" s="11">
        <v>15</v>
      </c>
      <c r="BF269" s="12">
        <f t="shared" si="1725"/>
        <v>7.2115384615384609E-2</v>
      </c>
      <c r="BG269" s="11"/>
      <c r="BH269" s="11"/>
      <c r="BI269" s="18"/>
      <c r="BJ269" s="20"/>
      <c r="BK269" s="10">
        <v>1</v>
      </c>
      <c r="BL269" s="11">
        <v>1</v>
      </c>
      <c r="BM269" s="69">
        <f t="shared" si="1763"/>
        <v>672</v>
      </c>
      <c r="BN269" s="69">
        <f t="shared" si="1763"/>
        <v>52</v>
      </c>
      <c r="BO269" s="11">
        <v>209</v>
      </c>
      <c r="BP269" s="12">
        <f t="shared" si="1726"/>
        <v>0.33333333333333331</v>
      </c>
      <c r="BQ269" s="11">
        <v>15</v>
      </c>
      <c r="BR269" s="12">
        <f t="shared" si="1727"/>
        <v>6.6964285714285712E-2</v>
      </c>
      <c r="BS269" s="11"/>
      <c r="BT269" s="11"/>
      <c r="BU269" s="18"/>
      <c r="BV269" s="20"/>
      <c r="BW269" s="10"/>
      <c r="BX269" s="11"/>
      <c r="BY269" s="69">
        <f t="shared" si="1764"/>
        <v>0</v>
      </c>
      <c r="BZ269" s="69">
        <f t="shared" si="1764"/>
        <v>0</v>
      </c>
      <c r="CA269" s="11"/>
      <c r="CB269" s="12" t="e">
        <f t="shared" si="1728"/>
        <v>#DIV/0!</v>
      </c>
      <c r="CC269" s="11"/>
      <c r="CD269" s="12" t="e">
        <f t="shared" si="1729"/>
        <v>#DIV/0!</v>
      </c>
      <c r="CE269" s="11"/>
      <c r="CF269" s="11"/>
      <c r="CG269" s="18"/>
      <c r="CH269" s="20"/>
      <c r="CI269" s="10"/>
      <c r="CJ269" s="11"/>
      <c r="CK269" s="69">
        <f t="shared" si="1765"/>
        <v>0</v>
      </c>
      <c r="CL269" s="69">
        <f t="shared" si="1765"/>
        <v>0</v>
      </c>
      <c r="CM269" s="11"/>
      <c r="CN269" s="12" t="e">
        <f t="shared" si="1730"/>
        <v>#DIV/0!</v>
      </c>
      <c r="CO269" s="11"/>
      <c r="CP269" s="12" t="e">
        <f t="shared" si="1731"/>
        <v>#DIV/0!</v>
      </c>
      <c r="CQ269" s="11"/>
      <c r="CR269" s="11"/>
      <c r="CS269" s="18"/>
      <c r="CT269" s="20"/>
      <c r="CU269" s="10"/>
      <c r="CV269" s="11"/>
      <c r="CW269" s="69">
        <f t="shared" si="1766"/>
        <v>0</v>
      </c>
      <c r="CX269" s="69">
        <f t="shared" si="1766"/>
        <v>0</v>
      </c>
      <c r="CY269" s="11"/>
      <c r="CZ269" s="12" t="e">
        <f t="shared" si="1732"/>
        <v>#DIV/0!</v>
      </c>
      <c r="DA269" s="11"/>
      <c r="DB269" s="12" t="e">
        <f t="shared" si="1733"/>
        <v>#DIV/0!</v>
      </c>
      <c r="DC269" s="11"/>
      <c r="DD269" s="11"/>
      <c r="DE269" s="18"/>
      <c r="DF269" s="20"/>
      <c r="DG269" s="10"/>
      <c r="DH269" s="11"/>
      <c r="DI269" s="69">
        <f t="shared" si="1767"/>
        <v>0</v>
      </c>
      <c r="DJ269" s="69">
        <f t="shared" si="1767"/>
        <v>0</v>
      </c>
      <c r="DK269" s="11"/>
      <c r="DL269" s="12" t="e">
        <f t="shared" si="1734"/>
        <v>#DIV/0!</v>
      </c>
      <c r="DM269" s="11"/>
      <c r="DN269" s="12" t="e">
        <f t="shared" si="1735"/>
        <v>#DIV/0!</v>
      </c>
      <c r="DO269" s="11"/>
      <c r="DP269" s="11"/>
      <c r="DQ269" s="18"/>
      <c r="DR269" s="20"/>
      <c r="DS269" s="10"/>
      <c r="DT269" s="11"/>
      <c r="DU269" s="69">
        <f t="shared" si="1768"/>
        <v>0</v>
      </c>
      <c r="DV269" s="69">
        <f t="shared" si="1768"/>
        <v>0</v>
      </c>
      <c r="DW269" s="11"/>
      <c r="DX269" s="12" t="e">
        <f t="shared" si="1736"/>
        <v>#DIV/0!</v>
      </c>
      <c r="DY269" s="11"/>
      <c r="DZ269" s="12" t="e">
        <f t="shared" si="1737"/>
        <v>#DIV/0!</v>
      </c>
      <c r="EA269" s="11"/>
      <c r="EB269" s="11"/>
      <c r="EC269" s="18"/>
      <c r="ED269" s="20"/>
      <c r="EE269" s="10"/>
      <c r="EF269" s="11"/>
      <c r="EG269" s="69">
        <f t="shared" si="1769"/>
        <v>0</v>
      </c>
      <c r="EH269" s="69">
        <f t="shared" si="1769"/>
        <v>0</v>
      </c>
      <c r="EI269" s="11"/>
      <c r="EJ269" s="12" t="e">
        <f t="shared" si="1738"/>
        <v>#DIV/0!</v>
      </c>
      <c r="EK269" s="11"/>
      <c r="EL269" s="12" t="e">
        <f t="shared" si="1739"/>
        <v>#DIV/0!</v>
      </c>
      <c r="EM269" s="11"/>
      <c r="EN269" s="11"/>
      <c r="EO269" s="18"/>
      <c r="EP269" s="20"/>
      <c r="EQ269" s="10"/>
      <c r="ER269" s="11"/>
      <c r="ES269" s="69">
        <f t="shared" si="1770"/>
        <v>0</v>
      </c>
      <c r="ET269" s="69">
        <f t="shared" si="1770"/>
        <v>0</v>
      </c>
      <c r="EU269" s="11"/>
      <c r="EV269" s="12" t="e">
        <f t="shared" si="1740"/>
        <v>#DIV/0!</v>
      </c>
      <c r="EW269" s="11"/>
      <c r="EX269" s="12" t="e">
        <f t="shared" si="1741"/>
        <v>#DIV/0!</v>
      </c>
      <c r="EY269" s="11"/>
      <c r="EZ269" s="11"/>
      <c r="FA269" s="18"/>
      <c r="FB269" s="20"/>
      <c r="FC269" s="10"/>
      <c r="FD269" s="11"/>
      <c r="FE269" s="69">
        <f t="shared" si="1771"/>
        <v>0</v>
      </c>
      <c r="FF269" s="69">
        <f t="shared" si="1771"/>
        <v>0</v>
      </c>
      <c r="FG269" s="11"/>
      <c r="FH269" s="12" t="e">
        <f t="shared" si="1742"/>
        <v>#DIV/0!</v>
      </c>
      <c r="FI269" s="11"/>
      <c r="FJ269" s="12" t="e">
        <f t="shared" si="1743"/>
        <v>#DIV/0!</v>
      </c>
      <c r="FK269" s="11"/>
      <c r="FL269" s="11"/>
      <c r="FM269" s="18"/>
      <c r="FN269" s="20"/>
      <c r="FO269" s="10"/>
      <c r="FP269" s="11"/>
      <c r="FQ269" s="69">
        <f t="shared" si="1772"/>
        <v>0</v>
      </c>
      <c r="FR269" s="69">
        <f t="shared" si="1772"/>
        <v>0</v>
      </c>
      <c r="FS269" s="11"/>
      <c r="FT269" s="12" t="e">
        <f t="shared" si="1744"/>
        <v>#DIV/0!</v>
      </c>
      <c r="FU269" s="11"/>
      <c r="FV269" s="12" t="e">
        <f t="shared" si="1745"/>
        <v>#DIV/0!</v>
      </c>
      <c r="FW269" s="11"/>
      <c r="FX269" s="11"/>
      <c r="FY269" s="18"/>
      <c r="FZ269" s="20"/>
      <c r="GA269" s="10"/>
      <c r="GB269" s="11"/>
      <c r="GC269" s="69">
        <f t="shared" si="1773"/>
        <v>0</v>
      </c>
      <c r="GD269" s="69">
        <f t="shared" si="1773"/>
        <v>0</v>
      </c>
      <c r="GE269" s="11"/>
      <c r="GF269" s="12" t="e">
        <f t="shared" si="1746"/>
        <v>#DIV/0!</v>
      </c>
      <c r="GG269" s="11"/>
      <c r="GH269" s="12" t="e">
        <f t="shared" si="1747"/>
        <v>#DIV/0!</v>
      </c>
      <c r="GI269" s="11"/>
      <c r="GJ269" s="11"/>
      <c r="GK269" s="18"/>
      <c r="GL269" s="20"/>
      <c r="GM269" s="10"/>
      <c r="GN269" s="11"/>
      <c r="GO269" s="69">
        <f t="shared" si="1774"/>
        <v>0</v>
      </c>
      <c r="GP269" s="69">
        <f t="shared" si="1774"/>
        <v>0</v>
      </c>
      <c r="GQ269" s="11"/>
      <c r="GR269" s="12" t="e">
        <f t="shared" si="1748"/>
        <v>#DIV/0!</v>
      </c>
      <c r="GS269" s="11"/>
      <c r="GT269" s="12" t="e">
        <f t="shared" si="1749"/>
        <v>#DIV/0!</v>
      </c>
      <c r="GU269" s="11"/>
      <c r="GV269" s="11"/>
      <c r="GW269" s="18"/>
      <c r="GX269" s="20"/>
      <c r="GY269" s="10"/>
      <c r="GZ269" s="11"/>
      <c r="HA269" s="69">
        <f t="shared" si="1775"/>
        <v>0</v>
      </c>
      <c r="HB269" s="69">
        <f t="shared" si="1775"/>
        <v>0</v>
      </c>
      <c r="HC269" s="11"/>
      <c r="HD269" s="12" t="e">
        <f t="shared" si="1750"/>
        <v>#DIV/0!</v>
      </c>
      <c r="HE269" s="11"/>
      <c r="HF269" s="12" t="e">
        <f t="shared" si="1751"/>
        <v>#DIV/0!</v>
      </c>
      <c r="HG269" s="11"/>
      <c r="HH269" s="11"/>
      <c r="HI269" s="18"/>
      <c r="HJ269" s="20"/>
      <c r="HK269" s="10">
        <f t="shared" si="1752"/>
        <v>2</v>
      </c>
      <c r="HL269" s="11">
        <f t="shared" si="1752"/>
        <v>2</v>
      </c>
      <c r="HM269" s="11">
        <f t="shared" si="1752"/>
        <v>3361</v>
      </c>
      <c r="HN269" s="11">
        <f t="shared" si="1752"/>
        <v>260</v>
      </c>
      <c r="HO269" s="11">
        <f t="shared" si="1753"/>
        <v>1067</v>
      </c>
      <c r="HP269" s="95">
        <f t="shared" si="1754"/>
        <v>0.31746504016661709</v>
      </c>
      <c r="HQ269" s="15">
        <f t="shared" si="1755"/>
        <v>74</v>
      </c>
      <c r="HR269" s="12">
        <f t="shared" si="1776"/>
        <v>6.9353327085285854E-2</v>
      </c>
      <c r="HS269" s="16">
        <v>71</v>
      </c>
      <c r="HT269" s="17">
        <v>946</v>
      </c>
      <c r="HU269" s="16">
        <f t="shared" si="1756"/>
        <v>88.659793814432987</v>
      </c>
      <c r="HV269" s="18"/>
      <c r="HW269" s="20"/>
    </row>
    <row r="270" spans="1:231" ht="18.75" x14ac:dyDescent="0.25">
      <c r="A270" s="374"/>
      <c r="B270" s="41">
        <f t="shared" si="1656"/>
        <v>45148</v>
      </c>
      <c r="C270" s="10"/>
      <c r="D270" s="11"/>
      <c r="E270" s="69">
        <f t="shared" si="1757"/>
        <v>594</v>
      </c>
      <c r="F270" s="69">
        <f t="shared" si="1757"/>
        <v>47</v>
      </c>
      <c r="G270" s="11">
        <v>188</v>
      </c>
      <c r="H270" s="12">
        <f t="shared" si="1717"/>
        <v>0.3451178451178451</v>
      </c>
      <c r="I270" s="11">
        <v>17</v>
      </c>
      <c r="J270" s="12">
        <f t="shared" si="1758"/>
        <v>8.2926829268292687E-2</v>
      </c>
      <c r="K270" s="13"/>
      <c r="L270" s="13"/>
      <c r="M270" s="25">
        <v>4345</v>
      </c>
      <c r="N270" s="38">
        <v>4740</v>
      </c>
      <c r="O270" s="10">
        <v>1</v>
      </c>
      <c r="P270" s="11"/>
      <c r="Q270" s="69">
        <f t="shared" si="1759"/>
        <v>605</v>
      </c>
      <c r="R270" s="69">
        <f t="shared" si="1759"/>
        <v>47</v>
      </c>
      <c r="S270" s="11">
        <v>180</v>
      </c>
      <c r="T270" s="12">
        <f t="shared" si="1718"/>
        <v>0.32561983471074379</v>
      </c>
      <c r="U270" s="11">
        <v>17</v>
      </c>
      <c r="V270" s="12">
        <f t="shared" si="1719"/>
        <v>8.6294416243654817E-2</v>
      </c>
      <c r="W270" s="13"/>
      <c r="X270" s="13"/>
      <c r="Y270" s="25">
        <v>4345</v>
      </c>
      <c r="Z270" s="38">
        <v>4740</v>
      </c>
      <c r="AA270" s="10"/>
      <c r="AB270" s="11"/>
      <c r="AC270" s="69">
        <f t="shared" si="1760"/>
        <v>140</v>
      </c>
      <c r="AD270" s="69">
        <f t="shared" si="1760"/>
        <v>9</v>
      </c>
      <c r="AE270" s="11">
        <v>40</v>
      </c>
      <c r="AF270" s="12">
        <f t="shared" si="1720"/>
        <v>0.30714285714285716</v>
      </c>
      <c r="AG270" s="11">
        <v>3</v>
      </c>
      <c r="AH270" s="12">
        <f t="shared" si="1721"/>
        <v>6.9767441860465115E-2</v>
      </c>
      <c r="AI270" s="13"/>
      <c r="AJ270" s="13"/>
      <c r="AK270" s="25">
        <v>4345</v>
      </c>
      <c r="AL270" s="38">
        <v>4740</v>
      </c>
      <c r="AM270" s="10"/>
      <c r="AN270" s="11"/>
      <c r="AO270" s="69">
        <f t="shared" si="1761"/>
        <v>672</v>
      </c>
      <c r="AP270" s="69">
        <f t="shared" si="1761"/>
        <v>52</v>
      </c>
      <c r="AQ270" s="11">
        <v>207</v>
      </c>
      <c r="AR270" s="12">
        <f t="shared" si="1722"/>
        <v>0.32142857142857145</v>
      </c>
      <c r="AS270" s="11">
        <v>9</v>
      </c>
      <c r="AT270" s="12">
        <f t="shared" si="1723"/>
        <v>4.1666666666666664E-2</v>
      </c>
      <c r="AU270" s="13"/>
      <c r="AV270" s="13"/>
      <c r="AW270" s="25">
        <v>4345</v>
      </c>
      <c r="AX270" s="38">
        <v>4740</v>
      </c>
      <c r="AY270" s="10"/>
      <c r="AZ270" s="11"/>
      <c r="BA270" s="69">
        <f t="shared" si="1762"/>
        <v>677</v>
      </c>
      <c r="BB270" s="69">
        <f t="shared" si="1762"/>
        <v>53</v>
      </c>
      <c r="BC270" s="11">
        <v>201</v>
      </c>
      <c r="BD270" s="12">
        <f t="shared" si="1724"/>
        <v>0.31462333825701627</v>
      </c>
      <c r="BE270" s="11">
        <v>12</v>
      </c>
      <c r="BF270" s="12">
        <f t="shared" si="1725"/>
        <v>5.6338028169014086E-2</v>
      </c>
      <c r="BG270" s="13"/>
      <c r="BH270" s="13"/>
      <c r="BI270" s="25">
        <v>4345</v>
      </c>
      <c r="BJ270" s="38">
        <v>4740</v>
      </c>
      <c r="BK270" s="10"/>
      <c r="BL270" s="11"/>
      <c r="BM270" s="69">
        <f t="shared" si="1763"/>
        <v>672</v>
      </c>
      <c r="BN270" s="69">
        <f t="shared" si="1763"/>
        <v>52</v>
      </c>
      <c r="BO270" s="11">
        <v>207</v>
      </c>
      <c r="BP270" s="12">
        <f t="shared" si="1726"/>
        <v>0.3169642857142857</v>
      </c>
      <c r="BQ270" s="11">
        <v>6</v>
      </c>
      <c r="BR270" s="12">
        <f t="shared" si="1727"/>
        <v>2.8169014084507043E-2</v>
      </c>
      <c r="BS270" s="13"/>
      <c r="BT270" s="13"/>
      <c r="BU270" s="25">
        <v>4345</v>
      </c>
      <c r="BV270" s="38">
        <v>4740</v>
      </c>
      <c r="BW270" s="10"/>
      <c r="BX270" s="11"/>
      <c r="BY270" s="69">
        <f t="shared" si="1764"/>
        <v>0</v>
      </c>
      <c r="BZ270" s="69">
        <f t="shared" si="1764"/>
        <v>0</v>
      </c>
      <c r="CA270" s="11"/>
      <c r="CB270" s="12" t="e">
        <f t="shared" si="1728"/>
        <v>#DIV/0!</v>
      </c>
      <c r="CC270" s="11"/>
      <c r="CD270" s="12" t="e">
        <f t="shared" si="1729"/>
        <v>#DIV/0!</v>
      </c>
      <c r="CE270" s="13"/>
      <c r="CF270" s="13"/>
      <c r="CG270" s="25"/>
      <c r="CH270" s="38"/>
      <c r="CI270" s="10"/>
      <c r="CJ270" s="11"/>
      <c r="CK270" s="69">
        <f t="shared" si="1765"/>
        <v>0</v>
      </c>
      <c r="CL270" s="69">
        <f t="shared" si="1765"/>
        <v>0</v>
      </c>
      <c r="CM270" s="11"/>
      <c r="CN270" s="12" t="e">
        <f t="shared" si="1730"/>
        <v>#DIV/0!</v>
      </c>
      <c r="CO270" s="11"/>
      <c r="CP270" s="12" t="e">
        <f t="shared" si="1731"/>
        <v>#DIV/0!</v>
      </c>
      <c r="CQ270" s="13"/>
      <c r="CR270" s="13"/>
      <c r="CS270" s="25"/>
      <c r="CT270" s="38"/>
      <c r="CU270" s="10"/>
      <c r="CV270" s="11"/>
      <c r="CW270" s="69">
        <f t="shared" si="1766"/>
        <v>0</v>
      </c>
      <c r="CX270" s="69">
        <f t="shared" si="1766"/>
        <v>0</v>
      </c>
      <c r="CY270" s="11"/>
      <c r="CZ270" s="12" t="e">
        <f t="shared" si="1732"/>
        <v>#DIV/0!</v>
      </c>
      <c r="DA270" s="11"/>
      <c r="DB270" s="12" t="e">
        <f t="shared" si="1733"/>
        <v>#DIV/0!</v>
      </c>
      <c r="DC270" s="13"/>
      <c r="DD270" s="13"/>
      <c r="DE270" s="25"/>
      <c r="DF270" s="38"/>
      <c r="DG270" s="10"/>
      <c r="DH270" s="11"/>
      <c r="DI270" s="69">
        <f t="shared" si="1767"/>
        <v>0</v>
      </c>
      <c r="DJ270" s="69">
        <f t="shared" si="1767"/>
        <v>0</v>
      </c>
      <c r="DK270" s="11"/>
      <c r="DL270" s="12" t="e">
        <f t="shared" si="1734"/>
        <v>#DIV/0!</v>
      </c>
      <c r="DM270" s="11"/>
      <c r="DN270" s="12" t="e">
        <f t="shared" si="1735"/>
        <v>#DIV/0!</v>
      </c>
      <c r="DO270" s="13"/>
      <c r="DP270" s="13"/>
      <c r="DQ270" s="25"/>
      <c r="DR270" s="38"/>
      <c r="DS270" s="10"/>
      <c r="DT270" s="11"/>
      <c r="DU270" s="69">
        <f t="shared" si="1768"/>
        <v>0</v>
      </c>
      <c r="DV270" s="69">
        <f t="shared" si="1768"/>
        <v>0</v>
      </c>
      <c r="DW270" s="11"/>
      <c r="DX270" s="12" t="e">
        <f t="shared" si="1736"/>
        <v>#DIV/0!</v>
      </c>
      <c r="DY270" s="11"/>
      <c r="DZ270" s="12" t="e">
        <f t="shared" si="1737"/>
        <v>#DIV/0!</v>
      </c>
      <c r="EA270" s="13"/>
      <c r="EB270" s="13"/>
      <c r="EC270" s="25"/>
      <c r="ED270" s="38"/>
      <c r="EE270" s="10"/>
      <c r="EF270" s="11"/>
      <c r="EG270" s="69">
        <f t="shared" si="1769"/>
        <v>0</v>
      </c>
      <c r="EH270" s="69">
        <f t="shared" si="1769"/>
        <v>0</v>
      </c>
      <c r="EI270" s="11"/>
      <c r="EJ270" s="12" t="e">
        <f t="shared" si="1738"/>
        <v>#DIV/0!</v>
      </c>
      <c r="EK270" s="11"/>
      <c r="EL270" s="12" t="e">
        <f t="shared" si="1739"/>
        <v>#DIV/0!</v>
      </c>
      <c r="EM270" s="13"/>
      <c r="EN270" s="13"/>
      <c r="EO270" s="25"/>
      <c r="EP270" s="38"/>
      <c r="EQ270" s="10"/>
      <c r="ER270" s="11"/>
      <c r="ES270" s="69">
        <f t="shared" si="1770"/>
        <v>0</v>
      </c>
      <c r="ET270" s="69">
        <f t="shared" si="1770"/>
        <v>0</v>
      </c>
      <c r="EU270" s="11"/>
      <c r="EV270" s="12" t="e">
        <f t="shared" si="1740"/>
        <v>#DIV/0!</v>
      </c>
      <c r="EW270" s="11"/>
      <c r="EX270" s="12" t="e">
        <f t="shared" si="1741"/>
        <v>#DIV/0!</v>
      </c>
      <c r="EY270" s="13"/>
      <c r="EZ270" s="13"/>
      <c r="FA270" s="25"/>
      <c r="FB270" s="38"/>
      <c r="FC270" s="10"/>
      <c r="FD270" s="11"/>
      <c r="FE270" s="69">
        <f t="shared" si="1771"/>
        <v>0</v>
      </c>
      <c r="FF270" s="69">
        <f t="shared" si="1771"/>
        <v>0</v>
      </c>
      <c r="FG270" s="11"/>
      <c r="FH270" s="12" t="e">
        <f t="shared" si="1742"/>
        <v>#DIV/0!</v>
      </c>
      <c r="FI270" s="11"/>
      <c r="FJ270" s="12" t="e">
        <f t="shared" si="1743"/>
        <v>#DIV/0!</v>
      </c>
      <c r="FK270" s="13"/>
      <c r="FL270" s="13"/>
      <c r="FM270" s="25"/>
      <c r="FN270" s="38"/>
      <c r="FO270" s="10"/>
      <c r="FP270" s="11"/>
      <c r="FQ270" s="69">
        <f t="shared" si="1772"/>
        <v>0</v>
      </c>
      <c r="FR270" s="69">
        <f t="shared" si="1772"/>
        <v>0</v>
      </c>
      <c r="FS270" s="11"/>
      <c r="FT270" s="12" t="e">
        <f t="shared" si="1744"/>
        <v>#DIV/0!</v>
      </c>
      <c r="FU270" s="11"/>
      <c r="FV270" s="12" t="e">
        <f t="shared" si="1745"/>
        <v>#DIV/0!</v>
      </c>
      <c r="FW270" s="13"/>
      <c r="FX270" s="13"/>
      <c r="FY270" s="25"/>
      <c r="FZ270" s="38"/>
      <c r="GA270" s="10"/>
      <c r="GB270" s="11"/>
      <c r="GC270" s="69">
        <f t="shared" si="1773"/>
        <v>0</v>
      </c>
      <c r="GD270" s="69">
        <f t="shared" si="1773"/>
        <v>0</v>
      </c>
      <c r="GE270" s="11"/>
      <c r="GF270" s="12" t="e">
        <f t="shared" si="1746"/>
        <v>#DIV/0!</v>
      </c>
      <c r="GG270" s="11"/>
      <c r="GH270" s="12" t="e">
        <f t="shared" si="1747"/>
        <v>#DIV/0!</v>
      </c>
      <c r="GI270" s="13"/>
      <c r="GJ270" s="13"/>
      <c r="GK270" s="25"/>
      <c r="GL270" s="38"/>
      <c r="GM270" s="10"/>
      <c r="GN270" s="11"/>
      <c r="GO270" s="69">
        <f t="shared" si="1774"/>
        <v>0</v>
      </c>
      <c r="GP270" s="69">
        <f t="shared" si="1774"/>
        <v>0</v>
      </c>
      <c r="GQ270" s="11"/>
      <c r="GR270" s="12" t="e">
        <f t="shared" si="1748"/>
        <v>#DIV/0!</v>
      </c>
      <c r="GS270" s="11"/>
      <c r="GT270" s="12" t="e">
        <f t="shared" si="1749"/>
        <v>#DIV/0!</v>
      </c>
      <c r="GU270" s="13"/>
      <c r="GV270" s="13"/>
      <c r="GW270" s="25"/>
      <c r="GX270" s="38"/>
      <c r="GY270" s="10"/>
      <c r="GZ270" s="11"/>
      <c r="HA270" s="69">
        <f t="shared" si="1775"/>
        <v>0</v>
      </c>
      <c r="HB270" s="69">
        <f t="shared" si="1775"/>
        <v>0</v>
      </c>
      <c r="HC270" s="11"/>
      <c r="HD270" s="12" t="e">
        <f t="shared" si="1750"/>
        <v>#DIV/0!</v>
      </c>
      <c r="HE270" s="11"/>
      <c r="HF270" s="12" t="e">
        <f t="shared" si="1751"/>
        <v>#DIV/0!</v>
      </c>
      <c r="HG270" s="13"/>
      <c r="HH270" s="13"/>
      <c r="HI270" s="25"/>
      <c r="HJ270" s="38"/>
      <c r="HK270" s="10">
        <f t="shared" si="1752"/>
        <v>1</v>
      </c>
      <c r="HL270" s="11">
        <f t="shared" si="1752"/>
        <v>0</v>
      </c>
      <c r="HM270" s="11">
        <f t="shared" si="1752"/>
        <v>3360</v>
      </c>
      <c r="HN270" s="11">
        <f t="shared" si="1752"/>
        <v>260</v>
      </c>
      <c r="HO270" s="11">
        <f t="shared" si="1753"/>
        <v>1087</v>
      </c>
      <c r="HP270" s="95">
        <f t="shared" si="1754"/>
        <v>0.32351190476190478</v>
      </c>
      <c r="HQ270" s="15">
        <f t="shared" si="1755"/>
        <v>64</v>
      </c>
      <c r="HR270" s="12">
        <f t="shared" si="1776"/>
        <v>5.8877644894204231E-2</v>
      </c>
      <c r="HS270" s="16">
        <v>70.8</v>
      </c>
      <c r="HT270" s="17">
        <v>992</v>
      </c>
      <c r="HU270" s="16">
        <f t="shared" si="1756"/>
        <v>91.260349586016559</v>
      </c>
      <c r="HV270" s="23">
        <v>4345</v>
      </c>
      <c r="HW270" s="22">
        <v>4740</v>
      </c>
    </row>
    <row r="271" spans="1:231" ht="18.75" x14ac:dyDescent="0.25">
      <c r="A271" s="374"/>
      <c r="B271" s="41">
        <f t="shared" si="1656"/>
        <v>45149</v>
      </c>
      <c r="C271" s="10"/>
      <c r="D271" s="11"/>
      <c r="E271" s="69">
        <f t="shared" si="1757"/>
        <v>594</v>
      </c>
      <c r="F271" s="69">
        <f t="shared" si="1757"/>
        <v>47</v>
      </c>
      <c r="G271" s="11">
        <v>166</v>
      </c>
      <c r="H271" s="12">
        <f t="shared" si="1717"/>
        <v>0.2946127946127946</v>
      </c>
      <c r="I271" s="11">
        <v>9</v>
      </c>
      <c r="J271" s="12">
        <f t="shared" si="1758"/>
        <v>5.1428571428571428E-2</v>
      </c>
      <c r="K271" s="13"/>
      <c r="L271" s="11"/>
      <c r="M271" s="25">
        <v>4871.1428571428569</v>
      </c>
      <c r="N271" s="38">
        <v>5044.4399999999996</v>
      </c>
      <c r="O271" s="10"/>
      <c r="P271" s="11"/>
      <c r="Q271" s="69">
        <f t="shared" si="1759"/>
        <v>605</v>
      </c>
      <c r="R271" s="69">
        <f t="shared" si="1759"/>
        <v>47</v>
      </c>
      <c r="S271" s="11">
        <v>167</v>
      </c>
      <c r="T271" s="12">
        <f t="shared" si="1718"/>
        <v>0.29256198347107437</v>
      </c>
      <c r="U271" s="11">
        <v>10</v>
      </c>
      <c r="V271" s="12">
        <f t="shared" si="1719"/>
        <v>5.6497175141242938E-2</v>
      </c>
      <c r="W271" s="13"/>
      <c r="X271" s="11"/>
      <c r="Y271" s="25">
        <v>4800.3125</v>
      </c>
      <c r="Z271" s="38">
        <v>4787.6899999999996</v>
      </c>
      <c r="AA271" s="10"/>
      <c r="AB271" s="11"/>
      <c r="AC271" s="69">
        <f t="shared" si="1760"/>
        <v>140</v>
      </c>
      <c r="AD271" s="69">
        <f t="shared" si="1760"/>
        <v>9</v>
      </c>
      <c r="AE271" s="11">
        <v>26</v>
      </c>
      <c r="AF271" s="12">
        <f t="shared" si="1720"/>
        <v>0.20714285714285716</v>
      </c>
      <c r="AG271" s="11">
        <v>3</v>
      </c>
      <c r="AH271" s="12">
        <f t="shared" si="1721"/>
        <v>0.10344827586206896</v>
      </c>
      <c r="AI271" s="13"/>
      <c r="AJ271" s="11"/>
      <c r="AK271" s="25">
        <v>4790</v>
      </c>
      <c r="AL271" s="38">
        <v>4493.33</v>
      </c>
      <c r="AM271" s="10"/>
      <c r="AN271" s="11"/>
      <c r="AO271" s="69">
        <f t="shared" si="1761"/>
        <v>672</v>
      </c>
      <c r="AP271" s="69">
        <f t="shared" si="1761"/>
        <v>52</v>
      </c>
      <c r="AQ271" s="11">
        <v>202</v>
      </c>
      <c r="AR271" s="12">
        <f t="shared" si="1722"/>
        <v>0.3125</v>
      </c>
      <c r="AS271" s="11">
        <v>8</v>
      </c>
      <c r="AT271" s="12">
        <f t="shared" si="1723"/>
        <v>3.8095238095238099E-2</v>
      </c>
      <c r="AU271" s="13"/>
      <c r="AV271" s="11"/>
      <c r="AW271" s="25">
        <v>4772.7777777777774</v>
      </c>
      <c r="AX271" s="38">
        <v>5013</v>
      </c>
      <c r="AY271" s="10"/>
      <c r="AZ271" s="11"/>
      <c r="BA271" s="69">
        <f t="shared" si="1762"/>
        <v>677</v>
      </c>
      <c r="BB271" s="69">
        <f t="shared" si="1762"/>
        <v>53</v>
      </c>
      <c r="BC271" s="11">
        <v>191</v>
      </c>
      <c r="BD271" s="12">
        <f t="shared" si="1724"/>
        <v>0.30280649926144754</v>
      </c>
      <c r="BE271" s="11">
        <v>14</v>
      </c>
      <c r="BF271" s="12">
        <f t="shared" si="1725"/>
        <v>6.8292682926829273E-2</v>
      </c>
      <c r="BG271" s="13"/>
      <c r="BH271" s="11"/>
      <c r="BI271" s="25">
        <v>5070.5555555555557</v>
      </c>
      <c r="BJ271" s="38">
        <v>5174.17</v>
      </c>
      <c r="BK271" s="10"/>
      <c r="BL271" s="11"/>
      <c r="BM271" s="69">
        <f t="shared" si="1763"/>
        <v>672</v>
      </c>
      <c r="BN271" s="69">
        <f t="shared" si="1763"/>
        <v>52</v>
      </c>
      <c r="BO271" s="11">
        <v>208</v>
      </c>
      <c r="BP271" s="12">
        <f t="shared" si="1726"/>
        <v>0.31845238095238093</v>
      </c>
      <c r="BQ271" s="11">
        <v>6</v>
      </c>
      <c r="BR271" s="12">
        <f t="shared" si="1727"/>
        <v>2.8037383177570093E-2</v>
      </c>
      <c r="BS271" s="13"/>
      <c r="BT271" s="11"/>
      <c r="BU271" s="25">
        <v>4953.5135135135133</v>
      </c>
      <c r="BV271" s="38">
        <v>5109</v>
      </c>
      <c r="BW271" s="10"/>
      <c r="BX271" s="11"/>
      <c r="BY271" s="69">
        <f t="shared" si="1764"/>
        <v>0</v>
      </c>
      <c r="BZ271" s="69">
        <f t="shared" si="1764"/>
        <v>0</v>
      </c>
      <c r="CA271" s="11"/>
      <c r="CB271" s="12" t="e">
        <f t="shared" si="1728"/>
        <v>#DIV/0!</v>
      </c>
      <c r="CC271" s="11"/>
      <c r="CD271" s="12" t="e">
        <f t="shared" si="1729"/>
        <v>#DIV/0!</v>
      </c>
      <c r="CE271" s="13"/>
      <c r="CF271" s="11"/>
      <c r="CG271" s="25"/>
      <c r="CH271" s="38"/>
      <c r="CI271" s="10"/>
      <c r="CJ271" s="11"/>
      <c r="CK271" s="69">
        <f t="shared" si="1765"/>
        <v>0</v>
      </c>
      <c r="CL271" s="69">
        <f t="shared" si="1765"/>
        <v>0</v>
      </c>
      <c r="CM271" s="11"/>
      <c r="CN271" s="12" t="e">
        <f t="shared" si="1730"/>
        <v>#DIV/0!</v>
      </c>
      <c r="CO271" s="11"/>
      <c r="CP271" s="12" t="e">
        <f t="shared" si="1731"/>
        <v>#DIV/0!</v>
      </c>
      <c r="CQ271" s="13"/>
      <c r="CR271" s="11"/>
      <c r="CS271" s="25"/>
      <c r="CT271" s="38"/>
      <c r="CU271" s="10"/>
      <c r="CV271" s="11"/>
      <c r="CW271" s="69">
        <f t="shared" si="1766"/>
        <v>0</v>
      </c>
      <c r="CX271" s="69">
        <f t="shared" si="1766"/>
        <v>0</v>
      </c>
      <c r="CY271" s="11"/>
      <c r="CZ271" s="12" t="e">
        <f t="shared" si="1732"/>
        <v>#DIV/0!</v>
      </c>
      <c r="DA271" s="11"/>
      <c r="DB271" s="12" t="e">
        <f t="shared" si="1733"/>
        <v>#DIV/0!</v>
      </c>
      <c r="DC271" s="13"/>
      <c r="DD271" s="11"/>
      <c r="DE271" s="25"/>
      <c r="DF271" s="38"/>
      <c r="DG271" s="10"/>
      <c r="DH271" s="11"/>
      <c r="DI271" s="69">
        <f t="shared" si="1767"/>
        <v>0</v>
      </c>
      <c r="DJ271" s="69">
        <f t="shared" si="1767"/>
        <v>0</v>
      </c>
      <c r="DK271" s="11"/>
      <c r="DL271" s="12" t="e">
        <f t="shared" si="1734"/>
        <v>#DIV/0!</v>
      </c>
      <c r="DM271" s="11"/>
      <c r="DN271" s="12" t="e">
        <f t="shared" si="1735"/>
        <v>#DIV/0!</v>
      </c>
      <c r="DO271" s="13"/>
      <c r="DP271" s="11"/>
      <c r="DQ271" s="25"/>
      <c r="DR271" s="38"/>
      <c r="DS271" s="10"/>
      <c r="DT271" s="11"/>
      <c r="DU271" s="69">
        <f t="shared" si="1768"/>
        <v>0</v>
      </c>
      <c r="DV271" s="69">
        <f t="shared" si="1768"/>
        <v>0</v>
      </c>
      <c r="DW271" s="11"/>
      <c r="DX271" s="12" t="e">
        <f t="shared" si="1736"/>
        <v>#DIV/0!</v>
      </c>
      <c r="DY271" s="11"/>
      <c r="DZ271" s="12" t="e">
        <f t="shared" si="1737"/>
        <v>#DIV/0!</v>
      </c>
      <c r="EA271" s="13"/>
      <c r="EB271" s="11"/>
      <c r="EC271" s="25"/>
      <c r="ED271" s="38"/>
      <c r="EE271" s="10"/>
      <c r="EF271" s="11"/>
      <c r="EG271" s="69">
        <f t="shared" si="1769"/>
        <v>0</v>
      </c>
      <c r="EH271" s="69">
        <f t="shared" si="1769"/>
        <v>0</v>
      </c>
      <c r="EI271" s="11"/>
      <c r="EJ271" s="12" t="e">
        <f t="shared" si="1738"/>
        <v>#DIV/0!</v>
      </c>
      <c r="EK271" s="11"/>
      <c r="EL271" s="12" t="e">
        <f t="shared" si="1739"/>
        <v>#DIV/0!</v>
      </c>
      <c r="EM271" s="13"/>
      <c r="EN271" s="11"/>
      <c r="EO271" s="25"/>
      <c r="EP271" s="38"/>
      <c r="EQ271" s="10"/>
      <c r="ER271" s="11"/>
      <c r="ES271" s="69">
        <f t="shared" si="1770"/>
        <v>0</v>
      </c>
      <c r="ET271" s="69">
        <f t="shared" si="1770"/>
        <v>0</v>
      </c>
      <c r="EU271" s="11"/>
      <c r="EV271" s="12" t="e">
        <f t="shared" si="1740"/>
        <v>#DIV/0!</v>
      </c>
      <c r="EW271" s="11"/>
      <c r="EX271" s="12" t="e">
        <f t="shared" si="1741"/>
        <v>#DIV/0!</v>
      </c>
      <c r="EY271" s="13"/>
      <c r="EZ271" s="11"/>
      <c r="FA271" s="25"/>
      <c r="FB271" s="38"/>
      <c r="FC271" s="10"/>
      <c r="FD271" s="11"/>
      <c r="FE271" s="69">
        <f t="shared" si="1771"/>
        <v>0</v>
      </c>
      <c r="FF271" s="69">
        <f t="shared" si="1771"/>
        <v>0</v>
      </c>
      <c r="FG271" s="11"/>
      <c r="FH271" s="12" t="e">
        <f t="shared" si="1742"/>
        <v>#DIV/0!</v>
      </c>
      <c r="FI271" s="11"/>
      <c r="FJ271" s="12" t="e">
        <f t="shared" si="1743"/>
        <v>#DIV/0!</v>
      </c>
      <c r="FK271" s="13"/>
      <c r="FL271" s="11"/>
      <c r="FM271" s="25"/>
      <c r="FN271" s="38"/>
      <c r="FO271" s="10"/>
      <c r="FP271" s="11"/>
      <c r="FQ271" s="69">
        <f t="shared" si="1772"/>
        <v>0</v>
      </c>
      <c r="FR271" s="69">
        <f t="shared" si="1772"/>
        <v>0</v>
      </c>
      <c r="FS271" s="11"/>
      <c r="FT271" s="12" t="e">
        <f t="shared" si="1744"/>
        <v>#DIV/0!</v>
      </c>
      <c r="FU271" s="11"/>
      <c r="FV271" s="12" t="e">
        <f t="shared" si="1745"/>
        <v>#DIV/0!</v>
      </c>
      <c r="FW271" s="13"/>
      <c r="FX271" s="11"/>
      <c r="FY271" s="25"/>
      <c r="FZ271" s="38"/>
      <c r="GA271" s="10"/>
      <c r="GB271" s="11"/>
      <c r="GC271" s="69">
        <f t="shared" si="1773"/>
        <v>0</v>
      </c>
      <c r="GD271" s="69">
        <f t="shared" si="1773"/>
        <v>0</v>
      </c>
      <c r="GE271" s="11"/>
      <c r="GF271" s="12" t="e">
        <f t="shared" si="1746"/>
        <v>#DIV/0!</v>
      </c>
      <c r="GG271" s="11"/>
      <c r="GH271" s="12" t="e">
        <f t="shared" si="1747"/>
        <v>#DIV/0!</v>
      </c>
      <c r="GI271" s="13"/>
      <c r="GJ271" s="11"/>
      <c r="GK271" s="25"/>
      <c r="GL271" s="38"/>
      <c r="GM271" s="10"/>
      <c r="GN271" s="11"/>
      <c r="GO271" s="69">
        <f t="shared" si="1774"/>
        <v>0</v>
      </c>
      <c r="GP271" s="69">
        <f t="shared" si="1774"/>
        <v>0</v>
      </c>
      <c r="GQ271" s="11"/>
      <c r="GR271" s="12" t="e">
        <f t="shared" si="1748"/>
        <v>#DIV/0!</v>
      </c>
      <c r="GS271" s="11"/>
      <c r="GT271" s="12" t="e">
        <f t="shared" si="1749"/>
        <v>#DIV/0!</v>
      </c>
      <c r="GU271" s="13"/>
      <c r="GV271" s="11"/>
      <c r="GW271" s="25"/>
      <c r="GX271" s="38"/>
      <c r="GY271" s="10"/>
      <c r="GZ271" s="11"/>
      <c r="HA271" s="69">
        <f t="shared" si="1775"/>
        <v>0</v>
      </c>
      <c r="HB271" s="69">
        <f t="shared" si="1775"/>
        <v>0</v>
      </c>
      <c r="HC271" s="11"/>
      <c r="HD271" s="12" t="e">
        <f t="shared" si="1750"/>
        <v>#DIV/0!</v>
      </c>
      <c r="HE271" s="11"/>
      <c r="HF271" s="12" t="e">
        <f t="shared" si="1751"/>
        <v>#DIV/0!</v>
      </c>
      <c r="HG271" s="13"/>
      <c r="HH271" s="11"/>
      <c r="HI271" s="25"/>
      <c r="HJ271" s="38"/>
      <c r="HK271" s="10">
        <f t="shared" si="1752"/>
        <v>0</v>
      </c>
      <c r="HL271" s="11">
        <f t="shared" si="1752"/>
        <v>0</v>
      </c>
      <c r="HM271" s="11">
        <f t="shared" si="1752"/>
        <v>3360</v>
      </c>
      <c r="HN271" s="11">
        <f t="shared" si="1752"/>
        <v>260</v>
      </c>
      <c r="HO271" s="11">
        <f t="shared" si="1753"/>
        <v>1010</v>
      </c>
      <c r="HP271" s="95">
        <f t="shared" si="1754"/>
        <v>0.30059523809523808</v>
      </c>
      <c r="HQ271" s="15">
        <f t="shared" si="1755"/>
        <v>50</v>
      </c>
      <c r="HR271" s="12">
        <f t="shared" si="1776"/>
        <v>4.9504950495049507E-2</v>
      </c>
      <c r="HS271" s="16">
        <v>71.2</v>
      </c>
      <c r="HT271" s="17">
        <v>922</v>
      </c>
      <c r="HU271" s="16">
        <f t="shared" si="1756"/>
        <v>91.287128712871294</v>
      </c>
      <c r="HV271" s="23">
        <v>4891.630434782609</v>
      </c>
      <c r="HW271" s="22">
        <v>4990</v>
      </c>
    </row>
    <row r="272" spans="1:231" ht="18.75" x14ac:dyDescent="0.25">
      <c r="A272" s="374"/>
      <c r="B272" s="41">
        <f t="shared" si="1656"/>
        <v>45150</v>
      </c>
      <c r="C272" s="10">
        <v>1</v>
      </c>
      <c r="D272" s="11"/>
      <c r="E272" s="69">
        <f>E271-C272</f>
        <v>593</v>
      </c>
      <c r="F272" s="69">
        <f>F271-D272</f>
        <v>47</v>
      </c>
      <c r="G272" s="11">
        <v>191</v>
      </c>
      <c r="H272" s="12">
        <f t="shared" si="1717"/>
        <v>0.34569983136593591</v>
      </c>
      <c r="I272" s="11">
        <v>14</v>
      </c>
      <c r="J272" s="12">
        <f t="shared" si="1758"/>
        <v>6.8292682926829273E-2</v>
      </c>
      <c r="K272" s="13"/>
      <c r="L272" s="11"/>
      <c r="M272" s="39">
        <v>82.857142857142861</v>
      </c>
      <c r="N272" s="43">
        <v>100</v>
      </c>
      <c r="O272" s="10"/>
      <c r="P272" s="11"/>
      <c r="Q272" s="69">
        <f t="shared" si="1759"/>
        <v>605</v>
      </c>
      <c r="R272" s="69">
        <f t="shared" si="1759"/>
        <v>47</v>
      </c>
      <c r="S272" s="11">
        <v>188</v>
      </c>
      <c r="T272" s="12">
        <f t="shared" si="1718"/>
        <v>0.3322314049586777</v>
      </c>
      <c r="U272" s="11">
        <v>13</v>
      </c>
      <c r="V272" s="12">
        <f t="shared" si="1719"/>
        <v>6.4676616915422883E-2</v>
      </c>
      <c r="W272" s="13"/>
      <c r="X272" s="11"/>
      <c r="Y272" s="39">
        <v>96.875</v>
      </c>
      <c r="Z272" s="43">
        <v>61.54</v>
      </c>
      <c r="AA272" s="10"/>
      <c r="AB272" s="11"/>
      <c r="AC272" s="69">
        <f t="shared" si="1760"/>
        <v>140</v>
      </c>
      <c r="AD272" s="69">
        <f t="shared" si="1760"/>
        <v>9</v>
      </c>
      <c r="AE272" s="11">
        <v>46</v>
      </c>
      <c r="AF272" s="12">
        <f t="shared" si="1720"/>
        <v>0.33571428571428569</v>
      </c>
      <c r="AG272" s="11">
        <v>1</v>
      </c>
      <c r="AH272" s="12">
        <f t="shared" si="1721"/>
        <v>2.1276595744680851E-2</v>
      </c>
      <c r="AI272" s="13"/>
      <c r="AJ272" s="11"/>
      <c r="AK272" s="39">
        <v>100</v>
      </c>
      <c r="AL272" s="43">
        <v>100</v>
      </c>
      <c r="AM272" s="10"/>
      <c r="AN272" s="11"/>
      <c r="AO272" s="69">
        <f t="shared" si="1761"/>
        <v>672</v>
      </c>
      <c r="AP272" s="69">
        <f t="shared" si="1761"/>
        <v>52</v>
      </c>
      <c r="AQ272" s="11">
        <v>196</v>
      </c>
      <c r="AR272" s="12">
        <f t="shared" si="1722"/>
        <v>0.30208333333333331</v>
      </c>
      <c r="AS272" s="11">
        <v>7</v>
      </c>
      <c r="AT272" s="12">
        <f t="shared" si="1723"/>
        <v>3.4482758620689655E-2</v>
      </c>
      <c r="AU272" s="13"/>
      <c r="AV272" s="11"/>
      <c r="AW272" s="39">
        <v>86.111111111111114</v>
      </c>
      <c r="AX272" s="43">
        <v>90</v>
      </c>
      <c r="AY272" s="10">
        <v>1</v>
      </c>
      <c r="AZ272" s="11"/>
      <c r="BA272" s="69">
        <f t="shared" si="1762"/>
        <v>676</v>
      </c>
      <c r="BB272" s="69">
        <f t="shared" si="1762"/>
        <v>53</v>
      </c>
      <c r="BC272" s="11">
        <v>181</v>
      </c>
      <c r="BD272" s="12">
        <f t="shared" si="1724"/>
        <v>0.28402366863905326</v>
      </c>
      <c r="BE272" s="11">
        <v>11</v>
      </c>
      <c r="BF272" s="12">
        <f t="shared" si="1725"/>
        <v>5.7291666666666664E-2</v>
      </c>
      <c r="BG272" s="13"/>
      <c r="BH272" s="11"/>
      <c r="BI272" s="39">
        <v>80.555555555555557</v>
      </c>
      <c r="BJ272" s="43">
        <v>91.67</v>
      </c>
      <c r="BK272" s="10">
        <v>1</v>
      </c>
      <c r="BL272" s="11"/>
      <c r="BM272" s="69">
        <f t="shared" si="1763"/>
        <v>671</v>
      </c>
      <c r="BN272" s="69">
        <f t="shared" si="1763"/>
        <v>52</v>
      </c>
      <c r="BO272" s="11">
        <v>186</v>
      </c>
      <c r="BP272" s="12">
        <f t="shared" si="1726"/>
        <v>0.29359165424739198</v>
      </c>
      <c r="BQ272" s="11">
        <v>11</v>
      </c>
      <c r="BR272" s="12">
        <f t="shared" si="1727"/>
        <v>5.5837563451776651E-2</v>
      </c>
      <c r="BS272" s="13"/>
      <c r="BT272" s="11"/>
      <c r="BU272" s="39">
        <v>78.378378378378372</v>
      </c>
      <c r="BV272" s="43">
        <v>100</v>
      </c>
      <c r="BW272" s="10"/>
      <c r="BX272" s="11"/>
      <c r="BY272" s="69">
        <f t="shared" si="1764"/>
        <v>0</v>
      </c>
      <c r="BZ272" s="69">
        <f t="shared" si="1764"/>
        <v>0</v>
      </c>
      <c r="CA272" s="11"/>
      <c r="CB272" s="12" t="e">
        <f t="shared" si="1728"/>
        <v>#DIV/0!</v>
      </c>
      <c r="CC272" s="11"/>
      <c r="CD272" s="12" t="e">
        <f t="shared" si="1729"/>
        <v>#DIV/0!</v>
      </c>
      <c r="CE272" s="13"/>
      <c r="CF272" s="11"/>
      <c r="CG272" s="39"/>
      <c r="CH272" s="43"/>
      <c r="CI272" s="10"/>
      <c r="CJ272" s="11"/>
      <c r="CK272" s="69">
        <f t="shared" si="1765"/>
        <v>0</v>
      </c>
      <c r="CL272" s="69">
        <f t="shared" si="1765"/>
        <v>0</v>
      </c>
      <c r="CM272" s="11"/>
      <c r="CN272" s="12" t="e">
        <f t="shared" si="1730"/>
        <v>#DIV/0!</v>
      </c>
      <c r="CO272" s="11"/>
      <c r="CP272" s="12" t="e">
        <f t="shared" si="1731"/>
        <v>#DIV/0!</v>
      </c>
      <c r="CQ272" s="13"/>
      <c r="CR272" s="11"/>
      <c r="CS272" s="39"/>
      <c r="CT272" s="43"/>
      <c r="CU272" s="10"/>
      <c r="CV272" s="11"/>
      <c r="CW272" s="69">
        <f t="shared" si="1766"/>
        <v>0</v>
      </c>
      <c r="CX272" s="69">
        <f t="shared" si="1766"/>
        <v>0</v>
      </c>
      <c r="CY272" s="11"/>
      <c r="CZ272" s="12" t="e">
        <f t="shared" si="1732"/>
        <v>#DIV/0!</v>
      </c>
      <c r="DA272" s="11"/>
      <c r="DB272" s="12" t="e">
        <f t="shared" si="1733"/>
        <v>#DIV/0!</v>
      </c>
      <c r="DC272" s="13"/>
      <c r="DD272" s="11"/>
      <c r="DE272" s="39"/>
      <c r="DF272" s="43"/>
      <c r="DG272" s="10"/>
      <c r="DH272" s="11"/>
      <c r="DI272" s="69">
        <f t="shared" si="1767"/>
        <v>0</v>
      </c>
      <c r="DJ272" s="69">
        <f t="shared" si="1767"/>
        <v>0</v>
      </c>
      <c r="DK272" s="11"/>
      <c r="DL272" s="12" t="e">
        <f t="shared" si="1734"/>
        <v>#DIV/0!</v>
      </c>
      <c r="DM272" s="11"/>
      <c r="DN272" s="12" t="e">
        <f t="shared" si="1735"/>
        <v>#DIV/0!</v>
      </c>
      <c r="DO272" s="13"/>
      <c r="DP272" s="11"/>
      <c r="DQ272" s="39"/>
      <c r="DR272" s="43"/>
      <c r="DS272" s="10"/>
      <c r="DT272" s="11"/>
      <c r="DU272" s="69">
        <f t="shared" si="1768"/>
        <v>0</v>
      </c>
      <c r="DV272" s="69">
        <f t="shared" si="1768"/>
        <v>0</v>
      </c>
      <c r="DW272" s="11"/>
      <c r="DX272" s="12" t="e">
        <f t="shared" si="1736"/>
        <v>#DIV/0!</v>
      </c>
      <c r="DY272" s="11"/>
      <c r="DZ272" s="12" t="e">
        <f t="shared" si="1737"/>
        <v>#DIV/0!</v>
      </c>
      <c r="EA272" s="13"/>
      <c r="EB272" s="11"/>
      <c r="EC272" s="39"/>
      <c r="ED272" s="43"/>
      <c r="EE272" s="10"/>
      <c r="EF272" s="11"/>
      <c r="EG272" s="69">
        <f t="shared" si="1769"/>
        <v>0</v>
      </c>
      <c r="EH272" s="69">
        <f t="shared" si="1769"/>
        <v>0</v>
      </c>
      <c r="EI272" s="11"/>
      <c r="EJ272" s="12" t="e">
        <f t="shared" si="1738"/>
        <v>#DIV/0!</v>
      </c>
      <c r="EK272" s="11"/>
      <c r="EL272" s="12" t="e">
        <f t="shared" si="1739"/>
        <v>#DIV/0!</v>
      </c>
      <c r="EM272" s="13"/>
      <c r="EN272" s="11"/>
      <c r="EO272" s="39"/>
      <c r="EP272" s="43"/>
      <c r="EQ272" s="10"/>
      <c r="ER272" s="11"/>
      <c r="ES272" s="69">
        <f t="shared" si="1770"/>
        <v>0</v>
      </c>
      <c r="ET272" s="69">
        <f t="shared" si="1770"/>
        <v>0</v>
      </c>
      <c r="EU272" s="11"/>
      <c r="EV272" s="12" t="e">
        <f t="shared" si="1740"/>
        <v>#DIV/0!</v>
      </c>
      <c r="EW272" s="11"/>
      <c r="EX272" s="12" t="e">
        <f t="shared" si="1741"/>
        <v>#DIV/0!</v>
      </c>
      <c r="EY272" s="13"/>
      <c r="EZ272" s="11"/>
      <c r="FA272" s="39"/>
      <c r="FB272" s="43"/>
      <c r="FC272" s="10"/>
      <c r="FD272" s="11"/>
      <c r="FE272" s="69">
        <f t="shared" si="1771"/>
        <v>0</v>
      </c>
      <c r="FF272" s="69">
        <f t="shared" si="1771"/>
        <v>0</v>
      </c>
      <c r="FG272" s="11"/>
      <c r="FH272" s="12" t="e">
        <f t="shared" si="1742"/>
        <v>#DIV/0!</v>
      </c>
      <c r="FI272" s="11"/>
      <c r="FJ272" s="12" t="e">
        <f t="shared" si="1743"/>
        <v>#DIV/0!</v>
      </c>
      <c r="FK272" s="13"/>
      <c r="FL272" s="11"/>
      <c r="FM272" s="39"/>
      <c r="FN272" s="43"/>
      <c r="FO272" s="10"/>
      <c r="FP272" s="11"/>
      <c r="FQ272" s="69">
        <f t="shared" si="1772"/>
        <v>0</v>
      </c>
      <c r="FR272" s="69">
        <f t="shared" si="1772"/>
        <v>0</v>
      </c>
      <c r="FS272" s="11"/>
      <c r="FT272" s="12" t="e">
        <f t="shared" si="1744"/>
        <v>#DIV/0!</v>
      </c>
      <c r="FU272" s="11"/>
      <c r="FV272" s="12" t="e">
        <f t="shared" si="1745"/>
        <v>#DIV/0!</v>
      </c>
      <c r="FW272" s="13"/>
      <c r="FX272" s="11"/>
      <c r="FY272" s="39"/>
      <c r="FZ272" s="43"/>
      <c r="GA272" s="10"/>
      <c r="GB272" s="11"/>
      <c r="GC272" s="69">
        <f t="shared" si="1773"/>
        <v>0</v>
      </c>
      <c r="GD272" s="69">
        <f t="shared" si="1773"/>
        <v>0</v>
      </c>
      <c r="GE272" s="11"/>
      <c r="GF272" s="12" t="e">
        <f t="shared" si="1746"/>
        <v>#DIV/0!</v>
      </c>
      <c r="GG272" s="11"/>
      <c r="GH272" s="12" t="e">
        <f t="shared" si="1747"/>
        <v>#DIV/0!</v>
      </c>
      <c r="GI272" s="13"/>
      <c r="GJ272" s="11"/>
      <c r="GK272" s="39"/>
      <c r="GL272" s="43"/>
      <c r="GM272" s="10"/>
      <c r="GN272" s="11"/>
      <c r="GO272" s="69">
        <f t="shared" si="1774"/>
        <v>0</v>
      </c>
      <c r="GP272" s="69">
        <f t="shared" si="1774"/>
        <v>0</v>
      </c>
      <c r="GQ272" s="11"/>
      <c r="GR272" s="12" t="e">
        <f t="shared" si="1748"/>
        <v>#DIV/0!</v>
      </c>
      <c r="GS272" s="11"/>
      <c r="GT272" s="12" t="e">
        <f t="shared" si="1749"/>
        <v>#DIV/0!</v>
      </c>
      <c r="GU272" s="13"/>
      <c r="GV272" s="11"/>
      <c r="GW272" s="39"/>
      <c r="GX272" s="43"/>
      <c r="GY272" s="10"/>
      <c r="GZ272" s="11"/>
      <c r="HA272" s="69">
        <f t="shared" si="1775"/>
        <v>0</v>
      </c>
      <c r="HB272" s="69">
        <f t="shared" si="1775"/>
        <v>0</v>
      </c>
      <c r="HC272" s="11"/>
      <c r="HD272" s="12" t="e">
        <f t="shared" si="1750"/>
        <v>#DIV/0!</v>
      </c>
      <c r="HE272" s="11"/>
      <c r="HF272" s="12" t="e">
        <f t="shared" si="1751"/>
        <v>#DIV/0!</v>
      </c>
      <c r="HG272" s="13"/>
      <c r="HH272" s="11"/>
      <c r="HI272" s="39"/>
      <c r="HJ272" s="43"/>
      <c r="HK272" s="10">
        <f t="shared" si="1752"/>
        <v>3</v>
      </c>
      <c r="HL272" s="11">
        <f t="shared" si="1752"/>
        <v>0</v>
      </c>
      <c r="HM272" s="11">
        <f t="shared" si="1752"/>
        <v>3357</v>
      </c>
      <c r="HN272" s="11">
        <f t="shared" si="1752"/>
        <v>260</v>
      </c>
      <c r="HO272" s="11">
        <f t="shared" si="1753"/>
        <v>1045</v>
      </c>
      <c r="HP272" s="95">
        <f t="shared" si="1754"/>
        <v>0.3112898421209413</v>
      </c>
      <c r="HQ272" s="15">
        <f t="shared" si="1755"/>
        <v>57</v>
      </c>
      <c r="HR272" s="12">
        <f t="shared" si="1776"/>
        <v>5.4545454545454543E-2</v>
      </c>
      <c r="HS272" s="16">
        <v>71.099999999999994</v>
      </c>
      <c r="HT272" s="17">
        <v>941</v>
      </c>
      <c r="HU272" s="16">
        <f t="shared" si="1756"/>
        <v>90.047846889952154</v>
      </c>
      <c r="HV272" s="23">
        <v>84.782608695652172</v>
      </c>
      <c r="HW272" s="22">
        <v>82.46</v>
      </c>
    </row>
    <row r="273" spans="1:231" ht="19.5" thickBot="1" x14ac:dyDescent="0.3">
      <c r="A273" s="374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1298</v>
      </c>
      <c r="H273" s="28">
        <f>((G273+I273)/7)/E272</f>
        <v>0.33582269332690917</v>
      </c>
      <c r="I273" s="27">
        <f>SUM(I266:I272)</f>
        <v>96</v>
      </c>
      <c r="J273" s="28">
        <f>(I273/(I273+G273))</f>
        <v>6.886657101865136E-2</v>
      </c>
      <c r="K273" s="27"/>
      <c r="L273" s="27"/>
      <c r="M273" s="29">
        <f>M271/M270*100-100</f>
        <v>12.109156666118693</v>
      </c>
      <c r="N273" s="67">
        <f>N271/N270*100-100</f>
        <v>6.4227848101265721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1259</v>
      </c>
      <c r="T273" s="28">
        <f>((S273+U273)/7)/Q272</f>
        <v>0.31829988193624559</v>
      </c>
      <c r="U273" s="27">
        <f>SUM(U266:U272)</f>
        <v>89</v>
      </c>
      <c r="V273" s="28">
        <f>(U273/(U273+S273))</f>
        <v>6.6023738872403565E-2</v>
      </c>
      <c r="W273" s="27"/>
      <c r="X273" s="27"/>
      <c r="Y273" s="29">
        <f>Y271/Y270*100-100</f>
        <v>10.478998849252008</v>
      </c>
      <c r="Z273" s="67">
        <f>Z271/Z270*100-100</f>
        <v>1.0061181434599007</v>
      </c>
      <c r="AA273" s="26">
        <f>SUM(AA266:AA272)</f>
        <v>0</v>
      </c>
      <c r="AB273" s="27">
        <f>SUM(AB266:AB272)</f>
        <v>1</v>
      </c>
      <c r="AC273" s="27"/>
      <c r="AD273" s="27"/>
      <c r="AE273" s="27">
        <f>SUM(AE266:AE272)</f>
        <v>292</v>
      </c>
      <c r="AF273" s="28">
        <f>((AE273+AG273)/7)/AC272</f>
        <v>0.3183673469387755</v>
      </c>
      <c r="AG273" s="27">
        <f>SUM(AG266:AG272)</f>
        <v>20</v>
      </c>
      <c r="AH273" s="28">
        <f>(AG273/(AG273+AE273))</f>
        <v>6.4102564102564097E-2</v>
      </c>
      <c r="AI273" s="27"/>
      <c r="AJ273" s="27"/>
      <c r="AK273" s="29">
        <f>AK271/AK270*100-100</f>
        <v>10.241657077100115</v>
      </c>
      <c r="AL273" s="67">
        <f>AL271/AL270*100-100</f>
        <v>-5.2040084388185619</v>
      </c>
      <c r="AM273" s="26">
        <f>SUM(AM266:AM272)</f>
        <v>0</v>
      </c>
      <c r="AN273" s="27">
        <f>SUM(AN266:AN272)</f>
        <v>0</v>
      </c>
      <c r="AO273" s="27"/>
      <c r="AP273" s="27"/>
      <c r="AQ273" s="27">
        <f>SUM(AQ266:AQ272)</f>
        <v>1423</v>
      </c>
      <c r="AR273" s="28">
        <f>((AQ273+AS273)/7)/AO272</f>
        <v>0.31802721088435376</v>
      </c>
      <c r="AS273" s="27">
        <f>SUM(AS266:AS272)</f>
        <v>73</v>
      </c>
      <c r="AT273" s="28">
        <f>(AS273/(AS273+AQ273))</f>
        <v>4.8796791443850268E-2</v>
      </c>
      <c r="AU273" s="27"/>
      <c r="AV273" s="27"/>
      <c r="AW273" s="29">
        <f>AW271/AW270*100-100</f>
        <v>9.845288326300988</v>
      </c>
      <c r="AX273" s="67">
        <f>AX271/AX270*100-100</f>
        <v>5.7594936708860871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1382</v>
      </c>
      <c r="BD273" s="28">
        <f>((BC273+BE273)/7)/BA272</f>
        <v>0.31170752324598477</v>
      </c>
      <c r="BE273" s="27">
        <f>SUM(BE266:BE272)</f>
        <v>93</v>
      </c>
      <c r="BF273" s="28">
        <f>(BE273/(BE273+BC273))</f>
        <v>6.3050847457627124E-2</v>
      </c>
      <c r="BG273" s="27"/>
      <c r="BH273" s="27"/>
      <c r="BI273" s="29">
        <f>BI271/BI270*100-100</f>
        <v>16.698631888505304</v>
      </c>
      <c r="BJ273" s="67">
        <f>BJ271/BJ270*100-100</f>
        <v>9.1597046413502028</v>
      </c>
      <c r="BK273" s="26">
        <f>SUM(BK266:BK272)</f>
        <v>2</v>
      </c>
      <c r="BL273" s="27">
        <f>SUM(BL266:BL272)</f>
        <v>1</v>
      </c>
      <c r="BM273" s="27"/>
      <c r="BN273" s="27"/>
      <c r="BO273" s="27">
        <f>SUM(BO266:BO272)</f>
        <v>1446</v>
      </c>
      <c r="BP273" s="28">
        <f>((BO273+BQ273)/7)/BM272</f>
        <v>0.32382371726634018</v>
      </c>
      <c r="BQ273" s="27">
        <f>SUM(BQ266:BQ272)</f>
        <v>75</v>
      </c>
      <c r="BR273" s="28">
        <f>(BQ273/(BQ273+BO273))</f>
        <v>4.9309664694280081E-2</v>
      </c>
      <c r="BS273" s="27"/>
      <c r="BT273" s="27"/>
      <c r="BU273" s="29">
        <f>BU271/BU270*100-100</f>
        <v>14.004914004913999</v>
      </c>
      <c r="BV273" s="67">
        <f>BV271/BV270*100-100</f>
        <v>7.784810126582272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7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7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7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7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7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7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7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7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7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7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7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7" t="e">
        <f>HJ271/HJ270*100-100</f>
        <v>#DIV/0!</v>
      </c>
      <c r="HK273" s="26">
        <f t="shared" si="1752"/>
        <v>8</v>
      </c>
      <c r="HL273" s="27">
        <f t="shared" si="1752"/>
        <v>2</v>
      </c>
      <c r="HM273" s="27">
        <f t="shared" si="1752"/>
        <v>0</v>
      </c>
      <c r="HN273" s="27">
        <f t="shared" si="1752"/>
        <v>0</v>
      </c>
      <c r="HO273" s="27">
        <f t="shared" si="1753"/>
        <v>7546</v>
      </c>
      <c r="HP273" s="96">
        <f>+((HO273)/HM272)/7</f>
        <v>0.32112004766160263</v>
      </c>
      <c r="HQ273" s="62">
        <f t="shared" si="1755"/>
        <v>446</v>
      </c>
      <c r="HR273" s="52">
        <f t="shared" si="1776"/>
        <v>5.910416114497747E-2</v>
      </c>
      <c r="HS273" s="53">
        <f>SUM(HS266:HS272)/7</f>
        <v>71.142857142857139</v>
      </c>
      <c r="HT273" s="54">
        <f>SUM(HT266:HT272)</f>
        <v>6806</v>
      </c>
      <c r="HU273" s="53">
        <f>AVERAGE(HU266:HU272)</f>
        <v>90.201224863857234</v>
      </c>
      <c r="HV273" s="63">
        <f>HV271/HV270*100-100</f>
        <v>12.580677440336217</v>
      </c>
      <c r="HW273" s="67">
        <f>HW271/HW270*100-100</f>
        <v>5.2742616033755212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2.37741456166419E-3</v>
      </c>
      <c r="HL274" s="66">
        <f>HL273/HN263</f>
        <v>7.6335877862595417E-3</v>
      </c>
      <c r="HM274" s="45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373">
        <v>55</v>
      </c>
      <c r="B275" s="68">
        <f>B272+1</f>
        <v>45151</v>
      </c>
      <c r="C275" s="33">
        <v>2</v>
      </c>
      <c r="D275" s="34"/>
      <c r="E275" s="34">
        <f>E272-C275</f>
        <v>591</v>
      </c>
      <c r="F275" s="34">
        <f>F272-D275</f>
        <v>47</v>
      </c>
      <c r="G275" s="34">
        <v>190</v>
      </c>
      <c r="H275" s="35">
        <f t="shared" ref="H275:H281" si="1777">((G275+I275)/E275)</f>
        <v>0.34856175972927245</v>
      </c>
      <c r="I275" s="34">
        <v>16</v>
      </c>
      <c r="J275" s="35">
        <f>I275/(G275+I275)</f>
        <v>7.7669902912621352E-2</v>
      </c>
      <c r="K275" s="36"/>
      <c r="L275" s="34"/>
      <c r="M275" s="34"/>
      <c r="N275" s="37"/>
      <c r="O275" s="33"/>
      <c r="P275" s="34"/>
      <c r="Q275" s="34">
        <f>Q272-O275</f>
        <v>605</v>
      </c>
      <c r="R275" s="34">
        <f>R272-P275</f>
        <v>47</v>
      </c>
      <c r="S275" s="34">
        <v>195</v>
      </c>
      <c r="T275" s="35">
        <f t="shared" ref="T275:T281" si="1778">((S275+U275)/Q275)</f>
        <v>0.33553719008264465</v>
      </c>
      <c r="U275" s="34">
        <v>8</v>
      </c>
      <c r="V275" s="35">
        <f t="shared" ref="V275:V281" si="1779">U275/(S275+U275)</f>
        <v>3.9408866995073892E-2</v>
      </c>
      <c r="W275" s="36"/>
      <c r="X275" s="34"/>
      <c r="Y275" s="34"/>
      <c r="Z275" s="37"/>
      <c r="AA275" s="33"/>
      <c r="AB275" s="34"/>
      <c r="AC275" s="34">
        <f>AC272-AA275</f>
        <v>140</v>
      </c>
      <c r="AD275" s="34">
        <f>AD272-AB275</f>
        <v>9</v>
      </c>
      <c r="AE275" s="34">
        <v>27</v>
      </c>
      <c r="AF275" s="35">
        <f t="shared" ref="AF275:AF281" si="1780">((AE275+AG275)/AC275)</f>
        <v>0.2</v>
      </c>
      <c r="AG275" s="34">
        <v>1</v>
      </c>
      <c r="AH275" s="35">
        <f t="shared" ref="AH275:AH281" si="1781">AG275/(AE275+AG275)</f>
        <v>3.5714285714285712E-2</v>
      </c>
      <c r="AI275" s="36"/>
      <c r="AJ275" s="34"/>
      <c r="AK275" s="34"/>
      <c r="AL275" s="37"/>
      <c r="AM275" s="33"/>
      <c r="AN275" s="34"/>
      <c r="AO275" s="34">
        <f>AO272-AM275</f>
        <v>672</v>
      </c>
      <c r="AP275" s="34">
        <f>AP272-AN275</f>
        <v>52</v>
      </c>
      <c r="AQ275" s="34">
        <v>194</v>
      </c>
      <c r="AR275" s="35">
        <f t="shared" ref="AR275:AR281" si="1782">((AQ275+AS275)/AO275)</f>
        <v>0.29910714285714285</v>
      </c>
      <c r="AS275" s="34">
        <v>7</v>
      </c>
      <c r="AT275" s="35">
        <f t="shared" ref="AT275:AT281" si="1783">AS275/(AQ275+AS275)</f>
        <v>3.482587064676617E-2</v>
      </c>
      <c r="AU275" s="36"/>
      <c r="AV275" s="34"/>
      <c r="AW275" s="34"/>
      <c r="AX275" s="37"/>
      <c r="AY275" s="33"/>
      <c r="AZ275" s="34"/>
      <c r="BA275" s="34">
        <f>BA272-AY275</f>
        <v>676</v>
      </c>
      <c r="BB275" s="34">
        <f>BB272-AZ275</f>
        <v>53</v>
      </c>
      <c r="BC275" s="34">
        <v>193</v>
      </c>
      <c r="BD275" s="35">
        <f t="shared" ref="BD275:BD281" si="1784">((BC275+BE275)/BA275)</f>
        <v>0.30325443786982248</v>
      </c>
      <c r="BE275" s="34">
        <v>12</v>
      </c>
      <c r="BF275" s="35">
        <f t="shared" ref="BF275:BF281" si="1785">BE275/(BC275+BE275)</f>
        <v>5.8536585365853662E-2</v>
      </c>
      <c r="BG275" s="36"/>
      <c r="BH275" s="34"/>
      <c r="BI275" s="34"/>
      <c r="BJ275" s="37"/>
      <c r="BK275" s="33"/>
      <c r="BL275" s="34"/>
      <c r="BM275" s="34">
        <f>BM272-BK275</f>
        <v>671</v>
      </c>
      <c r="BN275" s="34">
        <f>BN272-BL275</f>
        <v>52</v>
      </c>
      <c r="BO275" s="34">
        <v>194</v>
      </c>
      <c r="BP275" s="35">
        <f t="shared" ref="BP275:BP281" si="1786">((BO275+BQ275)/BM275)</f>
        <v>0.30402384500745155</v>
      </c>
      <c r="BQ275" s="34">
        <v>10</v>
      </c>
      <c r="BR275" s="35">
        <f t="shared" ref="BR275:BR281" si="1787">BQ275/(BO275+BQ275)</f>
        <v>4.9019607843137254E-2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788">((CA275+CC275)/BY275)</f>
        <v>#DIV/0!</v>
      </c>
      <c r="CC275" s="34"/>
      <c r="CD275" s="35" t="e">
        <f t="shared" ref="CD275:CD281" si="1789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790">((CM275+CO275)/CK275)</f>
        <v>#DIV/0!</v>
      </c>
      <c r="CO275" s="34"/>
      <c r="CP275" s="35" t="e">
        <f t="shared" ref="CP275:CP281" si="1791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792">((CY275+DA275)/CW275)</f>
        <v>#DIV/0!</v>
      </c>
      <c r="DA275" s="34"/>
      <c r="DB275" s="35" t="e">
        <f t="shared" ref="DB275:DB281" si="1793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794">((DK275+DM275)/DI275)</f>
        <v>#DIV/0!</v>
      </c>
      <c r="DM275" s="34"/>
      <c r="DN275" s="35" t="e">
        <f t="shared" ref="DN275:DN281" si="1795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796">((DW275+DY275)/DU275)</f>
        <v>#DIV/0!</v>
      </c>
      <c r="DY275" s="34"/>
      <c r="DZ275" s="35" t="e">
        <f t="shared" ref="DZ275:DZ281" si="1797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798">((EI275+EK275)/EG275)</f>
        <v>#DIV/0!</v>
      </c>
      <c r="EK275" s="34"/>
      <c r="EL275" s="35" t="e">
        <f t="shared" ref="EL275:EL281" si="1799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800">((EU275+EW275)/ES275)</f>
        <v>#DIV/0!</v>
      </c>
      <c r="EW275" s="34"/>
      <c r="EX275" s="35" t="e">
        <f t="shared" ref="EX275:EX281" si="1801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802">((FG275+FI275)/FE275)</f>
        <v>#DIV/0!</v>
      </c>
      <c r="FI275" s="34"/>
      <c r="FJ275" s="35" t="e">
        <f t="shared" ref="FJ275:FJ281" si="1803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804">((FS275+FU275)/FQ275)</f>
        <v>#DIV/0!</v>
      </c>
      <c r="FU275" s="34"/>
      <c r="FV275" s="35" t="e">
        <f t="shared" ref="FV275:FV281" si="1805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806">((GE275+GG275)/GC275)</f>
        <v>#DIV/0!</v>
      </c>
      <c r="GG275" s="34"/>
      <c r="GH275" s="35" t="e">
        <f t="shared" ref="GH275:GH281" si="1807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808">((GQ275+GS275)/GO275)</f>
        <v>#DIV/0!</v>
      </c>
      <c r="GS275" s="34"/>
      <c r="GT275" s="35" t="e">
        <f t="shared" ref="GT275:GT281" si="1809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810">((HC275+HE275)/HA275)</f>
        <v>#DIV/0!</v>
      </c>
      <c r="HE275" s="34"/>
      <c r="HF275" s="35" t="e">
        <f t="shared" ref="HF275:HF281" si="1811">HE275/(HC275+HE275)</f>
        <v>#DIV/0!</v>
      </c>
      <c r="HG275" s="36"/>
      <c r="HH275" s="34"/>
      <c r="HI275" s="34"/>
      <c r="HJ275" s="37"/>
      <c r="HK275" s="33">
        <f t="shared" ref="HK275:HN282" si="1812">+C275+O275+AA275+AM275+AY275+BK275+BW275+CI275+CU275+DG275+DS275+EE275+EQ275+FC275+FO275+GA275+GM275+GY275</f>
        <v>2</v>
      </c>
      <c r="HL275" s="34">
        <f t="shared" si="1812"/>
        <v>0</v>
      </c>
      <c r="HM275" s="34">
        <f t="shared" si="1812"/>
        <v>3355</v>
      </c>
      <c r="HN275" s="34">
        <f t="shared" si="1812"/>
        <v>260</v>
      </c>
      <c r="HO275" s="34">
        <f t="shared" ref="HO275:HO282" si="1813">+G275+S275+AE275+AQ275+BC275+BO275+CA275+CM275+CY275+DK275+DW275+EI275+EU275+FG275+FS275+GE275+GQ275+HC275+I275+U275+AG275+AS275+BE275+BQ275+CC275+CO275+DA275+DM275+DY275+EK275+EW275+FI275+FU275+GG275+GS275+HE275</f>
        <v>1047</v>
      </c>
      <c r="HP275" s="94">
        <f t="shared" ref="HP275:HP281" si="1814">+(HO275)/HM275</f>
        <v>0.31207153502235468</v>
      </c>
      <c r="HQ275" s="48">
        <f t="shared" ref="HQ275:HQ282" si="1815">+I275+U275+AG275+AS275+BE275+BQ275+CC275+CO275+DA275+DM275+DY275+EK275+EW275+FI275+FU275+GG275+GS275+HE275</f>
        <v>54</v>
      </c>
      <c r="HR275" s="35">
        <f>+(HQ275/(HO275))</f>
        <v>5.1575931232091692E-2</v>
      </c>
      <c r="HS275" s="49">
        <v>71.3</v>
      </c>
      <c r="HT275" s="50">
        <v>946</v>
      </c>
      <c r="HU275" s="49">
        <f t="shared" ref="HU275:HU281" si="1816">+HT275/HO275*100</f>
        <v>90.353390639923589</v>
      </c>
      <c r="HV275" s="48"/>
      <c r="HW275" s="37"/>
    </row>
    <row r="276" spans="1:231" ht="18.75" x14ac:dyDescent="0.25">
      <c r="A276" s="374"/>
      <c r="B276" s="41">
        <f t="shared" si="1656"/>
        <v>45152</v>
      </c>
      <c r="C276" s="10"/>
      <c r="D276" s="11"/>
      <c r="E276" s="69">
        <f t="shared" ref="E276:F280" si="1817">E275-C276</f>
        <v>591</v>
      </c>
      <c r="F276" s="69">
        <f t="shared" si="1817"/>
        <v>47</v>
      </c>
      <c r="G276" s="11">
        <v>178</v>
      </c>
      <c r="H276" s="12">
        <f t="shared" si="1777"/>
        <v>0.32487309644670048</v>
      </c>
      <c r="I276" s="11">
        <v>14</v>
      </c>
      <c r="J276" s="12">
        <f t="shared" ref="J276:J281" si="1818">I276/(G276+I276)</f>
        <v>7.2916666666666671E-2</v>
      </c>
      <c r="K276" s="13"/>
      <c r="L276" s="11"/>
      <c r="M276" s="11"/>
      <c r="N276" s="14"/>
      <c r="O276" s="10"/>
      <c r="P276" s="11"/>
      <c r="Q276" s="69">
        <f t="shared" ref="Q276:R281" si="1819">Q275-O276</f>
        <v>605</v>
      </c>
      <c r="R276" s="69">
        <f t="shared" si="1819"/>
        <v>47</v>
      </c>
      <c r="S276" s="11">
        <v>157</v>
      </c>
      <c r="T276" s="12">
        <f t="shared" si="1778"/>
        <v>0.26776859504132233</v>
      </c>
      <c r="U276" s="11">
        <v>5</v>
      </c>
      <c r="V276" s="12">
        <f t="shared" si="1779"/>
        <v>3.0864197530864196E-2</v>
      </c>
      <c r="W276" s="13"/>
      <c r="X276" s="11"/>
      <c r="Y276" s="11"/>
      <c r="Z276" s="14"/>
      <c r="AA276" s="10"/>
      <c r="AB276" s="11"/>
      <c r="AC276" s="69">
        <f t="shared" ref="AC276:AD281" si="1820">AC275-AA276</f>
        <v>140</v>
      </c>
      <c r="AD276" s="69">
        <f t="shared" si="1820"/>
        <v>9</v>
      </c>
      <c r="AE276" s="11">
        <v>34</v>
      </c>
      <c r="AF276" s="12">
        <f t="shared" si="1780"/>
        <v>0.27142857142857141</v>
      </c>
      <c r="AG276" s="11">
        <v>4</v>
      </c>
      <c r="AH276" s="12">
        <f t="shared" si="1781"/>
        <v>0.10526315789473684</v>
      </c>
      <c r="AI276" s="13"/>
      <c r="AJ276" s="11"/>
      <c r="AK276" s="11"/>
      <c r="AL276" s="14"/>
      <c r="AM276" s="10"/>
      <c r="AN276" s="11"/>
      <c r="AO276" s="69">
        <f t="shared" ref="AO276:AP281" si="1821">AO275-AM276</f>
        <v>672</v>
      </c>
      <c r="AP276" s="69">
        <f t="shared" si="1821"/>
        <v>52</v>
      </c>
      <c r="AQ276" s="11">
        <v>194</v>
      </c>
      <c r="AR276" s="12">
        <f t="shared" si="1782"/>
        <v>0.29761904761904762</v>
      </c>
      <c r="AS276" s="11">
        <v>6</v>
      </c>
      <c r="AT276" s="12">
        <f t="shared" si="1783"/>
        <v>0.03</v>
      </c>
      <c r="AU276" s="13"/>
      <c r="AV276" s="11"/>
      <c r="AW276" s="11"/>
      <c r="AX276" s="14"/>
      <c r="AY276" s="10"/>
      <c r="AZ276" s="11"/>
      <c r="BA276" s="69">
        <f t="shared" ref="BA276:BB281" si="1822">BA275-AY276</f>
        <v>676</v>
      </c>
      <c r="BB276" s="69">
        <f t="shared" si="1822"/>
        <v>53</v>
      </c>
      <c r="BC276" s="11">
        <v>171</v>
      </c>
      <c r="BD276" s="12">
        <v>0.15</v>
      </c>
      <c r="BE276" s="11">
        <v>9</v>
      </c>
      <c r="BF276" s="12">
        <f t="shared" si="1785"/>
        <v>0.05</v>
      </c>
      <c r="BG276" s="13"/>
      <c r="BH276" s="11"/>
      <c r="BI276" s="11"/>
      <c r="BJ276" s="14"/>
      <c r="BK276" s="10">
        <v>2</v>
      </c>
      <c r="BL276" s="11"/>
      <c r="BM276" s="69">
        <f t="shared" ref="BM276:BN281" si="1823">BM275-BK276</f>
        <v>669</v>
      </c>
      <c r="BN276" s="69">
        <f t="shared" si="1823"/>
        <v>52</v>
      </c>
      <c r="BO276" s="11">
        <v>193</v>
      </c>
      <c r="BP276" s="12">
        <f t="shared" si="1786"/>
        <v>0.30642750373692079</v>
      </c>
      <c r="BQ276" s="11">
        <v>12</v>
      </c>
      <c r="BR276" s="12">
        <f t="shared" si="1787"/>
        <v>5.8536585365853662E-2</v>
      </c>
      <c r="BS276" s="13"/>
      <c r="BT276" s="11"/>
      <c r="BU276" s="11"/>
      <c r="BV276" s="14"/>
      <c r="BW276" s="10"/>
      <c r="BX276" s="11"/>
      <c r="BY276" s="69">
        <f t="shared" ref="BY276:BZ281" si="1824">BY275-BW276</f>
        <v>0</v>
      </c>
      <c r="BZ276" s="69">
        <f t="shared" si="1824"/>
        <v>0</v>
      </c>
      <c r="CA276" s="11"/>
      <c r="CB276" s="12" t="e">
        <f t="shared" si="1788"/>
        <v>#DIV/0!</v>
      </c>
      <c r="CC276" s="11"/>
      <c r="CD276" s="12" t="e">
        <f t="shared" si="1789"/>
        <v>#DIV/0!</v>
      </c>
      <c r="CE276" s="13"/>
      <c r="CF276" s="11"/>
      <c r="CG276" s="11"/>
      <c r="CH276" s="14"/>
      <c r="CI276" s="10"/>
      <c r="CJ276" s="11"/>
      <c r="CK276" s="69">
        <f t="shared" ref="CK276:CL281" si="1825">CK275-CI276</f>
        <v>0</v>
      </c>
      <c r="CL276" s="69">
        <f t="shared" si="1825"/>
        <v>0</v>
      </c>
      <c r="CM276" s="11"/>
      <c r="CN276" s="12" t="e">
        <f t="shared" si="1790"/>
        <v>#DIV/0!</v>
      </c>
      <c r="CO276" s="11"/>
      <c r="CP276" s="12" t="e">
        <f t="shared" si="1791"/>
        <v>#DIV/0!</v>
      </c>
      <c r="CQ276" s="13"/>
      <c r="CR276" s="11"/>
      <c r="CS276" s="11"/>
      <c r="CT276" s="14"/>
      <c r="CU276" s="10"/>
      <c r="CV276" s="11"/>
      <c r="CW276" s="69">
        <f t="shared" ref="CW276:CX281" si="1826">CW275-CU276</f>
        <v>0</v>
      </c>
      <c r="CX276" s="69">
        <f t="shared" si="1826"/>
        <v>0</v>
      </c>
      <c r="CY276" s="11"/>
      <c r="CZ276" s="12" t="e">
        <f t="shared" si="1792"/>
        <v>#DIV/0!</v>
      </c>
      <c r="DA276" s="11"/>
      <c r="DB276" s="12" t="e">
        <f t="shared" si="1793"/>
        <v>#DIV/0!</v>
      </c>
      <c r="DC276" s="13"/>
      <c r="DD276" s="11"/>
      <c r="DE276" s="11"/>
      <c r="DF276" s="14"/>
      <c r="DG276" s="10"/>
      <c r="DH276" s="11"/>
      <c r="DI276" s="69">
        <f t="shared" ref="DI276:DJ281" si="1827">DI275-DG276</f>
        <v>0</v>
      </c>
      <c r="DJ276" s="69">
        <f t="shared" si="1827"/>
        <v>0</v>
      </c>
      <c r="DK276" s="11"/>
      <c r="DL276" s="12" t="e">
        <f t="shared" si="1794"/>
        <v>#DIV/0!</v>
      </c>
      <c r="DM276" s="11"/>
      <c r="DN276" s="12" t="e">
        <f t="shared" si="1795"/>
        <v>#DIV/0!</v>
      </c>
      <c r="DO276" s="13"/>
      <c r="DP276" s="11"/>
      <c r="DQ276" s="11"/>
      <c r="DR276" s="14"/>
      <c r="DS276" s="10"/>
      <c r="DT276" s="11"/>
      <c r="DU276" s="69">
        <f t="shared" ref="DU276:DV281" si="1828">DU275-DS276</f>
        <v>0</v>
      </c>
      <c r="DV276" s="69">
        <f t="shared" si="1828"/>
        <v>0</v>
      </c>
      <c r="DW276" s="11"/>
      <c r="DX276" s="12" t="e">
        <f t="shared" si="1796"/>
        <v>#DIV/0!</v>
      </c>
      <c r="DY276" s="11"/>
      <c r="DZ276" s="12" t="e">
        <f t="shared" si="1797"/>
        <v>#DIV/0!</v>
      </c>
      <c r="EA276" s="13"/>
      <c r="EB276" s="11"/>
      <c r="EC276" s="11"/>
      <c r="ED276" s="14"/>
      <c r="EE276" s="10"/>
      <c r="EF276" s="11"/>
      <c r="EG276" s="69">
        <f t="shared" ref="EG276:EH281" si="1829">EG275-EE276</f>
        <v>0</v>
      </c>
      <c r="EH276" s="69">
        <f t="shared" si="1829"/>
        <v>0</v>
      </c>
      <c r="EI276" s="11"/>
      <c r="EJ276" s="12" t="e">
        <f t="shared" si="1798"/>
        <v>#DIV/0!</v>
      </c>
      <c r="EK276" s="11"/>
      <c r="EL276" s="12" t="e">
        <f t="shared" si="1799"/>
        <v>#DIV/0!</v>
      </c>
      <c r="EM276" s="13"/>
      <c r="EN276" s="11"/>
      <c r="EO276" s="11"/>
      <c r="EP276" s="14"/>
      <c r="EQ276" s="10"/>
      <c r="ER276" s="11"/>
      <c r="ES276" s="69">
        <f t="shared" ref="ES276:ET281" si="1830">ES275-EQ276</f>
        <v>0</v>
      </c>
      <c r="ET276" s="69">
        <f t="shared" si="1830"/>
        <v>0</v>
      </c>
      <c r="EU276" s="11"/>
      <c r="EV276" s="12" t="e">
        <f t="shared" si="1800"/>
        <v>#DIV/0!</v>
      </c>
      <c r="EW276" s="11"/>
      <c r="EX276" s="12" t="e">
        <f t="shared" si="1801"/>
        <v>#DIV/0!</v>
      </c>
      <c r="EY276" s="13"/>
      <c r="EZ276" s="11"/>
      <c r="FA276" s="11"/>
      <c r="FB276" s="14"/>
      <c r="FC276" s="10"/>
      <c r="FD276" s="11"/>
      <c r="FE276" s="69">
        <f t="shared" ref="FE276:FF281" si="1831">FE275-FC276</f>
        <v>0</v>
      </c>
      <c r="FF276" s="69">
        <f t="shared" si="1831"/>
        <v>0</v>
      </c>
      <c r="FG276" s="11"/>
      <c r="FH276" s="12" t="e">
        <f t="shared" si="1802"/>
        <v>#DIV/0!</v>
      </c>
      <c r="FI276" s="11"/>
      <c r="FJ276" s="12" t="e">
        <f t="shared" si="1803"/>
        <v>#DIV/0!</v>
      </c>
      <c r="FK276" s="13"/>
      <c r="FL276" s="11"/>
      <c r="FM276" s="11"/>
      <c r="FN276" s="14"/>
      <c r="FO276" s="10"/>
      <c r="FP276" s="11"/>
      <c r="FQ276" s="69">
        <f t="shared" ref="FQ276:FR281" si="1832">FQ275-FO276</f>
        <v>0</v>
      </c>
      <c r="FR276" s="69">
        <f t="shared" si="1832"/>
        <v>0</v>
      </c>
      <c r="FS276" s="11"/>
      <c r="FT276" s="12" t="e">
        <f t="shared" si="1804"/>
        <v>#DIV/0!</v>
      </c>
      <c r="FU276" s="11"/>
      <c r="FV276" s="12" t="e">
        <f t="shared" si="1805"/>
        <v>#DIV/0!</v>
      </c>
      <c r="FW276" s="13"/>
      <c r="FX276" s="11"/>
      <c r="FY276" s="11"/>
      <c r="FZ276" s="14"/>
      <c r="GA276" s="10"/>
      <c r="GB276" s="11"/>
      <c r="GC276" s="69">
        <f t="shared" ref="GC276:GD281" si="1833">GC275-GA276</f>
        <v>0</v>
      </c>
      <c r="GD276" s="69">
        <f t="shared" si="1833"/>
        <v>0</v>
      </c>
      <c r="GE276" s="11"/>
      <c r="GF276" s="12" t="e">
        <f t="shared" si="1806"/>
        <v>#DIV/0!</v>
      </c>
      <c r="GG276" s="11"/>
      <c r="GH276" s="12" t="e">
        <f t="shared" si="1807"/>
        <v>#DIV/0!</v>
      </c>
      <c r="GI276" s="13"/>
      <c r="GJ276" s="11"/>
      <c r="GK276" s="11"/>
      <c r="GL276" s="14"/>
      <c r="GM276" s="10"/>
      <c r="GN276" s="11"/>
      <c r="GO276" s="69">
        <f t="shared" ref="GO276:GP281" si="1834">GO275-GM276</f>
        <v>0</v>
      </c>
      <c r="GP276" s="69">
        <f t="shared" si="1834"/>
        <v>0</v>
      </c>
      <c r="GQ276" s="11"/>
      <c r="GR276" s="12" t="e">
        <f t="shared" si="1808"/>
        <v>#DIV/0!</v>
      </c>
      <c r="GS276" s="11"/>
      <c r="GT276" s="12" t="e">
        <f t="shared" si="1809"/>
        <v>#DIV/0!</v>
      </c>
      <c r="GU276" s="13"/>
      <c r="GV276" s="11"/>
      <c r="GW276" s="11"/>
      <c r="GX276" s="14"/>
      <c r="GY276" s="10"/>
      <c r="GZ276" s="11"/>
      <c r="HA276" s="69">
        <f t="shared" ref="HA276:HB281" si="1835">HA275-GY276</f>
        <v>0</v>
      </c>
      <c r="HB276" s="69">
        <f t="shared" si="1835"/>
        <v>0</v>
      </c>
      <c r="HC276" s="11"/>
      <c r="HD276" s="12" t="e">
        <f t="shared" si="1810"/>
        <v>#DIV/0!</v>
      </c>
      <c r="HE276" s="11"/>
      <c r="HF276" s="12" t="e">
        <f t="shared" si="1811"/>
        <v>#DIV/0!</v>
      </c>
      <c r="HG276" s="13"/>
      <c r="HH276" s="11"/>
      <c r="HI276" s="11"/>
      <c r="HJ276" s="14"/>
      <c r="HK276" s="10">
        <f t="shared" si="1812"/>
        <v>2</v>
      </c>
      <c r="HL276" s="11">
        <f t="shared" si="1812"/>
        <v>0</v>
      </c>
      <c r="HM276" s="11">
        <f t="shared" si="1812"/>
        <v>3353</v>
      </c>
      <c r="HN276" s="11">
        <f t="shared" si="1812"/>
        <v>260</v>
      </c>
      <c r="HO276" s="11">
        <f t="shared" si="1813"/>
        <v>977</v>
      </c>
      <c r="HP276" s="95">
        <f t="shared" si="1814"/>
        <v>0.29138085296749178</v>
      </c>
      <c r="HQ276" s="15">
        <f t="shared" si="1815"/>
        <v>50</v>
      </c>
      <c r="HR276" s="12">
        <f t="shared" ref="HR276:HR282" si="1836">+(HQ276/(HO276))</f>
        <v>5.1177072671443197E-2</v>
      </c>
      <c r="HS276" s="16">
        <v>71.8</v>
      </c>
      <c r="HT276" s="17">
        <v>906</v>
      </c>
      <c r="HU276" s="16">
        <f t="shared" si="1816"/>
        <v>92.732855680655064</v>
      </c>
      <c r="HV276" s="15"/>
      <c r="HW276" s="14"/>
    </row>
    <row r="277" spans="1:231" ht="18.75" x14ac:dyDescent="0.25">
      <c r="A277" s="374"/>
      <c r="B277" s="41">
        <f t="shared" si="1656"/>
        <v>45153</v>
      </c>
      <c r="C277" s="10">
        <v>1</v>
      </c>
      <c r="D277" s="11"/>
      <c r="E277" s="69">
        <f t="shared" si="1817"/>
        <v>590</v>
      </c>
      <c r="F277" s="69">
        <f t="shared" si="1817"/>
        <v>47</v>
      </c>
      <c r="G277" s="11">
        <v>182</v>
      </c>
      <c r="H277" s="12">
        <f t="shared" si="1777"/>
        <v>0.33559322033898303</v>
      </c>
      <c r="I277" s="11">
        <v>16</v>
      </c>
      <c r="J277" s="12">
        <f t="shared" si="1818"/>
        <v>8.0808080808080815E-2</v>
      </c>
      <c r="K277" s="13"/>
      <c r="L277" s="11"/>
      <c r="M277" s="11"/>
      <c r="N277" s="14"/>
      <c r="O277" s="10"/>
      <c r="P277" s="11"/>
      <c r="Q277" s="69">
        <f t="shared" si="1819"/>
        <v>605</v>
      </c>
      <c r="R277" s="69">
        <f t="shared" si="1819"/>
        <v>47</v>
      </c>
      <c r="S277" s="11">
        <v>171</v>
      </c>
      <c r="T277" s="12">
        <f t="shared" si="1778"/>
        <v>0.30082644628099175</v>
      </c>
      <c r="U277" s="11">
        <v>11</v>
      </c>
      <c r="V277" s="12">
        <f t="shared" si="1779"/>
        <v>6.043956043956044E-2</v>
      </c>
      <c r="W277" s="13"/>
      <c r="X277" s="11"/>
      <c r="Y277" s="11"/>
      <c r="Z277" s="14"/>
      <c r="AA277" s="10"/>
      <c r="AB277" s="11"/>
      <c r="AC277" s="69">
        <f t="shared" si="1820"/>
        <v>140</v>
      </c>
      <c r="AD277" s="69">
        <f t="shared" si="1820"/>
        <v>9</v>
      </c>
      <c r="AE277" s="11">
        <v>34</v>
      </c>
      <c r="AF277" s="12">
        <f t="shared" si="1780"/>
        <v>0.26428571428571429</v>
      </c>
      <c r="AG277" s="11">
        <v>3</v>
      </c>
      <c r="AH277" s="12">
        <f t="shared" si="1781"/>
        <v>8.1081081081081086E-2</v>
      </c>
      <c r="AI277" s="13"/>
      <c r="AJ277" s="11"/>
      <c r="AK277" s="11"/>
      <c r="AL277" s="14"/>
      <c r="AM277" s="10"/>
      <c r="AN277" s="11"/>
      <c r="AO277" s="69">
        <f t="shared" si="1821"/>
        <v>672</v>
      </c>
      <c r="AP277" s="69">
        <f t="shared" si="1821"/>
        <v>52</v>
      </c>
      <c r="AQ277" s="11">
        <v>195</v>
      </c>
      <c r="AR277" s="12">
        <f t="shared" si="1782"/>
        <v>0.30505952380952384</v>
      </c>
      <c r="AS277" s="11">
        <v>10</v>
      </c>
      <c r="AT277" s="12">
        <f t="shared" si="1783"/>
        <v>4.878048780487805E-2</v>
      </c>
      <c r="AU277" s="13"/>
      <c r="AV277" s="11"/>
      <c r="AW277" s="11"/>
      <c r="AX277" s="14"/>
      <c r="AY277" s="10"/>
      <c r="AZ277" s="11"/>
      <c r="BA277" s="69">
        <f t="shared" si="1822"/>
        <v>676</v>
      </c>
      <c r="BB277" s="69">
        <f t="shared" si="1822"/>
        <v>53</v>
      </c>
      <c r="BC277" s="11">
        <v>181</v>
      </c>
      <c r="BD277" s="12">
        <f t="shared" si="1784"/>
        <v>0.29881656804733731</v>
      </c>
      <c r="BE277" s="11">
        <v>21</v>
      </c>
      <c r="BF277" s="12">
        <f t="shared" si="1785"/>
        <v>0.10396039603960396</v>
      </c>
      <c r="BG277" s="13"/>
      <c r="BH277" s="11"/>
      <c r="BI277" s="11"/>
      <c r="BJ277" s="14"/>
      <c r="BK277" s="10">
        <v>1</v>
      </c>
      <c r="BL277" s="11"/>
      <c r="BM277" s="69">
        <f t="shared" si="1823"/>
        <v>668</v>
      </c>
      <c r="BN277" s="69">
        <f t="shared" si="1823"/>
        <v>52</v>
      </c>
      <c r="BO277" s="11">
        <v>200</v>
      </c>
      <c r="BP277" s="12">
        <f t="shared" si="1786"/>
        <v>0.30838323353293412</v>
      </c>
      <c r="BQ277" s="11">
        <v>6</v>
      </c>
      <c r="BR277" s="12">
        <f t="shared" si="1787"/>
        <v>2.9126213592233011E-2</v>
      </c>
      <c r="BS277" s="13"/>
      <c r="BT277" s="11"/>
      <c r="BU277" s="11"/>
      <c r="BV277" s="14"/>
      <c r="BW277" s="10"/>
      <c r="BX277" s="11"/>
      <c r="BY277" s="69">
        <f t="shared" si="1824"/>
        <v>0</v>
      </c>
      <c r="BZ277" s="69">
        <f t="shared" si="1824"/>
        <v>0</v>
      </c>
      <c r="CA277" s="11"/>
      <c r="CB277" s="12" t="e">
        <f t="shared" si="1788"/>
        <v>#DIV/0!</v>
      </c>
      <c r="CC277" s="11"/>
      <c r="CD277" s="12" t="e">
        <f t="shared" si="1789"/>
        <v>#DIV/0!</v>
      </c>
      <c r="CE277" s="13"/>
      <c r="CF277" s="11"/>
      <c r="CG277" s="11"/>
      <c r="CH277" s="14"/>
      <c r="CI277" s="10"/>
      <c r="CJ277" s="11"/>
      <c r="CK277" s="69">
        <f t="shared" si="1825"/>
        <v>0</v>
      </c>
      <c r="CL277" s="69">
        <f t="shared" si="1825"/>
        <v>0</v>
      </c>
      <c r="CM277" s="11"/>
      <c r="CN277" s="12" t="e">
        <f t="shared" si="1790"/>
        <v>#DIV/0!</v>
      </c>
      <c r="CO277" s="11"/>
      <c r="CP277" s="12" t="e">
        <f t="shared" si="1791"/>
        <v>#DIV/0!</v>
      </c>
      <c r="CQ277" s="13"/>
      <c r="CR277" s="11"/>
      <c r="CS277" s="11"/>
      <c r="CT277" s="14"/>
      <c r="CU277" s="10"/>
      <c r="CV277" s="11"/>
      <c r="CW277" s="69">
        <f t="shared" si="1826"/>
        <v>0</v>
      </c>
      <c r="CX277" s="69">
        <f t="shared" si="1826"/>
        <v>0</v>
      </c>
      <c r="CY277" s="11"/>
      <c r="CZ277" s="12" t="e">
        <f t="shared" si="1792"/>
        <v>#DIV/0!</v>
      </c>
      <c r="DA277" s="11"/>
      <c r="DB277" s="12" t="e">
        <f t="shared" si="1793"/>
        <v>#DIV/0!</v>
      </c>
      <c r="DC277" s="13"/>
      <c r="DD277" s="11"/>
      <c r="DE277" s="11"/>
      <c r="DF277" s="14"/>
      <c r="DG277" s="10"/>
      <c r="DH277" s="11"/>
      <c r="DI277" s="69">
        <f t="shared" si="1827"/>
        <v>0</v>
      </c>
      <c r="DJ277" s="69">
        <f t="shared" si="1827"/>
        <v>0</v>
      </c>
      <c r="DK277" s="11"/>
      <c r="DL277" s="12" t="e">
        <f t="shared" si="1794"/>
        <v>#DIV/0!</v>
      </c>
      <c r="DM277" s="11"/>
      <c r="DN277" s="12" t="e">
        <f t="shared" si="1795"/>
        <v>#DIV/0!</v>
      </c>
      <c r="DO277" s="13"/>
      <c r="DP277" s="11"/>
      <c r="DQ277" s="11"/>
      <c r="DR277" s="14"/>
      <c r="DS277" s="10"/>
      <c r="DT277" s="11"/>
      <c r="DU277" s="69">
        <f t="shared" si="1828"/>
        <v>0</v>
      </c>
      <c r="DV277" s="69">
        <f t="shared" si="1828"/>
        <v>0</v>
      </c>
      <c r="DW277" s="11"/>
      <c r="DX277" s="12" t="e">
        <f t="shared" si="1796"/>
        <v>#DIV/0!</v>
      </c>
      <c r="DY277" s="11"/>
      <c r="DZ277" s="12" t="e">
        <f t="shared" si="1797"/>
        <v>#DIV/0!</v>
      </c>
      <c r="EA277" s="13"/>
      <c r="EB277" s="11"/>
      <c r="EC277" s="11"/>
      <c r="ED277" s="14"/>
      <c r="EE277" s="10"/>
      <c r="EF277" s="11"/>
      <c r="EG277" s="69">
        <f t="shared" si="1829"/>
        <v>0</v>
      </c>
      <c r="EH277" s="69">
        <f t="shared" si="1829"/>
        <v>0</v>
      </c>
      <c r="EI277" s="11"/>
      <c r="EJ277" s="12" t="e">
        <f t="shared" si="1798"/>
        <v>#DIV/0!</v>
      </c>
      <c r="EK277" s="11"/>
      <c r="EL277" s="12" t="e">
        <f t="shared" si="1799"/>
        <v>#DIV/0!</v>
      </c>
      <c r="EM277" s="13"/>
      <c r="EN277" s="11"/>
      <c r="EO277" s="11"/>
      <c r="EP277" s="14"/>
      <c r="EQ277" s="10"/>
      <c r="ER277" s="11"/>
      <c r="ES277" s="69">
        <f t="shared" si="1830"/>
        <v>0</v>
      </c>
      <c r="ET277" s="69">
        <f t="shared" si="1830"/>
        <v>0</v>
      </c>
      <c r="EU277" s="11"/>
      <c r="EV277" s="12" t="e">
        <f t="shared" si="1800"/>
        <v>#DIV/0!</v>
      </c>
      <c r="EW277" s="11"/>
      <c r="EX277" s="12" t="e">
        <f t="shared" si="1801"/>
        <v>#DIV/0!</v>
      </c>
      <c r="EY277" s="13"/>
      <c r="EZ277" s="11"/>
      <c r="FA277" s="11"/>
      <c r="FB277" s="14"/>
      <c r="FC277" s="10"/>
      <c r="FD277" s="11"/>
      <c r="FE277" s="69">
        <f t="shared" si="1831"/>
        <v>0</v>
      </c>
      <c r="FF277" s="69">
        <f t="shared" si="1831"/>
        <v>0</v>
      </c>
      <c r="FG277" s="11"/>
      <c r="FH277" s="12" t="e">
        <f t="shared" si="1802"/>
        <v>#DIV/0!</v>
      </c>
      <c r="FI277" s="11"/>
      <c r="FJ277" s="12" t="e">
        <f t="shared" si="1803"/>
        <v>#DIV/0!</v>
      </c>
      <c r="FK277" s="13"/>
      <c r="FL277" s="11"/>
      <c r="FM277" s="11"/>
      <c r="FN277" s="14"/>
      <c r="FO277" s="10"/>
      <c r="FP277" s="11"/>
      <c r="FQ277" s="69">
        <f t="shared" si="1832"/>
        <v>0</v>
      </c>
      <c r="FR277" s="69">
        <f t="shared" si="1832"/>
        <v>0</v>
      </c>
      <c r="FS277" s="11"/>
      <c r="FT277" s="12" t="e">
        <f t="shared" si="1804"/>
        <v>#DIV/0!</v>
      </c>
      <c r="FU277" s="11"/>
      <c r="FV277" s="12" t="e">
        <f t="shared" si="1805"/>
        <v>#DIV/0!</v>
      </c>
      <c r="FW277" s="13"/>
      <c r="FX277" s="11"/>
      <c r="FY277" s="11"/>
      <c r="FZ277" s="14"/>
      <c r="GA277" s="10"/>
      <c r="GB277" s="11"/>
      <c r="GC277" s="69">
        <f t="shared" si="1833"/>
        <v>0</v>
      </c>
      <c r="GD277" s="69">
        <f t="shared" si="1833"/>
        <v>0</v>
      </c>
      <c r="GE277" s="11"/>
      <c r="GF277" s="12" t="e">
        <f t="shared" si="1806"/>
        <v>#DIV/0!</v>
      </c>
      <c r="GG277" s="11"/>
      <c r="GH277" s="12" t="e">
        <f t="shared" si="1807"/>
        <v>#DIV/0!</v>
      </c>
      <c r="GI277" s="13"/>
      <c r="GJ277" s="11"/>
      <c r="GK277" s="11"/>
      <c r="GL277" s="14"/>
      <c r="GM277" s="10"/>
      <c r="GN277" s="11"/>
      <c r="GO277" s="69">
        <f t="shared" si="1834"/>
        <v>0</v>
      </c>
      <c r="GP277" s="69">
        <f t="shared" si="1834"/>
        <v>0</v>
      </c>
      <c r="GQ277" s="11"/>
      <c r="GR277" s="12" t="e">
        <f t="shared" si="1808"/>
        <v>#DIV/0!</v>
      </c>
      <c r="GS277" s="11"/>
      <c r="GT277" s="12" t="e">
        <f t="shared" si="1809"/>
        <v>#DIV/0!</v>
      </c>
      <c r="GU277" s="13"/>
      <c r="GV277" s="11"/>
      <c r="GW277" s="11"/>
      <c r="GX277" s="14"/>
      <c r="GY277" s="10"/>
      <c r="GZ277" s="11"/>
      <c r="HA277" s="69">
        <f t="shared" si="1835"/>
        <v>0</v>
      </c>
      <c r="HB277" s="69">
        <f t="shared" si="1835"/>
        <v>0</v>
      </c>
      <c r="HC277" s="11"/>
      <c r="HD277" s="12" t="e">
        <f t="shared" si="1810"/>
        <v>#DIV/0!</v>
      </c>
      <c r="HE277" s="11"/>
      <c r="HF277" s="12" t="e">
        <f t="shared" si="1811"/>
        <v>#DIV/0!</v>
      </c>
      <c r="HG277" s="13"/>
      <c r="HH277" s="11"/>
      <c r="HI277" s="11"/>
      <c r="HJ277" s="14"/>
      <c r="HK277" s="10">
        <f t="shared" si="1812"/>
        <v>2</v>
      </c>
      <c r="HL277" s="11">
        <f t="shared" si="1812"/>
        <v>0</v>
      </c>
      <c r="HM277" s="11">
        <f t="shared" si="1812"/>
        <v>3351</v>
      </c>
      <c r="HN277" s="11">
        <f t="shared" si="1812"/>
        <v>260</v>
      </c>
      <c r="HO277" s="11">
        <f t="shared" si="1813"/>
        <v>1030</v>
      </c>
      <c r="HP277" s="95">
        <f t="shared" si="1814"/>
        <v>0.30737093404953747</v>
      </c>
      <c r="HQ277" s="15">
        <f t="shared" si="1815"/>
        <v>67</v>
      </c>
      <c r="HR277" s="12">
        <f t="shared" si="1836"/>
        <v>6.5048543689320393E-2</v>
      </c>
      <c r="HS277" s="16">
        <v>72.5</v>
      </c>
      <c r="HT277" s="17">
        <v>924</v>
      </c>
      <c r="HU277" s="16">
        <f t="shared" si="1816"/>
        <v>89.708737864077676</v>
      </c>
      <c r="HV277" s="15"/>
      <c r="HW277" s="14"/>
    </row>
    <row r="278" spans="1:231" ht="18.75" x14ac:dyDescent="0.25">
      <c r="A278" s="374"/>
      <c r="B278" s="41">
        <f t="shared" si="1656"/>
        <v>45154</v>
      </c>
      <c r="C278" s="10">
        <v>1</v>
      </c>
      <c r="D278" s="11"/>
      <c r="E278" s="69">
        <f t="shared" si="1817"/>
        <v>589</v>
      </c>
      <c r="F278" s="69">
        <f t="shared" si="1817"/>
        <v>47</v>
      </c>
      <c r="G278" s="11">
        <v>188</v>
      </c>
      <c r="H278" s="12">
        <f t="shared" si="1777"/>
        <v>0.34465195246179964</v>
      </c>
      <c r="I278" s="11">
        <v>15</v>
      </c>
      <c r="J278" s="12">
        <f t="shared" si="1818"/>
        <v>7.3891625615763554E-2</v>
      </c>
      <c r="K278" s="11"/>
      <c r="L278" s="11"/>
      <c r="M278" s="18"/>
      <c r="N278" s="20"/>
      <c r="O278" s="10">
        <v>2</v>
      </c>
      <c r="P278" s="11"/>
      <c r="Q278" s="69">
        <f t="shared" si="1819"/>
        <v>603</v>
      </c>
      <c r="R278" s="69">
        <f t="shared" si="1819"/>
        <v>47</v>
      </c>
      <c r="S278" s="11">
        <v>160</v>
      </c>
      <c r="T278" s="12">
        <f t="shared" si="1778"/>
        <v>0.28855721393034828</v>
      </c>
      <c r="U278" s="11">
        <v>14</v>
      </c>
      <c r="V278" s="12">
        <f t="shared" si="1779"/>
        <v>8.0459770114942528E-2</v>
      </c>
      <c r="W278" s="11"/>
      <c r="X278" s="11"/>
      <c r="Y278" s="18"/>
      <c r="Z278" s="20"/>
      <c r="AA278" s="10"/>
      <c r="AB278" s="11"/>
      <c r="AC278" s="69">
        <f t="shared" si="1820"/>
        <v>140</v>
      </c>
      <c r="AD278" s="69">
        <f t="shared" si="1820"/>
        <v>9</v>
      </c>
      <c r="AE278" s="11">
        <v>29</v>
      </c>
      <c r="AF278" s="12">
        <f t="shared" si="1780"/>
        <v>0.22142857142857142</v>
      </c>
      <c r="AG278" s="11">
        <v>2</v>
      </c>
      <c r="AH278" s="12">
        <f t="shared" si="1781"/>
        <v>6.4516129032258063E-2</v>
      </c>
      <c r="AI278" s="11"/>
      <c r="AJ278" s="11"/>
      <c r="AK278" s="18"/>
      <c r="AL278" s="20"/>
      <c r="AM278" s="10"/>
      <c r="AN278" s="11"/>
      <c r="AO278" s="69">
        <f t="shared" si="1821"/>
        <v>672</v>
      </c>
      <c r="AP278" s="69">
        <f t="shared" si="1821"/>
        <v>52</v>
      </c>
      <c r="AQ278" s="11">
        <v>196</v>
      </c>
      <c r="AR278" s="12">
        <f t="shared" si="1782"/>
        <v>0.30952380952380953</v>
      </c>
      <c r="AS278" s="11">
        <v>12</v>
      </c>
      <c r="AT278" s="12">
        <f t="shared" si="1783"/>
        <v>5.7692307692307696E-2</v>
      </c>
      <c r="AU278" s="11"/>
      <c r="AV278" s="11"/>
      <c r="AW278" s="18"/>
      <c r="AX278" s="20"/>
      <c r="AY278" s="10"/>
      <c r="AZ278" s="11"/>
      <c r="BA278" s="69">
        <f t="shared" si="1822"/>
        <v>676</v>
      </c>
      <c r="BB278" s="69">
        <f t="shared" si="1822"/>
        <v>53</v>
      </c>
      <c r="BC278" s="11">
        <v>182</v>
      </c>
      <c r="BD278" s="12">
        <f t="shared" si="1784"/>
        <v>0.28994082840236685</v>
      </c>
      <c r="BE278" s="11">
        <v>14</v>
      </c>
      <c r="BF278" s="12">
        <f t="shared" si="1785"/>
        <v>7.1428571428571425E-2</v>
      </c>
      <c r="BG278" s="11"/>
      <c r="BH278" s="11"/>
      <c r="BI278" s="18"/>
      <c r="BJ278" s="20"/>
      <c r="BK278" s="10"/>
      <c r="BL278" s="11"/>
      <c r="BM278" s="69">
        <f t="shared" si="1823"/>
        <v>668</v>
      </c>
      <c r="BN278" s="69">
        <f t="shared" si="1823"/>
        <v>52</v>
      </c>
      <c r="BO278" s="11">
        <v>174</v>
      </c>
      <c r="BP278" s="12">
        <f t="shared" si="1786"/>
        <v>0.27095808383233533</v>
      </c>
      <c r="BQ278" s="11">
        <v>7</v>
      </c>
      <c r="BR278" s="12">
        <f t="shared" si="1787"/>
        <v>3.8674033149171269E-2</v>
      </c>
      <c r="BS278" s="11"/>
      <c r="BT278" s="11"/>
      <c r="BU278" s="18"/>
      <c r="BV278" s="20"/>
      <c r="BW278" s="10"/>
      <c r="BX278" s="11"/>
      <c r="BY278" s="69">
        <f t="shared" si="1824"/>
        <v>0</v>
      </c>
      <c r="BZ278" s="69">
        <f t="shared" si="1824"/>
        <v>0</v>
      </c>
      <c r="CA278" s="11"/>
      <c r="CB278" s="12" t="e">
        <f t="shared" si="1788"/>
        <v>#DIV/0!</v>
      </c>
      <c r="CC278" s="11"/>
      <c r="CD278" s="12" t="e">
        <f t="shared" si="1789"/>
        <v>#DIV/0!</v>
      </c>
      <c r="CE278" s="11"/>
      <c r="CF278" s="11"/>
      <c r="CG278" s="18"/>
      <c r="CH278" s="20"/>
      <c r="CI278" s="10"/>
      <c r="CJ278" s="11"/>
      <c r="CK278" s="69">
        <f t="shared" si="1825"/>
        <v>0</v>
      </c>
      <c r="CL278" s="69">
        <f t="shared" si="1825"/>
        <v>0</v>
      </c>
      <c r="CM278" s="11"/>
      <c r="CN278" s="12" t="e">
        <f t="shared" si="1790"/>
        <v>#DIV/0!</v>
      </c>
      <c r="CO278" s="11"/>
      <c r="CP278" s="12" t="e">
        <f t="shared" si="1791"/>
        <v>#DIV/0!</v>
      </c>
      <c r="CQ278" s="11"/>
      <c r="CR278" s="11"/>
      <c r="CS278" s="18"/>
      <c r="CT278" s="20"/>
      <c r="CU278" s="10"/>
      <c r="CV278" s="11"/>
      <c r="CW278" s="69">
        <f t="shared" si="1826"/>
        <v>0</v>
      </c>
      <c r="CX278" s="69">
        <f t="shared" si="1826"/>
        <v>0</v>
      </c>
      <c r="CY278" s="11"/>
      <c r="CZ278" s="12" t="e">
        <f t="shared" si="1792"/>
        <v>#DIV/0!</v>
      </c>
      <c r="DA278" s="11"/>
      <c r="DB278" s="12" t="e">
        <f t="shared" si="1793"/>
        <v>#DIV/0!</v>
      </c>
      <c r="DC278" s="11"/>
      <c r="DD278" s="11"/>
      <c r="DE278" s="18"/>
      <c r="DF278" s="20"/>
      <c r="DG278" s="10"/>
      <c r="DH278" s="11"/>
      <c r="DI278" s="69">
        <f t="shared" si="1827"/>
        <v>0</v>
      </c>
      <c r="DJ278" s="69">
        <f t="shared" si="1827"/>
        <v>0</v>
      </c>
      <c r="DK278" s="11"/>
      <c r="DL278" s="12" t="e">
        <f t="shared" si="1794"/>
        <v>#DIV/0!</v>
      </c>
      <c r="DM278" s="11"/>
      <c r="DN278" s="12" t="e">
        <f t="shared" si="1795"/>
        <v>#DIV/0!</v>
      </c>
      <c r="DO278" s="11"/>
      <c r="DP278" s="11"/>
      <c r="DQ278" s="18"/>
      <c r="DR278" s="20"/>
      <c r="DS278" s="10"/>
      <c r="DT278" s="11"/>
      <c r="DU278" s="69">
        <f t="shared" si="1828"/>
        <v>0</v>
      </c>
      <c r="DV278" s="69">
        <f t="shared" si="1828"/>
        <v>0</v>
      </c>
      <c r="DW278" s="11"/>
      <c r="DX278" s="12" t="e">
        <f t="shared" si="1796"/>
        <v>#DIV/0!</v>
      </c>
      <c r="DY278" s="11"/>
      <c r="DZ278" s="12" t="e">
        <f t="shared" si="1797"/>
        <v>#DIV/0!</v>
      </c>
      <c r="EA278" s="11"/>
      <c r="EB278" s="11"/>
      <c r="EC278" s="18"/>
      <c r="ED278" s="20"/>
      <c r="EE278" s="10"/>
      <c r="EF278" s="11"/>
      <c r="EG278" s="69">
        <f t="shared" si="1829"/>
        <v>0</v>
      </c>
      <c r="EH278" s="69">
        <f t="shared" si="1829"/>
        <v>0</v>
      </c>
      <c r="EI278" s="11"/>
      <c r="EJ278" s="12" t="e">
        <f t="shared" si="1798"/>
        <v>#DIV/0!</v>
      </c>
      <c r="EK278" s="11"/>
      <c r="EL278" s="12" t="e">
        <f t="shared" si="1799"/>
        <v>#DIV/0!</v>
      </c>
      <c r="EM278" s="11"/>
      <c r="EN278" s="11"/>
      <c r="EO278" s="18"/>
      <c r="EP278" s="20"/>
      <c r="EQ278" s="10"/>
      <c r="ER278" s="11"/>
      <c r="ES278" s="69">
        <f t="shared" si="1830"/>
        <v>0</v>
      </c>
      <c r="ET278" s="69">
        <f t="shared" si="1830"/>
        <v>0</v>
      </c>
      <c r="EU278" s="11"/>
      <c r="EV278" s="12" t="e">
        <f t="shared" si="1800"/>
        <v>#DIV/0!</v>
      </c>
      <c r="EW278" s="11"/>
      <c r="EX278" s="12" t="e">
        <f t="shared" si="1801"/>
        <v>#DIV/0!</v>
      </c>
      <c r="EY278" s="11"/>
      <c r="EZ278" s="11"/>
      <c r="FA278" s="18"/>
      <c r="FB278" s="20"/>
      <c r="FC278" s="10"/>
      <c r="FD278" s="11"/>
      <c r="FE278" s="69">
        <f t="shared" si="1831"/>
        <v>0</v>
      </c>
      <c r="FF278" s="69">
        <f t="shared" si="1831"/>
        <v>0</v>
      </c>
      <c r="FG278" s="11"/>
      <c r="FH278" s="12" t="e">
        <f t="shared" si="1802"/>
        <v>#DIV/0!</v>
      </c>
      <c r="FI278" s="11"/>
      <c r="FJ278" s="12" t="e">
        <f t="shared" si="1803"/>
        <v>#DIV/0!</v>
      </c>
      <c r="FK278" s="11"/>
      <c r="FL278" s="11"/>
      <c r="FM278" s="18"/>
      <c r="FN278" s="20"/>
      <c r="FO278" s="10"/>
      <c r="FP278" s="11"/>
      <c r="FQ278" s="69">
        <f t="shared" si="1832"/>
        <v>0</v>
      </c>
      <c r="FR278" s="69">
        <f t="shared" si="1832"/>
        <v>0</v>
      </c>
      <c r="FS278" s="11"/>
      <c r="FT278" s="12" t="e">
        <f t="shared" si="1804"/>
        <v>#DIV/0!</v>
      </c>
      <c r="FU278" s="11"/>
      <c r="FV278" s="12" t="e">
        <f t="shared" si="1805"/>
        <v>#DIV/0!</v>
      </c>
      <c r="FW278" s="11"/>
      <c r="FX278" s="11"/>
      <c r="FY278" s="18"/>
      <c r="FZ278" s="20"/>
      <c r="GA278" s="10"/>
      <c r="GB278" s="11"/>
      <c r="GC278" s="69">
        <f t="shared" si="1833"/>
        <v>0</v>
      </c>
      <c r="GD278" s="69">
        <f t="shared" si="1833"/>
        <v>0</v>
      </c>
      <c r="GE278" s="11"/>
      <c r="GF278" s="12" t="e">
        <f t="shared" si="1806"/>
        <v>#DIV/0!</v>
      </c>
      <c r="GG278" s="11"/>
      <c r="GH278" s="12" t="e">
        <f t="shared" si="1807"/>
        <v>#DIV/0!</v>
      </c>
      <c r="GI278" s="11"/>
      <c r="GJ278" s="11"/>
      <c r="GK278" s="18"/>
      <c r="GL278" s="20"/>
      <c r="GM278" s="10"/>
      <c r="GN278" s="11"/>
      <c r="GO278" s="69">
        <f t="shared" si="1834"/>
        <v>0</v>
      </c>
      <c r="GP278" s="69">
        <f t="shared" si="1834"/>
        <v>0</v>
      </c>
      <c r="GQ278" s="11"/>
      <c r="GR278" s="12" t="e">
        <f t="shared" si="1808"/>
        <v>#DIV/0!</v>
      </c>
      <c r="GS278" s="11"/>
      <c r="GT278" s="12" t="e">
        <f t="shared" si="1809"/>
        <v>#DIV/0!</v>
      </c>
      <c r="GU278" s="11"/>
      <c r="GV278" s="11"/>
      <c r="GW278" s="18"/>
      <c r="GX278" s="20"/>
      <c r="GY278" s="10"/>
      <c r="GZ278" s="11"/>
      <c r="HA278" s="69">
        <f t="shared" si="1835"/>
        <v>0</v>
      </c>
      <c r="HB278" s="69">
        <f t="shared" si="1835"/>
        <v>0</v>
      </c>
      <c r="HC278" s="11"/>
      <c r="HD278" s="12" t="e">
        <f t="shared" si="1810"/>
        <v>#DIV/0!</v>
      </c>
      <c r="HE278" s="11"/>
      <c r="HF278" s="12" t="e">
        <f t="shared" si="1811"/>
        <v>#DIV/0!</v>
      </c>
      <c r="HG278" s="11"/>
      <c r="HH278" s="11"/>
      <c r="HI278" s="18"/>
      <c r="HJ278" s="20"/>
      <c r="HK278" s="10">
        <f t="shared" si="1812"/>
        <v>3</v>
      </c>
      <c r="HL278" s="11">
        <f t="shared" si="1812"/>
        <v>0</v>
      </c>
      <c r="HM278" s="11">
        <f t="shared" si="1812"/>
        <v>3348</v>
      </c>
      <c r="HN278" s="11">
        <f t="shared" si="1812"/>
        <v>260</v>
      </c>
      <c r="HO278" s="11">
        <f t="shared" si="1813"/>
        <v>993</v>
      </c>
      <c r="HP278" s="95">
        <f t="shared" si="1814"/>
        <v>0.29659498207885304</v>
      </c>
      <c r="HQ278" s="15">
        <f t="shared" si="1815"/>
        <v>64</v>
      </c>
      <c r="HR278" s="12">
        <f t="shared" si="1836"/>
        <v>6.4451158106747231E-2</v>
      </c>
      <c r="HS278" s="16">
        <v>71.3</v>
      </c>
      <c r="HT278" s="17">
        <v>889</v>
      </c>
      <c r="HU278" s="16">
        <f t="shared" si="1816"/>
        <v>89.526686807653576</v>
      </c>
      <c r="HV278" s="18"/>
      <c r="HW278" s="20"/>
    </row>
    <row r="279" spans="1:231" ht="18.75" x14ac:dyDescent="0.25">
      <c r="A279" s="374"/>
      <c r="B279" s="339">
        <f t="shared" si="1656"/>
        <v>45155</v>
      </c>
      <c r="C279" s="10"/>
      <c r="D279" s="11"/>
      <c r="E279" s="69">
        <f t="shared" si="1817"/>
        <v>589</v>
      </c>
      <c r="F279" s="69">
        <v>46</v>
      </c>
      <c r="G279" s="11">
        <v>179</v>
      </c>
      <c r="H279" s="12">
        <f t="shared" si="1777"/>
        <v>0.32597623089983024</v>
      </c>
      <c r="I279" s="11">
        <v>13</v>
      </c>
      <c r="J279" s="12">
        <f t="shared" si="1818"/>
        <v>6.7708333333333329E-2</v>
      </c>
      <c r="K279" s="13"/>
      <c r="L279" s="13"/>
      <c r="M279" s="25"/>
      <c r="N279" s="38">
        <v>4760</v>
      </c>
      <c r="O279" s="10"/>
      <c r="P279" s="11"/>
      <c r="Q279" s="69">
        <f t="shared" si="1819"/>
        <v>603</v>
      </c>
      <c r="R279" s="69">
        <f t="shared" si="1819"/>
        <v>47</v>
      </c>
      <c r="S279" s="11">
        <v>174</v>
      </c>
      <c r="T279" s="12">
        <f t="shared" si="1778"/>
        <v>0.31509121061359868</v>
      </c>
      <c r="U279" s="11">
        <v>16</v>
      </c>
      <c r="V279" s="12">
        <f t="shared" si="1779"/>
        <v>8.4210526315789472E-2</v>
      </c>
      <c r="W279" s="13"/>
      <c r="X279" s="13"/>
      <c r="Y279" s="25"/>
      <c r="Z279" s="38">
        <v>4760</v>
      </c>
      <c r="AA279" s="10"/>
      <c r="AB279" s="11"/>
      <c r="AC279" s="69">
        <f t="shared" si="1820"/>
        <v>140</v>
      </c>
      <c r="AD279" s="69">
        <v>11</v>
      </c>
      <c r="AE279" s="11">
        <v>23</v>
      </c>
      <c r="AF279" s="12">
        <f t="shared" si="1780"/>
        <v>0.17142857142857143</v>
      </c>
      <c r="AG279" s="11">
        <v>1</v>
      </c>
      <c r="AH279" s="12">
        <f t="shared" si="1781"/>
        <v>4.1666666666666664E-2</v>
      </c>
      <c r="AI279" s="13"/>
      <c r="AJ279" s="13"/>
      <c r="AK279" s="25"/>
      <c r="AL279" s="38">
        <v>4760</v>
      </c>
      <c r="AM279" s="10"/>
      <c r="AN279" s="11"/>
      <c r="AO279" s="69">
        <f t="shared" si="1821"/>
        <v>672</v>
      </c>
      <c r="AP279" s="69">
        <v>52</v>
      </c>
      <c r="AQ279" s="11">
        <v>178</v>
      </c>
      <c r="AR279" s="12">
        <f t="shared" si="1782"/>
        <v>0.28422619047619047</v>
      </c>
      <c r="AS279" s="11">
        <v>13</v>
      </c>
      <c r="AT279" s="12">
        <f t="shared" si="1783"/>
        <v>6.8062827225130892E-2</v>
      </c>
      <c r="AU279" s="13"/>
      <c r="AV279" s="13"/>
      <c r="AW279" s="25"/>
      <c r="AX279" s="38">
        <v>4760</v>
      </c>
      <c r="AY279" s="10">
        <v>2</v>
      </c>
      <c r="AZ279" s="11"/>
      <c r="BA279" s="69">
        <f t="shared" si="1822"/>
        <v>674</v>
      </c>
      <c r="BB279" s="69">
        <v>52</v>
      </c>
      <c r="BC279" s="11">
        <v>196</v>
      </c>
      <c r="BD279" s="12">
        <f t="shared" si="1784"/>
        <v>0.31157270029673589</v>
      </c>
      <c r="BE279" s="11">
        <v>14</v>
      </c>
      <c r="BF279" s="12">
        <f t="shared" si="1785"/>
        <v>6.6666666666666666E-2</v>
      </c>
      <c r="BG279" s="13"/>
      <c r="BH279" s="13"/>
      <c r="BI279" s="25"/>
      <c r="BJ279" s="38">
        <v>4760</v>
      </c>
      <c r="BK279" s="10">
        <v>1</v>
      </c>
      <c r="BL279" s="11"/>
      <c r="BM279" s="69">
        <f t="shared" si="1823"/>
        <v>667</v>
      </c>
      <c r="BN279" s="69">
        <f t="shared" si="1823"/>
        <v>52</v>
      </c>
      <c r="BO279" s="11">
        <v>208</v>
      </c>
      <c r="BP279" s="12">
        <f t="shared" si="1786"/>
        <v>0.328335832083958</v>
      </c>
      <c r="BQ279" s="11">
        <v>11</v>
      </c>
      <c r="BR279" s="12">
        <f t="shared" si="1787"/>
        <v>5.0228310502283102E-2</v>
      </c>
      <c r="BS279" s="13"/>
      <c r="BT279" s="13"/>
      <c r="BU279" s="25"/>
      <c r="BV279" s="38">
        <v>4760</v>
      </c>
      <c r="BW279" s="10"/>
      <c r="BX279" s="11"/>
      <c r="BY279" s="69">
        <f t="shared" si="1824"/>
        <v>0</v>
      </c>
      <c r="BZ279" s="69">
        <f t="shared" si="1824"/>
        <v>0</v>
      </c>
      <c r="CA279" s="11"/>
      <c r="CB279" s="12" t="e">
        <f t="shared" si="1788"/>
        <v>#DIV/0!</v>
      </c>
      <c r="CC279" s="11"/>
      <c r="CD279" s="12" t="e">
        <f t="shared" si="1789"/>
        <v>#DIV/0!</v>
      </c>
      <c r="CE279" s="13"/>
      <c r="CF279" s="13"/>
      <c r="CG279" s="25"/>
      <c r="CH279" s="38"/>
      <c r="CI279" s="10"/>
      <c r="CJ279" s="11"/>
      <c r="CK279" s="69">
        <f t="shared" si="1825"/>
        <v>0</v>
      </c>
      <c r="CL279" s="69">
        <f t="shared" si="1825"/>
        <v>0</v>
      </c>
      <c r="CM279" s="11"/>
      <c r="CN279" s="12" t="e">
        <f t="shared" si="1790"/>
        <v>#DIV/0!</v>
      </c>
      <c r="CO279" s="11"/>
      <c r="CP279" s="12" t="e">
        <f t="shared" si="1791"/>
        <v>#DIV/0!</v>
      </c>
      <c r="CQ279" s="13"/>
      <c r="CR279" s="13"/>
      <c r="CS279" s="25"/>
      <c r="CT279" s="38"/>
      <c r="CU279" s="10"/>
      <c r="CV279" s="11"/>
      <c r="CW279" s="69">
        <f t="shared" si="1826"/>
        <v>0</v>
      </c>
      <c r="CX279" s="69">
        <f t="shared" si="1826"/>
        <v>0</v>
      </c>
      <c r="CY279" s="11"/>
      <c r="CZ279" s="12" t="e">
        <f t="shared" si="1792"/>
        <v>#DIV/0!</v>
      </c>
      <c r="DA279" s="11"/>
      <c r="DB279" s="12" t="e">
        <f t="shared" si="1793"/>
        <v>#DIV/0!</v>
      </c>
      <c r="DC279" s="13"/>
      <c r="DD279" s="13"/>
      <c r="DE279" s="25"/>
      <c r="DF279" s="38"/>
      <c r="DG279" s="10"/>
      <c r="DH279" s="11"/>
      <c r="DI279" s="69">
        <f t="shared" si="1827"/>
        <v>0</v>
      </c>
      <c r="DJ279" s="69">
        <f t="shared" si="1827"/>
        <v>0</v>
      </c>
      <c r="DK279" s="11"/>
      <c r="DL279" s="12" t="e">
        <f t="shared" si="1794"/>
        <v>#DIV/0!</v>
      </c>
      <c r="DM279" s="11"/>
      <c r="DN279" s="12" t="e">
        <f t="shared" si="1795"/>
        <v>#DIV/0!</v>
      </c>
      <c r="DO279" s="13"/>
      <c r="DP279" s="13"/>
      <c r="DQ279" s="25"/>
      <c r="DR279" s="38"/>
      <c r="DS279" s="10"/>
      <c r="DT279" s="11"/>
      <c r="DU279" s="69">
        <f t="shared" si="1828"/>
        <v>0</v>
      </c>
      <c r="DV279" s="69">
        <f t="shared" si="1828"/>
        <v>0</v>
      </c>
      <c r="DW279" s="11"/>
      <c r="DX279" s="12" t="e">
        <f t="shared" si="1796"/>
        <v>#DIV/0!</v>
      </c>
      <c r="DY279" s="11"/>
      <c r="DZ279" s="12" t="e">
        <f t="shared" si="1797"/>
        <v>#DIV/0!</v>
      </c>
      <c r="EA279" s="13"/>
      <c r="EB279" s="13"/>
      <c r="EC279" s="25"/>
      <c r="ED279" s="38"/>
      <c r="EE279" s="10"/>
      <c r="EF279" s="11"/>
      <c r="EG279" s="69">
        <f t="shared" si="1829"/>
        <v>0</v>
      </c>
      <c r="EH279" s="69">
        <f t="shared" si="1829"/>
        <v>0</v>
      </c>
      <c r="EI279" s="11"/>
      <c r="EJ279" s="12" t="e">
        <f t="shared" si="1798"/>
        <v>#DIV/0!</v>
      </c>
      <c r="EK279" s="11"/>
      <c r="EL279" s="12" t="e">
        <f t="shared" si="1799"/>
        <v>#DIV/0!</v>
      </c>
      <c r="EM279" s="13"/>
      <c r="EN279" s="13"/>
      <c r="EO279" s="25"/>
      <c r="EP279" s="38"/>
      <c r="EQ279" s="10"/>
      <c r="ER279" s="11"/>
      <c r="ES279" s="69">
        <f t="shared" si="1830"/>
        <v>0</v>
      </c>
      <c r="ET279" s="69">
        <f t="shared" si="1830"/>
        <v>0</v>
      </c>
      <c r="EU279" s="11"/>
      <c r="EV279" s="12" t="e">
        <f t="shared" si="1800"/>
        <v>#DIV/0!</v>
      </c>
      <c r="EW279" s="11"/>
      <c r="EX279" s="12" t="e">
        <f t="shared" si="1801"/>
        <v>#DIV/0!</v>
      </c>
      <c r="EY279" s="13"/>
      <c r="EZ279" s="13"/>
      <c r="FA279" s="25"/>
      <c r="FB279" s="38"/>
      <c r="FC279" s="10"/>
      <c r="FD279" s="11"/>
      <c r="FE279" s="69">
        <f t="shared" si="1831"/>
        <v>0</v>
      </c>
      <c r="FF279" s="69">
        <f t="shared" si="1831"/>
        <v>0</v>
      </c>
      <c r="FG279" s="11"/>
      <c r="FH279" s="12" t="e">
        <f t="shared" si="1802"/>
        <v>#DIV/0!</v>
      </c>
      <c r="FI279" s="11"/>
      <c r="FJ279" s="12" t="e">
        <f t="shared" si="1803"/>
        <v>#DIV/0!</v>
      </c>
      <c r="FK279" s="13"/>
      <c r="FL279" s="13"/>
      <c r="FM279" s="25"/>
      <c r="FN279" s="38"/>
      <c r="FO279" s="10"/>
      <c r="FP279" s="11"/>
      <c r="FQ279" s="69">
        <f t="shared" si="1832"/>
        <v>0</v>
      </c>
      <c r="FR279" s="69">
        <f t="shared" si="1832"/>
        <v>0</v>
      </c>
      <c r="FS279" s="11"/>
      <c r="FT279" s="12" t="e">
        <f t="shared" si="1804"/>
        <v>#DIV/0!</v>
      </c>
      <c r="FU279" s="11"/>
      <c r="FV279" s="12" t="e">
        <f t="shared" si="1805"/>
        <v>#DIV/0!</v>
      </c>
      <c r="FW279" s="13"/>
      <c r="FX279" s="13"/>
      <c r="FY279" s="25"/>
      <c r="FZ279" s="38"/>
      <c r="GA279" s="10"/>
      <c r="GB279" s="11"/>
      <c r="GC279" s="69">
        <f t="shared" si="1833"/>
        <v>0</v>
      </c>
      <c r="GD279" s="69">
        <f t="shared" si="1833"/>
        <v>0</v>
      </c>
      <c r="GE279" s="11"/>
      <c r="GF279" s="12" t="e">
        <f t="shared" si="1806"/>
        <v>#DIV/0!</v>
      </c>
      <c r="GG279" s="11"/>
      <c r="GH279" s="12" t="e">
        <f t="shared" si="1807"/>
        <v>#DIV/0!</v>
      </c>
      <c r="GI279" s="13"/>
      <c r="GJ279" s="13"/>
      <c r="GK279" s="25"/>
      <c r="GL279" s="38"/>
      <c r="GM279" s="10"/>
      <c r="GN279" s="11"/>
      <c r="GO279" s="69">
        <f t="shared" si="1834"/>
        <v>0</v>
      </c>
      <c r="GP279" s="69">
        <f t="shared" si="1834"/>
        <v>0</v>
      </c>
      <c r="GQ279" s="11"/>
      <c r="GR279" s="12" t="e">
        <f t="shared" si="1808"/>
        <v>#DIV/0!</v>
      </c>
      <c r="GS279" s="11"/>
      <c r="GT279" s="12" t="e">
        <f t="shared" si="1809"/>
        <v>#DIV/0!</v>
      </c>
      <c r="GU279" s="13"/>
      <c r="GV279" s="13"/>
      <c r="GW279" s="25"/>
      <c r="GX279" s="38"/>
      <c r="GY279" s="10"/>
      <c r="GZ279" s="11"/>
      <c r="HA279" s="69">
        <f t="shared" si="1835"/>
        <v>0</v>
      </c>
      <c r="HB279" s="69">
        <f t="shared" si="1835"/>
        <v>0</v>
      </c>
      <c r="HC279" s="11"/>
      <c r="HD279" s="12" t="e">
        <f t="shared" si="1810"/>
        <v>#DIV/0!</v>
      </c>
      <c r="HE279" s="11"/>
      <c r="HF279" s="12" t="e">
        <f t="shared" si="1811"/>
        <v>#DIV/0!</v>
      </c>
      <c r="HG279" s="13"/>
      <c r="HH279" s="13"/>
      <c r="HI279" s="25"/>
      <c r="HJ279" s="38"/>
      <c r="HK279" s="10">
        <f t="shared" si="1812"/>
        <v>3</v>
      </c>
      <c r="HL279" s="11">
        <f t="shared" si="1812"/>
        <v>0</v>
      </c>
      <c r="HM279" s="11">
        <f t="shared" si="1812"/>
        <v>3345</v>
      </c>
      <c r="HN279" s="11">
        <f t="shared" si="1812"/>
        <v>260</v>
      </c>
      <c r="HO279" s="11">
        <f t="shared" si="1813"/>
        <v>1026</v>
      </c>
      <c r="HP279" s="95">
        <f t="shared" si="1814"/>
        <v>0.30672645739910315</v>
      </c>
      <c r="HQ279" s="15">
        <f t="shared" si="1815"/>
        <v>68</v>
      </c>
      <c r="HR279" s="12">
        <f t="shared" si="1836"/>
        <v>6.6276803118908378E-2</v>
      </c>
      <c r="HS279" s="16">
        <v>72.2</v>
      </c>
      <c r="HT279" s="17">
        <v>912</v>
      </c>
      <c r="HU279" s="16">
        <f t="shared" si="1816"/>
        <v>88.888888888888886</v>
      </c>
      <c r="HV279" s="23"/>
      <c r="HW279" s="22">
        <v>4760</v>
      </c>
    </row>
    <row r="280" spans="1:231" ht="18.75" x14ac:dyDescent="0.25">
      <c r="A280" s="374"/>
      <c r="B280" s="41">
        <f t="shared" si="1656"/>
        <v>45156</v>
      </c>
      <c r="C280" s="10"/>
      <c r="D280" s="11"/>
      <c r="E280" s="69">
        <f t="shared" si="1817"/>
        <v>589</v>
      </c>
      <c r="F280" s="69">
        <f t="shared" si="1817"/>
        <v>46</v>
      </c>
      <c r="G280" s="11">
        <v>179</v>
      </c>
      <c r="H280" s="12">
        <f t="shared" si="1777"/>
        <v>0.32088285229202035</v>
      </c>
      <c r="I280" s="11">
        <v>10</v>
      </c>
      <c r="J280" s="12">
        <f t="shared" si="1818"/>
        <v>5.2910052910052907E-2</v>
      </c>
      <c r="K280" s="13"/>
      <c r="L280" s="11"/>
      <c r="M280" s="25"/>
      <c r="N280" s="38">
        <v>4724.55</v>
      </c>
      <c r="O280" s="10"/>
      <c r="P280" s="11"/>
      <c r="Q280" s="69">
        <f t="shared" si="1819"/>
        <v>603</v>
      </c>
      <c r="R280" s="69">
        <f t="shared" si="1819"/>
        <v>47</v>
      </c>
      <c r="S280" s="11">
        <v>169</v>
      </c>
      <c r="T280" s="12">
        <f t="shared" si="1778"/>
        <v>0.30679933665008291</v>
      </c>
      <c r="U280" s="11">
        <v>16</v>
      </c>
      <c r="V280" s="12">
        <f t="shared" si="1779"/>
        <v>8.6486486486486491E-2</v>
      </c>
      <c r="W280" s="13"/>
      <c r="X280" s="11"/>
      <c r="Y280" s="25"/>
      <c r="Z280" s="38">
        <v>5239.09</v>
      </c>
      <c r="AA280" s="10"/>
      <c r="AB280" s="11"/>
      <c r="AC280" s="69">
        <f t="shared" si="1820"/>
        <v>140</v>
      </c>
      <c r="AD280" s="69">
        <f t="shared" si="1820"/>
        <v>11</v>
      </c>
      <c r="AE280" s="11">
        <v>30</v>
      </c>
      <c r="AF280" s="12">
        <f t="shared" si="1780"/>
        <v>0.23571428571428571</v>
      </c>
      <c r="AG280" s="11">
        <v>3</v>
      </c>
      <c r="AH280" s="12">
        <f t="shared" si="1781"/>
        <v>9.0909090909090912E-2</v>
      </c>
      <c r="AI280" s="13"/>
      <c r="AJ280" s="11"/>
      <c r="AK280" s="25"/>
      <c r="AL280" s="38">
        <v>4525</v>
      </c>
      <c r="AM280" s="10"/>
      <c r="AN280" s="11"/>
      <c r="AO280" s="69">
        <f t="shared" si="1821"/>
        <v>672</v>
      </c>
      <c r="AP280" s="69">
        <f t="shared" si="1821"/>
        <v>52</v>
      </c>
      <c r="AQ280" s="11">
        <v>212</v>
      </c>
      <c r="AR280" s="12">
        <f t="shared" si="1782"/>
        <v>0.32440476190476192</v>
      </c>
      <c r="AS280" s="11">
        <v>6</v>
      </c>
      <c r="AT280" s="12">
        <f t="shared" si="1783"/>
        <v>2.7522935779816515E-2</v>
      </c>
      <c r="AU280" s="13"/>
      <c r="AV280" s="11"/>
      <c r="AW280" s="25"/>
      <c r="AX280" s="38">
        <v>5236.67</v>
      </c>
      <c r="AY280" s="10"/>
      <c r="AZ280" s="11"/>
      <c r="BA280" s="69">
        <f t="shared" si="1822"/>
        <v>674</v>
      </c>
      <c r="BB280" s="69">
        <f t="shared" si="1822"/>
        <v>52</v>
      </c>
      <c r="BC280" s="11">
        <v>182</v>
      </c>
      <c r="BD280" s="12">
        <f t="shared" si="1784"/>
        <v>0.29821958456973297</v>
      </c>
      <c r="BE280" s="11">
        <v>19</v>
      </c>
      <c r="BF280" s="12">
        <f t="shared" si="1785"/>
        <v>9.4527363184079602E-2</v>
      </c>
      <c r="BG280" s="13"/>
      <c r="BH280" s="11"/>
      <c r="BI280" s="25"/>
      <c r="BJ280" s="38">
        <v>5206</v>
      </c>
      <c r="BK280" s="10"/>
      <c r="BL280" s="11"/>
      <c r="BM280" s="69">
        <f t="shared" si="1823"/>
        <v>667</v>
      </c>
      <c r="BN280" s="69">
        <f t="shared" si="1823"/>
        <v>52</v>
      </c>
      <c r="BO280" s="11">
        <v>186</v>
      </c>
      <c r="BP280" s="12">
        <f t="shared" si="1786"/>
        <v>0.31184407796101948</v>
      </c>
      <c r="BQ280" s="11">
        <v>22</v>
      </c>
      <c r="BR280" s="12">
        <f t="shared" si="1787"/>
        <v>0.10576923076923077</v>
      </c>
      <c r="BS280" s="13"/>
      <c r="BT280" s="11"/>
      <c r="BU280" s="25"/>
      <c r="BV280" s="38">
        <v>5613.33</v>
      </c>
      <c r="BW280" s="10"/>
      <c r="BX280" s="11"/>
      <c r="BY280" s="69">
        <f t="shared" si="1824"/>
        <v>0</v>
      </c>
      <c r="BZ280" s="69">
        <f t="shared" si="1824"/>
        <v>0</v>
      </c>
      <c r="CA280" s="11"/>
      <c r="CB280" s="12" t="e">
        <f t="shared" si="1788"/>
        <v>#DIV/0!</v>
      </c>
      <c r="CC280" s="11"/>
      <c r="CD280" s="12" t="e">
        <f t="shared" si="1789"/>
        <v>#DIV/0!</v>
      </c>
      <c r="CE280" s="13"/>
      <c r="CF280" s="11"/>
      <c r="CG280" s="25"/>
      <c r="CH280" s="38"/>
      <c r="CI280" s="10"/>
      <c r="CJ280" s="11"/>
      <c r="CK280" s="69">
        <f t="shared" si="1825"/>
        <v>0</v>
      </c>
      <c r="CL280" s="69">
        <f t="shared" si="1825"/>
        <v>0</v>
      </c>
      <c r="CM280" s="11"/>
      <c r="CN280" s="12" t="e">
        <f t="shared" si="1790"/>
        <v>#DIV/0!</v>
      </c>
      <c r="CO280" s="11"/>
      <c r="CP280" s="12" t="e">
        <f t="shared" si="1791"/>
        <v>#DIV/0!</v>
      </c>
      <c r="CQ280" s="13"/>
      <c r="CR280" s="11"/>
      <c r="CS280" s="25"/>
      <c r="CT280" s="38"/>
      <c r="CU280" s="10"/>
      <c r="CV280" s="11"/>
      <c r="CW280" s="69">
        <f t="shared" si="1826"/>
        <v>0</v>
      </c>
      <c r="CX280" s="69">
        <f t="shared" si="1826"/>
        <v>0</v>
      </c>
      <c r="CY280" s="11"/>
      <c r="CZ280" s="12" t="e">
        <f t="shared" si="1792"/>
        <v>#DIV/0!</v>
      </c>
      <c r="DA280" s="11"/>
      <c r="DB280" s="12" t="e">
        <f t="shared" si="1793"/>
        <v>#DIV/0!</v>
      </c>
      <c r="DC280" s="13"/>
      <c r="DD280" s="11"/>
      <c r="DE280" s="25"/>
      <c r="DF280" s="38"/>
      <c r="DG280" s="10"/>
      <c r="DH280" s="11"/>
      <c r="DI280" s="69">
        <f t="shared" si="1827"/>
        <v>0</v>
      </c>
      <c r="DJ280" s="69">
        <f t="shared" si="1827"/>
        <v>0</v>
      </c>
      <c r="DK280" s="11"/>
      <c r="DL280" s="12" t="e">
        <f t="shared" si="1794"/>
        <v>#DIV/0!</v>
      </c>
      <c r="DM280" s="11"/>
      <c r="DN280" s="12" t="e">
        <f t="shared" si="1795"/>
        <v>#DIV/0!</v>
      </c>
      <c r="DO280" s="13"/>
      <c r="DP280" s="11"/>
      <c r="DQ280" s="25"/>
      <c r="DR280" s="38"/>
      <c r="DS280" s="10"/>
      <c r="DT280" s="11"/>
      <c r="DU280" s="69">
        <f t="shared" si="1828"/>
        <v>0</v>
      </c>
      <c r="DV280" s="69">
        <f t="shared" si="1828"/>
        <v>0</v>
      </c>
      <c r="DW280" s="11"/>
      <c r="DX280" s="12" t="e">
        <f t="shared" si="1796"/>
        <v>#DIV/0!</v>
      </c>
      <c r="DY280" s="11"/>
      <c r="DZ280" s="12" t="e">
        <f t="shared" si="1797"/>
        <v>#DIV/0!</v>
      </c>
      <c r="EA280" s="13"/>
      <c r="EB280" s="11"/>
      <c r="EC280" s="25"/>
      <c r="ED280" s="38"/>
      <c r="EE280" s="10"/>
      <c r="EF280" s="11"/>
      <c r="EG280" s="69">
        <f t="shared" si="1829"/>
        <v>0</v>
      </c>
      <c r="EH280" s="69">
        <f t="shared" si="1829"/>
        <v>0</v>
      </c>
      <c r="EI280" s="11"/>
      <c r="EJ280" s="12" t="e">
        <f t="shared" si="1798"/>
        <v>#DIV/0!</v>
      </c>
      <c r="EK280" s="11"/>
      <c r="EL280" s="12" t="e">
        <f t="shared" si="1799"/>
        <v>#DIV/0!</v>
      </c>
      <c r="EM280" s="13"/>
      <c r="EN280" s="11"/>
      <c r="EO280" s="25"/>
      <c r="EP280" s="38"/>
      <c r="EQ280" s="10"/>
      <c r="ER280" s="11"/>
      <c r="ES280" s="69">
        <f t="shared" si="1830"/>
        <v>0</v>
      </c>
      <c r="ET280" s="69">
        <f t="shared" si="1830"/>
        <v>0</v>
      </c>
      <c r="EU280" s="11"/>
      <c r="EV280" s="12" t="e">
        <f t="shared" si="1800"/>
        <v>#DIV/0!</v>
      </c>
      <c r="EW280" s="11"/>
      <c r="EX280" s="12" t="e">
        <f t="shared" si="1801"/>
        <v>#DIV/0!</v>
      </c>
      <c r="EY280" s="13"/>
      <c r="EZ280" s="11"/>
      <c r="FA280" s="25"/>
      <c r="FB280" s="38"/>
      <c r="FC280" s="10"/>
      <c r="FD280" s="11"/>
      <c r="FE280" s="69">
        <f t="shared" si="1831"/>
        <v>0</v>
      </c>
      <c r="FF280" s="69">
        <f t="shared" si="1831"/>
        <v>0</v>
      </c>
      <c r="FG280" s="11"/>
      <c r="FH280" s="12" t="e">
        <f t="shared" si="1802"/>
        <v>#DIV/0!</v>
      </c>
      <c r="FI280" s="11"/>
      <c r="FJ280" s="12" t="e">
        <f t="shared" si="1803"/>
        <v>#DIV/0!</v>
      </c>
      <c r="FK280" s="13"/>
      <c r="FL280" s="11"/>
      <c r="FM280" s="25"/>
      <c r="FN280" s="38"/>
      <c r="FO280" s="10"/>
      <c r="FP280" s="11"/>
      <c r="FQ280" s="69">
        <f t="shared" si="1832"/>
        <v>0</v>
      </c>
      <c r="FR280" s="69">
        <f t="shared" si="1832"/>
        <v>0</v>
      </c>
      <c r="FS280" s="11"/>
      <c r="FT280" s="12" t="e">
        <f t="shared" si="1804"/>
        <v>#DIV/0!</v>
      </c>
      <c r="FU280" s="11"/>
      <c r="FV280" s="12" t="e">
        <f t="shared" si="1805"/>
        <v>#DIV/0!</v>
      </c>
      <c r="FW280" s="13"/>
      <c r="FX280" s="11"/>
      <c r="FY280" s="25"/>
      <c r="FZ280" s="38"/>
      <c r="GA280" s="10"/>
      <c r="GB280" s="11"/>
      <c r="GC280" s="69">
        <f t="shared" si="1833"/>
        <v>0</v>
      </c>
      <c r="GD280" s="69">
        <f t="shared" si="1833"/>
        <v>0</v>
      </c>
      <c r="GE280" s="11"/>
      <c r="GF280" s="12" t="e">
        <f t="shared" si="1806"/>
        <v>#DIV/0!</v>
      </c>
      <c r="GG280" s="11"/>
      <c r="GH280" s="12" t="e">
        <f t="shared" si="1807"/>
        <v>#DIV/0!</v>
      </c>
      <c r="GI280" s="13"/>
      <c r="GJ280" s="11"/>
      <c r="GK280" s="25"/>
      <c r="GL280" s="38"/>
      <c r="GM280" s="10"/>
      <c r="GN280" s="11"/>
      <c r="GO280" s="69">
        <f t="shared" si="1834"/>
        <v>0</v>
      </c>
      <c r="GP280" s="69">
        <f t="shared" si="1834"/>
        <v>0</v>
      </c>
      <c r="GQ280" s="11"/>
      <c r="GR280" s="12" t="e">
        <f t="shared" si="1808"/>
        <v>#DIV/0!</v>
      </c>
      <c r="GS280" s="11"/>
      <c r="GT280" s="12" t="e">
        <f t="shared" si="1809"/>
        <v>#DIV/0!</v>
      </c>
      <c r="GU280" s="13"/>
      <c r="GV280" s="11"/>
      <c r="GW280" s="25"/>
      <c r="GX280" s="38"/>
      <c r="GY280" s="10"/>
      <c r="GZ280" s="11"/>
      <c r="HA280" s="69">
        <f t="shared" si="1835"/>
        <v>0</v>
      </c>
      <c r="HB280" s="69">
        <f t="shared" si="1835"/>
        <v>0</v>
      </c>
      <c r="HC280" s="11"/>
      <c r="HD280" s="12" t="e">
        <f t="shared" si="1810"/>
        <v>#DIV/0!</v>
      </c>
      <c r="HE280" s="11"/>
      <c r="HF280" s="12" t="e">
        <f t="shared" si="1811"/>
        <v>#DIV/0!</v>
      </c>
      <c r="HG280" s="13"/>
      <c r="HH280" s="11"/>
      <c r="HI280" s="25"/>
      <c r="HJ280" s="38"/>
      <c r="HK280" s="10">
        <f t="shared" si="1812"/>
        <v>0</v>
      </c>
      <c r="HL280" s="11">
        <f t="shared" si="1812"/>
        <v>0</v>
      </c>
      <c r="HM280" s="11">
        <f t="shared" si="1812"/>
        <v>3345</v>
      </c>
      <c r="HN280" s="11">
        <f t="shared" si="1812"/>
        <v>260</v>
      </c>
      <c r="HO280" s="11">
        <f t="shared" si="1813"/>
        <v>1034</v>
      </c>
      <c r="HP280" s="95">
        <f t="shared" si="1814"/>
        <v>0.30911808669656204</v>
      </c>
      <c r="HQ280" s="15">
        <f t="shared" si="1815"/>
        <v>76</v>
      </c>
      <c r="HR280" s="12">
        <f t="shared" si="1836"/>
        <v>7.3500967117988397E-2</v>
      </c>
      <c r="HS280" s="16">
        <v>72.3</v>
      </c>
      <c r="HT280" s="17">
        <v>915</v>
      </c>
      <c r="HU280" s="16">
        <f t="shared" si="1816"/>
        <v>88.491295938104457</v>
      </c>
      <c r="HV280" s="23"/>
      <c r="HW280" s="22">
        <v>5166</v>
      </c>
    </row>
    <row r="281" spans="1:231" ht="18.75" x14ac:dyDescent="0.25">
      <c r="A281" s="374"/>
      <c r="B281" s="41">
        <f t="shared" si="1656"/>
        <v>45157</v>
      </c>
      <c r="C281" s="10"/>
      <c r="D281" s="11"/>
      <c r="E281" s="69">
        <f>E280-C281</f>
        <v>589</v>
      </c>
      <c r="F281" s="69">
        <f>F280-D281</f>
        <v>46</v>
      </c>
      <c r="G281" s="11">
        <v>159</v>
      </c>
      <c r="H281" s="12">
        <f t="shared" si="1777"/>
        <v>0.29711375212224106</v>
      </c>
      <c r="I281" s="11">
        <v>16</v>
      </c>
      <c r="J281" s="12">
        <f t="shared" si="1818"/>
        <v>9.1428571428571428E-2</v>
      </c>
      <c r="K281" s="13"/>
      <c r="L281" s="11"/>
      <c r="M281" s="39"/>
      <c r="N281" s="43">
        <v>100</v>
      </c>
      <c r="O281" s="10"/>
      <c r="P281" s="11"/>
      <c r="Q281" s="69">
        <f t="shared" si="1819"/>
        <v>603</v>
      </c>
      <c r="R281" s="69">
        <f t="shared" si="1819"/>
        <v>47</v>
      </c>
      <c r="S281" s="11">
        <v>185</v>
      </c>
      <c r="T281" s="12">
        <f t="shared" si="1778"/>
        <v>0.33665008291873966</v>
      </c>
      <c r="U281" s="11">
        <v>18</v>
      </c>
      <c r="V281" s="12">
        <f t="shared" si="1779"/>
        <v>8.8669950738916259E-2</v>
      </c>
      <c r="W281" s="13"/>
      <c r="X281" s="11"/>
      <c r="Y281" s="39"/>
      <c r="Z281" s="43">
        <v>100</v>
      </c>
      <c r="AA281" s="10">
        <v>1</v>
      </c>
      <c r="AB281" s="11"/>
      <c r="AC281" s="69">
        <f t="shared" si="1820"/>
        <v>139</v>
      </c>
      <c r="AD281" s="69">
        <f t="shared" si="1820"/>
        <v>11</v>
      </c>
      <c r="AE281" s="11">
        <v>21</v>
      </c>
      <c r="AF281" s="12">
        <f t="shared" si="1780"/>
        <v>0.17985611510791366</v>
      </c>
      <c r="AG281" s="11">
        <v>4</v>
      </c>
      <c r="AH281" s="12">
        <f t="shared" si="1781"/>
        <v>0.16</v>
      </c>
      <c r="AI281" s="13"/>
      <c r="AJ281" s="11"/>
      <c r="AK281" s="39"/>
      <c r="AL281" s="43">
        <v>100</v>
      </c>
      <c r="AM281" s="10"/>
      <c r="AN281" s="11"/>
      <c r="AO281" s="69">
        <f t="shared" si="1821"/>
        <v>672</v>
      </c>
      <c r="AP281" s="69">
        <f t="shared" si="1821"/>
        <v>52</v>
      </c>
      <c r="AQ281" s="11">
        <v>174</v>
      </c>
      <c r="AR281" s="12">
        <f t="shared" si="1782"/>
        <v>0.27232142857142855</v>
      </c>
      <c r="AS281" s="11">
        <v>9</v>
      </c>
      <c r="AT281" s="12">
        <f t="shared" si="1783"/>
        <v>4.9180327868852458E-2</v>
      </c>
      <c r="AU281" s="13"/>
      <c r="AV281" s="11"/>
      <c r="AW281" s="39"/>
      <c r="AX281" s="43">
        <v>100</v>
      </c>
      <c r="AY281" s="10"/>
      <c r="AZ281" s="11"/>
      <c r="BA281" s="69">
        <f t="shared" si="1822"/>
        <v>674</v>
      </c>
      <c r="BB281" s="69">
        <f t="shared" si="1822"/>
        <v>52</v>
      </c>
      <c r="BC281" s="11">
        <v>224</v>
      </c>
      <c r="BD281" s="12">
        <f t="shared" si="1784"/>
        <v>0.36646884272997032</v>
      </c>
      <c r="BE281" s="11">
        <v>23</v>
      </c>
      <c r="BF281" s="12">
        <f t="shared" si="1785"/>
        <v>9.3117408906882596E-2</v>
      </c>
      <c r="BG281" s="13"/>
      <c r="BH281" s="11"/>
      <c r="BI281" s="39"/>
      <c r="BJ281" s="43">
        <v>100</v>
      </c>
      <c r="BK281" s="10"/>
      <c r="BL281" s="11"/>
      <c r="BM281" s="69">
        <f t="shared" si="1823"/>
        <v>667</v>
      </c>
      <c r="BN281" s="69">
        <f t="shared" si="1823"/>
        <v>52</v>
      </c>
      <c r="BO281" s="11">
        <v>182</v>
      </c>
      <c r="BP281" s="12">
        <f t="shared" si="1786"/>
        <v>0.29385307346326839</v>
      </c>
      <c r="BQ281" s="11">
        <v>14</v>
      </c>
      <c r="BR281" s="12">
        <f t="shared" si="1787"/>
        <v>7.1428571428571425E-2</v>
      </c>
      <c r="BS281" s="13"/>
      <c r="BT281" s="11"/>
      <c r="BU281" s="39"/>
      <c r="BV281" s="43">
        <v>91.67</v>
      </c>
      <c r="BW281" s="10"/>
      <c r="BX281" s="11"/>
      <c r="BY281" s="69">
        <f t="shared" si="1824"/>
        <v>0</v>
      </c>
      <c r="BZ281" s="69">
        <f t="shared" si="1824"/>
        <v>0</v>
      </c>
      <c r="CA281" s="11"/>
      <c r="CB281" s="12" t="e">
        <f t="shared" si="1788"/>
        <v>#DIV/0!</v>
      </c>
      <c r="CC281" s="11"/>
      <c r="CD281" s="12" t="e">
        <f t="shared" si="1789"/>
        <v>#DIV/0!</v>
      </c>
      <c r="CE281" s="13"/>
      <c r="CF281" s="11"/>
      <c r="CG281" s="39"/>
      <c r="CH281" s="43"/>
      <c r="CI281" s="10"/>
      <c r="CJ281" s="11"/>
      <c r="CK281" s="69">
        <f t="shared" si="1825"/>
        <v>0</v>
      </c>
      <c r="CL281" s="69">
        <f t="shared" si="1825"/>
        <v>0</v>
      </c>
      <c r="CM281" s="11"/>
      <c r="CN281" s="12" t="e">
        <f t="shared" si="1790"/>
        <v>#DIV/0!</v>
      </c>
      <c r="CO281" s="11"/>
      <c r="CP281" s="12" t="e">
        <f t="shared" si="1791"/>
        <v>#DIV/0!</v>
      </c>
      <c r="CQ281" s="13"/>
      <c r="CR281" s="11"/>
      <c r="CS281" s="39"/>
      <c r="CT281" s="43"/>
      <c r="CU281" s="10"/>
      <c r="CV281" s="11"/>
      <c r="CW281" s="69">
        <f t="shared" si="1826"/>
        <v>0</v>
      </c>
      <c r="CX281" s="69">
        <f t="shared" si="1826"/>
        <v>0</v>
      </c>
      <c r="CY281" s="11"/>
      <c r="CZ281" s="12" t="e">
        <f t="shared" si="1792"/>
        <v>#DIV/0!</v>
      </c>
      <c r="DA281" s="11"/>
      <c r="DB281" s="12" t="e">
        <f t="shared" si="1793"/>
        <v>#DIV/0!</v>
      </c>
      <c r="DC281" s="13"/>
      <c r="DD281" s="11"/>
      <c r="DE281" s="39"/>
      <c r="DF281" s="43"/>
      <c r="DG281" s="10"/>
      <c r="DH281" s="11"/>
      <c r="DI281" s="69">
        <f t="shared" si="1827"/>
        <v>0</v>
      </c>
      <c r="DJ281" s="69">
        <f t="shared" si="1827"/>
        <v>0</v>
      </c>
      <c r="DK281" s="11"/>
      <c r="DL281" s="12" t="e">
        <f t="shared" si="1794"/>
        <v>#DIV/0!</v>
      </c>
      <c r="DM281" s="11"/>
      <c r="DN281" s="12" t="e">
        <f t="shared" si="1795"/>
        <v>#DIV/0!</v>
      </c>
      <c r="DO281" s="13"/>
      <c r="DP281" s="11"/>
      <c r="DQ281" s="39"/>
      <c r="DR281" s="43"/>
      <c r="DS281" s="10"/>
      <c r="DT281" s="11"/>
      <c r="DU281" s="69">
        <f t="shared" si="1828"/>
        <v>0</v>
      </c>
      <c r="DV281" s="69">
        <f t="shared" si="1828"/>
        <v>0</v>
      </c>
      <c r="DW281" s="11"/>
      <c r="DX281" s="12" t="e">
        <f t="shared" si="1796"/>
        <v>#DIV/0!</v>
      </c>
      <c r="DY281" s="11"/>
      <c r="DZ281" s="12" t="e">
        <f t="shared" si="1797"/>
        <v>#DIV/0!</v>
      </c>
      <c r="EA281" s="13"/>
      <c r="EB281" s="11"/>
      <c r="EC281" s="39"/>
      <c r="ED281" s="43"/>
      <c r="EE281" s="10"/>
      <c r="EF281" s="11"/>
      <c r="EG281" s="69">
        <f t="shared" si="1829"/>
        <v>0</v>
      </c>
      <c r="EH281" s="69">
        <f t="shared" si="1829"/>
        <v>0</v>
      </c>
      <c r="EI281" s="11"/>
      <c r="EJ281" s="12" t="e">
        <f t="shared" si="1798"/>
        <v>#DIV/0!</v>
      </c>
      <c r="EK281" s="11"/>
      <c r="EL281" s="12" t="e">
        <f t="shared" si="1799"/>
        <v>#DIV/0!</v>
      </c>
      <c r="EM281" s="13"/>
      <c r="EN281" s="11"/>
      <c r="EO281" s="39"/>
      <c r="EP281" s="43"/>
      <c r="EQ281" s="10"/>
      <c r="ER281" s="11"/>
      <c r="ES281" s="69">
        <f t="shared" si="1830"/>
        <v>0</v>
      </c>
      <c r="ET281" s="69">
        <f t="shared" si="1830"/>
        <v>0</v>
      </c>
      <c r="EU281" s="11"/>
      <c r="EV281" s="12" t="e">
        <f t="shared" si="1800"/>
        <v>#DIV/0!</v>
      </c>
      <c r="EW281" s="11"/>
      <c r="EX281" s="12" t="e">
        <f t="shared" si="1801"/>
        <v>#DIV/0!</v>
      </c>
      <c r="EY281" s="13"/>
      <c r="EZ281" s="11"/>
      <c r="FA281" s="39"/>
      <c r="FB281" s="43"/>
      <c r="FC281" s="10"/>
      <c r="FD281" s="11"/>
      <c r="FE281" s="69">
        <f t="shared" si="1831"/>
        <v>0</v>
      </c>
      <c r="FF281" s="69">
        <f t="shared" si="1831"/>
        <v>0</v>
      </c>
      <c r="FG281" s="11"/>
      <c r="FH281" s="12" t="e">
        <f t="shared" si="1802"/>
        <v>#DIV/0!</v>
      </c>
      <c r="FI281" s="11"/>
      <c r="FJ281" s="12" t="e">
        <f t="shared" si="1803"/>
        <v>#DIV/0!</v>
      </c>
      <c r="FK281" s="13"/>
      <c r="FL281" s="11"/>
      <c r="FM281" s="39"/>
      <c r="FN281" s="43"/>
      <c r="FO281" s="10"/>
      <c r="FP281" s="11"/>
      <c r="FQ281" s="69">
        <f t="shared" si="1832"/>
        <v>0</v>
      </c>
      <c r="FR281" s="69">
        <f t="shared" si="1832"/>
        <v>0</v>
      </c>
      <c r="FS281" s="11"/>
      <c r="FT281" s="12" t="e">
        <f t="shared" si="1804"/>
        <v>#DIV/0!</v>
      </c>
      <c r="FU281" s="11"/>
      <c r="FV281" s="12" t="e">
        <f t="shared" si="1805"/>
        <v>#DIV/0!</v>
      </c>
      <c r="FW281" s="13"/>
      <c r="FX281" s="11"/>
      <c r="FY281" s="39"/>
      <c r="FZ281" s="43"/>
      <c r="GA281" s="10"/>
      <c r="GB281" s="11"/>
      <c r="GC281" s="69">
        <f t="shared" si="1833"/>
        <v>0</v>
      </c>
      <c r="GD281" s="69">
        <f t="shared" si="1833"/>
        <v>0</v>
      </c>
      <c r="GE281" s="11"/>
      <c r="GF281" s="12" t="e">
        <f t="shared" si="1806"/>
        <v>#DIV/0!</v>
      </c>
      <c r="GG281" s="11"/>
      <c r="GH281" s="12" t="e">
        <f t="shared" si="1807"/>
        <v>#DIV/0!</v>
      </c>
      <c r="GI281" s="13"/>
      <c r="GJ281" s="11"/>
      <c r="GK281" s="39"/>
      <c r="GL281" s="43"/>
      <c r="GM281" s="10"/>
      <c r="GN281" s="11"/>
      <c r="GO281" s="69">
        <f t="shared" si="1834"/>
        <v>0</v>
      </c>
      <c r="GP281" s="69">
        <f t="shared" si="1834"/>
        <v>0</v>
      </c>
      <c r="GQ281" s="11"/>
      <c r="GR281" s="12" t="e">
        <f t="shared" si="1808"/>
        <v>#DIV/0!</v>
      </c>
      <c r="GS281" s="11"/>
      <c r="GT281" s="12" t="e">
        <f t="shared" si="1809"/>
        <v>#DIV/0!</v>
      </c>
      <c r="GU281" s="13"/>
      <c r="GV281" s="11"/>
      <c r="GW281" s="39"/>
      <c r="GX281" s="43"/>
      <c r="GY281" s="10"/>
      <c r="GZ281" s="11"/>
      <c r="HA281" s="69">
        <f t="shared" si="1835"/>
        <v>0</v>
      </c>
      <c r="HB281" s="69">
        <f t="shared" si="1835"/>
        <v>0</v>
      </c>
      <c r="HC281" s="11"/>
      <c r="HD281" s="12" t="e">
        <f t="shared" si="1810"/>
        <v>#DIV/0!</v>
      </c>
      <c r="HE281" s="11"/>
      <c r="HF281" s="12" t="e">
        <f t="shared" si="1811"/>
        <v>#DIV/0!</v>
      </c>
      <c r="HG281" s="13"/>
      <c r="HH281" s="11"/>
      <c r="HI281" s="39"/>
      <c r="HJ281" s="43"/>
      <c r="HK281" s="10">
        <f t="shared" si="1812"/>
        <v>1</v>
      </c>
      <c r="HL281" s="11">
        <f t="shared" si="1812"/>
        <v>0</v>
      </c>
      <c r="HM281" s="11">
        <f t="shared" si="1812"/>
        <v>3344</v>
      </c>
      <c r="HN281" s="11">
        <f t="shared" si="1812"/>
        <v>260</v>
      </c>
      <c r="HO281" s="11">
        <f t="shared" si="1813"/>
        <v>1029</v>
      </c>
      <c r="HP281" s="95">
        <f t="shared" si="1814"/>
        <v>0.30771531100478466</v>
      </c>
      <c r="HQ281" s="15">
        <f t="shared" si="1815"/>
        <v>84</v>
      </c>
      <c r="HR281" s="12">
        <f t="shared" si="1836"/>
        <v>8.1632653061224483E-2</v>
      </c>
      <c r="HS281" s="16">
        <v>72.2</v>
      </c>
      <c r="HT281" s="17">
        <v>1028</v>
      </c>
      <c r="HU281" s="16">
        <f t="shared" si="1816"/>
        <v>99.902818270165199</v>
      </c>
      <c r="HV281" s="23"/>
      <c r="HW281" s="22">
        <v>76.67</v>
      </c>
    </row>
    <row r="282" spans="1:231" ht="19.5" thickBot="1" x14ac:dyDescent="0.3">
      <c r="A282" s="374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1255</v>
      </c>
      <c r="H282" s="28">
        <f>((G282+I282)/7)/E281</f>
        <v>0.32864419112296872</v>
      </c>
      <c r="I282" s="27">
        <f>SUM(I275:I281)</f>
        <v>100</v>
      </c>
      <c r="J282" s="28">
        <f>(I282/(I282+G282))</f>
        <v>7.3800738007380073E-2</v>
      </c>
      <c r="K282" s="27"/>
      <c r="L282" s="27"/>
      <c r="M282" s="29" t="e">
        <f>M280/M279*100-100</f>
        <v>#DIV/0!</v>
      </c>
      <c r="N282" s="67">
        <f>N280/N279*100-100</f>
        <v>-0.74474789915966255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1211</v>
      </c>
      <c r="T282" s="28">
        <f>((S282+U282)/7)/Q281</f>
        <v>0.30774697938877044</v>
      </c>
      <c r="U282" s="27">
        <f>SUM(U275:U281)</f>
        <v>88</v>
      </c>
      <c r="V282" s="28">
        <f>(U282/(U282+S282))</f>
        <v>6.7744418783679747E-2</v>
      </c>
      <c r="W282" s="27"/>
      <c r="X282" s="27"/>
      <c r="Y282" s="29" t="e">
        <f>Y280/Y279*100-100</f>
        <v>#DIV/0!</v>
      </c>
      <c r="Z282" s="67">
        <f>Z280/Z279*100-100</f>
        <v>10.064915966386565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198</v>
      </c>
      <c r="AF282" s="28">
        <f>((AE282+AG282)/7)/AC281</f>
        <v>0.22199383350462487</v>
      </c>
      <c r="AG282" s="27">
        <f>SUM(AG275:AG281)</f>
        <v>18</v>
      </c>
      <c r="AH282" s="28">
        <f>(AG282/(AG282+AE282))</f>
        <v>8.3333333333333329E-2</v>
      </c>
      <c r="AI282" s="27"/>
      <c r="AJ282" s="27"/>
      <c r="AK282" s="29" t="e">
        <f>AK280/AK279*100-100</f>
        <v>#DIV/0!</v>
      </c>
      <c r="AL282" s="67">
        <f>AL280/AL279*100-100</f>
        <v>-4.9369747899159648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1343</v>
      </c>
      <c r="AR282" s="28">
        <f>((AQ282+AS282)/7)/AO281</f>
        <v>0.29889455782312924</v>
      </c>
      <c r="AS282" s="27">
        <f>SUM(AS275:AS281)</f>
        <v>63</v>
      </c>
      <c r="AT282" s="28">
        <f>(AS282/(AS282+AQ282))</f>
        <v>4.4807965860597439E-2</v>
      </c>
      <c r="AU282" s="27"/>
      <c r="AV282" s="27"/>
      <c r="AW282" s="29" t="e">
        <f>AW280/AW279*100-100</f>
        <v>#DIV/0!</v>
      </c>
      <c r="AX282" s="67">
        <f>AX280/AX279*100-100</f>
        <v>10.014075630252094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1329</v>
      </c>
      <c r="BD282" s="28">
        <f>((BC282+BE282)/7)/BA281</f>
        <v>0.30542602797795676</v>
      </c>
      <c r="BE282" s="27">
        <f>SUM(BE275:BE281)</f>
        <v>112</v>
      </c>
      <c r="BF282" s="28">
        <f>(BE282/(BE282+BC282))</f>
        <v>7.7723802914642606E-2</v>
      </c>
      <c r="BG282" s="27"/>
      <c r="BH282" s="27"/>
      <c r="BI282" s="29" t="e">
        <f>BI280/BI279*100-100</f>
        <v>#DIV/0!</v>
      </c>
      <c r="BJ282" s="67">
        <f>BJ280/BJ279*100-100</f>
        <v>9.3697478991596483</v>
      </c>
      <c r="BK282" s="26">
        <f>SUM(BK275:BK281)</f>
        <v>4</v>
      </c>
      <c r="BL282" s="27">
        <f>SUM(BL275:BL281)</f>
        <v>0</v>
      </c>
      <c r="BM282" s="27"/>
      <c r="BN282" s="27"/>
      <c r="BO282" s="27">
        <f>SUM(BO275:BO281)</f>
        <v>1337</v>
      </c>
      <c r="BP282" s="28">
        <f>((BO282+BQ282)/7)/BM281</f>
        <v>0.3039194688370101</v>
      </c>
      <c r="BQ282" s="27">
        <f>SUM(BQ275:BQ281)</f>
        <v>82</v>
      </c>
      <c r="BR282" s="28">
        <f>(BQ282/(BQ282+BO282))</f>
        <v>5.7787174066243834E-2</v>
      </c>
      <c r="BS282" s="27"/>
      <c r="BT282" s="27"/>
      <c r="BU282" s="29" t="e">
        <f>BU280/BU279*100-100</f>
        <v>#DIV/0!</v>
      </c>
      <c r="BV282" s="67">
        <f>BV280/BV279*100-100</f>
        <v>17.927100840336124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7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7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7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7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7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7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7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7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7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7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7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7" t="e">
        <f>HJ280/HJ279*100-100</f>
        <v>#DIV/0!</v>
      </c>
      <c r="HK282" s="26">
        <f t="shared" si="1812"/>
        <v>13</v>
      </c>
      <c r="HL282" s="27">
        <f t="shared" si="1812"/>
        <v>0</v>
      </c>
      <c r="HM282" s="27">
        <f t="shared" si="1812"/>
        <v>0</v>
      </c>
      <c r="HN282" s="27">
        <f t="shared" si="1812"/>
        <v>0</v>
      </c>
      <c r="HO282" s="27">
        <f t="shared" si="1813"/>
        <v>7136</v>
      </c>
      <c r="HP282" s="96">
        <f>+((HO282)/HM281)/7</f>
        <v>0.30485304169514693</v>
      </c>
      <c r="HQ282" s="62">
        <f t="shared" si="1815"/>
        <v>463</v>
      </c>
      <c r="HR282" s="52">
        <f t="shared" si="1836"/>
        <v>6.4882286995515695E-2</v>
      </c>
      <c r="HS282" s="53">
        <f>SUM(HS275:HS281)/7</f>
        <v>71.942857142857136</v>
      </c>
      <c r="HT282" s="54">
        <f>SUM(HT275:HT281)</f>
        <v>6520</v>
      </c>
      <c r="HU282" s="53">
        <f>AVERAGE(HU275:HU281)</f>
        <v>91.372096298495492</v>
      </c>
      <c r="HV282" s="63" t="e">
        <f>HV280/HV279*100-100</f>
        <v>#DIV/0!</v>
      </c>
      <c r="HW282" s="67">
        <f>HW280/HW279*100-100</f>
        <v>8.5294117647058698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3.8725052129877867E-3</v>
      </c>
      <c r="HL283" s="66">
        <f>HL282/HN272</f>
        <v>0</v>
      </c>
      <c r="HM283" s="45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373">
        <v>56</v>
      </c>
      <c r="B284" s="40">
        <f>B281+1</f>
        <v>45158</v>
      </c>
      <c r="C284" s="33"/>
      <c r="D284" s="34"/>
      <c r="E284" s="34">
        <f>E281-C284</f>
        <v>589</v>
      </c>
      <c r="F284" s="34">
        <f>F281-D284</f>
        <v>46</v>
      </c>
      <c r="G284" s="34">
        <v>164</v>
      </c>
      <c r="H284" s="35">
        <f t="shared" ref="H284:H290" si="1837">((G284+I284)/E284)</f>
        <v>0.30390492359932086</v>
      </c>
      <c r="I284" s="34">
        <v>15</v>
      </c>
      <c r="J284" s="35">
        <f>I284/(G284+I284)</f>
        <v>8.3798882681564241E-2</v>
      </c>
      <c r="K284" s="36"/>
      <c r="L284" s="34"/>
      <c r="M284" s="34"/>
      <c r="N284" s="37"/>
      <c r="O284" s="33"/>
      <c r="P284" s="34"/>
      <c r="Q284" s="34">
        <f>Q281-O284</f>
        <v>603</v>
      </c>
      <c r="R284" s="34">
        <f>R281-P284</f>
        <v>47</v>
      </c>
      <c r="S284" s="34">
        <v>171</v>
      </c>
      <c r="T284" s="35">
        <f t="shared" ref="T284:T290" si="1838">((S284+U284)/Q284)</f>
        <v>0.30845771144278605</v>
      </c>
      <c r="U284" s="34">
        <v>15</v>
      </c>
      <c r="V284" s="35">
        <f t="shared" ref="V284:V290" si="1839">U284/(S284+U284)</f>
        <v>8.0645161290322578E-2</v>
      </c>
      <c r="W284" s="36"/>
      <c r="X284" s="34"/>
      <c r="Y284" s="34"/>
      <c r="Z284" s="37"/>
      <c r="AA284" s="33"/>
      <c r="AB284" s="34"/>
      <c r="AC284" s="34">
        <f>AC281-AA284</f>
        <v>139</v>
      </c>
      <c r="AD284" s="34">
        <f>AD281-AB284</f>
        <v>11</v>
      </c>
      <c r="AE284" s="34">
        <v>26</v>
      </c>
      <c r="AF284" s="35">
        <f t="shared" ref="AF284:AF290" si="1840">((AE284+AG284)/AC284)</f>
        <v>0.21582733812949639</v>
      </c>
      <c r="AG284" s="34">
        <v>4</v>
      </c>
      <c r="AH284" s="35">
        <f t="shared" ref="AH284:AH290" si="1841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672</v>
      </c>
      <c r="AP284" s="34">
        <f>AP281-AN284</f>
        <v>52</v>
      </c>
      <c r="AQ284" s="34">
        <v>175</v>
      </c>
      <c r="AR284" s="35">
        <f t="shared" ref="AR284:AR290" si="1842">((AQ284+AS284)/AO284)</f>
        <v>0.2767857142857143</v>
      </c>
      <c r="AS284" s="34">
        <v>11</v>
      </c>
      <c r="AT284" s="35">
        <f t="shared" ref="AT284:AT290" si="1843">AS284/(AQ284+AS284)</f>
        <v>5.9139784946236562E-2</v>
      </c>
      <c r="AU284" s="36"/>
      <c r="AV284" s="34"/>
      <c r="AW284" s="34"/>
      <c r="AX284" s="37"/>
      <c r="AY284" s="33">
        <v>2</v>
      </c>
      <c r="AZ284" s="34"/>
      <c r="BA284" s="34">
        <f>BA281-AY284</f>
        <v>672</v>
      </c>
      <c r="BB284" s="34">
        <f>BB281-AZ284</f>
        <v>52</v>
      </c>
      <c r="BC284" s="34">
        <v>176</v>
      </c>
      <c r="BD284" s="35">
        <f t="shared" ref="BD284:BD290" si="1844">((BC284+BE284)/BA284)</f>
        <v>0.28422619047619047</v>
      </c>
      <c r="BE284" s="34">
        <v>15</v>
      </c>
      <c r="BF284" s="35">
        <f t="shared" ref="BF284:BF290" si="1845">BE284/(BC284+BE284)</f>
        <v>7.8534031413612565E-2</v>
      </c>
      <c r="BG284" s="36"/>
      <c r="BH284" s="34"/>
      <c r="BI284" s="34"/>
      <c r="BJ284" s="37"/>
      <c r="BK284" s="33"/>
      <c r="BL284" s="34"/>
      <c r="BM284" s="34">
        <f>BM281-BK284</f>
        <v>667</v>
      </c>
      <c r="BN284" s="34">
        <f>BN281-BL284</f>
        <v>52</v>
      </c>
      <c r="BO284" s="34">
        <v>178</v>
      </c>
      <c r="BP284" s="35">
        <f t="shared" ref="BP284:BP290" si="1846">((BO284+BQ284)/BM284)</f>
        <v>0.28635682158920539</v>
      </c>
      <c r="BQ284" s="34">
        <v>13</v>
      </c>
      <c r="BR284" s="35">
        <f t="shared" ref="BR284:BR290" si="1847">BQ284/(BO284+BQ284)</f>
        <v>6.8062827225130892E-2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1848">((CA284+CC284)/BY284)</f>
        <v>#DIV/0!</v>
      </c>
      <c r="CC284" s="34"/>
      <c r="CD284" s="35" t="e">
        <f t="shared" ref="CD284:CD290" si="1849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1850">((CM284+CO284)/CK284)</f>
        <v>#DIV/0!</v>
      </c>
      <c r="CO284" s="34"/>
      <c r="CP284" s="35" t="e">
        <f t="shared" ref="CP284:CP290" si="1851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1852">((CY284+DA284)/CW284)</f>
        <v>#DIV/0!</v>
      </c>
      <c r="DA284" s="34"/>
      <c r="DB284" s="35" t="e">
        <f t="shared" ref="DB284:DB290" si="1853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1854">((DK284+DM284)/DI284)</f>
        <v>#DIV/0!</v>
      </c>
      <c r="DM284" s="34"/>
      <c r="DN284" s="35" t="e">
        <f t="shared" ref="DN284:DN290" si="1855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1856">((DW284+DY284)/DU284)</f>
        <v>#DIV/0!</v>
      </c>
      <c r="DY284" s="34"/>
      <c r="DZ284" s="35" t="e">
        <f t="shared" ref="DZ284:DZ290" si="1857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1858">((EI284+EK284)/EG284)</f>
        <v>#DIV/0!</v>
      </c>
      <c r="EK284" s="34"/>
      <c r="EL284" s="35" t="e">
        <f t="shared" ref="EL284:EL290" si="1859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1860">((EU284+EW284)/ES284)</f>
        <v>#DIV/0!</v>
      </c>
      <c r="EW284" s="34"/>
      <c r="EX284" s="35" t="e">
        <f t="shared" ref="EX284:EX290" si="1861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1862">((FG284+FI284)/FE284)</f>
        <v>#DIV/0!</v>
      </c>
      <c r="FI284" s="34"/>
      <c r="FJ284" s="35" t="e">
        <f t="shared" ref="FJ284:FJ290" si="1863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1864">((FS284+FU284)/FQ284)</f>
        <v>#DIV/0!</v>
      </c>
      <c r="FU284" s="34"/>
      <c r="FV284" s="35" t="e">
        <f t="shared" ref="FV284:FV290" si="1865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1866">((GE284+GG284)/GC284)</f>
        <v>#DIV/0!</v>
      </c>
      <c r="GG284" s="34"/>
      <c r="GH284" s="35" t="e">
        <f t="shared" ref="GH284:GH290" si="1867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1868">((GQ284+GS284)/GO284)</f>
        <v>#DIV/0!</v>
      </c>
      <c r="GS284" s="34"/>
      <c r="GT284" s="35" t="e">
        <f t="shared" ref="GT284:GT290" si="1869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1870">((HC284+HE284)/HA284)</f>
        <v>#DIV/0!</v>
      </c>
      <c r="HE284" s="34"/>
      <c r="HF284" s="35" t="e">
        <f t="shared" ref="HF284:HF290" si="1871">HE284/(HC284+HE284)</f>
        <v>#DIV/0!</v>
      </c>
      <c r="HG284" s="36"/>
      <c r="HH284" s="34"/>
      <c r="HI284" s="34"/>
      <c r="HJ284" s="37"/>
      <c r="HK284" s="33">
        <f t="shared" ref="HK284:HN291" si="1872">+C284+O284+AA284+AM284+AY284+BK284+BW284+CI284+CU284+DG284+DS284+EE284+EQ284+FC284+FO284+GA284+GM284+GY284</f>
        <v>2</v>
      </c>
      <c r="HL284" s="34">
        <f t="shared" si="1872"/>
        <v>0</v>
      </c>
      <c r="HM284" s="34">
        <f t="shared" si="1872"/>
        <v>3342</v>
      </c>
      <c r="HN284" s="34">
        <f t="shared" si="1872"/>
        <v>260</v>
      </c>
      <c r="HO284" s="34">
        <f t="shared" ref="HO284:HO291" si="1873">+G284+S284+AE284+AQ284+BC284+BO284+CA284+CM284+CY284+DK284+DW284+EI284+EU284+FG284+FS284+GE284+GQ284+HC284+I284+U284+AG284+AS284+BE284+BQ284+CC284+CO284+DA284+DM284+DY284+EK284+EW284+FI284+FU284+GG284+GS284+HE284</f>
        <v>963</v>
      </c>
      <c r="HP284" s="94">
        <f t="shared" ref="HP284:HP290" si="1874">+(HO284)/HM284</f>
        <v>0.2881508078994614</v>
      </c>
      <c r="HQ284" s="48">
        <f t="shared" ref="HQ284:HQ291" si="1875">+I284+U284+AG284+AS284+BE284+BQ284+CC284+CO284+DA284+DM284+DY284+EK284+EW284+FI284+FU284+GG284+GS284+HE284</f>
        <v>73</v>
      </c>
      <c r="HR284" s="35">
        <f>+(HQ284/(HO284))</f>
        <v>7.5804776739356178E-2</v>
      </c>
      <c r="HS284" s="49">
        <v>72.2</v>
      </c>
      <c r="HT284" s="50">
        <v>868</v>
      </c>
      <c r="HU284" s="49">
        <f t="shared" ref="HU284:HU290" si="1876">+HT284/HO284*100</f>
        <v>90.134994807891999</v>
      </c>
      <c r="HV284" s="48"/>
      <c r="HW284" s="37"/>
    </row>
    <row r="285" spans="1:231" ht="18.75" x14ac:dyDescent="0.25">
      <c r="A285" s="374"/>
      <c r="B285" s="41">
        <f t="shared" si="1656"/>
        <v>45159</v>
      </c>
      <c r="C285" s="10">
        <v>1</v>
      </c>
      <c r="D285" s="11"/>
      <c r="E285" s="69">
        <f t="shared" ref="E285:F289" si="1877">E284-C285</f>
        <v>588</v>
      </c>
      <c r="F285" s="69">
        <f t="shared" si="1877"/>
        <v>46</v>
      </c>
      <c r="G285" s="11">
        <v>155</v>
      </c>
      <c r="H285" s="12">
        <f t="shared" si="1837"/>
        <v>0.29081632653061223</v>
      </c>
      <c r="I285" s="11">
        <v>16</v>
      </c>
      <c r="J285" s="12">
        <f t="shared" ref="J285:J290" si="1878">I285/(G285+I285)</f>
        <v>9.3567251461988299E-2</v>
      </c>
      <c r="K285" s="13"/>
      <c r="L285" s="11"/>
      <c r="M285" s="11"/>
      <c r="N285" s="14"/>
      <c r="O285" s="10"/>
      <c r="P285" s="11"/>
      <c r="Q285" s="69">
        <f t="shared" ref="Q285:R290" si="1879">Q284-O285</f>
        <v>603</v>
      </c>
      <c r="R285" s="69">
        <f t="shared" si="1879"/>
        <v>47</v>
      </c>
      <c r="S285" s="11">
        <v>176</v>
      </c>
      <c r="T285" s="12">
        <f t="shared" si="1838"/>
        <v>0.31509121061359868</v>
      </c>
      <c r="U285" s="11">
        <v>14</v>
      </c>
      <c r="V285" s="12">
        <f t="shared" si="1839"/>
        <v>7.3684210526315783E-2</v>
      </c>
      <c r="W285" s="13"/>
      <c r="X285" s="11"/>
      <c r="Y285" s="11"/>
      <c r="Z285" s="14"/>
      <c r="AA285" s="10"/>
      <c r="AB285" s="11"/>
      <c r="AC285" s="69">
        <f t="shared" ref="AC285:AD290" si="1880">AC284-AA285</f>
        <v>139</v>
      </c>
      <c r="AD285" s="69">
        <f t="shared" si="1880"/>
        <v>11</v>
      </c>
      <c r="AE285" s="11">
        <v>25</v>
      </c>
      <c r="AF285" s="12">
        <f t="shared" si="1840"/>
        <v>0.17985611510791366</v>
      </c>
      <c r="AG285" s="11">
        <v>0</v>
      </c>
      <c r="AH285" s="12">
        <f t="shared" si="1841"/>
        <v>0</v>
      </c>
      <c r="AI285" s="13"/>
      <c r="AJ285" s="11"/>
      <c r="AK285" s="11"/>
      <c r="AL285" s="14"/>
      <c r="AM285" s="10"/>
      <c r="AN285" s="11"/>
      <c r="AO285" s="69">
        <f t="shared" ref="AO285:AP290" si="1881">AO284-AM285</f>
        <v>672</v>
      </c>
      <c r="AP285" s="69">
        <f t="shared" si="1881"/>
        <v>52</v>
      </c>
      <c r="AQ285" s="11">
        <v>191</v>
      </c>
      <c r="AR285" s="12">
        <f t="shared" si="1842"/>
        <v>0.30208333333333331</v>
      </c>
      <c r="AS285" s="11">
        <v>12</v>
      </c>
      <c r="AT285" s="12">
        <f t="shared" si="1843"/>
        <v>5.9113300492610835E-2</v>
      </c>
      <c r="AU285" s="13"/>
      <c r="AV285" s="11"/>
      <c r="AW285" s="11"/>
      <c r="AX285" s="14"/>
      <c r="AY285" s="10"/>
      <c r="AZ285" s="11"/>
      <c r="BA285" s="69">
        <f t="shared" ref="BA285:BB290" si="1882">BA284-AY285</f>
        <v>672</v>
      </c>
      <c r="BB285" s="69">
        <f t="shared" si="1882"/>
        <v>52</v>
      </c>
      <c r="BC285" s="11">
        <v>189</v>
      </c>
      <c r="BD285" s="12">
        <f t="shared" si="1844"/>
        <v>0.30208333333333331</v>
      </c>
      <c r="BE285" s="11">
        <v>14</v>
      </c>
      <c r="BF285" s="12">
        <f t="shared" si="1845"/>
        <v>6.8965517241379309E-2</v>
      </c>
      <c r="BG285" s="13"/>
      <c r="BH285" s="11"/>
      <c r="BI285" s="11"/>
      <c r="BJ285" s="14"/>
      <c r="BK285" s="10"/>
      <c r="BL285" s="11"/>
      <c r="BM285" s="69">
        <f t="shared" ref="BM285:BN290" si="1883">BM284-BK285</f>
        <v>667</v>
      </c>
      <c r="BN285" s="69">
        <f t="shared" si="1883"/>
        <v>52</v>
      </c>
      <c r="BO285" s="11">
        <v>186</v>
      </c>
      <c r="BP285" s="12">
        <f t="shared" si="1846"/>
        <v>0.29685157421289354</v>
      </c>
      <c r="BQ285" s="11">
        <v>12</v>
      </c>
      <c r="BR285" s="12">
        <f t="shared" si="1847"/>
        <v>6.0606060606060608E-2</v>
      </c>
      <c r="BS285" s="13"/>
      <c r="BT285" s="11"/>
      <c r="BU285" s="11"/>
      <c r="BV285" s="14"/>
      <c r="BW285" s="10"/>
      <c r="BX285" s="11"/>
      <c r="BY285" s="69">
        <f t="shared" ref="BY285:BZ290" si="1884">BY284-BW285</f>
        <v>0</v>
      </c>
      <c r="BZ285" s="69">
        <f t="shared" si="1884"/>
        <v>0</v>
      </c>
      <c r="CA285" s="11"/>
      <c r="CB285" s="12" t="e">
        <f t="shared" si="1848"/>
        <v>#DIV/0!</v>
      </c>
      <c r="CC285" s="11"/>
      <c r="CD285" s="12" t="e">
        <f t="shared" si="1849"/>
        <v>#DIV/0!</v>
      </c>
      <c r="CE285" s="13"/>
      <c r="CF285" s="11"/>
      <c r="CG285" s="11"/>
      <c r="CH285" s="14"/>
      <c r="CI285" s="10"/>
      <c r="CJ285" s="11"/>
      <c r="CK285" s="69">
        <f t="shared" ref="CK285:CL290" si="1885">CK284-CI285</f>
        <v>0</v>
      </c>
      <c r="CL285" s="69">
        <f t="shared" si="1885"/>
        <v>0</v>
      </c>
      <c r="CM285" s="11"/>
      <c r="CN285" s="12" t="e">
        <f t="shared" si="1850"/>
        <v>#DIV/0!</v>
      </c>
      <c r="CO285" s="11"/>
      <c r="CP285" s="12" t="e">
        <f t="shared" si="1851"/>
        <v>#DIV/0!</v>
      </c>
      <c r="CQ285" s="13"/>
      <c r="CR285" s="11"/>
      <c r="CS285" s="11"/>
      <c r="CT285" s="14"/>
      <c r="CU285" s="10"/>
      <c r="CV285" s="11"/>
      <c r="CW285" s="69">
        <f t="shared" ref="CW285:CX290" si="1886">CW284-CU285</f>
        <v>0</v>
      </c>
      <c r="CX285" s="69">
        <f t="shared" si="1886"/>
        <v>0</v>
      </c>
      <c r="CY285" s="11"/>
      <c r="CZ285" s="12" t="e">
        <f t="shared" si="1852"/>
        <v>#DIV/0!</v>
      </c>
      <c r="DA285" s="11"/>
      <c r="DB285" s="12" t="e">
        <f t="shared" si="1853"/>
        <v>#DIV/0!</v>
      </c>
      <c r="DC285" s="13"/>
      <c r="DD285" s="11"/>
      <c r="DE285" s="11"/>
      <c r="DF285" s="14"/>
      <c r="DG285" s="10"/>
      <c r="DH285" s="11"/>
      <c r="DI285" s="69">
        <f t="shared" ref="DI285:DJ290" si="1887">DI284-DG285</f>
        <v>0</v>
      </c>
      <c r="DJ285" s="69">
        <f t="shared" si="1887"/>
        <v>0</v>
      </c>
      <c r="DK285" s="11"/>
      <c r="DL285" s="12" t="e">
        <f t="shared" si="1854"/>
        <v>#DIV/0!</v>
      </c>
      <c r="DM285" s="11"/>
      <c r="DN285" s="12" t="e">
        <f t="shared" si="1855"/>
        <v>#DIV/0!</v>
      </c>
      <c r="DO285" s="13"/>
      <c r="DP285" s="11"/>
      <c r="DQ285" s="11"/>
      <c r="DR285" s="14"/>
      <c r="DS285" s="10"/>
      <c r="DT285" s="11"/>
      <c r="DU285" s="69">
        <f t="shared" ref="DU285:DV290" si="1888">DU284-DS285</f>
        <v>0</v>
      </c>
      <c r="DV285" s="69">
        <f t="shared" si="1888"/>
        <v>0</v>
      </c>
      <c r="DW285" s="11"/>
      <c r="DX285" s="12" t="e">
        <f t="shared" si="1856"/>
        <v>#DIV/0!</v>
      </c>
      <c r="DY285" s="11"/>
      <c r="DZ285" s="12" t="e">
        <f t="shared" si="1857"/>
        <v>#DIV/0!</v>
      </c>
      <c r="EA285" s="13"/>
      <c r="EB285" s="11"/>
      <c r="EC285" s="11"/>
      <c r="ED285" s="14"/>
      <c r="EE285" s="10"/>
      <c r="EF285" s="11"/>
      <c r="EG285" s="69">
        <f t="shared" ref="EG285:EH290" si="1889">EG284-EE285</f>
        <v>0</v>
      </c>
      <c r="EH285" s="69">
        <f t="shared" si="1889"/>
        <v>0</v>
      </c>
      <c r="EI285" s="11"/>
      <c r="EJ285" s="12" t="e">
        <f t="shared" si="1858"/>
        <v>#DIV/0!</v>
      </c>
      <c r="EK285" s="11"/>
      <c r="EL285" s="12" t="e">
        <f t="shared" si="1859"/>
        <v>#DIV/0!</v>
      </c>
      <c r="EM285" s="13"/>
      <c r="EN285" s="11"/>
      <c r="EO285" s="11"/>
      <c r="EP285" s="14"/>
      <c r="EQ285" s="10"/>
      <c r="ER285" s="11"/>
      <c r="ES285" s="69">
        <f t="shared" ref="ES285:ET290" si="1890">ES284-EQ285</f>
        <v>0</v>
      </c>
      <c r="ET285" s="69">
        <f t="shared" si="1890"/>
        <v>0</v>
      </c>
      <c r="EU285" s="11"/>
      <c r="EV285" s="12" t="e">
        <f t="shared" si="1860"/>
        <v>#DIV/0!</v>
      </c>
      <c r="EW285" s="11"/>
      <c r="EX285" s="12" t="e">
        <f t="shared" si="1861"/>
        <v>#DIV/0!</v>
      </c>
      <c r="EY285" s="13"/>
      <c r="EZ285" s="11"/>
      <c r="FA285" s="11"/>
      <c r="FB285" s="14"/>
      <c r="FC285" s="10"/>
      <c r="FD285" s="11"/>
      <c r="FE285" s="69">
        <f t="shared" ref="FE285:FF290" si="1891">FE284-FC285</f>
        <v>0</v>
      </c>
      <c r="FF285" s="69">
        <f t="shared" si="1891"/>
        <v>0</v>
      </c>
      <c r="FG285" s="11"/>
      <c r="FH285" s="12" t="e">
        <f t="shared" si="1862"/>
        <v>#DIV/0!</v>
      </c>
      <c r="FI285" s="11"/>
      <c r="FJ285" s="12" t="e">
        <f t="shared" si="1863"/>
        <v>#DIV/0!</v>
      </c>
      <c r="FK285" s="13"/>
      <c r="FL285" s="11"/>
      <c r="FM285" s="11"/>
      <c r="FN285" s="14"/>
      <c r="FO285" s="10"/>
      <c r="FP285" s="11"/>
      <c r="FQ285" s="69">
        <f t="shared" ref="FQ285:FR290" si="1892">FQ284-FO285</f>
        <v>0</v>
      </c>
      <c r="FR285" s="69">
        <f t="shared" si="1892"/>
        <v>0</v>
      </c>
      <c r="FS285" s="11"/>
      <c r="FT285" s="12" t="e">
        <f t="shared" si="1864"/>
        <v>#DIV/0!</v>
      </c>
      <c r="FU285" s="11"/>
      <c r="FV285" s="12" t="e">
        <f t="shared" si="1865"/>
        <v>#DIV/0!</v>
      </c>
      <c r="FW285" s="13"/>
      <c r="FX285" s="11"/>
      <c r="FY285" s="11"/>
      <c r="FZ285" s="14"/>
      <c r="GA285" s="10"/>
      <c r="GB285" s="11"/>
      <c r="GC285" s="69">
        <f t="shared" ref="GC285:GD290" si="1893">GC284-GA285</f>
        <v>0</v>
      </c>
      <c r="GD285" s="69">
        <f t="shared" si="1893"/>
        <v>0</v>
      </c>
      <c r="GE285" s="11"/>
      <c r="GF285" s="12" t="e">
        <f t="shared" si="1866"/>
        <v>#DIV/0!</v>
      </c>
      <c r="GG285" s="11"/>
      <c r="GH285" s="12" t="e">
        <f t="shared" si="1867"/>
        <v>#DIV/0!</v>
      </c>
      <c r="GI285" s="13"/>
      <c r="GJ285" s="11"/>
      <c r="GK285" s="11"/>
      <c r="GL285" s="14"/>
      <c r="GM285" s="10"/>
      <c r="GN285" s="11"/>
      <c r="GO285" s="69">
        <f t="shared" ref="GO285:GP290" si="1894">GO284-GM285</f>
        <v>0</v>
      </c>
      <c r="GP285" s="69">
        <f t="shared" si="1894"/>
        <v>0</v>
      </c>
      <c r="GQ285" s="11"/>
      <c r="GR285" s="12" t="e">
        <f t="shared" si="1868"/>
        <v>#DIV/0!</v>
      </c>
      <c r="GS285" s="11"/>
      <c r="GT285" s="12" t="e">
        <f t="shared" si="1869"/>
        <v>#DIV/0!</v>
      </c>
      <c r="GU285" s="13"/>
      <c r="GV285" s="11"/>
      <c r="GW285" s="11"/>
      <c r="GX285" s="14"/>
      <c r="GY285" s="10"/>
      <c r="GZ285" s="11"/>
      <c r="HA285" s="69">
        <f t="shared" ref="HA285:HB290" si="1895">HA284-GY285</f>
        <v>0</v>
      </c>
      <c r="HB285" s="69">
        <f t="shared" si="1895"/>
        <v>0</v>
      </c>
      <c r="HC285" s="11"/>
      <c r="HD285" s="12" t="e">
        <f t="shared" si="1870"/>
        <v>#DIV/0!</v>
      </c>
      <c r="HE285" s="11"/>
      <c r="HF285" s="12" t="e">
        <f t="shared" si="1871"/>
        <v>#DIV/0!</v>
      </c>
      <c r="HG285" s="13"/>
      <c r="HH285" s="11"/>
      <c r="HI285" s="11"/>
      <c r="HJ285" s="14"/>
      <c r="HK285" s="10">
        <f t="shared" si="1872"/>
        <v>1</v>
      </c>
      <c r="HL285" s="11">
        <f t="shared" si="1872"/>
        <v>0</v>
      </c>
      <c r="HM285" s="11">
        <f t="shared" si="1872"/>
        <v>3341</v>
      </c>
      <c r="HN285" s="11">
        <f t="shared" si="1872"/>
        <v>260</v>
      </c>
      <c r="HO285" s="11">
        <f t="shared" si="1873"/>
        <v>990</v>
      </c>
      <c r="HP285" s="95">
        <f t="shared" si="1874"/>
        <v>0.29631846752469321</v>
      </c>
      <c r="HQ285" s="15">
        <f t="shared" si="1875"/>
        <v>68</v>
      </c>
      <c r="HR285" s="12">
        <f t="shared" ref="HR285:HR291" si="1896">+(HQ285/(HO285))</f>
        <v>6.8686868686868685E-2</v>
      </c>
      <c r="HS285" s="16">
        <v>72.3</v>
      </c>
      <c r="HT285" s="17">
        <v>900</v>
      </c>
      <c r="HU285" s="16">
        <f t="shared" si="1876"/>
        <v>90.909090909090907</v>
      </c>
      <c r="HV285" s="15"/>
      <c r="HW285" s="14"/>
    </row>
    <row r="286" spans="1:231" ht="18.75" x14ac:dyDescent="0.25">
      <c r="A286" s="374"/>
      <c r="B286" s="41">
        <f t="shared" si="1656"/>
        <v>45160</v>
      </c>
      <c r="C286" s="10"/>
      <c r="D286" s="11">
        <v>1</v>
      </c>
      <c r="E286" s="69">
        <f t="shared" si="1877"/>
        <v>588</v>
      </c>
      <c r="F286" s="69">
        <f t="shared" si="1877"/>
        <v>45</v>
      </c>
      <c r="G286" s="11">
        <v>175</v>
      </c>
      <c r="H286" s="12">
        <f t="shared" si="1837"/>
        <v>0.32142857142857145</v>
      </c>
      <c r="I286" s="11">
        <v>14</v>
      </c>
      <c r="J286" s="12">
        <f t="shared" si="1878"/>
        <v>7.407407407407407E-2</v>
      </c>
      <c r="K286" s="13"/>
      <c r="L286" s="11"/>
      <c r="M286" s="11"/>
      <c r="N286" s="14"/>
      <c r="O286" s="10"/>
      <c r="P286" s="11"/>
      <c r="Q286" s="69">
        <f t="shared" si="1879"/>
        <v>603</v>
      </c>
      <c r="R286" s="69">
        <f t="shared" si="1879"/>
        <v>47</v>
      </c>
      <c r="S286" s="11">
        <v>175</v>
      </c>
      <c r="T286" s="12">
        <f t="shared" si="1838"/>
        <v>0.32006633499170811</v>
      </c>
      <c r="U286" s="11">
        <v>18</v>
      </c>
      <c r="V286" s="12">
        <f t="shared" si="1839"/>
        <v>9.3264248704663211E-2</v>
      </c>
      <c r="W286" s="13"/>
      <c r="X286" s="11"/>
      <c r="Y286" s="11"/>
      <c r="Z286" s="14"/>
      <c r="AA286" s="10"/>
      <c r="AB286" s="11"/>
      <c r="AC286" s="69">
        <f t="shared" si="1880"/>
        <v>139</v>
      </c>
      <c r="AD286" s="69">
        <f t="shared" si="1880"/>
        <v>11</v>
      </c>
      <c r="AE286" s="11">
        <v>25</v>
      </c>
      <c r="AF286" s="12">
        <f t="shared" si="1840"/>
        <v>0.20143884892086331</v>
      </c>
      <c r="AG286" s="11">
        <v>3</v>
      </c>
      <c r="AH286" s="12">
        <f t="shared" si="1841"/>
        <v>0.10714285714285714</v>
      </c>
      <c r="AI286" s="13"/>
      <c r="AJ286" s="11"/>
      <c r="AK286" s="11"/>
      <c r="AL286" s="14"/>
      <c r="AM286" s="10"/>
      <c r="AN286" s="11"/>
      <c r="AO286" s="69">
        <f t="shared" si="1881"/>
        <v>672</v>
      </c>
      <c r="AP286" s="69">
        <f t="shared" si="1881"/>
        <v>52</v>
      </c>
      <c r="AQ286" s="11">
        <v>176</v>
      </c>
      <c r="AR286" s="12">
        <f t="shared" si="1842"/>
        <v>0.27827380952380953</v>
      </c>
      <c r="AS286" s="11">
        <v>11</v>
      </c>
      <c r="AT286" s="12">
        <f t="shared" si="1843"/>
        <v>5.8823529411764705E-2</v>
      </c>
      <c r="AU286" s="13"/>
      <c r="AV286" s="11"/>
      <c r="AW286" s="11"/>
      <c r="AX286" s="14"/>
      <c r="AY286" s="10">
        <v>1</v>
      </c>
      <c r="AZ286" s="11"/>
      <c r="BA286" s="69">
        <f t="shared" si="1882"/>
        <v>671</v>
      </c>
      <c r="BB286" s="69">
        <f t="shared" si="1882"/>
        <v>52</v>
      </c>
      <c r="BC286" s="11">
        <v>177</v>
      </c>
      <c r="BD286" s="12">
        <f t="shared" si="1844"/>
        <v>0.29359165424739198</v>
      </c>
      <c r="BE286" s="11">
        <v>20</v>
      </c>
      <c r="BF286" s="12">
        <f t="shared" si="1845"/>
        <v>0.10152284263959391</v>
      </c>
      <c r="BG286" s="13"/>
      <c r="BH286" s="11"/>
      <c r="BI286" s="11"/>
      <c r="BJ286" s="14"/>
      <c r="BK286" s="10"/>
      <c r="BL286" s="11"/>
      <c r="BM286" s="69">
        <f t="shared" si="1883"/>
        <v>667</v>
      </c>
      <c r="BN286" s="69">
        <f t="shared" si="1883"/>
        <v>52</v>
      </c>
      <c r="BO286" s="11">
        <v>183</v>
      </c>
      <c r="BP286" s="12">
        <f t="shared" si="1846"/>
        <v>0.29085457271364318</v>
      </c>
      <c r="BQ286" s="11">
        <v>11</v>
      </c>
      <c r="BR286" s="12">
        <f t="shared" si="1847"/>
        <v>5.6701030927835051E-2</v>
      </c>
      <c r="BS286" s="13"/>
      <c r="BT286" s="11"/>
      <c r="BU286" s="11"/>
      <c r="BV286" s="14"/>
      <c r="BW286" s="10"/>
      <c r="BX286" s="11"/>
      <c r="BY286" s="69">
        <f t="shared" si="1884"/>
        <v>0</v>
      </c>
      <c r="BZ286" s="69">
        <f t="shared" si="1884"/>
        <v>0</v>
      </c>
      <c r="CA286" s="11"/>
      <c r="CB286" s="12" t="e">
        <f t="shared" si="1848"/>
        <v>#DIV/0!</v>
      </c>
      <c r="CC286" s="11"/>
      <c r="CD286" s="12" t="e">
        <f t="shared" si="1849"/>
        <v>#DIV/0!</v>
      </c>
      <c r="CE286" s="13"/>
      <c r="CF286" s="11"/>
      <c r="CG286" s="11"/>
      <c r="CH286" s="14"/>
      <c r="CI286" s="10"/>
      <c r="CJ286" s="11"/>
      <c r="CK286" s="69">
        <f t="shared" si="1885"/>
        <v>0</v>
      </c>
      <c r="CL286" s="69">
        <f t="shared" si="1885"/>
        <v>0</v>
      </c>
      <c r="CM286" s="11"/>
      <c r="CN286" s="12" t="e">
        <f t="shared" si="1850"/>
        <v>#DIV/0!</v>
      </c>
      <c r="CO286" s="11"/>
      <c r="CP286" s="12" t="e">
        <f t="shared" si="1851"/>
        <v>#DIV/0!</v>
      </c>
      <c r="CQ286" s="13"/>
      <c r="CR286" s="11"/>
      <c r="CS286" s="11"/>
      <c r="CT286" s="14"/>
      <c r="CU286" s="10"/>
      <c r="CV286" s="11"/>
      <c r="CW286" s="69">
        <f t="shared" si="1886"/>
        <v>0</v>
      </c>
      <c r="CX286" s="69">
        <f t="shared" si="1886"/>
        <v>0</v>
      </c>
      <c r="CY286" s="11"/>
      <c r="CZ286" s="12" t="e">
        <f t="shared" si="1852"/>
        <v>#DIV/0!</v>
      </c>
      <c r="DA286" s="11"/>
      <c r="DB286" s="12" t="e">
        <f t="shared" si="1853"/>
        <v>#DIV/0!</v>
      </c>
      <c r="DC286" s="13"/>
      <c r="DD286" s="11"/>
      <c r="DE286" s="11"/>
      <c r="DF286" s="14"/>
      <c r="DG286" s="10"/>
      <c r="DH286" s="11"/>
      <c r="DI286" s="69">
        <f t="shared" si="1887"/>
        <v>0</v>
      </c>
      <c r="DJ286" s="69">
        <f t="shared" si="1887"/>
        <v>0</v>
      </c>
      <c r="DK286" s="11"/>
      <c r="DL286" s="12" t="e">
        <f t="shared" si="1854"/>
        <v>#DIV/0!</v>
      </c>
      <c r="DM286" s="11"/>
      <c r="DN286" s="12" t="e">
        <f t="shared" si="1855"/>
        <v>#DIV/0!</v>
      </c>
      <c r="DO286" s="13"/>
      <c r="DP286" s="11"/>
      <c r="DQ286" s="11"/>
      <c r="DR286" s="14"/>
      <c r="DS286" s="10"/>
      <c r="DT286" s="11"/>
      <c r="DU286" s="69">
        <f t="shared" si="1888"/>
        <v>0</v>
      </c>
      <c r="DV286" s="69">
        <f t="shared" si="1888"/>
        <v>0</v>
      </c>
      <c r="DW286" s="11"/>
      <c r="DX286" s="12" t="e">
        <f t="shared" si="1856"/>
        <v>#DIV/0!</v>
      </c>
      <c r="DY286" s="11"/>
      <c r="DZ286" s="12" t="e">
        <f t="shared" si="1857"/>
        <v>#DIV/0!</v>
      </c>
      <c r="EA286" s="13"/>
      <c r="EB286" s="11"/>
      <c r="EC286" s="11"/>
      <c r="ED286" s="14"/>
      <c r="EE286" s="10"/>
      <c r="EF286" s="11"/>
      <c r="EG286" s="69">
        <f t="shared" si="1889"/>
        <v>0</v>
      </c>
      <c r="EH286" s="69">
        <f t="shared" si="1889"/>
        <v>0</v>
      </c>
      <c r="EI286" s="11"/>
      <c r="EJ286" s="12" t="e">
        <f t="shared" si="1858"/>
        <v>#DIV/0!</v>
      </c>
      <c r="EK286" s="11"/>
      <c r="EL286" s="12" t="e">
        <f t="shared" si="1859"/>
        <v>#DIV/0!</v>
      </c>
      <c r="EM286" s="13"/>
      <c r="EN286" s="11"/>
      <c r="EO286" s="11"/>
      <c r="EP286" s="14"/>
      <c r="EQ286" s="10"/>
      <c r="ER286" s="11"/>
      <c r="ES286" s="69">
        <f t="shared" si="1890"/>
        <v>0</v>
      </c>
      <c r="ET286" s="69">
        <f t="shared" si="1890"/>
        <v>0</v>
      </c>
      <c r="EU286" s="11"/>
      <c r="EV286" s="12" t="e">
        <f t="shared" si="1860"/>
        <v>#DIV/0!</v>
      </c>
      <c r="EW286" s="11"/>
      <c r="EX286" s="12" t="e">
        <f t="shared" si="1861"/>
        <v>#DIV/0!</v>
      </c>
      <c r="EY286" s="13"/>
      <c r="EZ286" s="11"/>
      <c r="FA286" s="11"/>
      <c r="FB286" s="14"/>
      <c r="FC286" s="10"/>
      <c r="FD286" s="11"/>
      <c r="FE286" s="69">
        <f t="shared" si="1891"/>
        <v>0</v>
      </c>
      <c r="FF286" s="69">
        <f t="shared" si="1891"/>
        <v>0</v>
      </c>
      <c r="FG286" s="11"/>
      <c r="FH286" s="12" t="e">
        <f t="shared" si="1862"/>
        <v>#DIV/0!</v>
      </c>
      <c r="FI286" s="11"/>
      <c r="FJ286" s="12" t="e">
        <f t="shared" si="1863"/>
        <v>#DIV/0!</v>
      </c>
      <c r="FK286" s="13"/>
      <c r="FL286" s="11"/>
      <c r="FM286" s="11"/>
      <c r="FN286" s="14"/>
      <c r="FO286" s="10"/>
      <c r="FP286" s="11"/>
      <c r="FQ286" s="69">
        <f t="shared" si="1892"/>
        <v>0</v>
      </c>
      <c r="FR286" s="69">
        <f t="shared" si="1892"/>
        <v>0</v>
      </c>
      <c r="FS286" s="11"/>
      <c r="FT286" s="12" t="e">
        <f t="shared" si="1864"/>
        <v>#DIV/0!</v>
      </c>
      <c r="FU286" s="11"/>
      <c r="FV286" s="12" t="e">
        <f t="shared" si="1865"/>
        <v>#DIV/0!</v>
      </c>
      <c r="FW286" s="13"/>
      <c r="FX286" s="11"/>
      <c r="FY286" s="11"/>
      <c r="FZ286" s="14"/>
      <c r="GA286" s="10"/>
      <c r="GB286" s="11"/>
      <c r="GC286" s="69">
        <f t="shared" si="1893"/>
        <v>0</v>
      </c>
      <c r="GD286" s="69">
        <f t="shared" si="1893"/>
        <v>0</v>
      </c>
      <c r="GE286" s="11"/>
      <c r="GF286" s="12" t="e">
        <f t="shared" si="1866"/>
        <v>#DIV/0!</v>
      </c>
      <c r="GG286" s="11"/>
      <c r="GH286" s="12" t="e">
        <f t="shared" si="1867"/>
        <v>#DIV/0!</v>
      </c>
      <c r="GI286" s="13"/>
      <c r="GJ286" s="11"/>
      <c r="GK286" s="11"/>
      <c r="GL286" s="14"/>
      <c r="GM286" s="10"/>
      <c r="GN286" s="11"/>
      <c r="GO286" s="69">
        <f t="shared" si="1894"/>
        <v>0</v>
      </c>
      <c r="GP286" s="69">
        <f t="shared" si="1894"/>
        <v>0</v>
      </c>
      <c r="GQ286" s="11"/>
      <c r="GR286" s="12" t="e">
        <f t="shared" si="1868"/>
        <v>#DIV/0!</v>
      </c>
      <c r="GS286" s="11"/>
      <c r="GT286" s="12" t="e">
        <f t="shared" si="1869"/>
        <v>#DIV/0!</v>
      </c>
      <c r="GU286" s="13"/>
      <c r="GV286" s="11"/>
      <c r="GW286" s="11"/>
      <c r="GX286" s="14"/>
      <c r="GY286" s="10"/>
      <c r="GZ286" s="11"/>
      <c r="HA286" s="69">
        <f t="shared" si="1895"/>
        <v>0</v>
      </c>
      <c r="HB286" s="69">
        <f t="shared" si="1895"/>
        <v>0</v>
      </c>
      <c r="HC286" s="11"/>
      <c r="HD286" s="12" t="e">
        <f t="shared" si="1870"/>
        <v>#DIV/0!</v>
      </c>
      <c r="HE286" s="11"/>
      <c r="HF286" s="12" t="e">
        <f t="shared" si="1871"/>
        <v>#DIV/0!</v>
      </c>
      <c r="HG286" s="13"/>
      <c r="HH286" s="11"/>
      <c r="HI286" s="11"/>
      <c r="HJ286" s="14"/>
      <c r="HK286" s="10">
        <f t="shared" si="1872"/>
        <v>1</v>
      </c>
      <c r="HL286" s="11">
        <f t="shared" si="1872"/>
        <v>1</v>
      </c>
      <c r="HM286" s="11">
        <f t="shared" si="1872"/>
        <v>3340</v>
      </c>
      <c r="HN286" s="11">
        <f t="shared" si="1872"/>
        <v>259</v>
      </c>
      <c r="HO286" s="11">
        <f t="shared" si="1873"/>
        <v>988</v>
      </c>
      <c r="HP286" s="95">
        <f t="shared" si="1874"/>
        <v>0.29580838323353292</v>
      </c>
      <c r="HQ286" s="15">
        <f t="shared" si="1875"/>
        <v>77</v>
      </c>
      <c r="HR286" s="12">
        <f t="shared" si="1896"/>
        <v>7.7935222672064777E-2</v>
      </c>
      <c r="HS286" s="16">
        <v>72.400000000000006</v>
      </c>
      <c r="HT286" s="17">
        <v>884</v>
      </c>
      <c r="HU286" s="16">
        <f t="shared" si="1876"/>
        <v>89.473684210526315</v>
      </c>
      <c r="HV286" s="15"/>
      <c r="HW286" s="14"/>
    </row>
    <row r="287" spans="1:231" ht="18.75" x14ac:dyDescent="0.25">
      <c r="A287" s="374"/>
      <c r="B287" s="41">
        <f t="shared" si="1656"/>
        <v>45161</v>
      </c>
      <c r="C287" s="10"/>
      <c r="D287" s="11"/>
      <c r="E287" s="69">
        <f t="shared" si="1877"/>
        <v>588</v>
      </c>
      <c r="F287" s="69">
        <f t="shared" si="1877"/>
        <v>45</v>
      </c>
      <c r="G287" s="11">
        <v>152</v>
      </c>
      <c r="H287" s="12">
        <f t="shared" si="1837"/>
        <v>0.29251700680272108</v>
      </c>
      <c r="I287" s="11">
        <v>20</v>
      </c>
      <c r="J287" s="12">
        <f t="shared" si="1878"/>
        <v>0.11627906976744186</v>
      </c>
      <c r="K287" s="11"/>
      <c r="L287" s="11"/>
      <c r="M287" s="18"/>
      <c r="N287" s="20"/>
      <c r="O287" s="10"/>
      <c r="P287" s="11"/>
      <c r="Q287" s="69">
        <f t="shared" si="1879"/>
        <v>603</v>
      </c>
      <c r="R287" s="69">
        <f t="shared" si="1879"/>
        <v>47</v>
      </c>
      <c r="S287" s="11">
        <v>186</v>
      </c>
      <c r="T287" s="12">
        <f t="shared" si="1838"/>
        <v>0.33001658374792703</v>
      </c>
      <c r="U287" s="11">
        <v>13</v>
      </c>
      <c r="V287" s="12">
        <f t="shared" si="1839"/>
        <v>6.5326633165829151E-2</v>
      </c>
      <c r="W287" s="11"/>
      <c r="X287" s="11"/>
      <c r="Y287" s="18"/>
      <c r="Z287" s="20"/>
      <c r="AA287" s="10"/>
      <c r="AB287" s="11"/>
      <c r="AC287" s="69">
        <f t="shared" si="1880"/>
        <v>139</v>
      </c>
      <c r="AD287" s="69">
        <f t="shared" si="1880"/>
        <v>11</v>
      </c>
      <c r="AE287" s="11">
        <v>22</v>
      </c>
      <c r="AF287" s="12">
        <f t="shared" si="1840"/>
        <v>0.15827338129496402</v>
      </c>
      <c r="AG287" s="11">
        <v>0</v>
      </c>
      <c r="AH287" s="12">
        <f t="shared" si="1841"/>
        <v>0</v>
      </c>
      <c r="AI287" s="11"/>
      <c r="AJ287" s="11"/>
      <c r="AK287" s="18"/>
      <c r="AL287" s="20"/>
      <c r="AM287" s="10"/>
      <c r="AN287" s="11"/>
      <c r="AO287" s="69">
        <f t="shared" si="1881"/>
        <v>672</v>
      </c>
      <c r="AP287" s="69">
        <f t="shared" si="1881"/>
        <v>52</v>
      </c>
      <c r="AQ287" s="11">
        <v>166</v>
      </c>
      <c r="AR287" s="12">
        <f t="shared" si="1842"/>
        <v>0.26041666666666669</v>
      </c>
      <c r="AS287" s="11">
        <v>9</v>
      </c>
      <c r="AT287" s="12">
        <f t="shared" si="1843"/>
        <v>5.1428571428571428E-2</v>
      </c>
      <c r="AU287" s="11"/>
      <c r="AV287" s="11"/>
      <c r="AW287" s="18"/>
      <c r="AX287" s="20"/>
      <c r="AY287" s="10"/>
      <c r="AZ287" s="11"/>
      <c r="BA287" s="69">
        <f t="shared" si="1882"/>
        <v>671</v>
      </c>
      <c r="BB287" s="69">
        <f t="shared" si="1882"/>
        <v>52</v>
      </c>
      <c r="BC287" s="11">
        <v>187</v>
      </c>
      <c r="BD287" s="12">
        <f t="shared" si="1844"/>
        <v>0.29359165424739198</v>
      </c>
      <c r="BE287" s="11">
        <v>10</v>
      </c>
      <c r="BF287" s="12">
        <f t="shared" si="1845"/>
        <v>5.0761421319796954E-2</v>
      </c>
      <c r="BG287" s="11"/>
      <c r="BH287" s="11"/>
      <c r="BI287" s="18"/>
      <c r="BJ287" s="20"/>
      <c r="BK287" s="10"/>
      <c r="BL287" s="11"/>
      <c r="BM287" s="69">
        <f t="shared" si="1883"/>
        <v>667</v>
      </c>
      <c r="BN287" s="69">
        <f t="shared" si="1883"/>
        <v>52</v>
      </c>
      <c r="BO287" s="11">
        <v>164</v>
      </c>
      <c r="BP287" s="12">
        <f t="shared" si="1846"/>
        <v>0.26536731634182908</v>
      </c>
      <c r="BQ287" s="11">
        <v>13</v>
      </c>
      <c r="BR287" s="12">
        <f t="shared" si="1847"/>
        <v>7.3446327683615822E-2</v>
      </c>
      <c r="BS287" s="11"/>
      <c r="BT287" s="11"/>
      <c r="BU287" s="18"/>
      <c r="BV287" s="20"/>
      <c r="BW287" s="10"/>
      <c r="BX287" s="11"/>
      <c r="BY287" s="69">
        <f t="shared" si="1884"/>
        <v>0</v>
      </c>
      <c r="BZ287" s="69">
        <f t="shared" si="1884"/>
        <v>0</v>
      </c>
      <c r="CA287" s="11"/>
      <c r="CB287" s="12" t="e">
        <f t="shared" si="1848"/>
        <v>#DIV/0!</v>
      </c>
      <c r="CC287" s="11"/>
      <c r="CD287" s="12" t="e">
        <f t="shared" si="1849"/>
        <v>#DIV/0!</v>
      </c>
      <c r="CE287" s="11"/>
      <c r="CF287" s="11"/>
      <c r="CG287" s="18"/>
      <c r="CH287" s="20"/>
      <c r="CI287" s="10"/>
      <c r="CJ287" s="11"/>
      <c r="CK287" s="69">
        <f t="shared" si="1885"/>
        <v>0</v>
      </c>
      <c r="CL287" s="69">
        <f t="shared" si="1885"/>
        <v>0</v>
      </c>
      <c r="CM287" s="11"/>
      <c r="CN287" s="12" t="e">
        <f t="shared" si="1850"/>
        <v>#DIV/0!</v>
      </c>
      <c r="CO287" s="11"/>
      <c r="CP287" s="12" t="e">
        <f t="shared" si="1851"/>
        <v>#DIV/0!</v>
      </c>
      <c r="CQ287" s="11"/>
      <c r="CR287" s="11"/>
      <c r="CS287" s="18"/>
      <c r="CT287" s="20"/>
      <c r="CU287" s="10"/>
      <c r="CV287" s="11"/>
      <c r="CW287" s="69">
        <f t="shared" si="1886"/>
        <v>0</v>
      </c>
      <c r="CX287" s="69">
        <f t="shared" si="1886"/>
        <v>0</v>
      </c>
      <c r="CY287" s="11"/>
      <c r="CZ287" s="12" t="e">
        <f t="shared" si="1852"/>
        <v>#DIV/0!</v>
      </c>
      <c r="DA287" s="11"/>
      <c r="DB287" s="12" t="e">
        <f t="shared" si="1853"/>
        <v>#DIV/0!</v>
      </c>
      <c r="DC287" s="11"/>
      <c r="DD287" s="11"/>
      <c r="DE287" s="18"/>
      <c r="DF287" s="20"/>
      <c r="DG287" s="10"/>
      <c r="DH287" s="11"/>
      <c r="DI287" s="69">
        <f t="shared" si="1887"/>
        <v>0</v>
      </c>
      <c r="DJ287" s="69">
        <f t="shared" si="1887"/>
        <v>0</v>
      </c>
      <c r="DK287" s="11"/>
      <c r="DL287" s="12" t="e">
        <f t="shared" si="1854"/>
        <v>#DIV/0!</v>
      </c>
      <c r="DM287" s="11"/>
      <c r="DN287" s="12" t="e">
        <f t="shared" si="1855"/>
        <v>#DIV/0!</v>
      </c>
      <c r="DO287" s="11"/>
      <c r="DP287" s="11"/>
      <c r="DQ287" s="18"/>
      <c r="DR287" s="20"/>
      <c r="DS287" s="10"/>
      <c r="DT287" s="11"/>
      <c r="DU287" s="69">
        <f t="shared" si="1888"/>
        <v>0</v>
      </c>
      <c r="DV287" s="69">
        <f t="shared" si="1888"/>
        <v>0</v>
      </c>
      <c r="DW287" s="11"/>
      <c r="DX287" s="12" t="e">
        <f t="shared" si="1856"/>
        <v>#DIV/0!</v>
      </c>
      <c r="DY287" s="11"/>
      <c r="DZ287" s="12" t="e">
        <f t="shared" si="1857"/>
        <v>#DIV/0!</v>
      </c>
      <c r="EA287" s="11"/>
      <c r="EB287" s="11"/>
      <c r="EC287" s="18"/>
      <c r="ED287" s="20"/>
      <c r="EE287" s="10"/>
      <c r="EF287" s="11"/>
      <c r="EG287" s="69">
        <f t="shared" si="1889"/>
        <v>0</v>
      </c>
      <c r="EH287" s="69">
        <f t="shared" si="1889"/>
        <v>0</v>
      </c>
      <c r="EI287" s="11"/>
      <c r="EJ287" s="12" t="e">
        <f t="shared" si="1858"/>
        <v>#DIV/0!</v>
      </c>
      <c r="EK287" s="11"/>
      <c r="EL287" s="12" t="e">
        <f t="shared" si="1859"/>
        <v>#DIV/0!</v>
      </c>
      <c r="EM287" s="11"/>
      <c r="EN287" s="11"/>
      <c r="EO287" s="18"/>
      <c r="EP287" s="20"/>
      <c r="EQ287" s="10"/>
      <c r="ER287" s="11"/>
      <c r="ES287" s="69">
        <f t="shared" si="1890"/>
        <v>0</v>
      </c>
      <c r="ET287" s="69">
        <f t="shared" si="1890"/>
        <v>0</v>
      </c>
      <c r="EU287" s="11"/>
      <c r="EV287" s="12" t="e">
        <f t="shared" si="1860"/>
        <v>#DIV/0!</v>
      </c>
      <c r="EW287" s="11"/>
      <c r="EX287" s="12" t="e">
        <f t="shared" si="1861"/>
        <v>#DIV/0!</v>
      </c>
      <c r="EY287" s="11"/>
      <c r="EZ287" s="11"/>
      <c r="FA287" s="18"/>
      <c r="FB287" s="20"/>
      <c r="FC287" s="10"/>
      <c r="FD287" s="11"/>
      <c r="FE287" s="69">
        <f t="shared" si="1891"/>
        <v>0</v>
      </c>
      <c r="FF287" s="69">
        <f t="shared" si="1891"/>
        <v>0</v>
      </c>
      <c r="FG287" s="11"/>
      <c r="FH287" s="12" t="e">
        <f t="shared" si="1862"/>
        <v>#DIV/0!</v>
      </c>
      <c r="FI287" s="11"/>
      <c r="FJ287" s="12" t="e">
        <f t="shared" si="1863"/>
        <v>#DIV/0!</v>
      </c>
      <c r="FK287" s="11"/>
      <c r="FL287" s="11"/>
      <c r="FM287" s="18"/>
      <c r="FN287" s="20"/>
      <c r="FO287" s="10"/>
      <c r="FP287" s="11"/>
      <c r="FQ287" s="69">
        <f t="shared" si="1892"/>
        <v>0</v>
      </c>
      <c r="FR287" s="69">
        <f t="shared" si="1892"/>
        <v>0</v>
      </c>
      <c r="FS287" s="11"/>
      <c r="FT287" s="12" t="e">
        <f t="shared" si="1864"/>
        <v>#DIV/0!</v>
      </c>
      <c r="FU287" s="11"/>
      <c r="FV287" s="12" t="e">
        <f t="shared" si="1865"/>
        <v>#DIV/0!</v>
      </c>
      <c r="FW287" s="11"/>
      <c r="FX287" s="11"/>
      <c r="FY287" s="18"/>
      <c r="FZ287" s="20"/>
      <c r="GA287" s="10"/>
      <c r="GB287" s="11"/>
      <c r="GC287" s="69">
        <f t="shared" si="1893"/>
        <v>0</v>
      </c>
      <c r="GD287" s="69">
        <f t="shared" si="1893"/>
        <v>0</v>
      </c>
      <c r="GE287" s="11"/>
      <c r="GF287" s="12" t="e">
        <f t="shared" si="1866"/>
        <v>#DIV/0!</v>
      </c>
      <c r="GG287" s="11"/>
      <c r="GH287" s="12" t="e">
        <f t="shared" si="1867"/>
        <v>#DIV/0!</v>
      </c>
      <c r="GI287" s="11"/>
      <c r="GJ287" s="11"/>
      <c r="GK287" s="18"/>
      <c r="GL287" s="20"/>
      <c r="GM287" s="10"/>
      <c r="GN287" s="11"/>
      <c r="GO287" s="69">
        <f t="shared" si="1894"/>
        <v>0</v>
      </c>
      <c r="GP287" s="69">
        <f t="shared" si="1894"/>
        <v>0</v>
      </c>
      <c r="GQ287" s="11"/>
      <c r="GR287" s="12" t="e">
        <f t="shared" si="1868"/>
        <v>#DIV/0!</v>
      </c>
      <c r="GS287" s="11"/>
      <c r="GT287" s="12" t="e">
        <f t="shared" si="1869"/>
        <v>#DIV/0!</v>
      </c>
      <c r="GU287" s="11"/>
      <c r="GV287" s="11"/>
      <c r="GW287" s="18"/>
      <c r="GX287" s="20"/>
      <c r="GY287" s="10"/>
      <c r="GZ287" s="11"/>
      <c r="HA287" s="69">
        <f t="shared" si="1895"/>
        <v>0</v>
      </c>
      <c r="HB287" s="69">
        <f t="shared" si="1895"/>
        <v>0</v>
      </c>
      <c r="HC287" s="11"/>
      <c r="HD287" s="12" t="e">
        <f t="shared" si="1870"/>
        <v>#DIV/0!</v>
      </c>
      <c r="HE287" s="11"/>
      <c r="HF287" s="12" t="e">
        <f t="shared" si="1871"/>
        <v>#DIV/0!</v>
      </c>
      <c r="HG287" s="11"/>
      <c r="HH287" s="11"/>
      <c r="HI287" s="18"/>
      <c r="HJ287" s="20"/>
      <c r="HK287" s="10">
        <f t="shared" si="1872"/>
        <v>0</v>
      </c>
      <c r="HL287" s="11">
        <f t="shared" si="1872"/>
        <v>0</v>
      </c>
      <c r="HM287" s="11">
        <f t="shared" si="1872"/>
        <v>3340</v>
      </c>
      <c r="HN287" s="11">
        <f t="shared" si="1872"/>
        <v>259</v>
      </c>
      <c r="HO287" s="11">
        <f t="shared" si="1873"/>
        <v>942</v>
      </c>
      <c r="HP287" s="95">
        <f t="shared" si="1874"/>
        <v>0.28203592814371259</v>
      </c>
      <c r="HQ287" s="15">
        <f t="shared" si="1875"/>
        <v>65</v>
      </c>
      <c r="HR287" s="12">
        <f t="shared" si="1896"/>
        <v>6.9002123142250529E-2</v>
      </c>
      <c r="HS287" s="16">
        <v>71.7</v>
      </c>
      <c r="HT287" s="17">
        <v>845</v>
      </c>
      <c r="HU287" s="16">
        <f t="shared" si="1876"/>
        <v>89.702760084925686</v>
      </c>
      <c r="HV287" s="18"/>
      <c r="HW287" s="20"/>
    </row>
    <row r="288" spans="1:231" ht="18.75" x14ac:dyDescent="0.25">
      <c r="A288" s="374"/>
      <c r="B288" s="41">
        <f t="shared" si="1656"/>
        <v>45162</v>
      </c>
      <c r="C288" s="10">
        <v>1</v>
      </c>
      <c r="D288" s="11"/>
      <c r="E288" s="69">
        <f t="shared" si="1877"/>
        <v>587</v>
      </c>
      <c r="F288" s="69">
        <f t="shared" si="1877"/>
        <v>45</v>
      </c>
      <c r="G288" s="11">
        <v>160</v>
      </c>
      <c r="H288" s="12">
        <f t="shared" si="1837"/>
        <v>0.2879045996592845</v>
      </c>
      <c r="I288" s="11">
        <v>9</v>
      </c>
      <c r="J288" s="12">
        <f t="shared" si="1878"/>
        <v>5.3254437869822487E-2</v>
      </c>
      <c r="K288" s="13"/>
      <c r="L288" s="13"/>
      <c r="M288" s="25">
        <v>4385</v>
      </c>
      <c r="N288" s="38">
        <v>4780</v>
      </c>
      <c r="O288" s="10"/>
      <c r="P288" s="11"/>
      <c r="Q288" s="69">
        <f t="shared" si="1879"/>
        <v>603</v>
      </c>
      <c r="R288" s="69">
        <f t="shared" si="1879"/>
        <v>47</v>
      </c>
      <c r="S288" s="11">
        <v>166</v>
      </c>
      <c r="T288" s="12">
        <f t="shared" si="1838"/>
        <v>0.29850746268656714</v>
      </c>
      <c r="U288" s="11">
        <v>14</v>
      </c>
      <c r="V288" s="12">
        <f t="shared" si="1839"/>
        <v>7.7777777777777779E-2</v>
      </c>
      <c r="W288" s="13"/>
      <c r="X288" s="13"/>
      <c r="Y288" s="25">
        <v>4385</v>
      </c>
      <c r="Z288" s="38">
        <v>4780</v>
      </c>
      <c r="AA288" s="10"/>
      <c r="AB288" s="11"/>
      <c r="AC288" s="69">
        <f t="shared" si="1880"/>
        <v>139</v>
      </c>
      <c r="AD288" s="69">
        <f t="shared" si="1880"/>
        <v>11</v>
      </c>
      <c r="AE288" s="11">
        <v>25</v>
      </c>
      <c r="AF288" s="12">
        <f t="shared" si="1840"/>
        <v>0.18705035971223022</v>
      </c>
      <c r="AG288" s="11">
        <v>1</v>
      </c>
      <c r="AH288" s="12">
        <f t="shared" si="1841"/>
        <v>3.8461538461538464E-2</v>
      </c>
      <c r="AI288" s="13"/>
      <c r="AJ288" s="13"/>
      <c r="AK288" s="25">
        <v>4385</v>
      </c>
      <c r="AL288" s="38">
        <v>4780</v>
      </c>
      <c r="AM288" s="10"/>
      <c r="AN288" s="11"/>
      <c r="AO288" s="69">
        <f t="shared" si="1881"/>
        <v>672</v>
      </c>
      <c r="AP288" s="69">
        <f t="shared" si="1881"/>
        <v>52</v>
      </c>
      <c r="AQ288" s="11">
        <v>175</v>
      </c>
      <c r="AR288" s="12">
        <f t="shared" si="1842"/>
        <v>0.27083333333333331</v>
      </c>
      <c r="AS288" s="11">
        <v>7</v>
      </c>
      <c r="AT288" s="12">
        <f t="shared" si="1843"/>
        <v>3.8461538461538464E-2</v>
      </c>
      <c r="AU288" s="13"/>
      <c r="AV288" s="13"/>
      <c r="AW288" s="25">
        <v>4385</v>
      </c>
      <c r="AX288" s="38">
        <v>4780</v>
      </c>
      <c r="AY288" s="10"/>
      <c r="AZ288" s="11"/>
      <c r="BA288" s="69">
        <f t="shared" si="1882"/>
        <v>671</v>
      </c>
      <c r="BB288" s="69">
        <f t="shared" si="1882"/>
        <v>52</v>
      </c>
      <c r="BC288" s="11">
        <v>160</v>
      </c>
      <c r="BD288" s="12">
        <f t="shared" si="1844"/>
        <v>0.2637853949329359</v>
      </c>
      <c r="BE288" s="11">
        <v>17</v>
      </c>
      <c r="BF288" s="12">
        <f t="shared" si="1845"/>
        <v>9.6045197740112997E-2</v>
      </c>
      <c r="BG288" s="13"/>
      <c r="BH288" s="13"/>
      <c r="BI288" s="25">
        <v>4385</v>
      </c>
      <c r="BJ288" s="38">
        <v>4780</v>
      </c>
      <c r="BK288" s="10"/>
      <c r="BL288" s="11"/>
      <c r="BM288" s="69">
        <f t="shared" si="1883"/>
        <v>667</v>
      </c>
      <c r="BN288" s="69">
        <f t="shared" si="1883"/>
        <v>52</v>
      </c>
      <c r="BO288" s="11">
        <v>163</v>
      </c>
      <c r="BP288" s="12">
        <f t="shared" si="1846"/>
        <v>0.26386806596701651</v>
      </c>
      <c r="BQ288" s="11">
        <v>13</v>
      </c>
      <c r="BR288" s="12">
        <f t="shared" si="1847"/>
        <v>7.3863636363636367E-2</v>
      </c>
      <c r="BS288" s="13"/>
      <c r="BT288" s="13"/>
      <c r="BU288" s="25">
        <v>4385</v>
      </c>
      <c r="BV288" s="38">
        <v>4780</v>
      </c>
      <c r="BW288" s="10"/>
      <c r="BX288" s="11"/>
      <c r="BY288" s="69">
        <f t="shared" si="1884"/>
        <v>0</v>
      </c>
      <c r="BZ288" s="69">
        <f t="shared" si="1884"/>
        <v>0</v>
      </c>
      <c r="CA288" s="11"/>
      <c r="CB288" s="12" t="e">
        <f t="shared" si="1848"/>
        <v>#DIV/0!</v>
      </c>
      <c r="CC288" s="11"/>
      <c r="CD288" s="12" t="e">
        <f t="shared" si="1849"/>
        <v>#DIV/0!</v>
      </c>
      <c r="CE288" s="13"/>
      <c r="CF288" s="13"/>
      <c r="CG288" s="25"/>
      <c r="CH288" s="38"/>
      <c r="CI288" s="10"/>
      <c r="CJ288" s="11"/>
      <c r="CK288" s="69">
        <f t="shared" si="1885"/>
        <v>0</v>
      </c>
      <c r="CL288" s="69">
        <f t="shared" si="1885"/>
        <v>0</v>
      </c>
      <c r="CM288" s="11"/>
      <c r="CN288" s="12" t="e">
        <f t="shared" si="1850"/>
        <v>#DIV/0!</v>
      </c>
      <c r="CO288" s="11"/>
      <c r="CP288" s="12" t="e">
        <f t="shared" si="1851"/>
        <v>#DIV/0!</v>
      </c>
      <c r="CQ288" s="13"/>
      <c r="CR288" s="13"/>
      <c r="CS288" s="25"/>
      <c r="CT288" s="38"/>
      <c r="CU288" s="10"/>
      <c r="CV288" s="11"/>
      <c r="CW288" s="69">
        <f t="shared" si="1886"/>
        <v>0</v>
      </c>
      <c r="CX288" s="69">
        <f t="shared" si="1886"/>
        <v>0</v>
      </c>
      <c r="CY288" s="11"/>
      <c r="CZ288" s="12" t="e">
        <f t="shared" si="1852"/>
        <v>#DIV/0!</v>
      </c>
      <c r="DA288" s="11"/>
      <c r="DB288" s="12" t="e">
        <f t="shared" si="1853"/>
        <v>#DIV/0!</v>
      </c>
      <c r="DC288" s="13"/>
      <c r="DD288" s="13"/>
      <c r="DE288" s="25"/>
      <c r="DF288" s="38"/>
      <c r="DG288" s="10"/>
      <c r="DH288" s="11"/>
      <c r="DI288" s="69">
        <f t="shared" si="1887"/>
        <v>0</v>
      </c>
      <c r="DJ288" s="69">
        <f t="shared" si="1887"/>
        <v>0</v>
      </c>
      <c r="DK288" s="11"/>
      <c r="DL288" s="12" t="e">
        <f t="shared" si="1854"/>
        <v>#DIV/0!</v>
      </c>
      <c r="DM288" s="11"/>
      <c r="DN288" s="12" t="e">
        <f t="shared" si="1855"/>
        <v>#DIV/0!</v>
      </c>
      <c r="DO288" s="13"/>
      <c r="DP288" s="13"/>
      <c r="DQ288" s="25"/>
      <c r="DR288" s="38"/>
      <c r="DS288" s="10"/>
      <c r="DT288" s="11"/>
      <c r="DU288" s="69">
        <f t="shared" si="1888"/>
        <v>0</v>
      </c>
      <c r="DV288" s="69">
        <f t="shared" si="1888"/>
        <v>0</v>
      </c>
      <c r="DW288" s="11"/>
      <c r="DX288" s="12" t="e">
        <f t="shared" si="1856"/>
        <v>#DIV/0!</v>
      </c>
      <c r="DY288" s="11"/>
      <c r="DZ288" s="12" t="e">
        <f t="shared" si="1857"/>
        <v>#DIV/0!</v>
      </c>
      <c r="EA288" s="13"/>
      <c r="EB288" s="13"/>
      <c r="EC288" s="25"/>
      <c r="ED288" s="38"/>
      <c r="EE288" s="10"/>
      <c r="EF288" s="11"/>
      <c r="EG288" s="69">
        <f t="shared" si="1889"/>
        <v>0</v>
      </c>
      <c r="EH288" s="69">
        <f t="shared" si="1889"/>
        <v>0</v>
      </c>
      <c r="EI288" s="11"/>
      <c r="EJ288" s="12" t="e">
        <f t="shared" si="1858"/>
        <v>#DIV/0!</v>
      </c>
      <c r="EK288" s="11"/>
      <c r="EL288" s="12" t="e">
        <f t="shared" si="1859"/>
        <v>#DIV/0!</v>
      </c>
      <c r="EM288" s="13"/>
      <c r="EN288" s="13"/>
      <c r="EO288" s="25"/>
      <c r="EP288" s="38"/>
      <c r="EQ288" s="10"/>
      <c r="ER288" s="11"/>
      <c r="ES288" s="69">
        <f t="shared" si="1890"/>
        <v>0</v>
      </c>
      <c r="ET288" s="69">
        <f t="shared" si="1890"/>
        <v>0</v>
      </c>
      <c r="EU288" s="11"/>
      <c r="EV288" s="12" t="e">
        <f t="shared" si="1860"/>
        <v>#DIV/0!</v>
      </c>
      <c r="EW288" s="11"/>
      <c r="EX288" s="12" t="e">
        <f t="shared" si="1861"/>
        <v>#DIV/0!</v>
      </c>
      <c r="EY288" s="13"/>
      <c r="EZ288" s="13"/>
      <c r="FA288" s="25"/>
      <c r="FB288" s="38"/>
      <c r="FC288" s="10"/>
      <c r="FD288" s="11"/>
      <c r="FE288" s="69">
        <f t="shared" si="1891"/>
        <v>0</v>
      </c>
      <c r="FF288" s="69">
        <f t="shared" si="1891"/>
        <v>0</v>
      </c>
      <c r="FG288" s="11"/>
      <c r="FH288" s="12" t="e">
        <f t="shared" si="1862"/>
        <v>#DIV/0!</v>
      </c>
      <c r="FI288" s="11"/>
      <c r="FJ288" s="12" t="e">
        <f t="shared" si="1863"/>
        <v>#DIV/0!</v>
      </c>
      <c r="FK288" s="13"/>
      <c r="FL288" s="13"/>
      <c r="FM288" s="25"/>
      <c r="FN288" s="38"/>
      <c r="FO288" s="10"/>
      <c r="FP288" s="11"/>
      <c r="FQ288" s="69">
        <f t="shared" si="1892"/>
        <v>0</v>
      </c>
      <c r="FR288" s="69">
        <f t="shared" si="1892"/>
        <v>0</v>
      </c>
      <c r="FS288" s="11"/>
      <c r="FT288" s="12" t="e">
        <f t="shared" si="1864"/>
        <v>#DIV/0!</v>
      </c>
      <c r="FU288" s="11"/>
      <c r="FV288" s="12" t="e">
        <f t="shared" si="1865"/>
        <v>#DIV/0!</v>
      </c>
      <c r="FW288" s="13"/>
      <c r="FX288" s="13"/>
      <c r="FY288" s="25"/>
      <c r="FZ288" s="38"/>
      <c r="GA288" s="10"/>
      <c r="GB288" s="11"/>
      <c r="GC288" s="69">
        <f t="shared" si="1893"/>
        <v>0</v>
      </c>
      <c r="GD288" s="69">
        <f t="shared" si="1893"/>
        <v>0</v>
      </c>
      <c r="GE288" s="11"/>
      <c r="GF288" s="12" t="e">
        <f t="shared" si="1866"/>
        <v>#DIV/0!</v>
      </c>
      <c r="GG288" s="11"/>
      <c r="GH288" s="12" t="e">
        <f t="shared" si="1867"/>
        <v>#DIV/0!</v>
      </c>
      <c r="GI288" s="13"/>
      <c r="GJ288" s="13"/>
      <c r="GK288" s="25"/>
      <c r="GL288" s="38"/>
      <c r="GM288" s="10"/>
      <c r="GN288" s="11"/>
      <c r="GO288" s="69">
        <f t="shared" si="1894"/>
        <v>0</v>
      </c>
      <c r="GP288" s="69">
        <f t="shared" si="1894"/>
        <v>0</v>
      </c>
      <c r="GQ288" s="11"/>
      <c r="GR288" s="12" t="e">
        <f t="shared" si="1868"/>
        <v>#DIV/0!</v>
      </c>
      <c r="GS288" s="11"/>
      <c r="GT288" s="12" t="e">
        <f t="shared" si="1869"/>
        <v>#DIV/0!</v>
      </c>
      <c r="GU288" s="13"/>
      <c r="GV288" s="13"/>
      <c r="GW288" s="25"/>
      <c r="GX288" s="38"/>
      <c r="GY288" s="10"/>
      <c r="GZ288" s="11"/>
      <c r="HA288" s="69">
        <f t="shared" si="1895"/>
        <v>0</v>
      </c>
      <c r="HB288" s="69">
        <f t="shared" si="1895"/>
        <v>0</v>
      </c>
      <c r="HC288" s="11"/>
      <c r="HD288" s="12" t="e">
        <f t="shared" si="1870"/>
        <v>#DIV/0!</v>
      </c>
      <c r="HE288" s="11"/>
      <c r="HF288" s="12" t="e">
        <f t="shared" si="1871"/>
        <v>#DIV/0!</v>
      </c>
      <c r="HG288" s="13"/>
      <c r="HH288" s="13"/>
      <c r="HI288" s="25"/>
      <c r="HJ288" s="38"/>
      <c r="HK288" s="10">
        <f t="shared" si="1872"/>
        <v>1</v>
      </c>
      <c r="HL288" s="11">
        <f t="shared" si="1872"/>
        <v>0</v>
      </c>
      <c r="HM288" s="11">
        <f t="shared" si="1872"/>
        <v>3339</v>
      </c>
      <c r="HN288" s="11">
        <f t="shared" si="1872"/>
        <v>259</v>
      </c>
      <c r="HO288" s="11">
        <f t="shared" si="1873"/>
        <v>910</v>
      </c>
      <c r="HP288" s="95">
        <f t="shared" si="1874"/>
        <v>0.27253668763102723</v>
      </c>
      <c r="HQ288" s="15">
        <f t="shared" si="1875"/>
        <v>61</v>
      </c>
      <c r="HR288" s="12">
        <f t="shared" si="1896"/>
        <v>6.7032967032967031E-2</v>
      </c>
      <c r="HS288" s="16">
        <v>71.8</v>
      </c>
      <c r="HT288" s="17">
        <v>819</v>
      </c>
      <c r="HU288" s="16">
        <f t="shared" si="1876"/>
        <v>90</v>
      </c>
      <c r="HV288" s="23">
        <v>4385</v>
      </c>
      <c r="HW288" s="22">
        <v>4780</v>
      </c>
    </row>
    <row r="289" spans="1:231" ht="18.75" x14ac:dyDescent="0.25">
      <c r="A289" s="374"/>
      <c r="B289" s="41">
        <f t="shared" si="1656"/>
        <v>45163</v>
      </c>
      <c r="C289" s="10"/>
      <c r="D289" s="11"/>
      <c r="E289" s="69">
        <f t="shared" si="1877"/>
        <v>587</v>
      </c>
      <c r="F289" s="69">
        <f t="shared" si="1877"/>
        <v>45</v>
      </c>
      <c r="G289" s="11">
        <v>155</v>
      </c>
      <c r="H289" s="12">
        <f t="shared" si="1837"/>
        <v>0.28109028960817717</v>
      </c>
      <c r="I289" s="11">
        <v>10</v>
      </c>
      <c r="J289" s="12">
        <f t="shared" si="1878"/>
        <v>6.0606060606060608E-2</v>
      </c>
      <c r="K289" s="13"/>
      <c r="L289" s="11"/>
      <c r="M289" s="25">
        <v>4819.4444444444443</v>
      </c>
      <c r="N289" s="38">
        <v>4799.166666666667</v>
      </c>
      <c r="O289" s="10"/>
      <c r="P289" s="11"/>
      <c r="Q289" s="69">
        <f t="shared" si="1879"/>
        <v>603</v>
      </c>
      <c r="R289" s="69">
        <f t="shared" si="1879"/>
        <v>47</v>
      </c>
      <c r="S289" s="11">
        <v>166</v>
      </c>
      <c r="T289" s="12">
        <f t="shared" si="1838"/>
        <v>0.29684908789386399</v>
      </c>
      <c r="U289" s="11">
        <v>13</v>
      </c>
      <c r="V289" s="12">
        <f t="shared" si="1839"/>
        <v>7.2625698324022353E-2</v>
      </c>
      <c r="W289" s="13"/>
      <c r="X289" s="11"/>
      <c r="Y289" s="25">
        <v>4780.8108108108108</v>
      </c>
      <c r="Z289" s="38">
        <v>4968.8888888888887</v>
      </c>
      <c r="AA289" s="10"/>
      <c r="AB289" s="11"/>
      <c r="AC289" s="69">
        <f t="shared" si="1880"/>
        <v>139</v>
      </c>
      <c r="AD289" s="69">
        <f t="shared" si="1880"/>
        <v>11</v>
      </c>
      <c r="AE289" s="11">
        <v>23</v>
      </c>
      <c r="AF289" s="12">
        <f t="shared" si="1840"/>
        <v>0.19424460431654678</v>
      </c>
      <c r="AG289" s="11">
        <v>4</v>
      </c>
      <c r="AH289" s="12">
        <f t="shared" si="1841"/>
        <v>0.14814814814814814</v>
      </c>
      <c r="AI289" s="13"/>
      <c r="AJ289" s="11"/>
      <c r="AK289" s="25">
        <v>4740</v>
      </c>
      <c r="AL289" s="38">
        <v>4576</v>
      </c>
      <c r="AM289" s="10"/>
      <c r="AN289" s="11"/>
      <c r="AO289" s="69">
        <f t="shared" si="1881"/>
        <v>672</v>
      </c>
      <c r="AP289" s="69">
        <f t="shared" si="1881"/>
        <v>52</v>
      </c>
      <c r="AQ289" s="11">
        <v>178</v>
      </c>
      <c r="AR289" s="12">
        <f t="shared" si="1842"/>
        <v>0.28422619047619047</v>
      </c>
      <c r="AS289" s="11">
        <v>13</v>
      </c>
      <c r="AT289" s="12">
        <f t="shared" si="1843"/>
        <v>6.8062827225130892E-2</v>
      </c>
      <c r="AU289" s="13"/>
      <c r="AV289" s="11"/>
      <c r="AW289" s="25">
        <v>4872.727272727273</v>
      </c>
      <c r="AX289" s="38">
        <v>5292</v>
      </c>
      <c r="AY289" s="10"/>
      <c r="AZ289" s="11"/>
      <c r="BA289" s="69">
        <f t="shared" si="1882"/>
        <v>671</v>
      </c>
      <c r="BB289" s="69">
        <f t="shared" si="1882"/>
        <v>52</v>
      </c>
      <c r="BC289" s="11">
        <v>186</v>
      </c>
      <c r="BD289" s="12">
        <f t="shared" si="1844"/>
        <v>0.29806259314456035</v>
      </c>
      <c r="BE289" s="11">
        <v>14</v>
      </c>
      <c r="BF289" s="12">
        <f t="shared" si="1845"/>
        <v>7.0000000000000007E-2</v>
      </c>
      <c r="BG289" s="13"/>
      <c r="BH289" s="11"/>
      <c r="BI289" s="25">
        <v>5125.7142857142853</v>
      </c>
      <c r="BJ289" s="38">
        <v>5247.5</v>
      </c>
      <c r="BK289" s="10"/>
      <c r="BL289" s="11"/>
      <c r="BM289" s="69">
        <f t="shared" si="1883"/>
        <v>667</v>
      </c>
      <c r="BN289" s="69">
        <f t="shared" si="1883"/>
        <v>52</v>
      </c>
      <c r="BO289" s="11">
        <v>152</v>
      </c>
      <c r="BP289" s="12">
        <f t="shared" si="1846"/>
        <v>0.24737631184407796</v>
      </c>
      <c r="BQ289" s="11">
        <v>13</v>
      </c>
      <c r="BR289" s="12">
        <f t="shared" si="1847"/>
        <v>7.8787878787878782E-2</v>
      </c>
      <c r="BS289" s="13"/>
      <c r="BT289" s="11"/>
      <c r="BU289" s="25">
        <v>5125.7142857142853</v>
      </c>
      <c r="BV289" s="38">
        <v>5576.666666666667</v>
      </c>
      <c r="BW289" s="10"/>
      <c r="BX289" s="11"/>
      <c r="BY289" s="69">
        <f t="shared" si="1884"/>
        <v>0</v>
      </c>
      <c r="BZ289" s="69">
        <f t="shared" si="1884"/>
        <v>0</v>
      </c>
      <c r="CA289" s="11"/>
      <c r="CB289" s="12" t="e">
        <f t="shared" si="1848"/>
        <v>#DIV/0!</v>
      </c>
      <c r="CC289" s="11"/>
      <c r="CD289" s="12" t="e">
        <f t="shared" si="1849"/>
        <v>#DIV/0!</v>
      </c>
      <c r="CE289" s="13"/>
      <c r="CF289" s="11"/>
      <c r="CG289" s="25"/>
      <c r="CH289" s="38"/>
      <c r="CI289" s="10"/>
      <c r="CJ289" s="11"/>
      <c r="CK289" s="69">
        <f t="shared" si="1885"/>
        <v>0</v>
      </c>
      <c r="CL289" s="69">
        <f t="shared" si="1885"/>
        <v>0</v>
      </c>
      <c r="CM289" s="11"/>
      <c r="CN289" s="12" t="e">
        <f t="shared" si="1850"/>
        <v>#DIV/0!</v>
      </c>
      <c r="CO289" s="11"/>
      <c r="CP289" s="12" t="e">
        <f t="shared" si="1851"/>
        <v>#DIV/0!</v>
      </c>
      <c r="CQ289" s="13"/>
      <c r="CR289" s="11"/>
      <c r="CS289" s="25"/>
      <c r="CT289" s="38"/>
      <c r="CU289" s="10"/>
      <c r="CV289" s="11"/>
      <c r="CW289" s="69">
        <f t="shared" si="1886"/>
        <v>0</v>
      </c>
      <c r="CX289" s="69">
        <f t="shared" si="1886"/>
        <v>0</v>
      </c>
      <c r="CY289" s="11"/>
      <c r="CZ289" s="12" t="e">
        <f t="shared" si="1852"/>
        <v>#DIV/0!</v>
      </c>
      <c r="DA289" s="11"/>
      <c r="DB289" s="12" t="e">
        <f t="shared" si="1853"/>
        <v>#DIV/0!</v>
      </c>
      <c r="DC289" s="13"/>
      <c r="DD289" s="11"/>
      <c r="DE289" s="25"/>
      <c r="DF289" s="38"/>
      <c r="DG289" s="10"/>
      <c r="DH289" s="11"/>
      <c r="DI289" s="69">
        <f t="shared" si="1887"/>
        <v>0</v>
      </c>
      <c r="DJ289" s="69">
        <f t="shared" si="1887"/>
        <v>0</v>
      </c>
      <c r="DK289" s="11"/>
      <c r="DL289" s="12" t="e">
        <f t="shared" si="1854"/>
        <v>#DIV/0!</v>
      </c>
      <c r="DM289" s="11"/>
      <c r="DN289" s="12" t="e">
        <f t="shared" si="1855"/>
        <v>#DIV/0!</v>
      </c>
      <c r="DO289" s="13"/>
      <c r="DP289" s="11"/>
      <c r="DQ289" s="25"/>
      <c r="DR289" s="38"/>
      <c r="DS289" s="10"/>
      <c r="DT289" s="11"/>
      <c r="DU289" s="69">
        <f t="shared" si="1888"/>
        <v>0</v>
      </c>
      <c r="DV289" s="69">
        <f t="shared" si="1888"/>
        <v>0</v>
      </c>
      <c r="DW289" s="11"/>
      <c r="DX289" s="12" t="e">
        <f t="shared" si="1856"/>
        <v>#DIV/0!</v>
      </c>
      <c r="DY289" s="11"/>
      <c r="DZ289" s="12" t="e">
        <f t="shared" si="1857"/>
        <v>#DIV/0!</v>
      </c>
      <c r="EA289" s="13"/>
      <c r="EB289" s="11"/>
      <c r="EC289" s="25"/>
      <c r="ED289" s="38"/>
      <c r="EE289" s="10"/>
      <c r="EF289" s="11"/>
      <c r="EG289" s="69">
        <f t="shared" si="1889"/>
        <v>0</v>
      </c>
      <c r="EH289" s="69">
        <f t="shared" si="1889"/>
        <v>0</v>
      </c>
      <c r="EI289" s="11"/>
      <c r="EJ289" s="12" t="e">
        <f t="shared" si="1858"/>
        <v>#DIV/0!</v>
      </c>
      <c r="EK289" s="11"/>
      <c r="EL289" s="12" t="e">
        <f t="shared" si="1859"/>
        <v>#DIV/0!</v>
      </c>
      <c r="EM289" s="13"/>
      <c r="EN289" s="11"/>
      <c r="EO289" s="25"/>
      <c r="EP289" s="38"/>
      <c r="EQ289" s="10"/>
      <c r="ER289" s="11"/>
      <c r="ES289" s="69">
        <f t="shared" si="1890"/>
        <v>0</v>
      </c>
      <c r="ET289" s="69">
        <f t="shared" si="1890"/>
        <v>0</v>
      </c>
      <c r="EU289" s="11"/>
      <c r="EV289" s="12" t="e">
        <f t="shared" si="1860"/>
        <v>#DIV/0!</v>
      </c>
      <c r="EW289" s="11"/>
      <c r="EX289" s="12" t="e">
        <f t="shared" si="1861"/>
        <v>#DIV/0!</v>
      </c>
      <c r="EY289" s="13"/>
      <c r="EZ289" s="11"/>
      <c r="FA289" s="25"/>
      <c r="FB289" s="38"/>
      <c r="FC289" s="10"/>
      <c r="FD289" s="11"/>
      <c r="FE289" s="69">
        <f t="shared" si="1891"/>
        <v>0</v>
      </c>
      <c r="FF289" s="69">
        <f t="shared" si="1891"/>
        <v>0</v>
      </c>
      <c r="FG289" s="11"/>
      <c r="FH289" s="12" t="e">
        <f t="shared" si="1862"/>
        <v>#DIV/0!</v>
      </c>
      <c r="FI289" s="11"/>
      <c r="FJ289" s="12" t="e">
        <f t="shared" si="1863"/>
        <v>#DIV/0!</v>
      </c>
      <c r="FK289" s="13"/>
      <c r="FL289" s="11"/>
      <c r="FM289" s="25"/>
      <c r="FN289" s="38"/>
      <c r="FO289" s="10"/>
      <c r="FP289" s="11"/>
      <c r="FQ289" s="69">
        <f t="shared" si="1892"/>
        <v>0</v>
      </c>
      <c r="FR289" s="69">
        <f t="shared" si="1892"/>
        <v>0</v>
      </c>
      <c r="FS289" s="11"/>
      <c r="FT289" s="12" t="e">
        <f t="shared" si="1864"/>
        <v>#DIV/0!</v>
      </c>
      <c r="FU289" s="11"/>
      <c r="FV289" s="12" t="e">
        <f t="shared" si="1865"/>
        <v>#DIV/0!</v>
      </c>
      <c r="FW289" s="13"/>
      <c r="FX289" s="11"/>
      <c r="FY289" s="25"/>
      <c r="FZ289" s="38"/>
      <c r="GA289" s="10"/>
      <c r="GB289" s="11"/>
      <c r="GC289" s="69">
        <f t="shared" si="1893"/>
        <v>0</v>
      </c>
      <c r="GD289" s="69">
        <f t="shared" si="1893"/>
        <v>0</v>
      </c>
      <c r="GE289" s="11"/>
      <c r="GF289" s="12" t="e">
        <f t="shared" si="1866"/>
        <v>#DIV/0!</v>
      </c>
      <c r="GG289" s="11"/>
      <c r="GH289" s="12" t="e">
        <f t="shared" si="1867"/>
        <v>#DIV/0!</v>
      </c>
      <c r="GI289" s="13"/>
      <c r="GJ289" s="11"/>
      <c r="GK289" s="25"/>
      <c r="GL289" s="38"/>
      <c r="GM289" s="10"/>
      <c r="GN289" s="11"/>
      <c r="GO289" s="69">
        <f t="shared" si="1894"/>
        <v>0</v>
      </c>
      <c r="GP289" s="69">
        <f t="shared" si="1894"/>
        <v>0</v>
      </c>
      <c r="GQ289" s="11"/>
      <c r="GR289" s="12" t="e">
        <f t="shared" si="1868"/>
        <v>#DIV/0!</v>
      </c>
      <c r="GS289" s="11"/>
      <c r="GT289" s="12" t="e">
        <f t="shared" si="1869"/>
        <v>#DIV/0!</v>
      </c>
      <c r="GU289" s="13"/>
      <c r="GV289" s="11"/>
      <c r="GW289" s="25"/>
      <c r="GX289" s="38"/>
      <c r="GY289" s="10"/>
      <c r="GZ289" s="11"/>
      <c r="HA289" s="69">
        <f t="shared" si="1895"/>
        <v>0</v>
      </c>
      <c r="HB289" s="69">
        <f t="shared" si="1895"/>
        <v>0</v>
      </c>
      <c r="HC289" s="11"/>
      <c r="HD289" s="12" t="e">
        <f t="shared" si="1870"/>
        <v>#DIV/0!</v>
      </c>
      <c r="HE289" s="11"/>
      <c r="HF289" s="12" t="e">
        <f t="shared" si="1871"/>
        <v>#DIV/0!</v>
      </c>
      <c r="HG289" s="13"/>
      <c r="HH289" s="11"/>
      <c r="HI289" s="25"/>
      <c r="HJ289" s="38"/>
      <c r="HK289" s="10">
        <f t="shared" si="1872"/>
        <v>0</v>
      </c>
      <c r="HL289" s="11">
        <f t="shared" si="1872"/>
        <v>0</v>
      </c>
      <c r="HM289" s="11">
        <f t="shared" si="1872"/>
        <v>3339</v>
      </c>
      <c r="HN289" s="11">
        <f t="shared" si="1872"/>
        <v>259</v>
      </c>
      <c r="HO289" s="11">
        <f t="shared" si="1873"/>
        <v>927</v>
      </c>
      <c r="HP289" s="95">
        <f t="shared" si="1874"/>
        <v>0.27762803234501349</v>
      </c>
      <c r="HQ289" s="15">
        <f t="shared" si="1875"/>
        <v>67</v>
      </c>
      <c r="HR289" s="12">
        <f t="shared" si="1896"/>
        <v>7.2276159654800429E-2</v>
      </c>
      <c r="HS289" s="16">
        <v>72.099999999999994</v>
      </c>
      <c r="HT289" s="17">
        <v>828</v>
      </c>
      <c r="HU289" s="16">
        <f t="shared" si="1876"/>
        <v>89.320388349514573</v>
      </c>
      <c r="HV289" s="23">
        <v>4866.4942528735628</v>
      </c>
      <c r="HW289" s="22">
        <v>5084.0740740740739</v>
      </c>
    </row>
    <row r="290" spans="1:231" ht="18.75" x14ac:dyDescent="0.25">
      <c r="A290" s="374"/>
      <c r="B290" s="41">
        <f t="shared" si="1656"/>
        <v>45164</v>
      </c>
      <c r="C290" s="10"/>
      <c r="D290" s="11">
        <v>3</v>
      </c>
      <c r="E290" s="69">
        <f>E289-C290</f>
        <v>587</v>
      </c>
      <c r="F290" s="69">
        <f>F289-D290</f>
        <v>42</v>
      </c>
      <c r="G290" s="11">
        <v>171</v>
      </c>
      <c r="H290" s="12">
        <f t="shared" si="1837"/>
        <v>0.33901192504258942</v>
      </c>
      <c r="I290" s="11">
        <v>28</v>
      </c>
      <c r="J290" s="12">
        <f t="shared" si="1878"/>
        <v>0.1407035175879397</v>
      </c>
      <c r="K290" s="13"/>
      <c r="L290" s="11"/>
      <c r="M290" s="39">
        <v>75</v>
      </c>
      <c r="N290" s="43">
        <v>100</v>
      </c>
      <c r="O290" s="10">
        <v>1</v>
      </c>
      <c r="P290" s="11">
        <v>3</v>
      </c>
      <c r="Q290" s="69">
        <f t="shared" si="1879"/>
        <v>602</v>
      </c>
      <c r="R290" s="69">
        <f t="shared" si="1879"/>
        <v>44</v>
      </c>
      <c r="S290" s="11">
        <v>196</v>
      </c>
      <c r="T290" s="12">
        <f t="shared" si="1838"/>
        <v>0.36212624584717606</v>
      </c>
      <c r="U290" s="11">
        <v>22</v>
      </c>
      <c r="V290" s="12">
        <f t="shared" si="1839"/>
        <v>0.10091743119266056</v>
      </c>
      <c r="W290" s="13"/>
      <c r="X290" s="11"/>
      <c r="Y290" s="39">
        <v>70.270270270270274</v>
      </c>
      <c r="Z290" s="43">
        <v>100</v>
      </c>
      <c r="AA290" s="10"/>
      <c r="AB290" s="11">
        <v>1</v>
      </c>
      <c r="AC290" s="69">
        <f t="shared" si="1880"/>
        <v>139</v>
      </c>
      <c r="AD290" s="69">
        <f t="shared" si="1880"/>
        <v>10</v>
      </c>
      <c r="AE290" s="11">
        <v>25</v>
      </c>
      <c r="AF290" s="12">
        <f t="shared" si="1840"/>
        <v>0.19424460431654678</v>
      </c>
      <c r="AG290" s="11">
        <v>2</v>
      </c>
      <c r="AH290" s="12">
        <f t="shared" si="1841"/>
        <v>7.407407407407407E-2</v>
      </c>
      <c r="AI290" s="13"/>
      <c r="AJ290" s="11"/>
      <c r="AK290" s="39">
        <v>72.727272727272734</v>
      </c>
      <c r="AL290" s="43">
        <v>80</v>
      </c>
      <c r="AM290" s="10"/>
      <c r="AN290" s="11">
        <v>3</v>
      </c>
      <c r="AO290" s="69">
        <f t="shared" si="1881"/>
        <v>672</v>
      </c>
      <c r="AP290" s="69">
        <f t="shared" si="1881"/>
        <v>49</v>
      </c>
      <c r="AQ290" s="11">
        <v>192</v>
      </c>
      <c r="AR290" s="12">
        <f t="shared" si="1842"/>
        <v>0.29910714285714285</v>
      </c>
      <c r="AS290" s="11">
        <v>9</v>
      </c>
      <c r="AT290" s="12">
        <f t="shared" si="1843"/>
        <v>4.4776119402985072E-2</v>
      </c>
      <c r="AU290" s="13"/>
      <c r="AV290" s="11"/>
      <c r="AW290" s="39">
        <v>63.636363636363633</v>
      </c>
      <c r="AX290" s="43">
        <v>90</v>
      </c>
      <c r="AY290" s="10"/>
      <c r="AZ290" s="11">
        <v>3</v>
      </c>
      <c r="BA290" s="69">
        <f t="shared" si="1882"/>
        <v>671</v>
      </c>
      <c r="BB290" s="69">
        <f t="shared" si="1882"/>
        <v>49</v>
      </c>
      <c r="BC290" s="11">
        <v>186</v>
      </c>
      <c r="BD290" s="12">
        <f t="shared" si="1844"/>
        <v>0.30998509687034276</v>
      </c>
      <c r="BE290" s="11">
        <v>22</v>
      </c>
      <c r="BF290" s="12">
        <f t="shared" si="1845"/>
        <v>0.10576923076923077</v>
      </c>
      <c r="BG290" s="13"/>
      <c r="BH290" s="11"/>
      <c r="BI290" s="39">
        <v>100</v>
      </c>
      <c r="BJ290" s="43">
        <v>100</v>
      </c>
      <c r="BK290" s="10"/>
      <c r="BL290" s="11">
        <v>3</v>
      </c>
      <c r="BM290" s="69">
        <f t="shared" si="1883"/>
        <v>667</v>
      </c>
      <c r="BN290" s="69">
        <f t="shared" si="1883"/>
        <v>49</v>
      </c>
      <c r="BO290" s="11">
        <v>173</v>
      </c>
      <c r="BP290" s="12">
        <f t="shared" si="1846"/>
        <v>0.2818590704647676</v>
      </c>
      <c r="BQ290" s="11">
        <v>15</v>
      </c>
      <c r="BR290" s="12">
        <f t="shared" si="1847"/>
        <v>7.9787234042553196E-2</v>
      </c>
      <c r="BS290" s="13"/>
      <c r="BT290" s="11"/>
      <c r="BU290" s="39">
        <v>100</v>
      </c>
      <c r="BV290" s="43">
        <v>83.333333333333329</v>
      </c>
      <c r="BW290" s="10"/>
      <c r="BX290" s="11"/>
      <c r="BY290" s="69">
        <f t="shared" si="1884"/>
        <v>0</v>
      </c>
      <c r="BZ290" s="69">
        <f t="shared" si="1884"/>
        <v>0</v>
      </c>
      <c r="CA290" s="11"/>
      <c r="CB290" s="12" t="e">
        <f t="shared" si="1848"/>
        <v>#DIV/0!</v>
      </c>
      <c r="CC290" s="11"/>
      <c r="CD290" s="12" t="e">
        <f t="shared" si="1849"/>
        <v>#DIV/0!</v>
      </c>
      <c r="CE290" s="13"/>
      <c r="CF290" s="11"/>
      <c r="CG290" s="39"/>
      <c r="CH290" s="43"/>
      <c r="CI290" s="10"/>
      <c r="CJ290" s="11"/>
      <c r="CK290" s="69">
        <f t="shared" si="1885"/>
        <v>0</v>
      </c>
      <c r="CL290" s="69">
        <f t="shared" si="1885"/>
        <v>0</v>
      </c>
      <c r="CM290" s="11"/>
      <c r="CN290" s="12" t="e">
        <f t="shared" si="1850"/>
        <v>#DIV/0!</v>
      </c>
      <c r="CO290" s="11"/>
      <c r="CP290" s="12" t="e">
        <f t="shared" si="1851"/>
        <v>#DIV/0!</v>
      </c>
      <c r="CQ290" s="13"/>
      <c r="CR290" s="11"/>
      <c r="CS290" s="39"/>
      <c r="CT290" s="43"/>
      <c r="CU290" s="10"/>
      <c r="CV290" s="11"/>
      <c r="CW290" s="69">
        <f t="shared" si="1886"/>
        <v>0</v>
      </c>
      <c r="CX290" s="69">
        <f t="shared" si="1886"/>
        <v>0</v>
      </c>
      <c r="CY290" s="11"/>
      <c r="CZ290" s="12" t="e">
        <f t="shared" si="1852"/>
        <v>#DIV/0!</v>
      </c>
      <c r="DA290" s="11"/>
      <c r="DB290" s="12" t="e">
        <f t="shared" si="1853"/>
        <v>#DIV/0!</v>
      </c>
      <c r="DC290" s="13"/>
      <c r="DD290" s="11"/>
      <c r="DE290" s="39"/>
      <c r="DF290" s="43"/>
      <c r="DG290" s="10"/>
      <c r="DH290" s="11"/>
      <c r="DI290" s="69">
        <f t="shared" si="1887"/>
        <v>0</v>
      </c>
      <c r="DJ290" s="69">
        <f t="shared" si="1887"/>
        <v>0</v>
      </c>
      <c r="DK290" s="11"/>
      <c r="DL290" s="12" t="e">
        <f t="shared" si="1854"/>
        <v>#DIV/0!</v>
      </c>
      <c r="DM290" s="11"/>
      <c r="DN290" s="12" t="e">
        <f t="shared" si="1855"/>
        <v>#DIV/0!</v>
      </c>
      <c r="DO290" s="13"/>
      <c r="DP290" s="11"/>
      <c r="DQ290" s="39"/>
      <c r="DR290" s="43"/>
      <c r="DS290" s="10"/>
      <c r="DT290" s="11"/>
      <c r="DU290" s="69">
        <f t="shared" si="1888"/>
        <v>0</v>
      </c>
      <c r="DV290" s="69">
        <f t="shared" si="1888"/>
        <v>0</v>
      </c>
      <c r="DW290" s="11"/>
      <c r="DX290" s="12" t="e">
        <f t="shared" si="1856"/>
        <v>#DIV/0!</v>
      </c>
      <c r="DY290" s="11"/>
      <c r="DZ290" s="12" t="e">
        <f t="shared" si="1857"/>
        <v>#DIV/0!</v>
      </c>
      <c r="EA290" s="13"/>
      <c r="EB290" s="11"/>
      <c r="EC290" s="39"/>
      <c r="ED290" s="43"/>
      <c r="EE290" s="10"/>
      <c r="EF290" s="11"/>
      <c r="EG290" s="69">
        <f t="shared" si="1889"/>
        <v>0</v>
      </c>
      <c r="EH290" s="69">
        <f t="shared" si="1889"/>
        <v>0</v>
      </c>
      <c r="EI290" s="11"/>
      <c r="EJ290" s="12" t="e">
        <f t="shared" si="1858"/>
        <v>#DIV/0!</v>
      </c>
      <c r="EK290" s="11"/>
      <c r="EL290" s="12" t="e">
        <f t="shared" si="1859"/>
        <v>#DIV/0!</v>
      </c>
      <c r="EM290" s="13"/>
      <c r="EN290" s="11"/>
      <c r="EO290" s="39"/>
      <c r="EP290" s="43"/>
      <c r="EQ290" s="10"/>
      <c r="ER290" s="11"/>
      <c r="ES290" s="69">
        <f t="shared" si="1890"/>
        <v>0</v>
      </c>
      <c r="ET290" s="69">
        <f t="shared" si="1890"/>
        <v>0</v>
      </c>
      <c r="EU290" s="11"/>
      <c r="EV290" s="12" t="e">
        <f t="shared" si="1860"/>
        <v>#DIV/0!</v>
      </c>
      <c r="EW290" s="11"/>
      <c r="EX290" s="12" t="e">
        <f t="shared" si="1861"/>
        <v>#DIV/0!</v>
      </c>
      <c r="EY290" s="13"/>
      <c r="EZ290" s="11"/>
      <c r="FA290" s="39"/>
      <c r="FB290" s="43"/>
      <c r="FC290" s="10"/>
      <c r="FD290" s="11"/>
      <c r="FE290" s="69">
        <f t="shared" si="1891"/>
        <v>0</v>
      </c>
      <c r="FF290" s="69">
        <f t="shared" si="1891"/>
        <v>0</v>
      </c>
      <c r="FG290" s="11"/>
      <c r="FH290" s="12" t="e">
        <f t="shared" si="1862"/>
        <v>#DIV/0!</v>
      </c>
      <c r="FI290" s="11"/>
      <c r="FJ290" s="12" t="e">
        <f t="shared" si="1863"/>
        <v>#DIV/0!</v>
      </c>
      <c r="FK290" s="13"/>
      <c r="FL290" s="11"/>
      <c r="FM290" s="39"/>
      <c r="FN290" s="43"/>
      <c r="FO290" s="10"/>
      <c r="FP290" s="11"/>
      <c r="FQ290" s="69">
        <f t="shared" si="1892"/>
        <v>0</v>
      </c>
      <c r="FR290" s="69">
        <f t="shared" si="1892"/>
        <v>0</v>
      </c>
      <c r="FS290" s="11"/>
      <c r="FT290" s="12" t="e">
        <f t="shared" si="1864"/>
        <v>#DIV/0!</v>
      </c>
      <c r="FU290" s="11"/>
      <c r="FV290" s="12" t="e">
        <f t="shared" si="1865"/>
        <v>#DIV/0!</v>
      </c>
      <c r="FW290" s="13"/>
      <c r="FX290" s="11"/>
      <c r="FY290" s="39"/>
      <c r="FZ290" s="43"/>
      <c r="GA290" s="10"/>
      <c r="GB290" s="11"/>
      <c r="GC290" s="69">
        <f t="shared" si="1893"/>
        <v>0</v>
      </c>
      <c r="GD290" s="69">
        <f t="shared" si="1893"/>
        <v>0</v>
      </c>
      <c r="GE290" s="11"/>
      <c r="GF290" s="12" t="e">
        <f t="shared" si="1866"/>
        <v>#DIV/0!</v>
      </c>
      <c r="GG290" s="11"/>
      <c r="GH290" s="12" t="e">
        <f t="shared" si="1867"/>
        <v>#DIV/0!</v>
      </c>
      <c r="GI290" s="13"/>
      <c r="GJ290" s="11"/>
      <c r="GK290" s="39"/>
      <c r="GL290" s="43"/>
      <c r="GM290" s="10"/>
      <c r="GN290" s="11"/>
      <c r="GO290" s="69">
        <f t="shared" si="1894"/>
        <v>0</v>
      </c>
      <c r="GP290" s="69">
        <f t="shared" si="1894"/>
        <v>0</v>
      </c>
      <c r="GQ290" s="11"/>
      <c r="GR290" s="12" t="e">
        <f t="shared" si="1868"/>
        <v>#DIV/0!</v>
      </c>
      <c r="GS290" s="11"/>
      <c r="GT290" s="12" t="e">
        <f t="shared" si="1869"/>
        <v>#DIV/0!</v>
      </c>
      <c r="GU290" s="13"/>
      <c r="GV290" s="11"/>
      <c r="GW290" s="39"/>
      <c r="GX290" s="43"/>
      <c r="GY290" s="10"/>
      <c r="GZ290" s="11"/>
      <c r="HA290" s="69">
        <f t="shared" si="1895"/>
        <v>0</v>
      </c>
      <c r="HB290" s="69">
        <f t="shared" si="1895"/>
        <v>0</v>
      </c>
      <c r="HC290" s="11"/>
      <c r="HD290" s="12" t="e">
        <f t="shared" si="1870"/>
        <v>#DIV/0!</v>
      </c>
      <c r="HE290" s="11"/>
      <c r="HF290" s="12" t="e">
        <f t="shared" si="1871"/>
        <v>#DIV/0!</v>
      </c>
      <c r="HG290" s="13"/>
      <c r="HH290" s="11"/>
      <c r="HI290" s="39"/>
      <c r="HJ290" s="43"/>
      <c r="HK290" s="10">
        <f t="shared" si="1872"/>
        <v>1</v>
      </c>
      <c r="HL290" s="11">
        <f t="shared" si="1872"/>
        <v>16</v>
      </c>
      <c r="HM290" s="11">
        <f t="shared" si="1872"/>
        <v>3338</v>
      </c>
      <c r="HN290" s="11">
        <f t="shared" si="1872"/>
        <v>243</v>
      </c>
      <c r="HO290" s="11">
        <f t="shared" si="1873"/>
        <v>1041</v>
      </c>
      <c r="HP290" s="95">
        <f t="shared" si="1874"/>
        <v>0.31186339125224688</v>
      </c>
      <c r="HQ290" s="15">
        <f t="shared" si="1875"/>
        <v>98</v>
      </c>
      <c r="HR290" s="12">
        <f t="shared" si="1896"/>
        <v>9.4140249759846306E-2</v>
      </c>
      <c r="HS290" s="16">
        <v>72.2</v>
      </c>
      <c r="HT290" s="17">
        <v>904</v>
      </c>
      <c r="HU290" s="16">
        <f t="shared" si="1876"/>
        <v>86.839577329490865</v>
      </c>
      <c r="HV290" s="23">
        <v>67.816091954022994</v>
      </c>
      <c r="HW290" s="22">
        <v>87.037037037037038</v>
      </c>
    </row>
    <row r="291" spans="1:231" ht="19.5" thickBot="1" x14ac:dyDescent="0.3">
      <c r="A291" s="374"/>
      <c r="B291" s="42"/>
      <c r="C291" s="26">
        <f>SUM(C284:C290)</f>
        <v>2</v>
      </c>
      <c r="D291" s="27">
        <f>SUM(D284:D290)</f>
        <v>4</v>
      </c>
      <c r="E291" s="27"/>
      <c r="F291" s="27"/>
      <c r="G291" s="27">
        <f>SUM(G284:G290)</f>
        <v>1132</v>
      </c>
      <c r="H291" s="28">
        <f>((G291+I291)/7)/E290</f>
        <v>0.30275006084205403</v>
      </c>
      <c r="I291" s="27">
        <f>SUM(I284:I290)</f>
        <v>112</v>
      </c>
      <c r="J291" s="28">
        <f>(I291/(I291+G291))</f>
        <v>9.0032154340836015E-2</v>
      </c>
      <c r="K291" s="27"/>
      <c r="L291" s="27"/>
      <c r="M291" s="29">
        <f>M289/M288*100-100</f>
        <v>9.907512986190298</v>
      </c>
      <c r="N291" s="67">
        <f>N289/N288*100-100</f>
        <v>0.40097629009763125</v>
      </c>
      <c r="O291" s="26">
        <f>SUM(O284:O290)</f>
        <v>1</v>
      </c>
      <c r="P291" s="27">
        <f>SUM(P284:P290)</f>
        <v>3</v>
      </c>
      <c r="Q291" s="27"/>
      <c r="R291" s="27"/>
      <c r="S291" s="27">
        <f>SUM(S284:S290)</f>
        <v>1236</v>
      </c>
      <c r="T291" s="28">
        <f>((S291+U291)/7)/Q290</f>
        <v>0.31917418130042713</v>
      </c>
      <c r="U291" s="27">
        <f>SUM(U284:U290)</f>
        <v>109</v>
      </c>
      <c r="V291" s="28">
        <f>(U291/(U291+S291))</f>
        <v>8.1040892193308553E-2</v>
      </c>
      <c r="W291" s="27"/>
      <c r="X291" s="27"/>
      <c r="Y291" s="29">
        <f>Y289/Y288*100-100</f>
        <v>9.0264723103947802</v>
      </c>
      <c r="Z291" s="67">
        <f>Z289/Z288*100-100</f>
        <v>3.9516503951650321</v>
      </c>
      <c r="AA291" s="26">
        <f>SUM(AA284:AA290)</f>
        <v>0</v>
      </c>
      <c r="AB291" s="27">
        <f>SUM(AB284:AB290)</f>
        <v>1</v>
      </c>
      <c r="AC291" s="27"/>
      <c r="AD291" s="27"/>
      <c r="AE291" s="27">
        <f>SUM(AE284:AE290)</f>
        <v>171</v>
      </c>
      <c r="AF291" s="28">
        <f>((AE291+AG291)/7)/AC290</f>
        <v>0.19013360739979443</v>
      </c>
      <c r="AG291" s="27">
        <f>SUM(AG284:AG290)</f>
        <v>14</v>
      </c>
      <c r="AH291" s="28">
        <f>(AG291/(AG291+AE291))</f>
        <v>7.567567567567568E-2</v>
      </c>
      <c r="AI291" s="27"/>
      <c r="AJ291" s="27"/>
      <c r="AK291" s="29">
        <f>AK289/AK288*100-100</f>
        <v>8.0957810718358019</v>
      </c>
      <c r="AL291" s="67">
        <f>AL289/AL288*100-100</f>
        <v>-4.2677824267782398</v>
      </c>
      <c r="AM291" s="26">
        <f>SUM(AM284:AM290)</f>
        <v>0</v>
      </c>
      <c r="AN291" s="27">
        <f>SUM(AN284:AN290)</f>
        <v>3</v>
      </c>
      <c r="AO291" s="27"/>
      <c r="AP291" s="27"/>
      <c r="AQ291" s="27">
        <f>SUM(AQ284:AQ290)</f>
        <v>1253</v>
      </c>
      <c r="AR291" s="28">
        <f>((AQ291+AS291)/7)/AO290</f>
        <v>0.28167517006802723</v>
      </c>
      <c r="AS291" s="27">
        <f>SUM(AS284:AS290)</f>
        <v>72</v>
      </c>
      <c r="AT291" s="28">
        <f>(AS291/(AS291+AQ291))</f>
        <v>5.4339622641509433E-2</v>
      </c>
      <c r="AU291" s="27"/>
      <c r="AV291" s="27"/>
      <c r="AW291" s="29">
        <f>AW289/AW288*100-100</f>
        <v>11.122628796517063</v>
      </c>
      <c r="AX291" s="67">
        <f>AX289/AX288*100-100</f>
        <v>10.711297071129707</v>
      </c>
      <c r="AY291" s="26">
        <f>SUM(AY284:AY290)</f>
        <v>3</v>
      </c>
      <c r="AZ291" s="27">
        <f>SUM(AZ284:AZ290)</f>
        <v>3</v>
      </c>
      <c r="BA291" s="27"/>
      <c r="BB291" s="27"/>
      <c r="BC291" s="27">
        <f>SUM(BC284:BC290)</f>
        <v>1261</v>
      </c>
      <c r="BD291" s="28">
        <f>((BC291+BE291)/7)/BA290</f>
        <v>0.29231424313391524</v>
      </c>
      <c r="BE291" s="27">
        <f>SUM(BE284:BE290)</f>
        <v>112</v>
      </c>
      <c r="BF291" s="28">
        <f>(BE291/(BE291+BC291))</f>
        <v>8.1573197378004364E-2</v>
      </c>
      <c r="BG291" s="27"/>
      <c r="BH291" s="27"/>
      <c r="BI291" s="29">
        <f>BI289/BI288*100-100</f>
        <v>16.892001954715738</v>
      </c>
      <c r="BJ291" s="67">
        <f>BJ289/BJ288*100-100</f>
        <v>9.7803347280334805</v>
      </c>
      <c r="BK291" s="26">
        <f>SUM(BK284:BK290)</f>
        <v>0</v>
      </c>
      <c r="BL291" s="27">
        <f>SUM(BL284:BL290)</f>
        <v>3</v>
      </c>
      <c r="BM291" s="27"/>
      <c r="BN291" s="27"/>
      <c r="BO291" s="27">
        <f>SUM(BO284:BO290)</f>
        <v>1199</v>
      </c>
      <c r="BP291" s="28">
        <f>((BO291+BQ291)/7)/BM290</f>
        <v>0.27607624759049049</v>
      </c>
      <c r="BQ291" s="27">
        <f>SUM(BQ284:BQ290)</f>
        <v>90</v>
      </c>
      <c r="BR291" s="28">
        <f>(BQ291/(BQ291+BO291))</f>
        <v>6.9821567106283941E-2</v>
      </c>
      <c r="BS291" s="27"/>
      <c r="BT291" s="27"/>
      <c r="BU291" s="29">
        <f>BU289/BU288*100-100</f>
        <v>16.892001954715738</v>
      </c>
      <c r="BV291" s="67">
        <f>BV289/BV288*100-100</f>
        <v>16.666666666666671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7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7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7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7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7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7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7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7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7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7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7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7" t="e">
        <f>HJ289/HJ288*100-100</f>
        <v>#DIV/0!</v>
      </c>
      <c r="HK291" s="26">
        <f t="shared" si="1872"/>
        <v>6</v>
      </c>
      <c r="HL291" s="27">
        <f t="shared" si="1872"/>
        <v>17</v>
      </c>
      <c r="HM291" s="27">
        <f t="shared" si="1872"/>
        <v>0</v>
      </c>
      <c r="HN291" s="27">
        <f t="shared" si="1872"/>
        <v>0</v>
      </c>
      <c r="HO291" s="27">
        <f t="shared" si="1873"/>
        <v>6761</v>
      </c>
      <c r="HP291" s="96">
        <f>+((HO291)/HM290)/7</f>
        <v>0.2893520499871608</v>
      </c>
      <c r="HQ291" s="62">
        <f t="shared" si="1875"/>
        <v>509</v>
      </c>
      <c r="HR291" s="52">
        <f t="shared" si="1896"/>
        <v>7.5284721195089485E-2</v>
      </c>
      <c r="HS291" s="53">
        <f>SUM(HS284:HS290)/7</f>
        <v>72.099999999999994</v>
      </c>
      <c r="HT291" s="54">
        <f>SUM(HT284:HT290)</f>
        <v>6048</v>
      </c>
      <c r="HU291" s="53">
        <f>AVERAGE(HU284:HU290)</f>
        <v>89.482927955920061</v>
      </c>
      <c r="HV291" s="63">
        <f>HV289/HV288*100-100</f>
        <v>10.980484672145096</v>
      </c>
      <c r="HW291" s="67">
        <f>HW289/HW288*100-100</f>
        <v>6.3613823028048984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1.7942583732057417E-3</v>
      </c>
      <c r="HL292" s="66">
        <f>HL291/HN281</f>
        <v>6.5384615384615388E-2</v>
      </c>
      <c r="HM292" s="45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373">
        <v>57</v>
      </c>
      <c r="B293" s="40">
        <f>B290+1</f>
        <v>45165</v>
      </c>
      <c r="C293" s="33">
        <v>1</v>
      </c>
      <c r="D293" s="34"/>
      <c r="E293" s="34">
        <f>E290-C293</f>
        <v>586</v>
      </c>
      <c r="F293" s="34">
        <f>F290-D293</f>
        <v>42</v>
      </c>
      <c r="G293" s="34">
        <v>161</v>
      </c>
      <c r="H293" s="35">
        <f t="shared" ref="H293:H299" si="1897">((G293+I293)/E293)</f>
        <v>0.29522184300341298</v>
      </c>
      <c r="I293" s="34">
        <v>12</v>
      </c>
      <c r="J293" s="35">
        <f>I293/(G293+I293)</f>
        <v>6.9364161849710976E-2</v>
      </c>
      <c r="K293" s="36"/>
      <c r="L293" s="34"/>
      <c r="M293" s="34"/>
      <c r="N293" s="37"/>
      <c r="O293" s="33">
        <v>1</v>
      </c>
      <c r="P293" s="34"/>
      <c r="Q293" s="34">
        <f>Q290-O293</f>
        <v>601</v>
      </c>
      <c r="R293" s="34">
        <f>R290-P293</f>
        <v>44</v>
      </c>
      <c r="S293" s="34">
        <v>176</v>
      </c>
      <c r="T293" s="35">
        <f t="shared" ref="T293:T299" si="1898">((S293+U293)/Q293)</f>
        <v>0.31780366056572379</v>
      </c>
      <c r="U293" s="34">
        <v>15</v>
      </c>
      <c r="V293" s="35">
        <f t="shared" ref="V293:V299" si="1899">U293/(S293+U293)</f>
        <v>7.8534031413612565E-2</v>
      </c>
      <c r="W293" s="36"/>
      <c r="X293" s="34"/>
      <c r="Y293" s="34"/>
      <c r="Z293" s="37"/>
      <c r="AA293" s="33"/>
      <c r="AB293" s="34"/>
      <c r="AC293" s="34">
        <f>AC290-AA293</f>
        <v>139</v>
      </c>
      <c r="AD293" s="34">
        <f>AD290-AB293</f>
        <v>10</v>
      </c>
      <c r="AE293" s="34">
        <v>25</v>
      </c>
      <c r="AF293" s="35">
        <f t="shared" ref="AF293:AF299" si="1900">((AE293+AG293)/AC293)</f>
        <v>0.19424460431654678</v>
      </c>
      <c r="AG293" s="34">
        <v>2</v>
      </c>
      <c r="AH293" s="35">
        <f t="shared" ref="AH293:AH299" si="1901">AG293/(AE293+AG293)</f>
        <v>7.407407407407407E-2</v>
      </c>
      <c r="AI293" s="36"/>
      <c r="AJ293" s="34"/>
      <c r="AK293" s="34"/>
      <c r="AL293" s="37"/>
      <c r="AM293" s="33"/>
      <c r="AN293" s="34"/>
      <c r="AO293" s="34">
        <f>AO290-AM293</f>
        <v>672</v>
      </c>
      <c r="AP293" s="34">
        <f>AP290-AN293</f>
        <v>49</v>
      </c>
      <c r="AQ293" s="34">
        <v>182</v>
      </c>
      <c r="AR293" s="35">
        <f t="shared" ref="AR293:AR299" si="1902">((AQ293+AS293)/AO293)</f>
        <v>0.29315476190476192</v>
      </c>
      <c r="AS293" s="34">
        <v>15</v>
      </c>
      <c r="AT293" s="35">
        <f t="shared" ref="AT293:AT299" si="1903">AS293/(AQ293+AS293)</f>
        <v>7.6142131979695438E-2</v>
      </c>
      <c r="AU293" s="36"/>
      <c r="AV293" s="34"/>
      <c r="AW293" s="34"/>
      <c r="AX293" s="37"/>
      <c r="AY293" s="33"/>
      <c r="AZ293" s="34"/>
      <c r="BA293" s="34">
        <f>BA290-AY293</f>
        <v>671</v>
      </c>
      <c r="BB293" s="34">
        <f>BB290-AZ293</f>
        <v>49</v>
      </c>
      <c r="BC293" s="34">
        <v>166</v>
      </c>
      <c r="BD293" s="35">
        <f t="shared" ref="BD293:BD299" si="1904">((BC293+BE293)/BA293)</f>
        <v>0.26974664679582711</v>
      </c>
      <c r="BE293" s="34">
        <v>15</v>
      </c>
      <c r="BF293" s="35">
        <f t="shared" ref="BF293:BF299" si="1905">BE293/(BC293+BE293)</f>
        <v>8.2872928176795577E-2</v>
      </c>
      <c r="BG293" s="36"/>
      <c r="BH293" s="34"/>
      <c r="BI293" s="34"/>
      <c r="BJ293" s="37"/>
      <c r="BK293" s="33"/>
      <c r="BL293" s="34"/>
      <c r="BM293" s="34">
        <f>BM290-BK293</f>
        <v>667</v>
      </c>
      <c r="BN293" s="34">
        <f>BN290-BL293</f>
        <v>49</v>
      </c>
      <c r="BO293" s="34">
        <v>157</v>
      </c>
      <c r="BP293" s="35">
        <f t="shared" ref="BP293:BP299" si="1906">((BO293+BQ293)/BM293)</f>
        <v>0.25037481259370314</v>
      </c>
      <c r="BQ293" s="34">
        <v>10</v>
      </c>
      <c r="BR293" s="35">
        <f t="shared" ref="BR293:BR299" si="1907">BQ293/(BO293+BQ293)</f>
        <v>5.9880239520958084E-2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1908">((CA293+CC293)/BY293)</f>
        <v>#DIV/0!</v>
      </c>
      <c r="CC293" s="34"/>
      <c r="CD293" s="35" t="e">
        <f t="shared" ref="CD293:CD299" si="1909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1910">((CM293+CO293)/CK293)</f>
        <v>#DIV/0!</v>
      </c>
      <c r="CO293" s="34"/>
      <c r="CP293" s="35" t="e">
        <f t="shared" ref="CP293:CP299" si="1911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1912">((CY293+DA293)/CW293)</f>
        <v>#DIV/0!</v>
      </c>
      <c r="DA293" s="34"/>
      <c r="DB293" s="35" t="e">
        <f t="shared" ref="DB293:DB299" si="1913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1914">((DK293+DM293)/DI293)</f>
        <v>#DIV/0!</v>
      </c>
      <c r="DM293" s="34"/>
      <c r="DN293" s="35" t="e">
        <f t="shared" ref="DN293:DN299" si="1915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1916">((DW293+DY293)/DU293)</f>
        <v>#DIV/0!</v>
      </c>
      <c r="DY293" s="34"/>
      <c r="DZ293" s="35" t="e">
        <f t="shared" ref="DZ293:DZ299" si="1917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1918">((EI293+EK293)/EG293)</f>
        <v>#DIV/0!</v>
      </c>
      <c r="EK293" s="34"/>
      <c r="EL293" s="35" t="e">
        <f t="shared" ref="EL293:EL299" si="1919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1920">((EU293+EW293)/ES293)</f>
        <v>#DIV/0!</v>
      </c>
      <c r="EW293" s="34"/>
      <c r="EX293" s="35" t="e">
        <f t="shared" ref="EX293:EX299" si="1921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1922">((FG293+FI293)/FE293)</f>
        <v>#DIV/0!</v>
      </c>
      <c r="FI293" s="34"/>
      <c r="FJ293" s="35" t="e">
        <f t="shared" ref="FJ293:FJ299" si="1923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1924">((FS293+FU293)/FQ293)</f>
        <v>#DIV/0!</v>
      </c>
      <c r="FU293" s="34"/>
      <c r="FV293" s="35" t="e">
        <f t="shared" ref="FV293:FV299" si="1925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1926">((GE293+GG293)/GC293)</f>
        <v>#DIV/0!</v>
      </c>
      <c r="GG293" s="34"/>
      <c r="GH293" s="35" t="e">
        <f t="shared" ref="GH293:GH299" si="1927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1928">((GQ293+GS293)/GO293)</f>
        <v>#DIV/0!</v>
      </c>
      <c r="GS293" s="34"/>
      <c r="GT293" s="35" t="e">
        <f t="shared" ref="GT293:GT299" si="1929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1930">((HC293+HE293)/HA293)</f>
        <v>#DIV/0!</v>
      </c>
      <c r="HE293" s="34"/>
      <c r="HF293" s="35" t="e">
        <f t="shared" ref="HF293:HF299" si="1931">HE293/(HC293+HE293)</f>
        <v>#DIV/0!</v>
      </c>
      <c r="HG293" s="36"/>
      <c r="HH293" s="34"/>
      <c r="HI293" s="34"/>
      <c r="HJ293" s="37"/>
      <c r="HK293" s="33">
        <f t="shared" ref="HK293:HN300" si="1932">+C293+O293+AA293+AM293+AY293+BK293+BW293+CI293+CU293+DG293+DS293+EE293+EQ293+FC293+FO293+GA293+GM293+GY293</f>
        <v>2</v>
      </c>
      <c r="HL293" s="34">
        <f t="shared" si="1932"/>
        <v>0</v>
      </c>
      <c r="HM293" s="34">
        <f t="shared" si="1932"/>
        <v>3336</v>
      </c>
      <c r="HN293" s="34">
        <f t="shared" si="1932"/>
        <v>243</v>
      </c>
      <c r="HO293" s="34">
        <f t="shared" ref="HO293:HO300" si="1933">+G293+S293+AE293+AQ293+BC293+BO293+CA293+CM293+CY293+DK293+DW293+EI293+EU293+FG293+FS293+GE293+GQ293+HC293+I293+U293+AG293+AS293+BE293+BQ293+CC293+CO293+DA293+DM293+DY293+EK293+EW293+FI293+FU293+GG293+GS293+HE293</f>
        <v>936</v>
      </c>
      <c r="HP293" s="94">
        <f t="shared" ref="HP293:HP299" si="1934">+(HO293)/HM293</f>
        <v>0.2805755395683453</v>
      </c>
      <c r="HQ293" s="48">
        <f t="shared" ref="HQ293:HQ300" si="1935">+I293+U293+AG293+AS293+BE293+BQ293+CC293+CO293+DA293+DM293+DY293+EK293+EW293+FI293+FU293+GG293+GS293+HE293</f>
        <v>69</v>
      </c>
      <c r="HR293" s="35">
        <f>+(HQ293/(HO293))</f>
        <v>7.371794871794872E-2</v>
      </c>
      <c r="HS293" s="49">
        <v>73</v>
      </c>
      <c r="HT293" s="50">
        <v>829</v>
      </c>
      <c r="HU293" s="49">
        <f t="shared" ref="HU293:HU299" si="1936">+HT293/HO293*100</f>
        <v>88.568376068376068</v>
      </c>
      <c r="HV293" s="48"/>
      <c r="HW293" s="37"/>
    </row>
    <row r="294" spans="1:231" ht="18.75" x14ac:dyDescent="0.25">
      <c r="A294" s="374"/>
      <c r="B294" s="41">
        <f t="shared" si="1656"/>
        <v>45166</v>
      </c>
      <c r="C294" s="10"/>
      <c r="D294" s="11"/>
      <c r="E294" s="69">
        <f t="shared" ref="E294:F298" si="1937">E293-C294</f>
        <v>586</v>
      </c>
      <c r="F294" s="69">
        <f t="shared" si="1937"/>
        <v>42</v>
      </c>
      <c r="G294" s="11">
        <v>177</v>
      </c>
      <c r="H294" s="12">
        <f t="shared" si="1897"/>
        <v>0.33276450511945393</v>
      </c>
      <c r="I294" s="11">
        <v>18</v>
      </c>
      <c r="J294" s="12">
        <f t="shared" ref="J294:J299" si="1938">I294/(G294+I294)</f>
        <v>9.2307692307692313E-2</v>
      </c>
      <c r="K294" s="13"/>
      <c r="L294" s="11"/>
      <c r="M294" s="11"/>
      <c r="N294" s="14"/>
      <c r="O294" s="10"/>
      <c r="P294" s="11"/>
      <c r="Q294" s="69">
        <f t="shared" ref="Q294:R299" si="1939">Q293-O294</f>
        <v>601</v>
      </c>
      <c r="R294" s="69">
        <f t="shared" si="1939"/>
        <v>44</v>
      </c>
      <c r="S294" s="11">
        <v>177</v>
      </c>
      <c r="T294" s="12">
        <f t="shared" si="1898"/>
        <v>0.31613976705490848</v>
      </c>
      <c r="U294" s="11">
        <v>13</v>
      </c>
      <c r="V294" s="12">
        <f t="shared" si="1899"/>
        <v>6.8421052631578952E-2</v>
      </c>
      <c r="W294" s="13"/>
      <c r="X294" s="11"/>
      <c r="Y294" s="11"/>
      <c r="Z294" s="14"/>
      <c r="AA294" s="10"/>
      <c r="AB294" s="11"/>
      <c r="AC294" s="69">
        <f t="shared" ref="AC294:AD299" si="1940">AC293-AA294</f>
        <v>139</v>
      </c>
      <c r="AD294" s="69">
        <f t="shared" si="1940"/>
        <v>10</v>
      </c>
      <c r="AE294" s="11">
        <v>26</v>
      </c>
      <c r="AF294" s="12">
        <f t="shared" si="1900"/>
        <v>0.20863309352517986</v>
      </c>
      <c r="AG294" s="11">
        <v>3</v>
      </c>
      <c r="AH294" s="12">
        <f t="shared" si="1901"/>
        <v>0.10344827586206896</v>
      </c>
      <c r="AI294" s="13"/>
      <c r="AJ294" s="11"/>
      <c r="AK294" s="11"/>
      <c r="AL294" s="14"/>
      <c r="AM294" s="10"/>
      <c r="AN294" s="11"/>
      <c r="AO294" s="69">
        <f t="shared" ref="AO294:AP299" si="1941">AO293-AM294</f>
        <v>672</v>
      </c>
      <c r="AP294" s="69">
        <f t="shared" si="1941"/>
        <v>49</v>
      </c>
      <c r="AQ294" s="11">
        <v>172</v>
      </c>
      <c r="AR294" s="12">
        <f t="shared" si="1902"/>
        <v>0.27529761904761907</v>
      </c>
      <c r="AS294" s="11">
        <v>13</v>
      </c>
      <c r="AT294" s="12">
        <f t="shared" si="1903"/>
        <v>7.0270270270270274E-2</v>
      </c>
      <c r="AU294" s="13"/>
      <c r="AV294" s="11"/>
      <c r="AW294" s="11"/>
      <c r="AX294" s="14"/>
      <c r="AY294" s="10"/>
      <c r="AZ294" s="11"/>
      <c r="BA294" s="69">
        <f t="shared" ref="BA294:BB299" si="1942">BA293-AY294</f>
        <v>671</v>
      </c>
      <c r="BB294" s="69">
        <f t="shared" si="1942"/>
        <v>49</v>
      </c>
      <c r="BC294" s="11">
        <v>181</v>
      </c>
      <c r="BD294" s="12">
        <f t="shared" si="1904"/>
        <v>0.29210134128166915</v>
      </c>
      <c r="BE294" s="11">
        <v>15</v>
      </c>
      <c r="BF294" s="12">
        <f t="shared" si="1905"/>
        <v>7.6530612244897961E-2</v>
      </c>
      <c r="BG294" s="13"/>
      <c r="BH294" s="11"/>
      <c r="BI294" s="11"/>
      <c r="BJ294" s="14"/>
      <c r="BK294" s="10">
        <v>1</v>
      </c>
      <c r="BL294" s="11"/>
      <c r="BM294" s="69">
        <f t="shared" ref="BM294:BN299" si="1943">BM293-BK294</f>
        <v>666</v>
      </c>
      <c r="BN294" s="69">
        <f t="shared" si="1943"/>
        <v>49</v>
      </c>
      <c r="BO294" s="11">
        <v>181</v>
      </c>
      <c r="BP294" s="12">
        <f t="shared" si="1906"/>
        <v>0.2927927927927928</v>
      </c>
      <c r="BQ294" s="11">
        <v>14</v>
      </c>
      <c r="BR294" s="12">
        <f t="shared" si="1907"/>
        <v>7.179487179487179E-2</v>
      </c>
      <c r="BS294" s="13"/>
      <c r="BT294" s="11"/>
      <c r="BU294" s="11"/>
      <c r="BV294" s="14"/>
      <c r="BW294" s="10"/>
      <c r="BX294" s="11"/>
      <c r="BY294" s="69">
        <f t="shared" ref="BY294:BZ299" si="1944">BY293-BW294</f>
        <v>0</v>
      </c>
      <c r="BZ294" s="69">
        <f t="shared" si="1944"/>
        <v>0</v>
      </c>
      <c r="CA294" s="11"/>
      <c r="CB294" s="12" t="e">
        <f t="shared" si="1908"/>
        <v>#DIV/0!</v>
      </c>
      <c r="CC294" s="11"/>
      <c r="CD294" s="12" t="e">
        <f t="shared" si="1909"/>
        <v>#DIV/0!</v>
      </c>
      <c r="CE294" s="13"/>
      <c r="CF294" s="11"/>
      <c r="CG294" s="11"/>
      <c r="CH294" s="14"/>
      <c r="CI294" s="10"/>
      <c r="CJ294" s="11"/>
      <c r="CK294" s="69">
        <f t="shared" ref="CK294:CL299" si="1945">CK293-CI294</f>
        <v>0</v>
      </c>
      <c r="CL294" s="69">
        <f t="shared" si="1945"/>
        <v>0</v>
      </c>
      <c r="CM294" s="11"/>
      <c r="CN294" s="12" t="e">
        <f t="shared" si="1910"/>
        <v>#DIV/0!</v>
      </c>
      <c r="CO294" s="11"/>
      <c r="CP294" s="12" t="e">
        <f t="shared" si="1911"/>
        <v>#DIV/0!</v>
      </c>
      <c r="CQ294" s="13"/>
      <c r="CR294" s="11"/>
      <c r="CS294" s="11"/>
      <c r="CT294" s="14"/>
      <c r="CU294" s="10"/>
      <c r="CV294" s="11"/>
      <c r="CW294" s="69">
        <f t="shared" ref="CW294:CX299" si="1946">CW293-CU294</f>
        <v>0</v>
      </c>
      <c r="CX294" s="69">
        <f t="shared" si="1946"/>
        <v>0</v>
      </c>
      <c r="CY294" s="11"/>
      <c r="CZ294" s="12" t="e">
        <f t="shared" si="1912"/>
        <v>#DIV/0!</v>
      </c>
      <c r="DA294" s="11"/>
      <c r="DB294" s="12" t="e">
        <f t="shared" si="1913"/>
        <v>#DIV/0!</v>
      </c>
      <c r="DC294" s="13"/>
      <c r="DD294" s="11"/>
      <c r="DE294" s="11"/>
      <c r="DF294" s="14"/>
      <c r="DG294" s="10"/>
      <c r="DH294" s="11"/>
      <c r="DI294" s="69">
        <f t="shared" ref="DI294:DJ299" si="1947">DI293-DG294</f>
        <v>0</v>
      </c>
      <c r="DJ294" s="69">
        <f t="shared" si="1947"/>
        <v>0</v>
      </c>
      <c r="DK294" s="11"/>
      <c r="DL294" s="12" t="e">
        <f t="shared" si="1914"/>
        <v>#DIV/0!</v>
      </c>
      <c r="DM294" s="11"/>
      <c r="DN294" s="12" t="e">
        <f t="shared" si="1915"/>
        <v>#DIV/0!</v>
      </c>
      <c r="DO294" s="13"/>
      <c r="DP294" s="11"/>
      <c r="DQ294" s="11"/>
      <c r="DR294" s="14"/>
      <c r="DS294" s="10"/>
      <c r="DT294" s="11"/>
      <c r="DU294" s="69">
        <f t="shared" ref="DU294:DV299" si="1948">DU293-DS294</f>
        <v>0</v>
      </c>
      <c r="DV294" s="69">
        <f t="shared" si="1948"/>
        <v>0</v>
      </c>
      <c r="DW294" s="11"/>
      <c r="DX294" s="12" t="e">
        <f t="shared" si="1916"/>
        <v>#DIV/0!</v>
      </c>
      <c r="DY294" s="11"/>
      <c r="DZ294" s="12" t="e">
        <f t="shared" si="1917"/>
        <v>#DIV/0!</v>
      </c>
      <c r="EA294" s="13"/>
      <c r="EB294" s="11"/>
      <c r="EC294" s="11"/>
      <c r="ED294" s="14"/>
      <c r="EE294" s="10"/>
      <c r="EF294" s="11"/>
      <c r="EG294" s="69">
        <f t="shared" ref="EG294:EH299" si="1949">EG293-EE294</f>
        <v>0</v>
      </c>
      <c r="EH294" s="69">
        <f t="shared" si="1949"/>
        <v>0</v>
      </c>
      <c r="EI294" s="11"/>
      <c r="EJ294" s="12" t="e">
        <f t="shared" si="1918"/>
        <v>#DIV/0!</v>
      </c>
      <c r="EK294" s="11"/>
      <c r="EL294" s="12" t="e">
        <f t="shared" si="1919"/>
        <v>#DIV/0!</v>
      </c>
      <c r="EM294" s="13"/>
      <c r="EN294" s="11"/>
      <c r="EO294" s="11"/>
      <c r="EP294" s="14"/>
      <c r="EQ294" s="10"/>
      <c r="ER294" s="11"/>
      <c r="ES294" s="69">
        <f t="shared" ref="ES294:ET299" si="1950">ES293-EQ294</f>
        <v>0</v>
      </c>
      <c r="ET294" s="69">
        <f t="shared" si="1950"/>
        <v>0</v>
      </c>
      <c r="EU294" s="11"/>
      <c r="EV294" s="12" t="e">
        <f t="shared" si="1920"/>
        <v>#DIV/0!</v>
      </c>
      <c r="EW294" s="11"/>
      <c r="EX294" s="12" t="e">
        <f t="shared" si="1921"/>
        <v>#DIV/0!</v>
      </c>
      <c r="EY294" s="13"/>
      <c r="EZ294" s="11"/>
      <c r="FA294" s="11"/>
      <c r="FB294" s="14"/>
      <c r="FC294" s="10"/>
      <c r="FD294" s="11"/>
      <c r="FE294" s="69">
        <f t="shared" ref="FE294:FF299" si="1951">FE293-FC294</f>
        <v>0</v>
      </c>
      <c r="FF294" s="69">
        <f t="shared" si="1951"/>
        <v>0</v>
      </c>
      <c r="FG294" s="11"/>
      <c r="FH294" s="12" t="e">
        <f t="shared" si="1922"/>
        <v>#DIV/0!</v>
      </c>
      <c r="FI294" s="11"/>
      <c r="FJ294" s="12" t="e">
        <f t="shared" si="1923"/>
        <v>#DIV/0!</v>
      </c>
      <c r="FK294" s="13"/>
      <c r="FL294" s="11"/>
      <c r="FM294" s="11"/>
      <c r="FN294" s="14"/>
      <c r="FO294" s="10"/>
      <c r="FP294" s="11"/>
      <c r="FQ294" s="69">
        <f t="shared" ref="FQ294:FR299" si="1952">FQ293-FO294</f>
        <v>0</v>
      </c>
      <c r="FR294" s="69">
        <f t="shared" si="1952"/>
        <v>0</v>
      </c>
      <c r="FS294" s="11"/>
      <c r="FT294" s="12" t="e">
        <f t="shared" si="1924"/>
        <v>#DIV/0!</v>
      </c>
      <c r="FU294" s="11"/>
      <c r="FV294" s="12" t="e">
        <f t="shared" si="1925"/>
        <v>#DIV/0!</v>
      </c>
      <c r="FW294" s="13"/>
      <c r="FX294" s="11"/>
      <c r="FY294" s="11"/>
      <c r="FZ294" s="14"/>
      <c r="GA294" s="10"/>
      <c r="GB294" s="11"/>
      <c r="GC294" s="69">
        <f t="shared" ref="GC294:GD299" si="1953">GC293-GA294</f>
        <v>0</v>
      </c>
      <c r="GD294" s="69">
        <f t="shared" si="1953"/>
        <v>0</v>
      </c>
      <c r="GE294" s="11"/>
      <c r="GF294" s="12" t="e">
        <f t="shared" si="1926"/>
        <v>#DIV/0!</v>
      </c>
      <c r="GG294" s="11"/>
      <c r="GH294" s="12" t="e">
        <f t="shared" si="1927"/>
        <v>#DIV/0!</v>
      </c>
      <c r="GI294" s="13"/>
      <c r="GJ294" s="11"/>
      <c r="GK294" s="11"/>
      <c r="GL294" s="14"/>
      <c r="GM294" s="10"/>
      <c r="GN294" s="11"/>
      <c r="GO294" s="69">
        <f t="shared" ref="GO294:GP299" si="1954">GO293-GM294</f>
        <v>0</v>
      </c>
      <c r="GP294" s="69">
        <f t="shared" si="1954"/>
        <v>0</v>
      </c>
      <c r="GQ294" s="11"/>
      <c r="GR294" s="12" t="e">
        <f t="shared" si="1928"/>
        <v>#DIV/0!</v>
      </c>
      <c r="GS294" s="11"/>
      <c r="GT294" s="12" t="e">
        <f t="shared" si="1929"/>
        <v>#DIV/0!</v>
      </c>
      <c r="GU294" s="13"/>
      <c r="GV294" s="11"/>
      <c r="GW294" s="11"/>
      <c r="GX294" s="14"/>
      <c r="GY294" s="10"/>
      <c r="GZ294" s="11"/>
      <c r="HA294" s="69">
        <f t="shared" ref="HA294:HB299" si="1955">HA293-GY294</f>
        <v>0</v>
      </c>
      <c r="HB294" s="69">
        <f t="shared" si="1955"/>
        <v>0</v>
      </c>
      <c r="HC294" s="11"/>
      <c r="HD294" s="12" t="e">
        <f t="shared" si="1930"/>
        <v>#DIV/0!</v>
      </c>
      <c r="HE294" s="11"/>
      <c r="HF294" s="12" t="e">
        <f t="shared" si="1931"/>
        <v>#DIV/0!</v>
      </c>
      <c r="HG294" s="13"/>
      <c r="HH294" s="11"/>
      <c r="HI294" s="11"/>
      <c r="HJ294" s="14"/>
      <c r="HK294" s="10">
        <f t="shared" si="1932"/>
        <v>1</v>
      </c>
      <c r="HL294" s="11">
        <f t="shared" si="1932"/>
        <v>0</v>
      </c>
      <c r="HM294" s="11">
        <f t="shared" si="1932"/>
        <v>3335</v>
      </c>
      <c r="HN294" s="11">
        <f t="shared" si="1932"/>
        <v>243</v>
      </c>
      <c r="HO294" s="11">
        <f t="shared" si="1933"/>
        <v>990</v>
      </c>
      <c r="HP294" s="95">
        <f t="shared" si="1934"/>
        <v>0.29685157421289354</v>
      </c>
      <c r="HQ294" s="15">
        <f t="shared" si="1935"/>
        <v>76</v>
      </c>
      <c r="HR294" s="12">
        <f t="shared" ref="HR294:HR300" si="1956">+(HQ294/(HO294))</f>
        <v>7.6767676767676762E-2</v>
      </c>
      <c r="HS294" s="16">
        <v>72.400000000000006</v>
      </c>
      <c r="HT294" s="17">
        <v>875</v>
      </c>
      <c r="HU294" s="16">
        <f t="shared" si="1936"/>
        <v>88.383838383838381</v>
      </c>
      <c r="HV294" s="15"/>
      <c r="HW294" s="14"/>
    </row>
    <row r="295" spans="1:231" ht="18.75" x14ac:dyDescent="0.25">
      <c r="A295" s="374"/>
      <c r="B295" s="41">
        <f t="shared" si="1656"/>
        <v>45167</v>
      </c>
      <c r="C295" s="10">
        <v>1</v>
      </c>
      <c r="D295" s="11"/>
      <c r="E295" s="69">
        <f t="shared" si="1937"/>
        <v>585</v>
      </c>
      <c r="F295" s="69">
        <f t="shared" si="1937"/>
        <v>42</v>
      </c>
      <c r="G295" s="11">
        <v>180</v>
      </c>
      <c r="H295" s="12">
        <f t="shared" si="1897"/>
        <v>0.3264957264957265</v>
      </c>
      <c r="I295" s="11">
        <v>11</v>
      </c>
      <c r="J295" s="12">
        <f t="shared" si="1938"/>
        <v>5.7591623036649213E-2</v>
      </c>
      <c r="K295" s="13"/>
      <c r="L295" s="11"/>
      <c r="M295" s="11"/>
      <c r="N295" s="14"/>
      <c r="O295" s="10"/>
      <c r="P295" s="11"/>
      <c r="Q295" s="69">
        <f t="shared" si="1939"/>
        <v>601</v>
      </c>
      <c r="R295" s="69">
        <f t="shared" si="1939"/>
        <v>44</v>
      </c>
      <c r="S295" s="11">
        <v>196</v>
      </c>
      <c r="T295" s="12">
        <f t="shared" si="1898"/>
        <v>0.34941763727121466</v>
      </c>
      <c r="U295" s="11">
        <v>14</v>
      </c>
      <c r="V295" s="12">
        <f t="shared" si="1899"/>
        <v>6.6666666666666666E-2</v>
      </c>
      <c r="W295" s="13"/>
      <c r="X295" s="11"/>
      <c r="Y295" s="11"/>
      <c r="Z295" s="14"/>
      <c r="AA295" s="10"/>
      <c r="AB295" s="11"/>
      <c r="AC295" s="69">
        <f t="shared" si="1940"/>
        <v>139</v>
      </c>
      <c r="AD295" s="69">
        <f t="shared" si="1940"/>
        <v>10</v>
      </c>
      <c r="AE295" s="11">
        <v>24</v>
      </c>
      <c r="AF295" s="12">
        <f t="shared" si="1900"/>
        <v>0.18705035971223022</v>
      </c>
      <c r="AG295" s="11">
        <v>2</v>
      </c>
      <c r="AH295" s="12">
        <f t="shared" si="1901"/>
        <v>7.6923076923076927E-2</v>
      </c>
      <c r="AI295" s="13"/>
      <c r="AJ295" s="11"/>
      <c r="AK295" s="11"/>
      <c r="AL295" s="14"/>
      <c r="AM295" s="10"/>
      <c r="AN295" s="11"/>
      <c r="AO295" s="69">
        <f t="shared" si="1941"/>
        <v>672</v>
      </c>
      <c r="AP295" s="69">
        <f t="shared" si="1941"/>
        <v>49</v>
      </c>
      <c r="AQ295" s="11">
        <v>187</v>
      </c>
      <c r="AR295" s="12">
        <f t="shared" si="1902"/>
        <v>0.29613095238095238</v>
      </c>
      <c r="AS295" s="11">
        <v>12</v>
      </c>
      <c r="AT295" s="12">
        <f t="shared" si="1903"/>
        <v>6.030150753768844E-2</v>
      </c>
      <c r="AU295" s="13"/>
      <c r="AV295" s="11"/>
      <c r="AW295" s="11"/>
      <c r="AX295" s="14"/>
      <c r="AY295" s="10"/>
      <c r="AZ295" s="11"/>
      <c r="BA295" s="69">
        <f t="shared" si="1942"/>
        <v>671</v>
      </c>
      <c r="BB295" s="69">
        <f t="shared" si="1942"/>
        <v>49</v>
      </c>
      <c r="BC295" s="11">
        <v>175</v>
      </c>
      <c r="BD295" s="12">
        <f t="shared" si="1904"/>
        <v>0.28315946348733234</v>
      </c>
      <c r="BE295" s="11">
        <v>15</v>
      </c>
      <c r="BF295" s="12">
        <f t="shared" si="1905"/>
        <v>7.8947368421052627E-2</v>
      </c>
      <c r="BG295" s="13"/>
      <c r="BH295" s="11"/>
      <c r="BI295" s="11"/>
      <c r="BJ295" s="14"/>
      <c r="BK295" s="10"/>
      <c r="BL295" s="11"/>
      <c r="BM295" s="69">
        <f t="shared" si="1943"/>
        <v>666</v>
      </c>
      <c r="BN295" s="69">
        <f t="shared" si="1943"/>
        <v>49</v>
      </c>
      <c r="BO295" s="11">
        <v>170</v>
      </c>
      <c r="BP295" s="12">
        <f t="shared" si="1906"/>
        <v>0.27327327327327328</v>
      </c>
      <c r="BQ295" s="11">
        <v>12</v>
      </c>
      <c r="BR295" s="12">
        <f t="shared" si="1907"/>
        <v>6.5934065934065936E-2</v>
      </c>
      <c r="BS295" s="13"/>
      <c r="BT295" s="11"/>
      <c r="BU295" s="11"/>
      <c r="BV295" s="14"/>
      <c r="BW295" s="10"/>
      <c r="BX295" s="11"/>
      <c r="BY295" s="69">
        <f t="shared" si="1944"/>
        <v>0</v>
      </c>
      <c r="BZ295" s="69">
        <f t="shared" si="1944"/>
        <v>0</v>
      </c>
      <c r="CA295" s="11"/>
      <c r="CB295" s="12" t="e">
        <f t="shared" si="1908"/>
        <v>#DIV/0!</v>
      </c>
      <c r="CC295" s="11"/>
      <c r="CD295" s="12" t="e">
        <f t="shared" si="1909"/>
        <v>#DIV/0!</v>
      </c>
      <c r="CE295" s="13"/>
      <c r="CF295" s="11"/>
      <c r="CG295" s="11"/>
      <c r="CH295" s="14"/>
      <c r="CI295" s="10"/>
      <c r="CJ295" s="11"/>
      <c r="CK295" s="69">
        <f t="shared" si="1945"/>
        <v>0</v>
      </c>
      <c r="CL295" s="69">
        <f t="shared" si="1945"/>
        <v>0</v>
      </c>
      <c r="CM295" s="11"/>
      <c r="CN295" s="12" t="e">
        <f t="shared" si="1910"/>
        <v>#DIV/0!</v>
      </c>
      <c r="CO295" s="11"/>
      <c r="CP295" s="12" t="e">
        <f t="shared" si="1911"/>
        <v>#DIV/0!</v>
      </c>
      <c r="CQ295" s="13"/>
      <c r="CR295" s="11"/>
      <c r="CS295" s="11"/>
      <c r="CT295" s="14"/>
      <c r="CU295" s="10"/>
      <c r="CV295" s="11"/>
      <c r="CW295" s="69">
        <f t="shared" si="1946"/>
        <v>0</v>
      </c>
      <c r="CX295" s="69">
        <f t="shared" si="1946"/>
        <v>0</v>
      </c>
      <c r="CY295" s="11"/>
      <c r="CZ295" s="12" t="e">
        <f t="shared" si="1912"/>
        <v>#DIV/0!</v>
      </c>
      <c r="DA295" s="11"/>
      <c r="DB295" s="12" t="e">
        <f t="shared" si="1913"/>
        <v>#DIV/0!</v>
      </c>
      <c r="DC295" s="13"/>
      <c r="DD295" s="11"/>
      <c r="DE295" s="11"/>
      <c r="DF295" s="14"/>
      <c r="DG295" s="10"/>
      <c r="DH295" s="11"/>
      <c r="DI295" s="69">
        <f t="shared" si="1947"/>
        <v>0</v>
      </c>
      <c r="DJ295" s="69">
        <f t="shared" si="1947"/>
        <v>0</v>
      </c>
      <c r="DK295" s="11"/>
      <c r="DL295" s="12" t="e">
        <f t="shared" si="1914"/>
        <v>#DIV/0!</v>
      </c>
      <c r="DM295" s="11"/>
      <c r="DN295" s="12" t="e">
        <f t="shared" si="1915"/>
        <v>#DIV/0!</v>
      </c>
      <c r="DO295" s="13"/>
      <c r="DP295" s="11"/>
      <c r="DQ295" s="11"/>
      <c r="DR295" s="14"/>
      <c r="DS295" s="10"/>
      <c r="DT295" s="11"/>
      <c r="DU295" s="69">
        <f t="shared" si="1948"/>
        <v>0</v>
      </c>
      <c r="DV295" s="69">
        <f t="shared" si="1948"/>
        <v>0</v>
      </c>
      <c r="DW295" s="11"/>
      <c r="DX295" s="12" t="e">
        <f t="shared" si="1916"/>
        <v>#DIV/0!</v>
      </c>
      <c r="DY295" s="11"/>
      <c r="DZ295" s="12" t="e">
        <f t="shared" si="1917"/>
        <v>#DIV/0!</v>
      </c>
      <c r="EA295" s="13"/>
      <c r="EB295" s="11"/>
      <c r="EC295" s="11"/>
      <c r="ED295" s="14"/>
      <c r="EE295" s="10"/>
      <c r="EF295" s="11"/>
      <c r="EG295" s="69">
        <f t="shared" si="1949"/>
        <v>0</v>
      </c>
      <c r="EH295" s="69">
        <f t="shared" si="1949"/>
        <v>0</v>
      </c>
      <c r="EI295" s="11"/>
      <c r="EJ295" s="12" t="e">
        <f t="shared" si="1918"/>
        <v>#DIV/0!</v>
      </c>
      <c r="EK295" s="11"/>
      <c r="EL295" s="12" t="e">
        <f t="shared" si="1919"/>
        <v>#DIV/0!</v>
      </c>
      <c r="EM295" s="13"/>
      <c r="EN295" s="11"/>
      <c r="EO295" s="11"/>
      <c r="EP295" s="14"/>
      <c r="EQ295" s="10"/>
      <c r="ER295" s="11"/>
      <c r="ES295" s="69">
        <f t="shared" si="1950"/>
        <v>0</v>
      </c>
      <c r="ET295" s="69">
        <f t="shared" si="1950"/>
        <v>0</v>
      </c>
      <c r="EU295" s="11"/>
      <c r="EV295" s="12" t="e">
        <f t="shared" si="1920"/>
        <v>#DIV/0!</v>
      </c>
      <c r="EW295" s="11"/>
      <c r="EX295" s="12" t="e">
        <f t="shared" si="1921"/>
        <v>#DIV/0!</v>
      </c>
      <c r="EY295" s="13"/>
      <c r="EZ295" s="11"/>
      <c r="FA295" s="11"/>
      <c r="FB295" s="14"/>
      <c r="FC295" s="10"/>
      <c r="FD295" s="11"/>
      <c r="FE295" s="69">
        <f t="shared" si="1951"/>
        <v>0</v>
      </c>
      <c r="FF295" s="69">
        <f t="shared" si="1951"/>
        <v>0</v>
      </c>
      <c r="FG295" s="11"/>
      <c r="FH295" s="12" t="e">
        <f t="shared" si="1922"/>
        <v>#DIV/0!</v>
      </c>
      <c r="FI295" s="11"/>
      <c r="FJ295" s="12" t="e">
        <f t="shared" si="1923"/>
        <v>#DIV/0!</v>
      </c>
      <c r="FK295" s="13"/>
      <c r="FL295" s="11"/>
      <c r="FM295" s="11"/>
      <c r="FN295" s="14"/>
      <c r="FO295" s="10"/>
      <c r="FP295" s="11"/>
      <c r="FQ295" s="69">
        <f t="shared" si="1952"/>
        <v>0</v>
      </c>
      <c r="FR295" s="69">
        <f t="shared" si="1952"/>
        <v>0</v>
      </c>
      <c r="FS295" s="11"/>
      <c r="FT295" s="12" t="e">
        <f t="shared" si="1924"/>
        <v>#DIV/0!</v>
      </c>
      <c r="FU295" s="11"/>
      <c r="FV295" s="12" t="e">
        <f t="shared" si="1925"/>
        <v>#DIV/0!</v>
      </c>
      <c r="FW295" s="13"/>
      <c r="FX295" s="11"/>
      <c r="FY295" s="11"/>
      <c r="FZ295" s="14"/>
      <c r="GA295" s="10"/>
      <c r="GB295" s="11"/>
      <c r="GC295" s="69">
        <f t="shared" si="1953"/>
        <v>0</v>
      </c>
      <c r="GD295" s="69">
        <f t="shared" si="1953"/>
        <v>0</v>
      </c>
      <c r="GE295" s="11"/>
      <c r="GF295" s="12" t="e">
        <f t="shared" si="1926"/>
        <v>#DIV/0!</v>
      </c>
      <c r="GG295" s="11"/>
      <c r="GH295" s="12" t="e">
        <f t="shared" si="1927"/>
        <v>#DIV/0!</v>
      </c>
      <c r="GI295" s="13"/>
      <c r="GJ295" s="11"/>
      <c r="GK295" s="11"/>
      <c r="GL295" s="14"/>
      <c r="GM295" s="10"/>
      <c r="GN295" s="11"/>
      <c r="GO295" s="69">
        <f t="shared" si="1954"/>
        <v>0</v>
      </c>
      <c r="GP295" s="69">
        <f t="shared" si="1954"/>
        <v>0</v>
      </c>
      <c r="GQ295" s="11"/>
      <c r="GR295" s="12" t="e">
        <f t="shared" si="1928"/>
        <v>#DIV/0!</v>
      </c>
      <c r="GS295" s="11"/>
      <c r="GT295" s="12" t="e">
        <f t="shared" si="1929"/>
        <v>#DIV/0!</v>
      </c>
      <c r="GU295" s="13"/>
      <c r="GV295" s="11"/>
      <c r="GW295" s="11"/>
      <c r="GX295" s="14"/>
      <c r="GY295" s="10"/>
      <c r="GZ295" s="11"/>
      <c r="HA295" s="69">
        <f t="shared" si="1955"/>
        <v>0</v>
      </c>
      <c r="HB295" s="69">
        <f t="shared" si="1955"/>
        <v>0</v>
      </c>
      <c r="HC295" s="11"/>
      <c r="HD295" s="12" t="e">
        <f t="shared" si="1930"/>
        <v>#DIV/0!</v>
      </c>
      <c r="HE295" s="11"/>
      <c r="HF295" s="12" t="e">
        <f t="shared" si="1931"/>
        <v>#DIV/0!</v>
      </c>
      <c r="HG295" s="13"/>
      <c r="HH295" s="11"/>
      <c r="HI295" s="11"/>
      <c r="HJ295" s="14"/>
      <c r="HK295" s="10">
        <f t="shared" si="1932"/>
        <v>1</v>
      </c>
      <c r="HL295" s="11">
        <f t="shared" si="1932"/>
        <v>0</v>
      </c>
      <c r="HM295" s="11">
        <f t="shared" si="1932"/>
        <v>3334</v>
      </c>
      <c r="HN295" s="11">
        <f t="shared" si="1932"/>
        <v>243</v>
      </c>
      <c r="HO295" s="11">
        <f t="shared" si="1933"/>
        <v>998</v>
      </c>
      <c r="HP295" s="95">
        <f t="shared" si="1934"/>
        <v>0.29934013197360526</v>
      </c>
      <c r="HQ295" s="15">
        <f t="shared" si="1935"/>
        <v>66</v>
      </c>
      <c r="HR295" s="12">
        <f t="shared" si="1956"/>
        <v>6.6132264529058113E-2</v>
      </c>
      <c r="HS295" s="16">
        <v>72.5</v>
      </c>
      <c r="HT295" s="17">
        <v>897</v>
      </c>
      <c r="HU295" s="16">
        <f t="shared" si="1936"/>
        <v>89.879759519038075</v>
      </c>
      <c r="HV295" s="15"/>
      <c r="HW295" s="14"/>
    </row>
    <row r="296" spans="1:231" ht="18.75" x14ac:dyDescent="0.25">
      <c r="A296" s="374"/>
      <c r="B296" s="41">
        <f t="shared" si="1656"/>
        <v>45168</v>
      </c>
      <c r="C296" s="10"/>
      <c r="D296" s="11"/>
      <c r="E296" s="69">
        <f t="shared" si="1937"/>
        <v>585</v>
      </c>
      <c r="F296" s="69">
        <f t="shared" si="1937"/>
        <v>42</v>
      </c>
      <c r="G296" s="11">
        <v>148</v>
      </c>
      <c r="H296" s="12">
        <f t="shared" si="1897"/>
        <v>0.27521367521367524</v>
      </c>
      <c r="I296" s="11">
        <v>13</v>
      </c>
      <c r="J296" s="12">
        <f t="shared" si="1938"/>
        <v>8.0745341614906832E-2</v>
      </c>
      <c r="K296" s="11"/>
      <c r="L296" s="11"/>
      <c r="M296" s="18"/>
      <c r="N296" s="20"/>
      <c r="O296" s="10">
        <v>2</v>
      </c>
      <c r="P296" s="11"/>
      <c r="Q296" s="69">
        <f t="shared" si="1939"/>
        <v>599</v>
      </c>
      <c r="R296" s="69">
        <f t="shared" si="1939"/>
        <v>44</v>
      </c>
      <c r="S296" s="11">
        <v>167</v>
      </c>
      <c r="T296" s="12">
        <f t="shared" si="1898"/>
        <v>0.29382303839732887</v>
      </c>
      <c r="U296" s="11">
        <v>9</v>
      </c>
      <c r="V296" s="12">
        <f t="shared" si="1899"/>
        <v>5.113636363636364E-2</v>
      </c>
      <c r="W296" s="11"/>
      <c r="X296" s="11"/>
      <c r="Y296" s="18"/>
      <c r="Z296" s="20"/>
      <c r="AA296" s="10"/>
      <c r="AB296" s="11"/>
      <c r="AC296" s="69">
        <f t="shared" si="1940"/>
        <v>139</v>
      </c>
      <c r="AD296" s="69">
        <f t="shared" si="1940"/>
        <v>10</v>
      </c>
      <c r="AE296" s="11">
        <v>30</v>
      </c>
      <c r="AF296" s="12">
        <f t="shared" si="1900"/>
        <v>0.23741007194244604</v>
      </c>
      <c r="AG296" s="11">
        <v>3</v>
      </c>
      <c r="AH296" s="12">
        <f t="shared" si="1901"/>
        <v>9.0909090909090912E-2</v>
      </c>
      <c r="AI296" s="11"/>
      <c r="AJ296" s="11"/>
      <c r="AK296" s="18"/>
      <c r="AL296" s="20"/>
      <c r="AM296" s="10">
        <v>1</v>
      </c>
      <c r="AN296" s="11"/>
      <c r="AO296" s="69">
        <f t="shared" si="1941"/>
        <v>671</v>
      </c>
      <c r="AP296" s="69">
        <f t="shared" si="1941"/>
        <v>49</v>
      </c>
      <c r="AQ296" s="11">
        <v>179</v>
      </c>
      <c r="AR296" s="12">
        <f t="shared" si="1902"/>
        <v>0.28017883755588674</v>
      </c>
      <c r="AS296" s="11">
        <v>9</v>
      </c>
      <c r="AT296" s="12">
        <f t="shared" si="1903"/>
        <v>4.7872340425531915E-2</v>
      </c>
      <c r="AU296" s="11"/>
      <c r="AV296" s="11"/>
      <c r="AW296" s="18"/>
      <c r="AX296" s="20"/>
      <c r="AY296" s="10"/>
      <c r="AZ296" s="11"/>
      <c r="BA296" s="69">
        <f t="shared" si="1942"/>
        <v>671</v>
      </c>
      <c r="BB296" s="69">
        <f t="shared" si="1942"/>
        <v>49</v>
      </c>
      <c r="BC296" s="11">
        <v>173</v>
      </c>
      <c r="BD296" s="12">
        <f t="shared" si="1904"/>
        <v>0.26974664679582711</v>
      </c>
      <c r="BE296" s="11">
        <v>8</v>
      </c>
      <c r="BF296" s="12">
        <f t="shared" si="1905"/>
        <v>4.4198895027624308E-2</v>
      </c>
      <c r="BG296" s="11"/>
      <c r="BH296" s="11"/>
      <c r="BI296" s="18"/>
      <c r="BJ296" s="20"/>
      <c r="BK296" s="10">
        <v>1</v>
      </c>
      <c r="BL296" s="11"/>
      <c r="BM296" s="69">
        <f t="shared" si="1943"/>
        <v>665</v>
      </c>
      <c r="BN296" s="69">
        <f t="shared" si="1943"/>
        <v>49</v>
      </c>
      <c r="BO296" s="11">
        <v>171</v>
      </c>
      <c r="BP296" s="12">
        <f t="shared" si="1906"/>
        <v>0.26917293233082706</v>
      </c>
      <c r="BQ296" s="11">
        <v>8</v>
      </c>
      <c r="BR296" s="12">
        <f t="shared" si="1907"/>
        <v>4.4692737430167599E-2</v>
      </c>
      <c r="BS296" s="11"/>
      <c r="BT296" s="11"/>
      <c r="BU296" s="18"/>
      <c r="BV296" s="20"/>
      <c r="BW296" s="10"/>
      <c r="BX296" s="11"/>
      <c r="BY296" s="69">
        <f t="shared" si="1944"/>
        <v>0</v>
      </c>
      <c r="BZ296" s="69">
        <f t="shared" si="1944"/>
        <v>0</v>
      </c>
      <c r="CA296" s="11"/>
      <c r="CB296" s="12" t="e">
        <f t="shared" si="1908"/>
        <v>#DIV/0!</v>
      </c>
      <c r="CC296" s="11"/>
      <c r="CD296" s="12" t="e">
        <f t="shared" si="1909"/>
        <v>#DIV/0!</v>
      </c>
      <c r="CE296" s="11"/>
      <c r="CF296" s="11"/>
      <c r="CG296" s="18"/>
      <c r="CH296" s="20"/>
      <c r="CI296" s="10"/>
      <c r="CJ296" s="11"/>
      <c r="CK296" s="69">
        <f t="shared" si="1945"/>
        <v>0</v>
      </c>
      <c r="CL296" s="69">
        <f t="shared" si="1945"/>
        <v>0</v>
      </c>
      <c r="CM296" s="11"/>
      <c r="CN296" s="12" t="e">
        <f t="shared" si="1910"/>
        <v>#DIV/0!</v>
      </c>
      <c r="CO296" s="11"/>
      <c r="CP296" s="12" t="e">
        <f t="shared" si="1911"/>
        <v>#DIV/0!</v>
      </c>
      <c r="CQ296" s="11"/>
      <c r="CR296" s="11"/>
      <c r="CS296" s="18"/>
      <c r="CT296" s="20"/>
      <c r="CU296" s="10"/>
      <c r="CV296" s="11"/>
      <c r="CW296" s="69">
        <f t="shared" si="1946"/>
        <v>0</v>
      </c>
      <c r="CX296" s="69">
        <f t="shared" si="1946"/>
        <v>0</v>
      </c>
      <c r="CY296" s="11"/>
      <c r="CZ296" s="12" t="e">
        <f t="shared" si="1912"/>
        <v>#DIV/0!</v>
      </c>
      <c r="DA296" s="11"/>
      <c r="DB296" s="12" t="e">
        <f t="shared" si="1913"/>
        <v>#DIV/0!</v>
      </c>
      <c r="DC296" s="11"/>
      <c r="DD296" s="11"/>
      <c r="DE296" s="18"/>
      <c r="DF296" s="20"/>
      <c r="DG296" s="10"/>
      <c r="DH296" s="11"/>
      <c r="DI296" s="69">
        <f t="shared" si="1947"/>
        <v>0</v>
      </c>
      <c r="DJ296" s="69">
        <f t="shared" si="1947"/>
        <v>0</v>
      </c>
      <c r="DK296" s="11"/>
      <c r="DL296" s="12" t="e">
        <f t="shared" si="1914"/>
        <v>#DIV/0!</v>
      </c>
      <c r="DM296" s="11"/>
      <c r="DN296" s="12" t="e">
        <f t="shared" si="1915"/>
        <v>#DIV/0!</v>
      </c>
      <c r="DO296" s="11"/>
      <c r="DP296" s="11"/>
      <c r="DQ296" s="18"/>
      <c r="DR296" s="20"/>
      <c r="DS296" s="10"/>
      <c r="DT296" s="11"/>
      <c r="DU296" s="69">
        <f t="shared" si="1948"/>
        <v>0</v>
      </c>
      <c r="DV296" s="69">
        <f t="shared" si="1948"/>
        <v>0</v>
      </c>
      <c r="DW296" s="11"/>
      <c r="DX296" s="12" t="e">
        <f t="shared" si="1916"/>
        <v>#DIV/0!</v>
      </c>
      <c r="DY296" s="11"/>
      <c r="DZ296" s="12" t="e">
        <f t="shared" si="1917"/>
        <v>#DIV/0!</v>
      </c>
      <c r="EA296" s="11"/>
      <c r="EB296" s="11"/>
      <c r="EC296" s="18"/>
      <c r="ED296" s="20"/>
      <c r="EE296" s="10"/>
      <c r="EF296" s="11"/>
      <c r="EG296" s="69">
        <f t="shared" si="1949"/>
        <v>0</v>
      </c>
      <c r="EH296" s="69">
        <f t="shared" si="1949"/>
        <v>0</v>
      </c>
      <c r="EI296" s="11"/>
      <c r="EJ296" s="12" t="e">
        <f t="shared" si="1918"/>
        <v>#DIV/0!</v>
      </c>
      <c r="EK296" s="11"/>
      <c r="EL296" s="12" t="e">
        <f t="shared" si="1919"/>
        <v>#DIV/0!</v>
      </c>
      <c r="EM296" s="11"/>
      <c r="EN296" s="11"/>
      <c r="EO296" s="18"/>
      <c r="EP296" s="20"/>
      <c r="EQ296" s="10"/>
      <c r="ER296" s="11"/>
      <c r="ES296" s="69">
        <f t="shared" si="1950"/>
        <v>0</v>
      </c>
      <c r="ET296" s="69">
        <f t="shared" si="1950"/>
        <v>0</v>
      </c>
      <c r="EU296" s="11"/>
      <c r="EV296" s="12" t="e">
        <f t="shared" si="1920"/>
        <v>#DIV/0!</v>
      </c>
      <c r="EW296" s="11"/>
      <c r="EX296" s="12" t="e">
        <f t="shared" si="1921"/>
        <v>#DIV/0!</v>
      </c>
      <c r="EY296" s="11"/>
      <c r="EZ296" s="11"/>
      <c r="FA296" s="18"/>
      <c r="FB296" s="20"/>
      <c r="FC296" s="10"/>
      <c r="FD296" s="11"/>
      <c r="FE296" s="69">
        <f t="shared" si="1951"/>
        <v>0</v>
      </c>
      <c r="FF296" s="69">
        <f t="shared" si="1951"/>
        <v>0</v>
      </c>
      <c r="FG296" s="11"/>
      <c r="FH296" s="12" t="e">
        <f t="shared" si="1922"/>
        <v>#DIV/0!</v>
      </c>
      <c r="FI296" s="11"/>
      <c r="FJ296" s="12" t="e">
        <f t="shared" si="1923"/>
        <v>#DIV/0!</v>
      </c>
      <c r="FK296" s="11"/>
      <c r="FL296" s="11"/>
      <c r="FM296" s="18"/>
      <c r="FN296" s="20"/>
      <c r="FO296" s="10"/>
      <c r="FP296" s="11"/>
      <c r="FQ296" s="69">
        <f t="shared" si="1952"/>
        <v>0</v>
      </c>
      <c r="FR296" s="69">
        <f t="shared" si="1952"/>
        <v>0</v>
      </c>
      <c r="FS296" s="11"/>
      <c r="FT296" s="12" t="e">
        <f t="shared" si="1924"/>
        <v>#DIV/0!</v>
      </c>
      <c r="FU296" s="11"/>
      <c r="FV296" s="12" t="e">
        <f t="shared" si="1925"/>
        <v>#DIV/0!</v>
      </c>
      <c r="FW296" s="11"/>
      <c r="FX296" s="11"/>
      <c r="FY296" s="18"/>
      <c r="FZ296" s="20"/>
      <c r="GA296" s="10"/>
      <c r="GB296" s="11"/>
      <c r="GC296" s="69">
        <f t="shared" si="1953"/>
        <v>0</v>
      </c>
      <c r="GD296" s="69">
        <f t="shared" si="1953"/>
        <v>0</v>
      </c>
      <c r="GE296" s="11"/>
      <c r="GF296" s="12" t="e">
        <f t="shared" si="1926"/>
        <v>#DIV/0!</v>
      </c>
      <c r="GG296" s="11"/>
      <c r="GH296" s="12" t="e">
        <f t="shared" si="1927"/>
        <v>#DIV/0!</v>
      </c>
      <c r="GI296" s="11"/>
      <c r="GJ296" s="11"/>
      <c r="GK296" s="18"/>
      <c r="GL296" s="20"/>
      <c r="GM296" s="10"/>
      <c r="GN296" s="11"/>
      <c r="GO296" s="69">
        <f t="shared" si="1954"/>
        <v>0</v>
      </c>
      <c r="GP296" s="69">
        <f t="shared" si="1954"/>
        <v>0</v>
      </c>
      <c r="GQ296" s="11"/>
      <c r="GR296" s="12" t="e">
        <f t="shared" si="1928"/>
        <v>#DIV/0!</v>
      </c>
      <c r="GS296" s="11"/>
      <c r="GT296" s="12" t="e">
        <f t="shared" si="1929"/>
        <v>#DIV/0!</v>
      </c>
      <c r="GU296" s="11"/>
      <c r="GV296" s="11"/>
      <c r="GW296" s="18"/>
      <c r="GX296" s="20"/>
      <c r="GY296" s="10"/>
      <c r="GZ296" s="11"/>
      <c r="HA296" s="69">
        <f t="shared" si="1955"/>
        <v>0</v>
      </c>
      <c r="HB296" s="69">
        <f t="shared" si="1955"/>
        <v>0</v>
      </c>
      <c r="HC296" s="11"/>
      <c r="HD296" s="12" t="e">
        <f t="shared" si="1930"/>
        <v>#DIV/0!</v>
      </c>
      <c r="HE296" s="11"/>
      <c r="HF296" s="12" t="e">
        <f t="shared" si="1931"/>
        <v>#DIV/0!</v>
      </c>
      <c r="HG296" s="11"/>
      <c r="HH296" s="11"/>
      <c r="HI296" s="18"/>
      <c r="HJ296" s="20"/>
      <c r="HK296" s="10">
        <f t="shared" si="1932"/>
        <v>4</v>
      </c>
      <c r="HL296" s="11">
        <f t="shared" si="1932"/>
        <v>0</v>
      </c>
      <c r="HM296" s="11">
        <f t="shared" si="1932"/>
        <v>3330</v>
      </c>
      <c r="HN296" s="11">
        <f t="shared" si="1932"/>
        <v>243</v>
      </c>
      <c r="HO296" s="11">
        <f t="shared" si="1933"/>
        <v>918</v>
      </c>
      <c r="HP296" s="95">
        <f t="shared" si="1934"/>
        <v>0.27567567567567569</v>
      </c>
      <c r="HQ296" s="15">
        <f t="shared" si="1935"/>
        <v>50</v>
      </c>
      <c r="HR296" s="12">
        <f t="shared" si="1956"/>
        <v>5.4466230936819175E-2</v>
      </c>
      <c r="HS296" s="16">
        <v>72.599999999999994</v>
      </c>
      <c r="HT296" s="17">
        <v>832</v>
      </c>
      <c r="HU296" s="16">
        <f t="shared" si="1936"/>
        <v>90.631808278867098</v>
      </c>
      <c r="HV296" s="18"/>
      <c r="HW296" s="20"/>
    </row>
    <row r="297" spans="1:231" ht="18.75" x14ac:dyDescent="0.25">
      <c r="A297" s="374"/>
      <c r="B297" s="41">
        <f t="shared" si="1656"/>
        <v>45169</v>
      </c>
      <c r="C297" s="10"/>
      <c r="D297" s="11"/>
      <c r="E297" s="69">
        <f t="shared" si="1937"/>
        <v>585</v>
      </c>
      <c r="F297" s="69">
        <f t="shared" si="1937"/>
        <v>42</v>
      </c>
      <c r="G297" s="11">
        <v>178</v>
      </c>
      <c r="H297" s="12">
        <f t="shared" si="1897"/>
        <v>0.31794871794871793</v>
      </c>
      <c r="I297" s="11">
        <v>8</v>
      </c>
      <c r="J297" s="12">
        <f t="shared" si="1938"/>
        <v>4.3010752688172046E-2</v>
      </c>
      <c r="K297" s="13"/>
      <c r="L297" s="13"/>
      <c r="M297" s="25"/>
      <c r="N297" s="38">
        <v>4800</v>
      </c>
      <c r="O297" s="10"/>
      <c r="P297" s="11"/>
      <c r="Q297" s="69">
        <f t="shared" si="1939"/>
        <v>599</v>
      </c>
      <c r="R297" s="69">
        <f t="shared" si="1939"/>
        <v>44</v>
      </c>
      <c r="S297" s="11">
        <v>196</v>
      </c>
      <c r="T297" s="12">
        <f t="shared" si="1898"/>
        <v>0.34557595993322204</v>
      </c>
      <c r="U297" s="11">
        <v>11</v>
      </c>
      <c r="V297" s="12">
        <f t="shared" si="1899"/>
        <v>5.3140096618357488E-2</v>
      </c>
      <c r="W297" s="13"/>
      <c r="X297" s="13"/>
      <c r="Y297" s="25"/>
      <c r="Z297" s="38">
        <v>4800</v>
      </c>
      <c r="AA297" s="10"/>
      <c r="AB297" s="11"/>
      <c r="AC297" s="69">
        <f t="shared" si="1940"/>
        <v>139</v>
      </c>
      <c r="AD297" s="69">
        <f t="shared" si="1940"/>
        <v>10</v>
      </c>
      <c r="AE297" s="11">
        <v>31</v>
      </c>
      <c r="AF297" s="12">
        <f t="shared" si="1900"/>
        <v>0.2446043165467626</v>
      </c>
      <c r="AG297" s="11">
        <v>3</v>
      </c>
      <c r="AH297" s="12">
        <f t="shared" si="1901"/>
        <v>8.8235294117647065E-2</v>
      </c>
      <c r="AI297" s="13"/>
      <c r="AJ297" s="13"/>
      <c r="AK297" s="25"/>
      <c r="AL297" s="38">
        <v>4800</v>
      </c>
      <c r="AM297" s="10">
        <v>1</v>
      </c>
      <c r="AN297" s="11"/>
      <c r="AO297" s="69">
        <f t="shared" si="1941"/>
        <v>670</v>
      </c>
      <c r="AP297" s="69">
        <f t="shared" si="1941"/>
        <v>49</v>
      </c>
      <c r="AQ297" s="11">
        <v>182</v>
      </c>
      <c r="AR297" s="12">
        <f t="shared" si="1902"/>
        <v>0.28805970149253729</v>
      </c>
      <c r="AS297" s="11">
        <v>11</v>
      </c>
      <c r="AT297" s="12">
        <f t="shared" si="1903"/>
        <v>5.6994818652849742E-2</v>
      </c>
      <c r="AU297" s="13"/>
      <c r="AV297" s="13"/>
      <c r="AW297" s="25"/>
      <c r="AX297" s="38">
        <v>4800</v>
      </c>
      <c r="AY297" s="10">
        <v>1</v>
      </c>
      <c r="AZ297" s="11"/>
      <c r="BA297" s="69">
        <f t="shared" si="1942"/>
        <v>670</v>
      </c>
      <c r="BB297" s="69">
        <f t="shared" si="1942"/>
        <v>49</v>
      </c>
      <c r="BC297" s="11">
        <v>177</v>
      </c>
      <c r="BD297" s="12">
        <f t="shared" si="1904"/>
        <v>0.28656716417910449</v>
      </c>
      <c r="BE297" s="11">
        <v>15</v>
      </c>
      <c r="BF297" s="12">
        <f t="shared" si="1905"/>
        <v>7.8125E-2</v>
      </c>
      <c r="BG297" s="13"/>
      <c r="BH297" s="13"/>
      <c r="BI297" s="25"/>
      <c r="BJ297" s="38">
        <v>4800</v>
      </c>
      <c r="BK297" s="10">
        <v>1</v>
      </c>
      <c r="BL297" s="11"/>
      <c r="BM297" s="69">
        <f t="shared" si="1943"/>
        <v>664</v>
      </c>
      <c r="BN297" s="69">
        <f t="shared" si="1943"/>
        <v>49</v>
      </c>
      <c r="BO297" s="11">
        <v>174</v>
      </c>
      <c r="BP297" s="12">
        <f t="shared" si="1906"/>
        <v>0.2740963855421687</v>
      </c>
      <c r="BQ297" s="11">
        <v>8</v>
      </c>
      <c r="BR297" s="12">
        <f t="shared" si="1907"/>
        <v>4.3956043956043959E-2</v>
      </c>
      <c r="BS297" s="13"/>
      <c r="BT297" s="13"/>
      <c r="BU297" s="25"/>
      <c r="BV297" s="38">
        <v>4800</v>
      </c>
      <c r="BW297" s="10"/>
      <c r="BX297" s="11"/>
      <c r="BY297" s="69">
        <f t="shared" si="1944"/>
        <v>0</v>
      </c>
      <c r="BZ297" s="69">
        <f t="shared" si="1944"/>
        <v>0</v>
      </c>
      <c r="CA297" s="11"/>
      <c r="CB297" s="12" t="e">
        <f t="shared" si="1908"/>
        <v>#DIV/0!</v>
      </c>
      <c r="CC297" s="11"/>
      <c r="CD297" s="12" t="e">
        <f t="shared" si="1909"/>
        <v>#DIV/0!</v>
      </c>
      <c r="CE297" s="13"/>
      <c r="CF297" s="13"/>
      <c r="CG297" s="25"/>
      <c r="CH297" s="38"/>
      <c r="CI297" s="10"/>
      <c r="CJ297" s="11"/>
      <c r="CK297" s="69">
        <f t="shared" si="1945"/>
        <v>0</v>
      </c>
      <c r="CL297" s="69">
        <f t="shared" si="1945"/>
        <v>0</v>
      </c>
      <c r="CM297" s="11"/>
      <c r="CN297" s="12" t="e">
        <f t="shared" si="1910"/>
        <v>#DIV/0!</v>
      </c>
      <c r="CO297" s="11"/>
      <c r="CP297" s="12" t="e">
        <f t="shared" si="1911"/>
        <v>#DIV/0!</v>
      </c>
      <c r="CQ297" s="13"/>
      <c r="CR297" s="13"/>
      <c r="CS297" s="25"/>
      <c r="CT297" s="38"/>
      <c r="CU297" s="10"/>
      <c r="CV297" s="11"/>
      <c r="CW297" s="69">
        <f t="shared" si="1946"/>
        <v>0</v>
      </c>
      <c r="CX297" s="69">
        <f t="shared" si="1946"/>
        <v>0</v>
      </c>
      <c r="CY297" s="11"/>
      <c r="CZ297" s="12" t="e">
        <f t="shared" si="1912"/>
        <v>#DIV/0!</v>
      </c>
      <c r="DA297" s="11"/>
      <c r="DB297" s="12" t="e">
        <f t="shared" si="1913"/>
        <v>#DIV/0!</v>
      </c>
      <c r="DC297" s="13"/>
      <c r="DD297" s="13"/>
      <c r="DE297" s="25"/>
      <c r="DF297" s="38"/>
      <c r="DG297" s="10"/>
      <c r="DH297" s="11"/>
      <c r="DI297" s="69">
        <f t="shared" si="1947"/>
        <v>0</v>
      </c>
      <c r="DJ297" s="69">
        <f t="shared" si="1947"/>
        <v>0</v>
      </c>
      <c r="DK297" s="11"/>
      <c r="DL297" s="12" t="e">
        <f t="shared" si="1914"/>
        <v>#DIV/0!</v>
      </c>
      <c r="DM297" s="11"/>
      <c r="DN297" s="12" t="e">
        <f t="shared" si="1915"/>
        <v>#DIV/0!</v>
      </c>
      <c r="DO297" s="13"/>
      <c r="DP297" s="13"/>
      <c r="DQ297" s="25"/>
      <c r="DR297" s="38"/>
      <c r="DS297" s="10"/>
      <c r="DT297" s="11"/>
      <c r="DU297" s="69">
        <f t="shared" si="1948"/>
        <v>0</v>
      </c>
      <c r="DV297" s="69">
        <f t="shared" si="1948"/>
        <v>0</v>
      </c>
      <c r="DW297" s="11"/>
      <c r="DX297" s="12" t="e">
        <f t="shared" si="1916"/>
        <v>#DIV/0!</v>
      </c>
      <c r="DY297" s="11"/>
      <c r="DZ297" s="12" t="e">
        <f t="shared" si="1917"/>
        <v>#DIV/0!</v>
      </c>
      <c r="EA297" s="13"/>
      <c r="EB297" s="13"/>
      <c r="EC297" s="25"/>
      <c r="ED297" s="38"/>
      <c r="EE297" s="10"/>
      <c r="EF297" s="11"/>
      <c r="EG297" s="69">
        <f t="shared" si="1949"/>
        <v>0</v>
      </c>
      <c r="EH297" s="69">
        <f t="shared" si="1949"/>
        <v>0</v>
      </c>
      <c r="EI297" s="11"/>
      <c r="EJ297" s="12" t="e">
        <f t="shared" si="1918"/>
        <v>#DIV/0!</v>
      </c>
      <c r="EK297" s="11"/>
      <c r="EL297" s="12" t="e">
        <f t="shared" si="1919"/>
        <v>#DIV/0!</v>
      </c>
      <c r="EM297" s="13"/>
      <c r="EN297" s="13"/>
      <c r="EO297" s="25"/>
      <c r="EP297" s="38"/>
      <c r="EQ297" s="10"/>
      <c r="ER297" s="11"/>
      <c r="ES297" s="69">
        <f t="shared" si="1950"/>
        <v>0</v>
      </c>
      <c r="ET297" s="69">
        <f t="shared" si="1950"/>
        <v>0</v>
      </c>
      <c r="EU297" s="11"/>
      <c r="EV297" s="12" t="e">
        <f t="shared" si="1920"/>
        <v>#DIV/0!</v>
      </c>
      <c r="EW297" s="11"/>
      <c r="EX297" s="12" t="e">
        <f t="shared" si="1921"/>
        <v>#DIV/0!</v>
      </c>
      <c r="EY297" s="13"/>
      <c r="EZ297" s="13"/>
      <c r="FA297" s="25"/>
      <c r="FB297" s="38"/>
      <c r="FC297" s="10"/>
      <c r="FD297" s="11"/>
      <c r="FE297" s="69">
        <f t="shared" si="1951"/>
        <v>0</v>
      </c>
      <c r="FF297" s="69">
        <f t="shared" si="1951"/>
        <v>0</v>
      </c>
      <c r="FG297" s="11"/>
      <c r="FH297" s="12" t="e">
        <f t="shared" si="1922"/>
        <v>#DIV/0!</v>
      </c>
      <c r="FI297" s="11"/>
      <c r="FJ297" s="12" t="e">
        <f t="shared" si="1923"/>
        <v>#DIV/0!</v>
      </c>
      <c r="FK297" s="13"/>
      <c r="FL297" s="13"/>
      <c r="FM297" s="25"/>
      <c r="FN297" s="38"/>
      <c r="FO297" s="10"/>
      <c r="FP297" s="11"/>
      <c r="FQ297" s="69">
        <f t="shared" si="1952"/>
        <v>0</v>
      </c>
      <c r="FR297" s="69">
        <f t="shared" si="1952"/>
        <v>0</v>
      </c>
      <c r="FS297" s="11"/>
      <c r="FT297" s="12" t="e">
        <f t="shared" si="1924"/>
        <v>#DIV/0!</v>
      </c>
      <c r="FU297" s="11"/>
      <c r="FV297" s="12" t="e">
        <f t="shared" si="1925"/>
        <v>#DIV/0!</v>
      </c>
      <c r="FW297" s="13"/>
      <c r="FX297" s="13"/>
      <c r="FY297" s="25"/>
      <c r="FZ297" s="38"/>
      <c r="GA297" s="10"/>
      <c r="GB297" s="11"/>
      <c r="GC297" s="69">
        <f t="shared" si="1953"/>
        <v>0</v>
      </c>
      <c r="GD297" s="69">
        <f t="shared" si="1953"/>
        <v>0</v>
      </c>
      <c r="GE297" s="11"/>
      <c r="GF297" s="12" t="e">
        <f t="shared" si="1926"/>
        <v>#DIV/0!</v>
      </c>
      <c r="GG297" s="11"/>
      <c r="GH297" s="12" t="e">
        <f t="shared" si="1927"/>
        <v>#DIV/0!</v>
      </c>
      <c r="GI297" s="13"/>
      <c r="GJ297" s="13"/>
      <c r="GK297" s="25"/>
      <c r="GL297" s="38"/>
      <c r="GM297" s="10"/>
      <c r="GN297" s="11"/>
      <c r="GO297" s="69">
        <f t="shared" si="1954"/>
        <v>0</v>
      </c>
      <c r="GP297" s="69">
        <f t="shared" si="1954"/>
        <v>0</v>
      </c>
      <c r="GQ297" s="11"/>
      <c r="GR297" s="12" t="e">
        <f t="shared" si="1928"/>
        <v>#DIV/0!</v>
      </c>
      <c r="GS297" s="11"/>
      <c r="GT297" s="12" t="e">
        <f t="shared" si="1929"/>
        <v>#DIV/0!</v>
      </c>
      <c r="GU297" s="13"/>
      <c r="GV297" s="13"/>
      <c r="GW297" s="25"/>
      <c r="GX297" s="38"/>
      <c r="GY297" s="10"/>
      <c r="GZ297" s="11"/>
      <c r="HA297" s="69">
        <f t="shared" si="1955"/>
        <v>0</v>
      </c>
      <c r="HB297" s="69">
        <f t="shared" si="1955"/>
        <v>0</v>
      </c>
      <c r="HC297" s="11"/>
      <c r="HD297" s="12" t="e">
        <f t="shared" si="1930"/>
        <v>#DIV/0!</v>
      </c>
      <c r="HE297" s="11"/>
      <c r="HF297" s="12" t="e">
        <f t="shared" si="1931"/>
        <v>#DIV/0!</v>
      </c>
      <c r="HG297" s="13"/>
      <c r="HH297" s="13"/>
      <c r="HI297" s="25"/>
      <c r="HJ297" s="38"/>
      <c r="HK297" s="10">
        <f t="shared" si="1932"/>
        <v>3</v>
      </c>
      <c r="HL297" s="11">
        <f t="shared" si="1932"/>
        <v>0</v>
      </c>
      <c r="HM297" s="11">
        <f t="shared" si="1932"/>
        <v>3327</v>
      </c>
      <c r="HN297" s="11">
        <f t="shared" si="1932"/>
        <v>243</v>
      </c>
      <c r="HO297" s="11">
        <f t="shared" si="1933"/>
        <v>994</v>
      </c>
      <c r="HP297" s="95">
        <f t="shared" si="1934"/>
        <v>0.29876765855124737</v>
      </c>
      <c r="HQ297" s="15">
        <f t="shared" si="1935"/>
        <v>56</v>
      </c>
      <c r="HR297" s="12">
        <f t="shared" si="1956"/>
        <v>5.6338028169014086E-2</v>
      </c>
      <c r="HS297" s="16">
        <v>72</v>
      </c>
      <c r="HT297" s="17">
        <v>909</v>
      </c>
      <c r="HU297" s="16">
        <f t="shared" si="1936"/>
        <v>91.448692152917516</v>
      </c>
      <c r="HV297" s="23"/>
      <c r="HW297" s="22">
        <v>4800</v>
      </c>
    </row>
    <row r="298" spans="1:231" ht="18.75" x14ac:dyDescent="0.25">
      <c r="A298" s="374"/>
      <c r="B298" s="41">
        <f t="shared" si="1656"/>
        <v>45170</v>
      </c>
      <c r="C298" s="10"/>
      <c r="D298" s="11"/>
      <c r="E298" s="69">
        <f t="shared" si="1937"/>
        <v>585</v>
      </c>
      <c r="F298" s="69">
        <f t="shared" si="1937"/>
        <v>42</v>
      </c>
      <c r="G298" s="11">
        <v>149</v>
      </c>
      <c r="H298" s="12">
        <f t="shared" si="1897"/>
        <v>0.28888888888888886</v>
      </c>
      <c r="I298" s="11">
        <v>20</v>
      </c>
      <c r="J298" s="12">
        <f t="shared" si="1938"/>
        <v>0.11834319526627218</v>
      </c>
      <c r="K298" s="13"/>
      <c r="L298" s="11"/>
      <c r="M298" s="25"/>
      <c r="N298" s="38">
        <v>4985.45</v>
      </c>
      <c r="O298" s="10"/>
      <c r="P298" s="11"/>
      <c r="Q298" s="69">
        <f t="shared" si="1939"/>
        <v>599</v>
      </c>
      <c r="R298" s="69">
        <f t="shared" si="1939"/>
        <v>44</v>
      </c>
      <c r="S298" s="11">
        <v>194</v>
      </c>
      <c r="T298" s="12">
        <f t="shared" si="1898"/>
        <v>0.34724540901502504</v>
      </c>
      <c r="U298" s="11">
        <v>14</v>
      </c>
      <c r="V298" s="12">
        <f t="shared" si="1899"/>
        <v>6.7307692307692304E-2</v>
      </c>
      <c r="W298" s="13"/>
      <c r="X298" s="11"/>
      <c r="Y298" s="25"/>
      <c r="Z298" s="38">
        <v>5250</v>
      </c>
      <c r="AA298" s="10"/>
      <c r="AB298" s="11"/>
      <c r="AC298" s="69">
        <f t="shared" si="1940"/>
        <v>139</v>
      </c>
      <c r="AD298" s="69">
        <f t="shared" si="1940"/>
        <v>10</v>
      </c>
      <c r="AE298" s="11">
        <v>27</v>
      </c>
      <c r="AF298" s="12">
        <f t="shared" si="1900"/>
        <v>0.19424460431654678</v>
      </c>
      <c r="AG298" s="11">
        <v>0</v>
      </c>
      <c r="AH298" s="12">
        <f t="shared" si="1901"/>
        <v>0</v>
      </c>
      <c r="AI298" s="13"/>
      <c r="AJ298" s="11"/>
      <c r="AK298" s="25"/>
      <c r="AL298" s="38">
        <v>4796.67</v>
      </c>
      <c r="AM298" s="10"/>
      <c r="AN298" s="11"/>
      <c r="AO298" s="69">
        <f t="shared" si="1941"/>
        <v>670</v>
      </c>
      <c r="AP298" s="69">
        <f t="shared" si="1941"/>
        <v>49</v>
      </c>
      <c r="AQ298" s="11">
        <v>175</v>
      </c>
      <c r="AR298" s="12">
        <f t="shared" si="1902"/>
        <v>0.27910447761194029</v>
      </c>
      <c r="AS298" s="11">
        <v>12</v>
      </c>
      <c r="AT298" s="12">
        <f t="shared" si="1903"/>
        <v>6.4171122994652413E-2</v>
      </c>
      <c r="AU298" s="13"/>
      <c r="AV298" s="11"/>
      <c r="AW298" s="25"/>
      <c r="AX298" s="38">
        <v>5439.17</v>
      </c>
      <c r="AY298" s="10"/>
      <c r="AZ298" s="11">
        <v>1</v>
      </c>
      <c r="BA298" s="69">
        <f t="shared" si="1942"/>
        <v>670</v>
      </c>
      <c r="BB298" s="69">
        <f t="shared" si="1942"/>
        <v>48</v>
      </c>
      <c r="BC298" s="11">
        <v>162</v>
      </c>
      <c r="BD298" s="12">
        <f t="shared" si="1904"/>
        <v>0.27761194029850744</v>
      </c>
      <c r="BE298" s="11">
        <v>24</v>
      </c>
      <c r="BF298" s="12">
        <f t="shared" si="1905"/>
        <v>0.12903225806451613</v>
      </c>
      <c r="BG298" s="13"/>
      <c r="BH298" s="11"/>
      <c r="BI298" s="25"/>
      <c r="BJ298" s="38">
        <v>5322.5</v>
      </c>
      <c r="BK298" s="10"/>
      <c r="BL298" s="11"/>
      <c r="BM298" s="69">
        <f t="shared" si="1943"/>
        <v>664</v>
      </c>
      <c r="BN298" s="69">
        <f t="shared" si="1943"/>
        <v>49</v>
      </c>
      <c r="BO298" s="11">
        <v>167</v>
      </c>
      <c r="BP298" s="12">
        <f t="shared" si="1906"/>
        <v>0.27108433734939757</v>
      </c>
      <c r="BQ298" s="11">
        <v>13</v>
      </c>
      <c r="BR298" s="12">
        <f t="shared" si="1907"/>
        <v>7.2222222222222215E-2</v>
      </c>
      <c r="BS298" s="13"/>
      <c r="BT298" s="11"/>
      <c r="BU298" s="25"/>
      <c r="BV298" s="38">
        <v>5700.83</v>
      </c>
      <c r="BW298" s="10"/>
      <c r="BX298" s="11"/>
      <c r="BY298" s="69">
        <f t="shared" si="1944"/>
        <v>0</v>
      </c>
      <c r="BZ298" s="69">
        <f t="shared" si="1944"/>
        <v>0</v>
      </c>
      <c r="CA298" s="11"/>
      <c r="CB298" s="12" t="e">
        <f t="shared" si="1908"/>
        <v>#DIV/0!</v>
      </c>
      <c r="CC298" s="11"/>
      <c r="CD298" s="12" t="e">
        <f t="shared" si="1909"/>
        <v>#DIV/0!</v>
      </c>
      <c r="CE298" s="13"/>
      <c r="CF298" s="11"/>
      <c r="CG298" s="25"/>
      <c r="CH298" s="38"/>
      <c r="CI298" s="10"/>
      <c r="CJ298" s="11"/>
      <c r="CK298" s="69">
        <f t="shared" si="1945"/>
        <v>0</v>
      </c>
      <c r="CL298" s="69">
        <f t="shared" si="1945"/>
        <v>0</v>
      </c>
      <c r="CM298" s="11"/>
      <c r="CN298" s="12" t="e">
        <f t="shared" si="1910"/>
        <v>#DIV/0!</v>
      </c>
      <c r="CO298" s="11"/>
      <c r="CP298" s="12" t="e">
        <f t="shared" si="1911"/>
        <v>#DIV/0!</v>
      </c>
      <c r="CQ298" s="13"/>
      <c r="CR298" s="11"/>
      <c r="CS298" s="25"/>
      <c r="CT298" s="38"/>
      <c r="CU298" s="10"/>
      <c r="CV298" s="11"/>
      <c r="CW298" s="69">
        <f t="shared" si="1946"/>
        <v>0</v>
      </c>
      <c r="CX298" s="69">
        <f t="shared" si="1946"/>
        <v>0</v>
      </c>
      <c r="CY298" s="11"/>
      <c r="CZ298" s="12" t="e">
        <f t="shared" si="1912"/>
        <v>#DIV/0!</v>
      </c>
      <c r="DA298" s="11"/>
      <c r="DB298" s="12" t="e">
        <f t="shared" si="1913"/>
        <v>#DIV/0!</v>
      </c>
      <c r="DC298" s="13"/>
      <c r="DD298" s="11"/>
      <c r="DE298" s="25"/>
      <c r="DF298" s="38"/>
      <c r="DG298" s="10"/>
      <c r="DH298" s="11"/>
      <c r="DI298" s="69">
        <f t="shared" si="1947"/>
        <v>0</v>
      </c>
      <c r="DJ298" s="69">
        <f t="shared" si="1947"/>
        <v>0</v>
      </c>
      <c r="DK298" s="11"/>
      <c r="DL298" s="12" t="e">
        <f t="shared" si="1914"/>
        <v>#DIV/0!</v>
      </c>
      <c r="DM298" s="11"/>
      <c r="DN298" s="12" t="e">
        <f t="shared" si="1915"/>
        <v>#DIV/0!</v>
      </c>
      <c r="DO298" s="13"/>
      <c r="DP298" s="11"/>
      <c r="DQ298" s="25"/>
      <c r="DR298" s="38"/>
      <c r="DS298" s="10"/>
      <c r="DT298" s="11"/>
      <c r="DU298" s="69">
        <f t="shared" si="1948"/>
        <v>0</v>
      </c>
      <c r="DV298" s="69">
        <f t="shared" si="1948"/>
        <v>0</v>
      </c>
      <c r="DW298" s="11"/>
      <c r="DX298" s="12" t="e">
        <f t="shared" si="1916"/>
        <v>#DIV/0!</v>
      </c>
      <c r="DY298" s="11"/>
      <c r="DZ298" s="12" t="e">
        <f t="shared" si="1917"/>
        <v>#DIV/0!</v>
      </c>
      <c r="EA298" s="13"/>
      <c r="EB298" s="11"/>
      <c r="EC298" s="25"/>
      <c r="ED298" s="38"/>
      <c r="EE298" s="10"/>
      <c r="EF298" s="11"/>
      <c r="EG298" s="69">
        <f t="shared" si="1949"/>
        <v>0</v>
      </c>
      <c r="EH298" s="69">
        <f t="shared" si="1949"/>
        <v>0</v>
      </c>
      <c r="EI298" s="11"/>
      <c r="EJ298" s="12" t="e">
        <f t="shared" si="1918"/>
        <v>#DIV/0!</v>
      </c>
      <c r="EK298" s="11"/>
      <c r="EL298" s="12" t="e">
        <f t="shared" si="1919"/>
        <v>#DIV/0!</v>
      </c>
      <c r="EM298" s="13"/>
      <c r="EN298" s="11"/>
      <c r="EO298" s="25"/>
      <c r="EP298" s="38"/>
      <c r="EQ298" s="10"/>
      <c r="ER298" s="11"/>
      <c r="ES298" s="69">
        <f t="shared" si="1950"/>
        <v>0</v>
      </c>
      <c r="ET298" s="69">
        <f t="shared" si="1950"/>
        <v>0</v>
      </c>
      <c r="EU298" s="11"/>
      <c r="EV298" s="12" t="e">
        <f t="shared" si="1920"/>
        <v>#DIV/0!</v>
      </c>
      <c r="EW298" s="11"/>
      <c r="EX298" s="12" t="e">
        <f t="shared" si="1921"/>
        <v>#DIV/0!</v>
      </c>
      <c r="EY298" s="13"/>
      <c r="EZ298" s="11"/>
      <c r="FA298" s="25"/>
      <c r="FB298" s="38"/>
      <c r="FC298" s="10"/>
      <c r="FD298" s="11"/>
      <c r="FE298" s="69">
        <f t="shared" si="1951"/>
        <v>0</v>
      </c>
      <c r="FF298" s="69">
        <f t="shared" si="1951"/>
        <v>0</v>
      </c>
      <c r="FG298" s="11"/>
      <c r="FH298" s="12" t="e">
        <f t="shared" si="1922"/>
        <v>#DIV/0!</v>
      </c>
      <c r="FI298" s="11"/>
      <c r="FJ298" s="12" t="e">
        <f t="shared" si="1923"/>
        <v>#DIV/0!</v>
      </c>
      <c r="FK298" s="13"/>
      <c r="FL298" s="11"/>
      <c r="FM298" s="25"/>
      <c r="FN298" s="38"/>
      <c r="FO298" s="10"/>
      <c r="FP298" s="11"/>
      <c r="FQ298" s="69">
        <f t="shared" si="1952"/>
        <v>0</v>
      </c>
      <c r="FR298" s="69">
        <f t="shared" si="1952"/>
        <v>0</v>
      </c>
      <c r="FS298" s="11"/>
      <c r="FT298" s="12" t="e">
        <f t="shared" si="1924"/>
        <v>#DIV/0!</v>
      </c>
      <c r="FU298" s="11"/>
      <c r="FV298" s="12" t="e">
        <f t="shared" si="1925"/>
        <v>#DIV/0!</v>
      </c>
      <c r="FW298" s="13"/>
      <c r="FX298" s="11"/>
      <c r="FY298" s="25"/>
      <c r="FZ298" s="38"/>
      <c r="GA298" s="10"/>
      <c r="GB298" s="11"/>
      <c r="GC298" s="69">
        <f t="shared" si="1953"/>
        <v>0</v>
      </c>
      <c r="GD298" s="69">
        <f t="shared" si="1953"/>
        <v>0</v>
      </c>
      <c r="GE298" s="11"/>
      <c r="GF298" s="12" t="e">
        <f t="shared" si="1926"/>
        <v>#DIV/0!</v>
      </c>
      <c r="GG298" s="11"/>
      <c r="GH298" s="12" t="e">
        <f t="shared" si="1927"/>
        <v>#DIV/0!</v>
      </c>
      <c r="GI298" s="13"/>
      <c r="GJ298" s="11"/>
      <c r="GK298" s="25"/>
      <c r="GL298" s="38"/>
      <c r="GM298" s="10"/>
      <c r="GN298" s="11"/>
      <c r="GO298" s="69">
        <f t="shared" si="1954"/>
        <v>0</v>
      </c>
      <c r="GP298" s="69">
        <f t="shared" si="1954"/>
        <v>0</v>
      </c>
      <c r="GQ298" s="11"/>
      <c r="GR298" s="12" t="e">
        <f t="shared" si="1928"/>
        <v>#DIV/0!</v>
      </c>
      <c r="GS298" s="11"/>
      <c r="GT298" s="12" t="e">
        <f t="shared" si="1929"/>
        <v>#DIV/0!</v>
      </c>
      <c r="GU298" s="13"/>
      <c r="GV298" s="11"/>
      <c r="GW298" s="25"/>
      <c r="GX298" s="38"/>
      <c r="GY298" s="10"/>
      <c r="GZ298" s="11"/>
      <c r="HA298" s="69">
        <f t="shared" si="1955"/>
        <v>0</v>
      </c>
      <c r="HB298" s="69">
        <f t="shared" si="1955"/>
        <v>0</v>
      </c>
      <c r="HC298" s="11"/>
      <c r="HD298" s="12" t="e">
        <f t="shared" si="1930"/>
        <v>#DIV/0!</v>
      </c>
      <c r="HE298" s="11"/>
      <c r="HF298" s="12" t="e">
        <f t="shared" si="1931"/>
        <v>#DIV/0!</v>
      </c>
      <c r="HG298" s="13"/>
      <c r="HH298" s="11"/>
      <c r="HI298" s="25"/>
      <c r="HJ298" s="38"/>
      <c r="HK298" s="10">
        <f t="shared" si="1932"/>
        <v>0</v>
      </c>
      <c r="HL298" s="11">
        <f t="shared" si="1932"/>
        <v>1</v>
      </c>
      <c r="HM298" s="11">
        <f t="shared" si="1932"/>
        <v>3327</v>
      </c>
      <c r="HN298" s="11">
        <f t="shared" si="1932"/>
        <v>242</v>
      </c>
      <c r="HO298" s="11">
        <f t="shared" si="1933"/>
        <v>957</v>
      </c>
      <c r="HP298" s="95">
        <f t="shared" si="1934"/>
        <v>0.28764652840396754</v>
      </c>
      <c r="HQ298" s="15">
        <f t="shared" si="1935"/>
        <v>83</v>
      </c>
      <c r="HR298" s="12">
        <f t="shared" si="1956"/>
        <v>8.6729362591431561E-2</v>
      </c>
      <c r="HS298" s="16">
        <v>72.400000000000006</v>
      </c>
      <c r="HT298" s="17">
        <v>837</v>
      </c>
      <c r="HU298" s="16">
        <f t="shared" si="1936"/>
        <v>87.460815047021939</v>
      </c>
      <c r="HV298" s="23"/>
      <c r="HW298" s="22">
        <v>5315.85</v>
      </c>
    </row>
    <row r="299" spans="1:231" ht="18.75" x14ac:dyDescent="0.25">
      <c r="A299" s="374"/>
      <c r="B299" s="41">
        <f t="shared" si="1656"/>
        <v>45171</v>
      </c>
      <c r="C299" s="10"/>
      <c r="D299" s="11"/>
      <c r="E299" s="69">
        <f>E298-C299</f>
        <v>585</v>
      </c>
      <c r="F299" s="69">
        <f>F298-D299</f>
        <v>42</v>
      </c>
      <c r="G299" s="11">
        <v>167</v>
      </c>
      <c r="H299" s="12">
        <f t="shared" si="1897"/>
        <v>0.30598290598290601</v>
      </c>
      <c r="I299" s="11">
        <v>12</v>
      </c>
      <c r="J299" s="12">
        <f t="shared" si="1938"/>
        <v>6.7039106145251395E-2</v>
      </c>
      <c r="K299" s="13"/>
      <c r="L299" s="11"/>
      <c r="M299" s="39"/>
      <c r="N299" s="43">
        <v>90.9</v>
      </c>
      <c r="O299" s="10"/>
      <c r="P299" s="11"/>
      <c r="Q299" s="69">
        <f t="shared" si="1939"/>
        <v>599</v>
      </c>
      <c r="R299" s="69">
        <f t="shared" si="1939"/>
        <v>44</v>
      </c>
      <c r="S299" s="11">
        <v>157</v>
      </c>
      <c r="T299" s="12">
        <f t="shared" si="1898"/>
        <v>0.28380634390651083</v>
      </c>
      <c r="U299" s="11">
        <v>13</v>
      </c>
      <c r="V299" s="12">
        <f t="shared" si="1899"/>
        <v>7.6470588235294124E-2</v>
      </c>
      <c r="W299" s="13"/>
      <c r="X299" s="11"/>
      <c r="Y299" s="39"/>
      <c r="Z299" s="43">
        <v>100</v>
      </c>
      <c r="AA299" s="10"/>
      <c r="AB299" s="11"/>
      <c r="AC299" s="69">
        <f t="shared" si="1940"/>
        <v>139</v>
      </c>
      <c r="AD299" s="69">
        <f t="shared" si="1940"/>
        <v>10</v>
      </c>
      <c r="AE299" s="11">
        <v>29</v>
      </c>
      <c r="AF299" s="12">
        <f t="shared" si="1900"/>
        <v>0.23021582733812951</v>
      </c>
      <c r="AG299" s="11">
        <v>3</v>
      </c>
      <c r="AH299" s="12">
        <f t="shared" si="1901"/>
        <v>9.375E-2</v>
      </c>
      <c r="AI299" s="13"/>
      <c r="AJ299" s="11"/>
      <c r="AK299" s="39"/>
      <c r="AL299" s="43">
        <v>100</v>
      </c>
      <c r="AM299" s="10">
        <v>1</v>
      </c>
      <c r="AN299" s="11"/>
      <c r="AO299" s="69">
        <f t="shared" si="1941"/>
        <v>669</v>
      </c>
      <c r="AP299" s="69">
        <f t="shared" si="1941"/>
        <v>49</v>
      </c>
      <c r="AQ299" s="11">
        <v>195</v>
      </c>
      <c r="AR299" s="12">
        <f t="shared" si="1902"/>
        <v>0.3094170403587444</v>
      </c>
      <c r="AS299" s="11">
        <v>12</v>
      </c>
      <c r="AT299" s="12">
        <f t="shared" si="1903"/>
        <v>5.7971014492753624E-2</v>
      </c>
      <c r="AU299" s="13"/>
      <c r="AV299" s="11"/>
      <c r="AW299" s="39"/>
      <c r="AX299" s="43">
        <v>100</v>
      </c>
      <c r="AY299" s="10"/>
      <c r="AZ299" s="11"/>
      <c r="BA299" s="69">
        <f t="shared" si="1942"/>
        <v>670</v>
      </c>
      <c r="BB299" s="69">
        <f t="shared" si="1942"/>
        <v>48</v>
      </c>
      <c r="BC299" s="11">
        <v>181</v>
      </c>
      <c r="BD299" s="12">
        <f t="shared" si="1904"/>
        <v>0.29402985074626864</v>
      </c>
      <c r="BE299" s="11">
        <v>16</v>
      </c>
      <c r="BF299" s="12">
        <f t="shared" si="1905"/>
        <v>8.1218274111675121E-2</v>
      </c>
      <c r="BG299" s="13"/>
      <c r="BH299" s="11"/>
      <c r="BI299" s="39"/>
      <c r="BJ299" s="43">
        <v>100</v>
      </c>
      <c r="BK299" s="10">
        <v>1</v>
      </c>
      <c r="BL299" s="11"/>
      <c r="BM299" s="69">
        <f t="shared" si="1943"/>
        <v>663</v>
      </c>
      <c r="BN299" s="69">
        <f t="shared" si="1943"/>
        <v>49</v>
      </c>
      <c r="BO299" s="11">
        <v>160</v>
      </c>
      <c r="BP299" s="12">
        <f t="shared" si="1906"/>
        <v>0.25188536953242835</v>
      </c>
      <c r="BQ299" s="11">
        <v>7</v>
      </c>
      <c r="BR299" s="12">
        <f t="shared" si="1907"/>
        <v>4.1916167664670656E-2</v>
      </c>
      <c r="BS299" s="13"/>
      <c r="BT299" s="11"/>
      <c r="BU299" s="39"/>
      <c r="BV299" s="43">
        <v>100</v>
      </c>
      <c r="BW299" s="10"/>
      <c r="BX299" s="11"/>
      <c r="BY299" s="69">
        <f t="shared" si="1944"/>
        <v>0</v>
      </c>
      <c r="BZ299" s="69">
        <f t="shared" si="1944"/>
        <v>0</v>
      </c>
      <c r="CA299" s="11"/>
      <c r="CB299" s="12" t="e">
        <f t="shared" si="1908"/>
        <v>#DIV/0!</v>
      </c>
      <c r="CC299" s="11"/>
      <c r="CD299" s="12" t="e">
        <f t="shared" si="1909"/>
        <v>#DIV/0!</v>
      </c>
      <c r="CE299" s="13"/>
      <c r="CF299" s="11"/>
      <c r="CG299" s="39"/>
      <c r="CH299" s="43"/>
      <c r="CI299" s="10"/>
      <c r="CJ299" s="11"/>
      <c r="CK299" s="69">
        <f t="shared" si="1945"/>
        <v>0</v>
      </c>
      <c r="CL299" s="69">
        <f t="shared" si="1945"/>
        <v>0</v>
      </c>
      <c r="CM299" s="11"/>
      <c r="CN299" s="12" t="e">
        <f t="shared" si="1910"/>
        <v>#DIV/0!</v>
      </c>
      <c r="CO299" s="11"/>
      <c r="CP299" s="12" t="e">
        <f t="shared" si="1911"/>
        <v>#DIV/0!</v>
      </c>
      <c r="CQ299" s="13"/>
      <c r="CR299" s="11"/>
      <c r="CS299" s="39"/>
      <c r="CT299" s="43"/>
      <c r="CU299" s="10"/>
      <c r="CV299" s="11"/>
      <c r="CW299" s="69">
        <f t="shared" si="1946"/>
        <v>0</v>
      </c>
      <c r="CX299" s="69">
        <f t="shared" si="1946"/>
        <v>0</v>
      </c>
      <c r="CY299" s="11"/>
      <c r="CZ299" s="12" t="e">
        <f t="shared" si="1912"/>
        <v>#DIV/0!</v>
      </c>
      <c r="DA299" s="11"/>
      <c r="DB299" s="12" t="e">
        <f t="shared" si="1913"/>
        <v>#DIV/0!</v>
      </c>
      <c r="DC299" s="13"/>
      <c r="DD299" s="11"/>
      <c r="DE299" s="39"/>
      <c r="DF299" s="43"/>
      <c r="DG299" s="10"/>
      <c r="DH299" s="11"/>
      <c r="DI299" s="69">
        <f t="shared" si="1947"/>
        <v>0</v>
      </c>
      <c r="DJ299" s="69">
        <f t="shared" si="1947"/>
        <v>0</v>
      </c>
      <c r="DK299" s="11"/>
      <c r="DL299" s="12" t="e">
        <f t="shared" si="1914"/>
        <v>#DIV/0!</v>
      </c>
      <c r="DM299" s="11"/>
      <c r="DN299" s="12" t="e">
        <f t="shared" si="1915"/>
        <v>#DIV/0!</v>
      </c>
      <c r="DO299" s="13"/>
      <c r="DP299" s="11"/>
      <c r="DQ299" s="39"/>
      <c r="DR299" s="43"/>
      <c r="DS299" s="10"/>
      <c r="DT299" s="11"/>
      <c r="DU299" s="69">
        <f t="shared" si="1948"/>
        <v>0</v>
      </c>
      <c r="DV299" s="69">
        <f t="shared" si="1948"/>
        <v>0</v>
      </c>
      <c r="DW299" s="11"/>
      <c r="DX299" s="12" t="e">
        <f t="shared" si="1916"/>
        <v>#DIV/0!</v>
      </c>
      <c r="DY299" s="11"/>
      <c r="DZ299" s="12" t="e">
        <f t="shared" si="1917"/>
        <v>#DIV/0!</v>
      </c>
      <c r="EA299" s="13"/>
      <c r="EB299" s="11"/>
      <c r="EC299" s="39"/>
      <c r="ED299" s="43"/>
      <c r="EE299" s="10"/>
      <c r="EF299" s="11"/>
      <c r="EG299" s="69">
        <f t="shared" si="1949"/>
        <v>0</v>
      </c>
      <c r="EH299" s="69">
        <f t="shared" si="1949"/>
        <v>0</v>
      </c>
      <c r="EI299" s="11"/>
      <c r="EJ299" s="12" t="e">
        <f t="shared" si="1918"/>
        <v>#DIV/0!</v>
      </c>
      <c r="EK299" s="11"/>
      <c r="EL299" s="12" t="e">
        <f t="shared" si="1919"/>
        <v>#DIV/0!</v>
      </c>
      <c r="EM299" s="13"/>
      <c r="EN299" s="11"/>
      <c r="EO299" s="39"/>
      <c r="EP299" s="43"/>
      <c r="EQ299" s="10"/>
      <c r="ER299" s="11"/>
      <c r="ES299" s="69">
        <f t="shared" si="1950"/>
        <v>0</v>
      </c>
      <c r="ET299" s="69">
        <f t="shared" si="1950"/>
        <v>0</v>
      </c>
      <c r="EU299" s="11"/>
      <c r="EV299" s="12" t="e">
        <f t="shared" si="1920"/>
        <v>#DIV/0!</v>
      </c>
      <c r="EW299" s="11"/>
      <c r="EX299" s="12" t="e">
        <f t="shared" si="1921"/>
        <v>#DIV/0!</v>
      </c>
      <c r="EY299" s="13"/>
      <c r="EZ299" s="11"/>
      <c r="FA299" s="39"/>
      <c r="FB299" s="43"/>
      <c r="FC299" s="10"/>
      <c r="FD299" s="11"/>
      <c r="FE299" s="69">
        <f t="shared" si="1951"/>
        <v>0</v>
      </c>
      <c r="FF299" s="69">
        <f t="shared" si="1951"/>
        <v>0</v>
      </c>
      <c r="FG299" s="11"/>
      <c r="FH299" s="12" t="e">
        <f t="shared" si="1922"/>
        <v>#DIV/0!</v>
      </c>
      <c r="FI299" s="11"/>
      <c r="FJ299" s="12" t="e">
        <f t="shared" si="1923"/>
        <v>#DIV/0!</v>
      </c>
      <c r="FK299" s="13"/>
      <c r="FL299" s="11"/>
      <c r="FM299" s="39"/>
      <c r="FN299" s="43"/>
      <c r="FO299" s="10"/>
      <c r="FP299" s="11"/>
      <c r="FQ299" s="69">
        <f t="shared" si="1952"/>
        <v>0</v>
      </c>
      <c r="FR299" s="69">
        <f t="shared" si="1952"/>
        <v>0</v>
      </c>
      <c r="FS299" s="11"/>
      <c r="FT299" s="12" t="e">
        <f t="shared" si="1924"/>
        <v>#DIV/0!</v>
      </c>
      <c r="FU299" s="11"/>
      <c r="FV299" s="12" t="e">
        <f t="shared" si="1925"/>
        <v>#DIV/0!</v>
      </c>
      <c r="FW299" s="13"/>
      <c r="FX299" s="11"/>
      <c r="FY299" s="39"/>
      <c r="FZ299" s="43"/>
      <c r="GA299" s="10"/>
      <c r="GB299" s="11"/>
      <c r="GC299" s="69">
        <f t="shared" si="1953"/>
        <v>0</v>
      </c>
      <c r="GD299" s="69">
        <f t="shared" si="1953"/>
        <v>0</v>
      </c>
      <c r="GE299" s="11"/>
      <c r="GF299" s="12" t="e">
        <f t="shared" si="1926"/>
        <v>#DIV/0!</v>
      </c>
      <c r="GG299" s="11"/>
      <c r="GH299" s="12" t="e">
        <f t="shared" si="1927"/>
        <v>#DIV/0!</v>
      </c>
      <c r="GI299" s="13"/>
      <c r="GJ299" s="11"/>
      <c r="GK299" s="39"/>
      <c r="GL299" s="43"/>
      <c r="GM299" s="10"/>
      <c r="GN299" s="11"/>
      <c r="GO299" s="69">
        <f t="shared" si="1954"/>
        <v>0</v>
      </c>
      <c r="GP299" s="69">
        <f t="shared" si="1954"/>
        <v>0</v>
      </c>
      <c r="GQ299" s="11"/>
      <c r="GR299" s="12" t="e">
        <f t="shared" si="1928"/>
        <v>#DIV/0!</v>
      </c>
      <c r="GS299" s="11"/>
      <c r="GT299" s="12" t="e">
        <f t="shared" si="1929"/>
        <v>#DIV/0!</v>
      </c>
      <c r="GU299" s="13"/>
      <c r="GV299" s="11"/>
      <c r="GW299" s="39"/>
      <c r="GX299" s="43"/>
      <c r="GY299" s="10"/>
      <c r="GZ299" s="11"/>
      <c r="HA299" s="69">
        <f t="shared" si="1955"/>
        <v>0</v>
      </c>
      <c r="HB299" s="69">
        <f t="shared" si="1955"/>
        <v>0</v>
      </c>
      <c r="HC299" s="11"/>
      <c r="HD299" s="12" t="e">
        <f t="shared" si="1930"/>
        <v>#DIV/0!</v>
      </c>
      <c r="HE299" s="11"/>
      <c r="HF299" s="12" t="e">
        <f t="shared" si="1931"/>
        <v>#DIV/0!</v>
      </c>
      <c r="HG299" s="13"/>
      <c r="HH299" s="11"/>
      <c r="HI299" s="39"/>
      <c r="HJ299" s="43"/>
      <c r="HK299" s="10">
        <f t="shared" si="1932"/>
        <v>2</v>
      </c>
      <c r="HL299" s="11">
        <f t="shared" si="1932"/>
        <v>0</v>
      </c>
      <c r="HM299" s="11">
        <f t="shared" si="1932"/>
        <v>3325</v>
      </c>
      <c r="HN299" s="11">
        <f t="shared" si="1932"/>
        <v>242</v>
      </c>
      <c r="HO299" s="11">
        <f t="shared" si="1933"/>
        <v>952</v>
      </c>
      <c r="HP299" s="95">
        <f t="shared" si="1934"/>
        <v>0.28631578947368419</v>
      </c>
      <c r="HQ299" s="15">
        <f t="shared" si="1935"/>
        <v>63</v>
      </c>
      <c r="HR299" s="12">
        <f t="shared" si="1956"/>
        <v>6.6176470588235295E-2</v>
      </c>
      <c r="HS299" s="16">
        <v>72.5</v>
      </c>
      <c r="HT299" s="17">
        <v>851</v>
      </c>
      <c r="HU299" s="16">
        <f t="shared" si="1936"/>
        <v>89.390756302521012</v>
      </c>
      <c r="HV299" s="23"/>
      <c r="HW299" s="22">
        <v>87.69</v>
      </c>
    </row>
    <row r="300" spans="1:231" ht="19.5" thickBot="1" x14ac:dyDescent="0.3">
      <c r="A300" s="374"/>
      <c r="B300" s="42"/>
      <c r="C300" s="26">
        <f>SUM(C293:C299)</f>
        <v>2</v>
      </c>
      <c r="D300" s="27">
        <f>SUM(D293:D299)</f>
        <v>0</v>
      </c>
      <c r="E300" s="27"/>
      <c r="F300" s="27"/>
      <c r="G300" s="27">
        <f>SUM(G293:G299)</f>
        <v>1160</v>
      </c>
      <c r="H300" s="28">
        <f>((G300+I300)/7)/E299</f>
        <v>0.30622710622710619</v>
      </c>
      <c r="I300" s="27">
        <f>SUM(I293:I299)</f>
        <v>94</v>
      </c>
      <c r="J300" s="28">
        <f>(I300/(I300+G300))</f>
        <v>7.4960127591706532E-2</v>
      </c>
      <c r="K300" s="27"/>
      <c r="L300" s="27"/>
      <c r="M300" s="29" t="e">
        <f>M298/M297*100-100</f>
        <v>#DIV/0!</v>
      </c>
      <c r="N300" s="67">
        <f>N298/N297*100-100</f>
        <v>3.8635416666666629</v>
      </c>
      <c r="O300" s="26">
        <f>SUM(O293:O299)</f>
        <v>3</v>
      </c>
      <c r="P300" s="27">
        <f>SUM(P293:P299)</f>
        <v>0</v>
      </c>
      <c r="Q300" s="27"/>
      <c r="R300" s="27"/>
      <c r="S300" s="27">
        <f>SUM(S293:S299)</f>
        <v>1263</v>
      </c>
      <c r="T300" s="28">
        <f>((S300+U300)/7)/Q299</f>
        <v>0.32244216551395183</v>
      </c>
      <c r="U300" s="27">
        <f>SUM(U293:U299)</f>
        <v>89</v>
      </c>
      <c r="V300" s="28">
        <f>(U300/(U300+S300))</f>
        <v>6.5828402366863908E-2</v>
      </c>
      <c r="W300" s="27"/>
      <c r="X300" s="27"/>
      <c r="Y300" s="29" t="e">
        <f>Y298/Y297*100-100</f>
        <v>#DIV/0!</v>
      </c>
      <c r="Z300" s="67">
        <f>Z298/Z297*100-100</f>
        <v>9.375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192</v>
      </c>
      <c r="AF300" s="28">
        <f>((AE300+AG300)/7)/AC299</f>
        <v>0.21377183967112026</v>
      </c>
      <c r="AG300" s="27">
        <f>SUM(AG293:AG299)</f>
        <v>16</v>
      </c>
      <c r="AH300" s="28">
        <f>(AG300/(AG300+AE300))</f>
        <v>7.6923076923076927E-2</v>
      </c>
      <c r="AI300" s="27"/>
      <c r="AJ300" s="27"/>
      <c r="AK300" s="29" t="e">
        <f>AK298/AK297*100-100</f>
        <v>#DIV/0!</v>
      </c>
      <c r="AL300" s="67">
        <f>AL298/AL297*100-100</f>
        <v>-6.9374999999993747E-2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1272</v>
      </c>
      <c r="AR300" s="28">
        <f>((AQ300+AS300)/7)/AO299</f>
        <v>0.28955797565663038</v>
      </c>
      <c r="AS300" s="27">
        <f>SUM(AS293:AS299)</f>
        <v>84</v>
      </c>
      <c r="AT300" s="28">
        <f>(AS300/(AS300+AQ300))</f>
        <v>6.1946902654867256E-2</v>
      </c>
      <c r="AU300" s="27"/>
      <c r="AV300" s="27"/>
      <c r="AW300" s="29" t="e">
        <f>AW298/AW297*100-100</f>
        <v>#DIV/0!</v>
      </c>
      <c r="AX300" s="67">
        <f>AX298/AX297*100-100</f>
        <v>13.316041666666663</v>
      </c>
      <c r="AY300" s="26">
        <f>SUM(AY293:AY299)</f>
        <v>1</v>
      </c>
      <c r="AZ300" s="27">
        <f>SUM(AZ293:AZ299)</f>
        <v>1</v>
      </c>
      <c r="BA300" s="27"/>
      <c r="BB300" s="27"/>
      <c r="BC300" s="27">
        <f>SUM(BC293:BC299)</f>
        <v>1215</v>
      </c>
      <c r="BD300" s="28">
        <f>((BC300+BE300)/7)/BA299</f>
        <v>0.282089552238806</v>
      </c>
      <c r="BE300" s="27">
        <f>SUM(BE293:BE299)</f>
        <v>108</v>
      </c>
      <c r="BF300" s="28">
        <f>(BE300/(BE300+BC300))</f>
        <v>8.1632653061224483E-2</v>
      </c>
      <c r="BG300" s="27"/>
      <c r="BH300" s="27"/>
      <c r="BI300" s="29" t="e">
        <f>BI298/BI297*100-100</f>
        <v>#DIV/0!</v>
      </c>
      <c r="BJ300" s="67">
        <f>BJ298/BJ297*100-100</f>
        <v>10.885416666666671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1180</v>
      </c>
      <c r="BP300" s="28">
        <f>((BO300+BQ300)/7)/BM299</f>
        <v>0.26976944624003446</v>
      </c>
      <c r="BQ300" s="27">
        <f>SUM(BQ293:BQ299)</f>
        <v>72</v>
      </c>
      <c r="BR300" s="28">
        <f>(BQ300/(BQ300+BO300))</f>
        <v>5.7507987220447282E-2</v>
      </c>
      <c r="BS300" s="27"/>
      <c r="BT300" s="27"/>
      <c r="BU300" s="29" t="e">
        <f>BU298/BU297*100-100</f>
        <v>#DIV/0!</v>
      </c>
      <c r="BV300" s="67">
        <f>BV298/BV297*100-100</f>
        <v>18.767291666666665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7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7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7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7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7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7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7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7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7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7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7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7" t="e">
        <f>HJ298/HJ297*100-100</f>
        <v>#DIV/0!</v>
      </c>
      <c r="HK300" s="26">
        <f t="shared" si="1932"/>
        <v>13</v>
      </c>
      <c r="HL300" s="27">
        <f t="shared" si="1932"/>
        <v>1</v>
      </c>
      <c r="HM300" s="27">
        <f t="shared" si="1932"/>
        <v>0</v>
      </c>
      <c r="HN300" s="27">
        <f t="shared" si="1932"/>
        <v>0</v>
      </c>
      <c r="HO300" s="27">
        <f t="shared" si="1933"/>
        <v>6745</v>
      </c>
      <c r="HP300" s="96">
        <f>+((HO300)/HM299)/7</f>
        <v>0.28979591836734692</v>
      </c>
      <c r="HQ300" s="62">
        <f t="shared" si="1935"/>
        <v>463</v>
      </c>
      <c r="HR300" s="52">
        <f t="shared" si="1956"/>
        <v>6.8643439584877688E-2</v>
      </c>
      <c r="HS300" s="53">
        <f>SUM(HS293:HS299)/7</f>
        <v>72.48571428571428</v>
      </c>
      <c r="HT300" s="54">
        <f>SUM(HT293:HT299)</f>
        <v>6030</v>
      </c>
      <c r="HU300" s="53">
        <f>AVERAGE(HU293:HU299)</f>
        <v>89.394863678940013</v>
      </c>
      <c r="HV300" s="63" t="e">
        <f>HV298/HV297*100-100</f>
        <v>#DIV/0!</v>
      </c>
      <c r="HW300" s="67">
        <f>HW298/HW297*100-100</f>
        <v>10.746875000000003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3.8945476333133613E-3</v>
      </c>
      <c r="HL301" s="66">
        <f>HL300/HN290</f>
        <v>4.11522633744856E-3</v>
      </c>
      <c r="HM301" s="45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373">
        <v>58</v>
      </c>
      <c r="B302" s="68">
        <f>B299+1</f>
        <v>45172</v>
      </c>
      <c r="C302" s="33"/>
      <c r="D302" s="34"/>
      <c r="E302" s="34">
        <f>E299-C302</f>
        <v>585</v>
      </c>
      <c r="F302" s="34">
        <f>F299-D302</f>
        <v>42</v>
      </c>
      <c r="G302" s="34">
        <v>165</v>
      </c>
      <c r="H302" s="35">
        <f t="shared" ref="H302:H308" si="1957">((G302+I302)/E302)</f>
        <v>0.30940170940170941</v>
      </c>
      <c r="I302" s="34">
        <v>16</v>
      </c>
      <c r="J302" s="35">
        <f>I302/(G302+I302)</f>
        <v>8.8397790055248615E-2</v>
      </c>
      <c r="K302" s="36"/>
      <c r="L302" s="34"/>
      <c r="M302" s="34"/>
      <c r="N302" s="37"/>
      <c r="O302" s="33"/>
      <c r="P302" s="34"/>
      <c r="Q302" s="34">
        <f>Q299-O302</f>
        <v>599</v>
      </c>
      <c r="R302" s="34">
        <f>R299-P302</f>
        <v>44</v>
      </c>
      <c r="S302" s="34">
        <v>183</v>
      </c>
      <c r="T302" s="35">
        <f t="shared" ref="T302:T308" si="1958">((S302+U302)/Q302)</f>
        <v>0.32554257095158595</v>
      </c>
      <c r="U302" s="34">
        <v>12</v>
      </c>
      <c r="V302" s="35">
        <f t="shared" ref="V302:V308" si="1959">U302/(S302+U302)</f>
        <v>6.1538461538461542E-2</v>
      </c>
      <c r="W302" s="36"/>
      <c r="X302" s="34"/>
      <c r="Y302" s="34"/>
      <c r="Z302" s="37"/>
      <c r="AA302" s="33">
        <v>2</v>
      </c>
      <c r="AB302" s="34"/>
      <c r="AC302" s="34">
        <f>AC299-AA302</f>
        <v>137</v>
      </c>
      <c r="AD302" s="34">
        <f>AD299-AB302</f>
        <v>10</v>
      </c>
      <c r="AE302" s="34">
        <v>30</v>
      </c>
      <c r="AF302" s="35">
        <f t="shared" ref="AF302:AF308" si="1960">((AE302+AG302)/AC302)</f>
        <v>0.23357664233576642</v>
      </c>
      <c r="AG302" s="34">
        <v>2</v>
      </c>
      <c r="AH302" s="35">
        <f t="shared" ref="AH302:AH308" si="1961">AG302/(AE302+AG302)</f>
        <v>6.25E-2</v>
      </c>
      <c r="AI302" s="36"/>
      <c r="AJ302" s="34"/>
      <c r="AK302" s="34"/>
      <c r="AL302" s="37"/>
      <c r="AM302" s="33"/>
      <c r="AN302" s="34"/>
      <c r="AO302" s="34">
        <f>AO299-AM302</f>
        <v>669</v>
      </c>
      <c r="AP302" s="34">
        <f>AP299-AN302</f>
        <v>49</v>
      </c>
      <c r="AQ302" s="34">
        <v>169</v>
      </c>
      <c r="AR302" s="35">
        <f t="shared" ref="AR302:AR308" si="1962">((AQ302+AS302)/AO302)</f>
        <v>0.26756352765321373</v>
      </c>
      <c r="AS302" s="34">
        <v>10</v>
      </c>
      <c r="AT302" s="35">
        <f t="shared" ref="AT302:AT308" si="1963">AS302/(AQ302+AS302)</f>
        <v>5.5865921787709494E-2</v>
      </c>
      <c r="AU302" s="36"/>
      <c r="AV302" s="34"/>
      <c r="AW302" s="34"/>
      <c r="AX302" s="37"/>
      <c r="AY302" s="33">
        <v>1</v>
      </c>
      <c r="AZ302" s="34"/>
      <c r="BA302" s="34">
        <f>BA299-AY302</f>
        <v>669</v>
      </c>
      <c r="BB302" s="34">
        <f>BB299-AZ302</f>
        <v>48</v>
      </c>
      <c r="BC302" s="34">
        <v>180</v>
      </c>
      <c r="BD302" s="35">
        <f t="shared" ref="BD302:BD308" si="1964">((BC302+BE302)/BA302)</f>
        <v>0.29297458893871448</v>
      </c>
      <c r="BE302" s="34">
        <v>16</v>
      </c>
      <c r="BF302" s="35">
        <f t="shared" ref="BF302:BF308" si="1965">BE302/(BC302+BE302)</f>
        <v>8.1632653061224483E-2</v>
      </c>
      <c r="BG302" s="36"/>
      <c r="BH302" s="34"/>
      <c r="BI302" s="34"/>
      <c r="BJ302" s="37"/>
      <c r="BK302" s="33"/>
      <c r="BL302" s="34"/>
      <c r="BM302" s="34">
        <f>BM299-BK302</f>
        <v>663</v>
      </c>
      <c r="BN302" s="34">
        <f>BN299-BL302</f>
        <v>49</v>
      </c>
      <c r="BO302" s="34">
        <v>181</v>
      </c>
      <c r="BP302" s="35">
        <f t="shared" ref="BP302:BP308" si="1966">((BO302+BQ302)/BM302)</f>
        <v>0.2895927601809955</v>
      </c>
      <c r="BQ302" s="34">
        <v>11</v>
      </c>
      <c r="BR302" s="35">
        <f t="shared" ref="BR302:BR308" si="1967">BQ302/(BO302+BQ302)</f>
        <v>5.7291666666666664E-2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1968">((CA302+CC302)/BY302)</f>
        <v>#DIV/0!</v>
      </c>
      <c r="CC302" s="34"/>
      <c r="CD302" s="35" t="e">
        <f t="shared" ref="CD302:CD308" si="1969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1970">((CM302+CO302)/CK302)</f>
        <v>#DIV/0!</v>
      </c>
      <c r="CO302" s="34"/>
      <c r="CP302" s="35" t="e">
        <f t="shared" ref="CP302:CP308" si="1971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1972">((CY302+DA302)/CW302)</f>
        <v>#DIV/0!</v>
      </c>
      <c r="DA302" s="34"/>
      <c r="DB302" s="35" t="e">
        <f t="shared" ref="DB302:DB308" si="1973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1974">((DK302+DM302)/DI302)</f>
        <v>#DIV/0!</v>
      </c>
      <c r="DM302" s="34"/>
      <c r="DN302" s="35" t="e">
        <f t="shared" ref="DN302:DN308" si="1975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1976">((DW302+DY302)/DU302)</f>
        <v>#DIV/0!</v>
      </c>
      <c r="DY302" s="34"/>
      <c r="DZ302" s="35" t="e">
        <f t="shared" ref="DZ302:DZ308" si="1977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1978">((EI302+EK302)/EG302)</f>
        <v>#DIV/0!</v>
      </c>
      <c r="EK302" s="34"/>
      <c r="EL302" s="35" t="e">
        <f t="shared" ref="EL302:EL308" si="1979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1980">((EU302+EW302)/ES302)</f>
        <v>#DIV/0!</v>
      </c>
      <c r="EW302" s="34"/>
      <c r="EX302" s="35" t="e">
        <f t="shared" ref="EX302:EX308" si="1981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1982">((FG302+FI302)/FE302)</f>
        <v>#DIV/0!</v>
      </c>
      <c r="FI302" s="34"/>
      <c r="FJ302" s="35" t="e">
        <f t="shared" ref="FJ302:FJ308" si="1983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1984">((FS302+FU302)/FQ302)</f>
        <v>#DIV/0!</v>
      </c>
      <c r="FU302" s="34"/>
      <c r="FV302" s="35" t="e">
        <f t="shared" ref="FV302:FV308" si="1985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1986">((GE302+GG302)/GC302)</f>
        <v>#DIV/0!</v>
      </c>
      <c r="GG302" s="34"/>
      <c r="GH302" s="35" t="e">
        <f t="shared" ref="GH302:GH308" si="1987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1988">((GQ302+GS302)/GO302)</f>
        <v>#DIV/0!</v>
      </c>
      <c r="GS302" s="34"/>
      <c r="GT302" s="35" t="e">
        <f t="shared" ref="GT302:GT308" si="1989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1990">((HC302+HE302)/HA302)</f>
        <v>#DIV/0!</v>
      </c>
      <c r="HE302" s="34"/>
      <c r="HF302" s="35" t="e">
        <f t="shared" ref="HF302:HF308" si="1991">HE302/(HC302+HE302)</f>
        <v>#DIV/0!</v>
      </c>
      <c r="HG302" s="36"/>
      <c r="HH302" s="34"/>
      <c r="HI302" s="34"/>
      <c r="HJ302" s="37"/>
      <c r="HK302" s="33">
        <f t="shared" ref="HK302:HN309" si="1992">+C302+O302+AA302+AM302+AY302+BK302+BW302+CI302+CU302+DG302+DS302+EE302+EQ302+FC302+FO302+GA302+GM302+GY302</f>
        <v>3</v>
      </c>
      <c r="HL302" s="34">
        <f t="shared" si="1992"/>
        <v>0</v>
      </c>
      <c r="HM302" s="34">
        <f t="shared" si="1992"/>
        <v>3322</v>
      </c>
      <c r="HN302" s="34">
        <f t="shared" si="1992"/>
        <v>242</v>
      </c>
      <c r="HO302" s="34">
        <f t="shared" ref="HO302:HO309" si="1993">+G302+S302+AE302+AQ302+BC302+BO302+CA302+CM302+CY302+DK302+DW302+EI302+EU302+FG302+FS302+GE302+GQ302+HC302+I302+U302+AG302+AS302+BE302+BQ302+CC302+CO302+DA302+DM302+DY302+EK302+EW302+FI302+FU302+GG302+GS302+HE302</f>
        <v>975</v>
      </c>
      <c r="HP302" s="94">
        <f t="shared" ref="HP302:HP308" si="1994">+(HO302)/HM302</f>
        <v>0.29349789283564121</v>
      </c>
      <c r="HQ302" s="48">
        <f t="shared" ref="HQ302:HQ309" si="1995">+I302+U302+AG302+AS302+BE302+BQ302+CC302+CO302+DA302+DM302+DY302+EK302+EW302+FI302+FU302+GG302+GS302+HE302</f>
        <v>67</v>
      </c>
      <c r="HR302" s="35">
        <f>+(HQ302/(HO302))</f>
        <v>6.8717948717948715E-2</v>
      </c>
      <c r="HS302" s="49">
        <v>73.3</v>
      </c>
      <c r="HT302" s="50">
        <v>885</v>
      </c>
      <c r="HU302" s="49">
        <f t="shared" ref="HU302:HU308" si="1996">+HT302/HO302*100</f>
        <v>90.769230769230774</v>
      </c>
      <c r="HV302" s="48"/>
      <c r="HW302" s="37"/>
    </row>
    <row r="303" spans="1:231" ht="18.75" x14ac:dyDescent="0.25">
      <c r="A303" s="374"/>
      <c r="B303" s="41">
        <f t="shared" si="1656"/>
        <v>45173</v>
      </c>
      <c r="C303" s="10"/>
      <c r="D303" s="11"/>
      <c r="E303" s="69">
        <f t="shared" ref="E303:F307" si="1997">E302-C303</f>
        <v>585</v>
      </c>
      <c r="F303" s="69">
        <f t="shared" si="1997"/>
        <v>42</v>
      </c>
      <c r="G303" s="11">
        <v>182</v>
      </c>
      <c r="H303" s="12">
        <f t="shared" si="1957"/>
        <v>0.3282051282051282</v>
      </c>
      <c r="I303" s="11">
        <v>10</v>
      </c>
      <c r="J303" s="12">
        <f t="shared" ref="J303:J308" si="1998">I303/(G303+I303)</f>
        <v>5.2083333333333336E-2</v>
      </c>
      <c r="K303" s="13"/>
      <c r="L303" s="11"/>
      <c r="M303" s="11"/>
      <c r="N303" s="14"/>
      <c r="O303" s="10"/>
      <c r="P303" s="11"/>
      <c r="Q303" s="69">
        <f t="shared" ref="Q303:R308" si="1999">Q302-O303</f>
        <v>599</v>
      </c>
      <c r="R303" s="69">
        <f t="shared" si="1999"/>
        <v>44</v>
      </c>
      <c r="S303" s="11">
        <v>188</v>
      </c>
      <c r="T303" s="12">
        <f t="shared" si="1958"/>
        <v>0.328881469115192</v>
      </c>
      <c r="U303" s="11">
        <v>9</v>
      </c>
      <c r="V303" s="12">
        <f t="shared" si="1959"/>
        <v>4.5685279187817257E-2</v>
      </c>
      <c r="W303" s="13"/>
      <c r="X303" s="11"/>
      <c r="Y303" s="11"/>
      <c r="Z303" s="14"/>
      <c r="AA303" s="10"/>
      <c r="AB303" s="11"/>
      <c r="AC303" s="69">
        <f t="shared" ref="AC303:AD308" si="2000">AC302-AA303</f>
        <v>137</v>
      </c>
      <c r="AD303" s="69">
        <f t="shared" si="2000"/>
        <v>10</v>
      </c>
      <c r="AE303" s="11">
        <v>29</v>
      </c>
      <c r="AF303" s="12">
        <f t="shared" si="1960"/>
        <v>0.21897810218978103</v>
      </c>
      <c r="AG303" s="11">
        <v>1</v>
      </c>
      <c r="AH303" s="12">
        <f t="shared" si="1961"/>
        <v>3.3333333333333333E-2</v>
      </c>
      <c r="AI303" s="13"/>
      <c r="AJ303" s="11"/>
      <c r="AK303" s="11"/>
      <c r="AL303" s="14"/>
      <c r="AM303" s="10">
        <v>1</v>
      </c>
      <c r="AN303" s="11"/>
      <c r="AO303" s="69">
        <f t="shared" ref="AO303:AP308" si="2001">AO302-AM303</f>
        <v>668</v>
      </c>
      <c r="AP303" s="69">
        <f t="shared" si="2001"/>
        <v>49</v>
      </c>
      <c r="AQ303" s="11">
        <v>181</v>
      </c>
      <c r="AR303" s="12">
        <f t="shared" si="1962"/>
        <v>0.28143712574850299</v>
      </c>
      <c r="AS303" s="11">
        <v>7</v>
      </c>
      <c r="AT303" s="12">
        <f t="shared" si="1963"/>
        <v>3.7234042553191488E-2</v>
      </c>
      <c r="AU303" s="13"/>
      <c r="AV303" s="11"/>
      <c r="AW303" s="11"/>
      <c r="AX303" s="14"/>
      <c r="AY303" s="10"/>
      <c r="AZ303" s="11"/>
      <c r="BA303" s="69">
        <f t="shared" ref="BA303:BB308" si="2002">BA302-AY303</f>
        <v>669</v>
      </c>
      <c r="BB303" s="69">
        <f t="shared" si="2002"/>
        <v>48</v>
      </c>
      <c r="BC303" s="11">
        <v>191</v>
      </c>
      <c r="BD303" s="12">
        <f t="shared" si="1964"/>
        <v>0.29895366218236175</v>
      </c>
      <c r="BE303" s="11">
        <v>9</v>
      </c>
      <c r="BF303" s="12">
        <f t="shared" si="1965"/>
        <v>4.4999999999999998E-2</v>
      </c>
      <c r="BG303" s="13"/>
      <c r="BH303" s="11"/>
      <c r="BI303" s="11"/>
      <c r="BJ303" s="14"/>
      <c r="BK303" s="10"/>
      <c r="BL303" s="11"/>
      <c r="BM303" s="69">
        <f t="shared" ref="BM303:BN308" si="2003">BM302-BK303</f>
        <v>663</v>
      </c>
      <c r="BN303" s="69">
        <f t="shared" si="2003"/>
        <v>49</v>
      </c>
      <c r="BO303" s="11">
        <v>170</v>
      </c>
      <c r="BP303" s="12">
        <f t="shared" si="1966"/>
        <v>0.26998491704374056</v>
      </c>
      <c r="BQ303" s="11">
        <v>9</v>
      </c>
      <c r="BR303" s="12">
        <f t="shared" si="1967"/>
        <v>5.027932960893855E-2</v>
      </c>
      <c r="BS303" s="13"/>
      <c r="BT303" s="11"/>
      <c r="BU303" s="11"/>
      <c r="BV303" s="14"/>
      <c r="BW303" s="10"/>
      <c r="BX303" s="11"/>
      <c r="BY303" s="69">
        <f t="shared" ref="BY303:BZ308" si="2004">BY302-BW303</f>
        <v>0</v>
      </c>
      <c r="BZ303" s="69">
        <f t="shared" si="2004"/>
        <v>0</v>
      </c>
      <c r="CA303" s="11"/>
      <c r="CB303" s="12" t="e">
        <f t="shared" si="1968"/>
        <v>#DIV/0!</v>
      </c>
      <c r="CC303" s="11"/>
      <c r="CD303" s="12" t="e">
        <f t="shared" si="1969"/>
        <v>#DIV/0!</v>
      </c>
      <c r="CE303" s="13"/>
      <c r="CF303" s="11"/>
      <c r="CG303" s="11"/>
      <c r="CH303" s="14"/>
      <c r="CI303" s="10"/>
      <c r="CJ303" s="11"/>
      <c r="CK303" s="69">
        <f t="shared" ref="CK303:CL308" si="2005">CK302-CI303</f>
        <v>0</v>
      </c>
      <c r="CL303" s="69">
        <f t="shared" si="2005"/>
        <v>0</v>
      </c>
      <c r="CM303" s="11"/>
      <c r="CN303" s="12" t="e">
        <f t="shared" si="1970"/>
        <v>#DIV/0!</v>
      </c>
      <c r="CO303" s="11"/>
      <c r="CP303" s="12" t="e">
        <f t="shared" si="1971"/>
        <v>#DIV/0!</v>
      </c>
      <c r="CQ303" s="13"/>
      <c r="CR303" s="11"/>
      <c r="CS303" s="11"/>
      <c r="CT303" s="14"/>
      <c r="CU303" s="10"/>
      <c r="CV303" s="11"/>
      <c r="CW303" s="69">
        <f t="shared" ref="CW303:CX308" si="2006">CW302-CU303</f>
        <v>0</v>
      </c>
      <c r="CX303" s="69">
        <f t="shared" si="2006"/>
        <v>0</v>
      </c>
      <c r="CY303" s="11"/>
      <c r="CZ303" s="12" t="e">
        <f t="shared" si="1972"/>
        <v>#DIV/0!</v>
      </c>
      <c r="DA303" s="11"/>
      <c r="DB303" s="12" t="e">
        <f t="shared" si="1973"/>
        <v>#DIV/0!</v>
      </c>
      <c r="DC303" s="13"/>
      <c r="DD303" s="11"/>
      <c r="DE303" s="11"/>
      <c r="DF303" s="14"/>
      <c r="DG303" s="10"/>
      <c r="DH303" s="11"/>
      <c r="DI303" s="69">
        <f t="shared" ref="DI303:DJ308" si="2007">DI302-DG303</f>
        <v>0</v>
      </c>
      <c r="DJ303" s="69">
        <f t="shared" si="2007"/>
        <v>0</v>
      </c>
      <c r="DK303" s="11"/>
      <c r="DL303" s="12" t="e">
        <f t="shared" si="1974"/>
        <v>#DIV/0!</v>
      </c>
      <c r="DM303" s="11"/>
      <c r="DN303" s="12" t="e">
        <f t="shared" si="1975"/>
        <v>#DIV/0!</v>
      </c>
      <c r="DO303" s="13"/>
      <c r="DP303" s="11"/>
      <c r="DQ303" s="11"/>
      <c r="DR303" s="14"/>
      <c r="DS303" s="10"/>
      <c r="DT303" s="11"/>
      <c r="DU303" s="69">
        <f t="shared" ref="DU303:DV308" si="2008">DU302-DS303</f>
        <v>0</v>
      </c>
      <c r="DV303" s="69">
        <f t="shared" si="2008"/>
        <v>0</v>
      </c>
      <c r="DW303" s="11"/>
      <c r="DX303" s="12" t="e">
        <f t="shared" si="1976"/>
        <v>#DIV/0!</v>
      </c>
      <c r="DY303" s="11"/>
      <c r="DZ303" s="12" t="e">
        <f t="shared" si="1977"/>
        <v>#DIV/0!</v>
      </c>
      <c r="EA303" s="13"/>
      <c r="EB303" s="11"/>
      <c r="EC303" s="11"/>
      <c r="ED303" s="14"/>
      <c r="EE303" s="10"/>
      <c r="EF303" s="11"/>
      <c r="EG303" s="69">
        <f t="shared" ref="EG303:EH308" si="2009">EG302-EE303</f>
        <v>0</v>
      </c>
      <c r="EH303" s="69">
        <f t="shared" si="2009"/>
        <v>0</v>
      </c>
      <c r="EI303" s="11"/>
      <c r="EJ303" s="12" t="e">
        <f t="shared" si="1978"/>
        <v>#DIV/0!</v>
      </c>
      <c r="EK303" s="11"/>
      <c r="EL303" s="12" t="e">
        <f t="shared" si="1979"/>
        <v>#DIV/0!</v>
      </c>
      <c r="EM303" s="13"/>
      <c r="EN303" s="11"/>
      <c r="EO303" s="11"/>
      <c r="EP303" s="14"/>
      <c r="EQ303" s="10"/>
      <c r="ER303" s="11"/>
      <c r="ES303" s="69">
        <f t="shared" ref="ES303:ET308" si="2010">ES302-EQ303</f>
        <v>0</v>
      </c>
      <c r="ET303" s="69">
        <f t="shared" si="2010"/>
        <v>0</v>
      </c>
      <c r="EU303" s="11"/>
      <c r="EV303" s="12" t="e">
        <f t="shared" si="1980"/>
        <v>#DIV/0!</v>
      </c>
      <c r="EW303" s="11"/>
      <c r="EX303" s="12" t="e">
        <f t="shared" si="1981"/>
        <v>#DIV/0!</v>
      </c>
      <c r="EY303" s="13"/>
      <c r="EZ303" s="11"/>
      <c r="FA303" s="11"/>
      <c r="FB303" s="14"/>
      <c r="FC303" s="10"/>
      <c r="FD303" s="11"/>
      <c r="FE303" s="69">
        <f t="shared" ref="FE303:FF308" si="2011">FE302-FC303</f>
        <v>0</v>
      </c>
      <c r="FF303" s="69">
        <f t="shared" si="2011"/>
        <v>0</v>
      </c>
      <c r="FG303" s="11"/>
      <c r="FH303" s="12" t="e">
        <f t="shared" si="1982"/>
        <v>#DIV/0!</v>
      </c>
      <c r="FI303" s="11"/>
      <c r="FJ303" s="12" t="e">
        <f t="shared" si="1983"/>
        <v>#DIV/0!</v>
      </c>
      <c r="FK303" s="13"/>
      <c r="FL303" s="11"/>
      <c r="FM303" s="11"/>
      <c r="FN303" s="14"/>
      <c r="FO303" s="10"/>
      <c r="FP303" s="11"/>
      <c r="FQ303" s="69">
        <f t="shared" ref="FQ303:FR308" si="2012">FQ302-FO303</f>
        <v>0</v>
      </c>
      <c r="FR303" s="69">
        <f t="shared" si="2012"/>
        <v>0</v>
      </c>
      <c r="FS303" s="11"/>
      <c r="FT303" s="12" t="e">
        <f t="shared" si="1984"/>
        <v>#DIV/0!</v>
      </c>
      <c r="FU303" s="11"/>
      <c r="FV303" s="12" t="e">
        <f t="shared" si="1985"/>
        <v>#DIV/0!</v>
      </c>
      <c r="FW303" s="13"/>
      <c r="FX303" s="11"/>
      <c r="FY303" s="11"/>
      <c r="FZ303" s="14"/>
      <c r="GA303" s="10"/>
      <c r="GB303" s="11"/>
      <c r="GC303" s="69">
        <f t="shared" ref="GC303:GD308" si="2013">GC302-GA303</f>
        <v>0</v>
      </c>
      <c r="GD303" s="69">
        <f t="shared" si="2013"/>
        <v>0</v>
      </c>
      <c r="GE303" s="11"/>
      <c r="GF303" s="12" t="e">
        <f t="shared" si="1986"/>
        <v>#DIV/0!</v>
      </c>
      <c r="GG303" s="11"/>
      <c r="GH303" s="12" t="e">
        <f t="shared" si="1987"/>
        <v>#DIV/0!</v>
      </c>
      <c r="GI303" s="13"/>
      <c r="GJ303" s="11"/>
      <c r="GK303" s="11"/>
      <c r="GL303" s="14"/>
      <c r="GM303" s="10"/>
      <c r="GN303" s="11"/>
      <c r="GO303" s="69">
        <f t="shared" ref="GO303:GP308" si="2014">GO302-GM303</f>
        <v>0</v>
      </c>
      <c r="GP303" s="69">
        <f t="shared" si="2014"/>
        <v>0</v>
      </c>
      <c r="GQ303" s="11"/>
      <c r="GR303" s="12" t="e">
        <f t="shared" si="1988"/>
        <v>#DIV/0!</v>
      </c>
      <c r="GS303" s="11"/>
      <c r="GT303" s="12" t="e">
        <f t="shared" si="1989"/>
        <v>#DIV/0!</v>
      </c>
      <c r="GU303" s="13"/>
      <c r="GV303" s="11"/>
      <c r="GW303" s="11"/>
      <c r="GX303" s="14"/>
      <c r="GY303" s="10"/>
      <c r="GZ303" s="11"/>
      <c r="HA303" s="69">
        <f t="shared" ref="HA303:HB308" si="2015">HA302-GY303</f>
        <v>0</v>
      </c>
      <c r="HB303" s="69">
        <f t="shared" si="2015"/>
        <v>0</v>
      </c>
      <c r="HC303" s="11"/>
      <c r="HD303" s="12" t="e">
        <f t="shared" si="1990"/>
        <v>#DIV/0!</v>
      </c>
      <c r="HE303" s="11"/>
      <c r="HF303" s="12" t="e">
        <f t="shared" si="1991"/>
        <v>#DIV/0!</v>
      </c>
      <c r="HG303" s="13"/>
      <c r="HH303" s="11"/>
      <c r="HI303" s="11"/>
      <c r="HJ303" s="14"/>
      <c r="HK303" s="10">
        <f t="shared" si="1992"/>
        <v>1</v>
      </c>
      <c r="HL303" s="11">
        <f t="shared" si="1992"/>
        <v>0</v>
      </c>
      <c r="HM303" s="11">
        <f t="shared" si="1992"/>
        <v>3321</v>
      </c>
      <c r="HN303" s="11">
        <f t="shared" si="1992"/>
        <v>242</v>
      </c>
      <c r="HO303" s="11">
        <f t="shared" si="1993"/>
        <v>986</v>
      </c>
      <c r="HP303" s="95">
        <f t="shared" si="1994"/>
        <v>0.29689852454080096</v>
      </c>
      <c r="HQ303" s="15">
        <f t="shared" si="1995"/>
        <v>45</v>
      </c>
      <c r="HR303" s="12">
        <f t="shared" ref="HR303:HR309" si="2016">+(HQ303/(HO303))</f>
        <v>4.5638945233265719E-2</v>
      </c>
      <c r="HS303" s="16">
        <v>72.3</v>
      </c>
      <c r="HT303" s="17">
        <v>915</v>
      </c>
      <c r="HU303" s="16">
        <f t="shared" si="1996"/>
        <v>92.799188640973625</v>
      </c>
      <c r="HV303" s="15"/>
      <c r="HW303" s="14"/>
    </row>
    <row r="304" spans="1:231" ht="18.75" x14ac:dyDescent="0.25">
      <c r="A304" s="374"/>
      <c r="B304" s="41">
        <f t="shared" si="1656"/>
        <v>45174</v>
      </c>
      <c r="C304" s="10"/>
      <c r="D304" s="11"/>
      <c r="E304" s="69">
        <f t="shared" si="1997"/>
        <v>585</v>
      </c>
      <c r="F304" s="69">
        <f t="shared" si="1997"/>
        <v>42</v>
      </c>
      <c r="G304" s="11">
        <v>152</v>
      </c>
      <c r="H304" s="12">
        <f t="shared" si="1957"/>
        <v>0.27521367521367524</v>
      </c>
      <c r="I304" s="11">
        <v>9</v>
      </c>
      <c r="J304" s="12">
        <f t="shared" si="1998"/>
        <v>5.5900621118012424E-2</v>
      </c>
      <c r="K304" s="13"/>
      <c r="L304" s="11"/>
      <c r="M304" s="11"/>
      <c r="N304" s="14"/>
      <c r="O304" s="10"/>
      <c r="P304" s="11"/>
      <c r="Q304" s="69">
        <f t="shared" si="1999"/>
        <v>599</v>
      </c>
      <c r="R304" s="69">
        <f t="shared" si="1999"/>
        <v>44</v>
      </c>
      <c r="S304" s="11">
        <v>169</v>
      </c>
      <c r="T304" s="12">
        <f t="shared" si="1958"/>
        <v>0.30050083472454092</v>
      </c>
      <c r="U304" s="11">
        <v>11</v>
      </c>
      <c r="V304" s="12">
        <f t="shared" si="1959"/>
        <v>6.1111111111111109E-2</v>
      </c>
      <c r="W304" s="13"/>
      <c r="X304" s="11"/>
      <c r="Y304" s="11"/>
      <c r="Z304" s="14"/>
      <c r="AA304" s="10">
        <v>1</v>
      </c>
      <c r="AB304" s="11"/>
      <c r="AC304" s="69">
        <f t="shared" si="2000"/>
        <v>136</v>
      </c>
      <c r="AD304" s="69">
        <f t="shared" si="2000"/>
        <v>10</v>
      </c>
      <c r="AE304" s="11">
        <v>33</v>
      </c>
      <c r="AF304" s="12">
        <f t="shared" si="1960"/>
        <v>0.27205882352941174</v>
      </c>
      <c r="AG304" s="11">
        <v>4</v>
      </c>
      <c r="AH304" s="12">
        <f t="shared" si="1961"/>
        <v>0.10810810810810811</v>
      </c>
      <c r="AI304" s="13"/>
      <c r="AJ304" s="11"/>
      <c r="AK304" s="11"/>
      <c r="AL304" s="14"/>
      <c r="AM304" s="10">
        <v>1</v>
      </c>
      <c r="AN304" s="11"/>
      <c r="AO304" s="69">
        <f t="shared" si="2001"/>
        <v>667</v>
      </c>
      <c r="AP304" s="69">
        <f t="shared" si="2001"/>
        <v>49</v>
      </c>
      <c r="AQ304" s="11">
        <v>156</v>
      </c>
      <c r="AR304" s="12">
        <f t="shared" si="1962"/>
        <v>0.2413793103448276</v>
      </c>
      <c r="AS304" s="11">
        <v>5</v>
      </c>
      <c r="AT304" s="12">
        <f t="shared" si="1963"/>
        <v>3.1055900621118012E-2</v>
      </c>
      <c r="AU304" s="13"/>
      <c r="AV304" s="11"/>
      <c r="AW304" s="11"/>
      <c r="AX304" s="14"/>
      <c r="AY304" s="10"/>
      <c r="AZ304" s="11"/>
      <c r="BA304" s="69">
        <f t="shared" si="2002"/>
        <v>669</v>
      </c>
      <c r="BB304" s="69">
        <f t="shared" si="2002"/>
        <v>48</v>
      </c>
      <c r="BC304" s="11">
        <v>165</v>
      </c>
      <c r="BD304" s="12">
        <f t="shared" si="1964"/>
        <v>0.27204783258594917</v>
      </c>
      <c r="BE304" s="11">
        <v>17</v>
      </c>
      <c r="BF304" s="12">
        <f t="shared" si="1965"/>
        <v>9.3406593406593408E-2</v>
      </c>
      <c r="BG304" s="13"/>
      <c r="BH304" s="11"/>
      <c r="BI304" s="11"/>
      <c r="BJ304" s="14"/>
      <c r="BK304" s="10"/>
      <c r="BL304" s="11"/>
      <c r="BM304" s="69">
        <f t="shared" si="2003"/>
        <v>663</v>
      </c>
      <c r="BN304" s="69">
        <f t="shared" si="2003"/>
        <v>49</v>
      </c>
      <c r="BO304" s="11">
        <v>146</v>
      </c>
      <c r="BP304" s="12">
        <f t="shared" si="1966"/>
        <v>0.23378582202111614</v>
      </c>
      <c r="BQ304" s="11">
        <v>9</v>
      </c>
      <c r="BR304" s="12">
        <f t="shared" si="1967"/>
        <v>5.8064516129032261E-2</v>
      </c>
      <c r="BS304" s="13"/>
      <c r="BT304" s="11"/>
      <c r="BU304" s="11"/>
      <c r="BV304" s="14"/>
      <c r="BW304" s="10"/>
      <c r="BX304" s="11"/>
      <c r="BY304" s="69">
        <f t="shared" si="2004"/>
        <v>0</v>
      </c>
      <c r="BZ304" s="69">
        <f t="shared" si="2004"/>
        <v>0</v>
      </c>
      <c r="CA304" s="11"/>
      <c r="CB304" s="12" t="e">
        <f t="shared" si="1968"/>
        <v>#DIV/0!</v>
      </c>
      <c r="CC304" s="11"/>
      <c r="CD304" s="12" t="e">
        <f t="shared" si="1969"/>
        <v>#DIV/0!</v>
      </c>
      <c r="CE304" s="13"/>
      <c r="CF304" s="11"/>
      <c r="CG304" s="11"/>
      <c r="CH304" s="14"/>
      <c r="CI304" s="10"/>
      <c r="CJ304" s="11"/>
      <c r="CK304" s="69">
        <f t="shared" si="2005"/>
        <v>0</v>
      </c>
      <c r="CL304" s="69">
        <f t="shared" si="2005"/>
        <v>0</v>
      </c>
      <c r="CM304" s="11"/>
      <c r="CN304" s="12" t="e">
        <f t="shared" si="1970"/>
        <v>#DIV/0!</v>
      </c>
      <c r="CO304" s="11"/>
      <c r="CP304" s="12" t="e">
        <f t="shared" si="1971"/>
        <v>#DIV/0!</v>
      </c>
      <c r="CQ304" s="13"/>
      <c r="CR304" s="11"/>
      <c r="CS304" s="11"/>
      <c r="CT304" s="14"/>
      <c r="CU304" s="10"/>
      <c r="CV304" s="11"/>
      <c r="CW304" s="69">
        <f t="shared" si="2006"/>
        <v>0</v>
      </c>
      <c r="CX304" s="69">
        <f t="shared" si="2006"/>
        <v>0</v>
      </c>
      <c r="CY304" s="11"/>
      <c r="CZ304" s="12" t="e">
        <f t="shared" si="1972"/>
        <v>#DIV/0!</v>
      </c>
      <c r="DA304" s="11"/>
      <c r="DB304" s="12" t="e">
        <f t="shared" si="1973"/>
        <v>#DIV/0!</v>
      </c>
      <c r="DC304" s="13"/>
      <c r="DD304" s="11"/>
      <c r="DE304" s="11"/>
      <c r="DF304" s="14"/>
      <c r="DG304" s="10"/>
      <c r="DH304" s="11"/>
      <c r="DI304" s="69">
        <f t="shared" si="2007"/>
        <v>0</v>
      </c>
      <c r="DJ304" s="69">
        <f t="shared" si="2007"/>
        <v>0</v>
      </c>
      <c r="DK304" s="11"/>
      <c r="DL304" s="12" t="e">
        <f t="shared" si="1974"/>
        <v>#DIV/0!</v>
      </c>
      <c r="DM304" s="11"/>
      <c r="DN304" s="12" t="e">
        <f t="shared" si="1975"/>
        <v>#DIV/0!</v>
      </c>
      <c r="DO304" s="13"/>
      <c r="DP304" s="11"/>
      <c r="DQ304" s="11"/>
      <c r="DR304" s="14"/>
      <c r="DS304" s="10"/>
      <c r="DT304" s="11"/>
      <c r="DU304" s="69">
        <f t="shared" si="2008"/>
        <v>0</v>
      </c>
      <c r="DV304" s="69">
        <f t="shared" si="2008"/>
        <v>0</v>
      </c>
      <c r="DW304" s="11"/>
      <c r="DX304" s="12" t="e">
        <f t="shared" si="1976"/>
        <v>#DIV/0!</v>
      </c>
      <c r="DY304" s="11"/>
      <c r="DZ304" s="12" t="e">
        <f t="shared" si="1977"/>
        <v>#DIV/0!</v>
      </c>
      <c r="EA304" s="13"/>
      <c r="EB304" s="11"/>
      <c r="EC304" s="11"/>
      <c r="ED304" s="14"/>
      <c r="EE304" s="10"/>
      <c r="EF304" s="11"/>
      <c r="EG304" s="69">
        <f t="shared" si="2009"/>
        <v>0</v>
      </c>
      <c r="EH304" s="69">
        <f t="shared" si="2009"/>
        <v>0</v>
      </c>
      <c r="EI304" s="11"/>
      <c r="EJ304" s="12" t="e">
        <f t="shared" si="1978"/>
        <v>#DIV/0!</v>
      </c>
      <c r="EK304" s="11"/>
      <c r="EL304" s="12" t="e">
        <f t="shared" si="1979"/>
        <v>#DIV/0!</v>
      </c>
      <c r="EM304" s="13"/>
      <c r="EN304" s="11"/>
      <c r="EO304" s="11"/>
      <c r="EP304" s="14"/>
      <c r="EQ304" s="10"/>
      <c r="ER304" s="11"/>
      <c r="ES304" s="69">
        <f t="shared" si="2010"/>
        <v>0</v>
      </c>
      <c r="ET304" s="69">
        <f t="shared" si="2010"/>
        <v>0</v>
      </c>
      <c r="EU304" s="11"/>
      <c r="EV304" s="12" t="e">
        <f t="shared" si="1980"/>
        <v>#DIV/0!</v>
      </c>
      <c r="EW304" s="11"/>
      <c r="EX304" s="12" t="e">
        <f t="shared" si="1981"/>
        <v>#DIV/0!</v>
      </c>
      <c r="EY304" s="13"/>
      <c r="EZ304" s="11"/>
      <c r="FA304" s="11"/>
      <c r="FB304" s="14"/>
      <c r="FC304" s="10"/>
      <c r="FD304" s="11"/>
      <c r="FE304" s="69">
        <f t="shared" si="2011"/>
        <v>0</v>
      </c>
      <c r="FF304" s="69">
        <f t="shared" si="2011"/>
        <v>0</v>
      </c>
      <c r="FG304" s="11"/>
      <c r="FH304" s="12" t="e">
        <f t="shared" si="1982"/>
        <v>#DIV/0!</v>
      </c>
      <c r="FI304" s="11"/>
      <c r="FJ304" s="12" t="e">
        <f t="shared" si="1983"/>
        <v>#DIV/0!</v>
      </c>
      <c r="FK304" s="13"/>
      <c r="FL304" s="11"/>
      <c r="FM304" s="11"/>
      <c r="FN304" s="14"/>
      <c r="FO304" s="10"/>
      <c r="FP304" s="11"/>
      <c r="FQ304" s="69">
        <f t="shared" si="2012"/>
        <v>0</v>
      </c>
      <c r="FR304" s="69">
        <f t="shared" si="2012"/>
        <v>0</v>
      </c>
      <c r="FS304" s="11"/>
      <c r="FT304" s="12" t="e">
        <f t="shared" si="1984"/>
        <v>#DIV/0!</v>
      </c>
      <c r="FU304" s="11"/>
      <c r="FV304" s="12" t="e">
        <f t="shared" si="1985"/>
        <v>#DIV/0!</v>
      </c>
      <c r="FW304" s="13"/>
      <c r="FX304" s="11"/>
      <c r="FY304" s="11"/>
      <c r="FZ304" s="14"/>
      <c r="GA304" s="10"/>
      <c r="GB304" s="11"/>
      <c r="GC304" s="69">
        <f t="shared" si="2013"/>
        <v>0</v>
      </c>
      <c r="GD304" s="69">
        <f t="shared" si="2013"/>
        <v>0</v>
      </c>
      <c r="GE304" s="11"/>
      <c r="GF304" s="12" t="e">
        <f t="shared" si="1986"/>
        <v>#DIV/0!</v>
      </c>
      <c r="GG304" s="11"/>
      <c r="GH304" s="12" t="e">
        <f t="shared" si="1987"/>
        <v>#DIV/0!</v>
      </c>
      <c r="GI304" s="13"/>
      <c r="GJ304" s="11"/>
      <c r="GK304" s="11"/>
      <c r="GL304" s="14"/>
      <c r="GM304" s="10"/>
      <c r="GN304" s="11"/>
      <c r="GO304" s="69">
        <f t="shared" si="2014"/>
        <v>0</v>
      </c>
      <c r="GP304" s="69">
        <f t="shared" si="2014"/>
        <v>0</v>
      </c>
      <c r="GQ304" s="11"/>
      <c r="GR304" s="12" t="e">
        <f t="shared" si="1988"/>
        <v>#DIV/0!</v>
      </c>
      <c r="GS304" s="11"/>
      <c r="GT304" s="12" t="e">
        <f t="shared" si="1989"/>
        <v>#DIV/0!</v>
      </c>
      <c r="GU304" s="13"/>
      <c r="GV304" s="11"/>
      <c r="GW304" s="11"/>
      <c r="GX304" s="14"/>
      <c r="GY304" s="10"/>
      <c r="GZ304" s="11"/>
      <c r="HA304" s="69">
        <f t="shared" si="2015"/>
        <v>0</v>
      </c>
      <c r="HB304" s="69">
        <f t="shared" si="2015"/>
        <v>0</v>
      </c>
      <c r="HC304" s="11"/>
      <c r="HD304" s="12" t="e">
        <f t="shared" si="1990"/>
        <v>#DIV/0!</v>
      </c>
      <c r="HE304" s="11"/>
      <c r="HF304" s="12" t="e">
        <f t="shared" si="1991"/>
        <v>#DIV/0!</v>
      </c>
      <c r="HG304" s="13"/>
      <c r="HH304" s="11"/>
      <c r="HI304" s="11"/>
      <c r="HJ304" s="14"/>
      <c r="HK304" s="10">
        <f t="shared" si="1992"/>
        <v>2</v>
      </c>
      <c r="HL304" s="11">
        <f t="shared" si="1992"/>
        <v>0</v>
      </c>
      <c r="HM304" s="11">
        <f t="shared" si="1992"/>
        <v>3319</v>
      </c>
      <c r="HN304" s="11">
        <f t="shared" si="1992"/>
        <v>242</v>
      </c>
      <c r="HO304" s="11">
        <f t="shared" si="1993"/>
        <v>876</v>
      </c>
      <c r="HP304" s="95">
        <f t="shared" si="1994"/>
        <v>0.26393492015667369</v>
      </c>
      <c r="HQ304" s="15">
        <f t="shared" si="1995"/>
        <v>55</v>
      </c>
      <c r="HR304" s="12">
        <f t="shared" si="2016"/>
        <v>6.2785388127853878E-2</v>
      </c>
      <c r="HS304" s="16">
        <v>73.099999999999994</v>
      </c>
      <c r="HT304" s="17">
        <v>794</v>
      </c>
      <c r="HU304" s="16">
        <f t="shared" si="1996"/>
        <v>90.6392694063927</v>
      </c>
      <c r="HV304" s="15"/>
      <c r="HW304" s="14"/>
    </row>
    <row r="305" spans="1:231" ht="18.75" x14ac:dyDescent="0.25">
      <c r="A305" s="374"/>
      <c r="B305" s="41">
        <f t="shared" si="1656"/>
        <v>45175</v>
      </c>
      <c r="C305" s="10"/>
      <c r="D305" s="11"/>
      <c r="E305" s="69">
        <f t="shared" si="1997"/>
        <v>585</v>
      </c>
      <c r="F305" s="69">
        <f t="shared" si="1997"/>
        <v>42</v>
      </c>
      <c r="G305" s="11">
        <v>160</v>
      </c>
      <c r="H305" s="12">
        <f t="shared" si="1957"/>
        <v>0.30769230769230771</v>
      </c>
      <c r="I305" s="11">
        <v>20</v>
      </c>
      <c r="J305" s="12">
        <f t="shared" si="1998"/>
        <v>0.1111111111111111</v>
      </c>
      <c r="K305" s="11"/>
      <c r="L305" s="11"/>
      <c r="M305" s="18"/>
      <c r="N305" s="20"/>
      <c r="O305" s="10"/>
      <c r="P305" s="11"/>
      <c r="Q305" s="69">
        <f t="shared" si="1999"/>
        <v>599</v>
      </c>
      <c r="R305" s="69">
        <f t="shared" si="1999"/>
        <v>44</v>
      </c>
      <c r="S305" s="11">
        <v>161</v>
      </c>
      <c r="T305" s="12">
        <f t="shared" si="1958"/>
        <v>0.29382303839732887</v>
      </c>
      <c r="U305" s="11">
        <v>15</v>
      </c>
      <c r="V305" s="12">
        <f t="shared" si="1959"/>
        <v>8.5227272727272721E-2</v>
      </c>
      <c r="W305" s="11"/>
      <c r="X305" s="11"/>
      <c r="Y305" s="18"/>
      <c r="Z305" s="20"/>
      <c r="AA305" s="10"/>
      <c r="AB305" s="11"/>
      <c r="AC305" s="69">
        <f t="shared" si="2000"/>
        <v>136</v>
      </c>
      <c r="AD305" s="69">
        <f t="shared" si="2000"/>
        <v>10</v>
      </c>
      <c r="AE305" s="11">
        <v>28</v>
      </c>
      <c r="AF305" s="12">
        <f t="shared" si="1960"/>
        <v>0.22794117647058823</v>
      </c>
      <c r="AG305" s="11">
        <v>3</v>
      </c>
      <c r="AH305" s="12">
        <f t="shared" si="1961"/>
        <v>9.6774193548387094E-2</v>
      </c>
      <c r="AI305" s="11"/>
      <c r="AJ305" s="11"/>
      <c r="AK305" s="18"/>
      <c r="AL305" s="20"/>
      <c r="AM305" s="10"/>
      <c r="AN305" s="11"/>
      <c r="AO305" s="69">
        <f t="shared" si="2001"/>
        <v>667</v>
      </c>
      <c r="AP305" s="69">
        <f t="shared" si="2001"/>
        <v>49</v>
      </c>
      <c r="AQ305" s="11">
        <v>160</v>
      </c>
      <c r="AR305" s="12">
        <f t="shared" si="1962"/>
        <v>0.24287856071964017</v>
      </c>
      <c r="AS305" s="11">
        <v>2</v>
      </c>
      <c r="AT305" s="12">
        <f t="shared" si="1963"/>
        <v>1.2345679012345678E-2</v>
      </c>
      <c r="AU305" s="11"/>
      <c r="AV305" s="11"/>
      <c r="AW305" s="18"/>
      <c r="AX305" s="20"/>
      <c r="AY305" s="10">
        <v>1</v>
      </c>
      <c r="AZ305" s="11"/>
      <c r="BA305" s="69">
        <f t="shared" si="2002"/>
        <v>668</v>
      </c>
      <c r="BB305" s="69">
        <f t="shared" si="2002"/>
        <v>48</v>
      </c>
      <c r="BC305" s="11">
        <v>172</v>
      </c>
      <c r="BD305" s="12">
        <f t="shared" si="1964"/>
        <v>0.27994011976047906</v>
      </c>
      <c r="BE305" s="11">
        <v>15</v>
      </c>
      <c r="BF305" s="12">
        <f t="shared" si="1965"/>
        <v>8.0213903743315509E-2</v>
      </c>
      <c r="BG305" s="11"/>
      <c r="BH305" s="11"/>
      <c r="BI305" s="18"/>
      <c r="BJ305" s="20"/>
      <c r="BK305" s="10"/>
      <c r="BL305" s="11"/>
      <c r="BM305" s="69">
        <f t="shared" si="2003"/>
        <v>663</v>
      </c>
      <c r="BN305" s="69">
        <f t="shared" si="2003"/>
        <v>49</v>
      </c>
      <c r="BO305" s="11">
        <v>169</v>
      </c>
      <c r="BP305" s="12">
        <f t="shared" si="1966"/>
        <v>0.27903469079939669</v>
      </c>
      <c r="BQ305" s="11">
        <v>16</v>
      </c>
      <c r="BR305" s="12">
        <f t="shared" si="1967"/>
        <v>8.6486486486486491E-2</v>
      </c>
      <c r="BS305" s="11"/>
      <c r="BT305" s="11"/>
      <c r="BU305" s="18"/>
      <c r="BV305" s="20"/>
      <c r="BW305" s="10"/>
      <c r="BX305" s="11"/>
      <c r="BY305" s="69">
        <f t="shared" si="2004"/>
        <v>0</v>
      </c>
      <c r="BZ305" s="69">
        <f t="shared" si="2004"/>
        <v>0</v>
      </c>
      <c r="CA305" s="11"/>
      <c r="CB305" s="12" t="e">
        <f t="shared" si="1968"/>
        <v>#DIV/0!</v>
      </c>
      <c r="CC305" s="11"/>
      <c r="CD305" s="12" t="e">
        <f t="shared" si="1969"/>
        <v>#DIV/0!</v>
      </c>
      <c r="CE305" s="11"/>
      <c r="CF305" s="11"/>
      <c r="CG305" s="18"/>
      <c r="CH305" s="20"/>
      <c r="CI305" s="10"/>
      <c r="CJ305" s="11"/>
      <c r="CK305" s="69">
        <f t="shared" si="2005"/>
        <v>0</v>
      </c>
      <c r="CL305" s="69">
        <f t="shared" si="2005"/>
        <v>0</v>
      </c>
      <c r="CM305" s="11"/>
      <c r="CN305" s="12" t="e">
        <f t="shared" si="1970"/>
        <v>#DIV/0!</v>
      </c>
      <c r="CO305" s="11"/>
      <c r="CP305" s="12" t="e">
        <f t="shared" si="1971"/>
        <v>#DIV/0!</v>
      </c>
      <c r="CQ305" s="11"/>
      <c r="CR305" s="11"/>
      <c r="CS305" s="18"/>
      <c r="CT305" s="20"/>
      <c r="CU305" s="10"/>
      <c r="CV305" s="11"/>
      <c r="CW305" s="69">
        <f t="shared" si="2006"/>
        <v>0</v>
      </c>
      <c r="CX305" s="69">
        <f t="shared" si="2006"/>
        <v>0</v>
      </c>
      <c r="CY305" s="11"/>
      <c r="CZ305" s="12" t="e">
        <f t="shared" si="1972"/>
        <v>#DIV/0!</v>
      </c>
      <c r="DA305" s="11"/>
      <c r="DB305" s="12" t="e">
        <f t="shared" si="1973"/>
        <v>#DIV/0!</v>
      </c>
      <c r="DC305" s="11"/>
      <c r="DD305" s="11"/>
      <c r="DE305" s="18"/>
      <c r="DF305" s="20"/>
      <c r="DG305" s="10"/>
      <c r="DH305" s="11"/>
      <c r="DI305" s="69">
        <f t="shared" si="2007"/>
        <v>0</v>
      </c>
      <c r="DJ305" s="69">
        <f t="shared" si="2007"/>
        <v>0</v>
      </c>
      <c r="DK305" s="11"/>
      <c r="DL305" s="12" t="e">
        <f t="shared" si="1974"/>
        <v>#DIV/0!</v>
      </c>
      <c r="DM305" s="11"/>
      <c r="DN305" s="12" t="e">
        <f t="shared" si="1975"/>
        <v>#DIV/0!</v>
      </c>
      <c r="DO305" s="11"/>
      <c r="DP305" s="11"/>
      <c r="DQ305" s="18"/>
      <c r="DR305" s="20"/>
      <c r="DS305" s="10"/>
      <c r="DT305" s="11"/>
      <c r="DU305" s="69">
        <f t="shared" si="2008"/>
        <v>0</v>
      </c>
      <c r="DV305" s="69">
        <f t="shared" si="2008"/>
        <v>0</v>
      </c>
      <c r="DW305" s="11"/>
      <c r="DX305" s="12" t="e">
        <f t="shared" si="1976"/>
        <v>#DIV/0!</v>
      </c>
      <c r="DY305" s="11"/>
      <c r="DZ305" s="12" t="e">
        <f t="shared" si="1977"/>
        <v>#DIV/0!</v>
      </c>
      <c r="EA305" s="11"/>
      <c r="EB305" s="11"/>
      <c r="EC305" s="18"/>
      <c r="ED305" s="20"/>
      <c r="EE305" s="10"/>
      <c r="EF305" s="11"/>
      <c r="EG305" s="69">
        <f t="shared" si="2009"/>
        <v>0</v>
      </c>
      <c r="EH305" s="69">
        <f t="shared" si="2009"/>
        <v>0</v>
      </c>
      <c r="EI305" s="11"/>
      <c r="EJ305" s="12" t="e">
        <f t="shared" si="1978"/>
        <v>#DIV/0!</v>
      </c>
      <c r="EK305" s="11"/>
      <c r="EL305" s="12" t="e">
        <f t="shared" si="1979"/>
        <v>#DIV/0!</v>
      </c>
      <c r="EM305" s="11"/>
      <c r="EN305" s="11"/>
      <c r="EO305" s="18"/>
      <c r="EP305" s="20"/>
      <c r="EQ305" s="10"/>
      <c r="ER305" s="11"/>
      <c r="ES305" s="69">
        <f t="shared" si="2010"/>
        <v>0</v>
      </c>
      <c r="ET305" s="69">
        <f t="shared" si="2010"/>
        <v>0</v>
      </c>
      <c r="EU305" s="11"/>
      <c r="EV305" s="12" t="e">
        <f t="shared" si="1980"/>
        <v>#DIV/0!</v>
      </c>
      <c r="EW305" s="11"/>
      <c r="EX305" s="12" t="e">
        <f t="shared" si="1981"/>
        <v>#DIV/0!</v>
      </c>
      <c r="EY305" s="11"/>
      <c r="EZ305" s="11"/>
      <c r="FA305" s="18"/>
      <c r="FB305" s="20"/>
      <c r="FC305" s="10"/>
      <c r="FD305" s="11"/>
      <c r="FE305" s="69">
        <f t="shared" si="2011"/>
        <v>0</v>
      </c>
      <c r="FF305" s="69">
        <f t="shared" si="2011"/>
        <v>0</v>
      </c>
      <c r="FG305" s="11"/>
      <c r="FH305" s="12" t="e">
        <f t="shared" si="1982"/>
        <v>#DIV/0!</v>
      </c>
      <c r="FI305" s="11"/>
      <c r="FJ305" s="12" t="e">
        <f t="shared" si="1983"/>
        <v>#DIV/0!</v>
      </c>
      <c r="FK305" s="11"/>
      <c r="FL305" s="11"/>
      <c r="FM305" s="18"/>
      <c r="FN305" s="20"/>
      <c r="FO305" s="10"/>
      <c r="FP305" s="11"/>
      <c r="FQ305" s="69">
        <f t="shared" si="2012"/>
        <v>0</v>
      </c>
      <c r="FR305" s="69">
        <f t="shared" si="2012"/>
        <v>0</v>
      </c>
      <c r="FS305" s="11"/>
      <c r="FT305" s="12" t="e">
        <f t="shared" si="1984"/>
        <v>#DIV/0!</v>
      </c>
      <c r="FU305" s="11"/>
      <c r="FV305" s="12" t="e">
        <f t="shared" si="1985"/>
        <v>#DIV/0!</v>
      </c>
      <c r="FW305" s="11"/>
      <c r="FX305" s="11"/>
      <c r="FY305" s="18"/>
      <c r="FZ305" s="20"/>
      <c r="GA305" s="10"/>
      <c r="GB305" s="11"/>
      <c r="GC305" s="69">
        <f t="shared" si="2013"/>
        <v>0</v>
      </c>
      <c r="GD305" s="69">
        <f t="shared" si="2013"/>
        <v>0</v>
      </c>
      <c r="GE305" s="11"/>
      <c r="GF305" s="12" t="e">
        <f t="shared" si="1986"/>
        <v>#DIV/0!</v>
      </c>
      <c r="GG305" s="11"/>
      <c r="GH305" s="12" t="e">
        <f t="shared" si="1987"/>
        <v>#DIV/0!</v>
      </c>
      <c r="GI305" s="11"/>
      <c r="GJ305" s="11"/>
      <c r="GK305" s="18"/>
      <c r="GL305" s="20"/>
      <c r="GM305" s="10"/>
      <c r="GN305" s="11"/>
      <c r="GO305" s="69">
        <f t="shared" si="2014"/>
        <v>0</v>
      </c>
      <c r="GP305" s="69">
        <f t="shared" si="2014"/>
        <v>0</v>
      </c>
      <c r="GQ305" s="11"/>
      <c r="GR305" s="12" t="e">
        <f t="shared" si="1988"/>
        <v>#DIV/0!</v>
      </c>
      <c r="GS305" s="11"/>
      <c r="GT305" s="12" t="e">
        <f t="shared" si="1989"/>
        <v>#DIV/0!</v>
      </c>
      <c r="GU305" s="11"/>
      <c r="GV305" s="11"/>
      <c r="GW305" s="18"/>
      <c r="GX305" s="20"/>
      <c r="GY305" s="10"/>
      <c r="GZ305" s="11"/>
      <c r="HA305" s="69">
        <f t="shared" si="2015"/>
        <v>0</v>
      </c>
      <c r="HB305" s="69">
        <f t="shared" si="2015"/>
        <v>0</v>
      </c>
      <c r="HC305" s="11"/>
      <c r="HD305" s="12" t="e">
        <f t="shared" si="1990"/>
        <v>#DIV/0!</v>
      </c>
      <c r="HE305" s="11"/>
      <c r="HF305" s="12" t="e">
        <f t="shared" si="1991"/>
        <v>#DIV/0!</v>
      </c>
      <c r="HG305" s="11"/>
      <c r="HH305" s="11"/>
      <c r="HI305" s="18"/>
      <c r="HJ305" s="20"/>
      <c r="HK305" s="10">
        <f t="shared" si="1992"/>
        <v>1</v>
      </c>
      <c r="HL305" s="11">
        <f t="shared" si="1992"/>
        <v>0</v>
      </c>
      <c r="HM305" s="11">
        <f t="shared" si="1992"/>
        <v>3318</v>
      </c>
      <c r="HN305" s="11">
        <f t="shared" si="1992"/>
        <v>242</v>
      </c>
      <c r="HO305" s="11">
        <f t="shared" si="1993"/>
        <v>921</v>
      </c>
      <c r="HP305" s="95">
        <f t="shared" si="1994"/>
        <v>0.27757685352622063</v>
      </c>
      <c r="HQ305" s="15">
        <f t="shared" si="1995"/>
        <v>71</v>
      </c>
      <c r="HR305" s="12">
        <f t="shared" si="2016"/>
        <v>7.7090119435396315E-2</v>
      </c>
      <c r="HS305" s="16">
        <v>72.8</v>
      </c>
      <c r="HT305" s="17">
        <v>813</v>
      </c>
      <c r="HU305" s="16">
        <f t="shared" si="1996"/>
        <v>88.273615635179141</v>
      </c>
      <c r="HV305" s="18"/>
      <c r="HW305" s="20"/>
    </row>
    <row r="306" spans="1:231" ht="18.75" x14ac:dyDescent="0.25">
      <c r="A306" s="374"/>
      <c r="B306" s="41">
        <f t="shared" si="1656"/>
        <v>45176</v>
      </c>
      <c r="C306" s="10"/>
      <c r="D306" s="11"/>
      <c r="E306" s="69">
        <f t="shared" si="1997"/>
        <v>585</v>
      </c>
      <c r="F306" s="69">
        <f t="shared" si="1997"/>
        <v>42</v>
      </c>
      <c r="G306" s="11">
        <v>164</v>
      </c>
      <c r="H306" s="12">
        <f t="shared" si="1957"/>
        <v>0.29572649572649573</v>
      </c>
      <c r="I306" s="11">
        <v>9</v>
      </c>
      <c r="J306" s="12">
        <f t="shared" si="1998"/>
        <v>5.2023121387283239E-2</v>
      </c>
      <c r="K306" s="13"/>
      <c r="L306" s="13"/>
      <c r="M306" s="25">
        <v>4425</v>
      </c>
      <c r="N306" s="38">
        <v>4820</v>
      </c>
      <c r="O306" s="10">
        <v>2</v>
      </c>
      <c r="P306" s="11"/>
      <c r="Q306" s="69">
        <f t="shared" si="1999"/>
        <v>597</v>
      </c>
      <c r="R306" s="69">
        <f t="shared" si="1999"/>
        <v>44</v>
      </c>
      <c r="S306" s="11">
        <v>155</v>
      </c>
      <c r="T306" s="12">
        <f t="shared" si="1958"/>
        <v>0.28810720268006701</v>
      </c>
      <c r="U306" s="11">
        <v>17</v>
      </c>
      <c r="V306" s="12">
        <f t="shared" si="1959"/>
        <v>9.8837209302325577E-2</v>
      </c>
      <c r="W306" s="13"/>
      <c r="X306" s="13"/>
      <c r="Y306" s="25">
        <v>4425</v>
      </c>
      <c r="Z306" s="38">
        <v>4820</v>
      </c>
      <c r="AA306" s="10"/>
      <c r="AB306" s="11"/>
      <c r="AC306" s="69">
        <f t="shared" si="2000"/>
        <v>136</v>
      </c>
      <c r="AD306" s="69">
        <f t="shared" si="2000"/>
        <v>10</v>
      </c>
      <c r="AE306" s="11">
        <v>34</v>
      </c>
      <c r="AF306" s="12">
        <f t="shared" si="1960"/>
        <v>0.27205882352941174</v>
      </c>
      <c r="AG306" s="11">
        <v>3</v>
      </c>
      <c r="AH306" s="12">
        <f t="shared" si="1961"/>
        <v>8.1081081081081086E-2</v>
      </c>
      <c r="AI306" s="13"/>
      <c r="AJ306" s="13"/>
      <c r="AK306" s="25">
        <v>4425</v>
      </c>
      <c r="AL306" s="38">
        <v>4820</v>
      </c>
      <c r="AM306" s="10">
        <v>1</v>
      </c>
      <c r="AN306" s="11"/>
      <c r="AO306" s="69">
        <f t="shared" si="2001"/>
        <v>666</v>
      </c>
      <c r="AP306" s="69">
        <f t="shared" si="2001"/>
        <v>49</v>
      </c>
      <c r="AQ306" s="11">
        <v>151</v>
      </c>
      <c r="AR306" s="12">
        <f t="shared" si="1962"/>
        <v>0.23873873873873874</v>
      </c>
      <c r="AS306" s="11">
        <v>8</v>
      </c>
      <c r="AT306" s="12">
        <f t="shared" si="1963"/>
        <v>5.0314465408805034E-2</v>
      </c>
      <c r="AU306" s="13"/>
      <c r="AV306" s="13"/>
      <c r="AW306" s="25">
        <v>4425</v>
      </c>
      <c r="AX306" s="38">
        <v>4820</v>
      </c>
      <c r="AY306" s="10"/>
      <c r="AZ306" s="11"/>
      <c r="BA306" s="69">
        <f t="shared" si="2002"/>
        <v>668</v>
      </c>
      <c r="BB306" s="69">
        <f t="shared" si="2002"/>
        <v>48</v>
      </c>
      <c r="BC306" s="11">
        <v>164</v>
      </c>
      <c r="BD306" s="12">
        <f t="shared" si="1964"/>
        <v>0.26946107784431139</v>
      </c>
      <c r="BE306" s="11">
        <v>16</v>
      </c>
      <c r="BF306" s="12">
        <f t="shared" si="1965"/>
        <v>8.8888888888888892E-2</v>
      </c>
      <c r="BG306" s="13"/>
      <c r="BH306" s="13"/>
      <c r="BI306" s="25">
        <v>4425</v>
      </c>
      <c r="BJ306" s="38">
        <v>4820</v>
      </c>
      <c r="BK306" s="10"/>
      <c r="BL306" s="11"/>
      <c r="BM306" s="69">
        <f t="shared" si="2003"/>
        <v>663</v>
      </c>
      <c r="BN306" s="69">
        <f t="shared" si="2003"/>
        <v>49</v>
      </c>
      <c r="BO306" s="11">
        <v>158</v>
      </c>
      <c r="BP306" s="12">
        <f t="shared" si="1966"/>
        <v>0.25490196078431371</v>
      </c>
      <c r="BQ306" s="11">
        <v>11</v>
      </c>
      <c r="BR306" s="12">
        <f t="shared" si="1967"/>
        <v>6.5088757396449703E-2</v>
      </c>
      <c r="BS306" s="13"/>
      <c r="BT306" s="13"/>
      <c r="BU306" s="25">
        <v>4425</v>
      </c>
      <c r="BV306" s="38">
        <v>4820</v>
      </c>
      <c r="BW306" s="10"/>
      <c r="BX306" s="11"/>
      <c r="BY306" s="69">
        <f t="shared" si="2004"/>
        <v>0</v>
      </c>
      <c r="BZ306" s="69">
        <f t="shared" si="2004"/>
        <v>0</v>
      </c>
      <c r="CA306" s="11"/>
      <c r="CB306" s="12" t="e">
        <f t="shared" si="1968"/>
        <v>#DIV/0!</v>
      </c>
      <c r="CC306" s="11"/>
      <c r="CD306" s="12" t="e">
        <f t="shared" si="1969"/>
        <v>#DIV/0!</v>
      </c>
      <c r="CE306" s="13"/>
      <c r="CF306" s="13"/>
      <c r="CG306" s="25"/>
      <c r="CH306" s="38"/>
      <c r="CI306" s="10"/>
      <c r="CJ306" s="11"/>
      <c r="CK306" s="69">
        <f t="shared" si="2005"/>
        <v>0</v>
      </c>
      <c r="CL306" s="69">
        <f t="shared" si="2005"/>
        <v>0</v>
      </c>
      <c r="CM306" s="11"/>
      <c r="CN306" s="12" t="e">
        <f t="shared" si="1970"/>
        <v>#DIV/0!</v>
      </c>
      <c r="CO306" s="11"/>
      <c r="CP306" s="12" t="e">
        <f t="shared" si="1971"/>
        <v>#DIV/0!</v>
      </c>
      <c r="CQ306" s="13"/>
      <c r="CR306" s="13"/>
      <c r="CS306" s="25"/>
      <c r="CT306" s="38"/>
      <c r="CU306" s="10"/>
      <c r="CV306" s="11"/>
      <c r="CW306" s="69">
        <f t="shared" si="2006"/>
        <v>0</v>
      </c>
      <c r="CX306" s="69">
        <f t="shared" si="2006"/>
        <v>0</v>
      </c>
      <c r="CY306" s="11"/>
      <c r="CZ306" s="12" t="e">
        <f t="shared" si="1972"/>
        <v>#DIV/0!</v>
      </c>
      <c r="DA306" s="11"/>
      <c r="DB306" s="12" t="e">
        <f t="shared" si="1973"/>
        <v>#DIV/0!</v>
      </c>
      <c r="DC306" s="13"/>
      <c r="DD306" s="13"/>
      <c r="DE306" s="25"/>
      <c r="DF306" s="38"/>
      <c r="DG306" s="10"/>
      <c r="DH306" s="11"/>
      <c r="DI306" s="69">
        <f t="shared" si="2007"/>
        <v>0</v>
      </c>
      <c r="DJ306" s="69">
        <f t="shared" si="2007"/>
        <v>0</v>
      </c>
      <c r="DK306" s="11"/>
      <c r="DL306" s="12" t="e">
        <f t="shared" si="1974"/>
        <v>#DIV/0!</v>
      </c>
      <c r="DM306" s="11"/>
      <c r="DN306" s="12" t="e">
        <f t="shared" si="1975"/>
        <v>#DIV/0!</v>
      </c>
      <c r="DO306" s="13"/>
      <c r="DP306" s="13"/>
      <c r="DQ306" s="25"/>
      <c r="DR306" s="38"/>
      <c r="DS306" s="10"/>
      <c r="DT306" s="11"/>
      <c r="DU306" s="69">
        <f t="shared" si="2008"/>
        <v>0</v>
      </c>
      <c r="DV306" s="69">
        <f t="shared" si="2008"/>
        <v>0</v>
      </c>
      <c r="DW306" s="11"/>
      <c r="DX306" s="12" t="e">
        <f t="shared" si="1976"/>
        <v>#DIV/0!</v>
      </c>
      <c r="DY306" s="11"/>
      <c r="DZ306" s="12" t="e">
        <f t="shared" si="1977"/>
        <v>#DIV/0!</v>
      </c>
      <c r="EA306" s="13"/>
      <c r="EB306" s="13"/>
      <c r="EC306" s="25"/>
      <c r="ED306" s="38"/>
      <c r="EE306" s="10"/>
      <c r="EF306" s="11"/>
      <c r="EG306" s="69">
        <f t="shared" si="2009"/>
        <v>0</v>
      </c>
      <c r="EH306" s="69">
        <f t="shared" si="2009"/>
        <v>0</v>
      </c>
      <c r="EI306" s="11"/>
      <c r="EJ306" s="12" t="e">
        <f t="shared" si="1978"/>
        <v>#DIV/0!</v>
      </c>
      <c r="EK306" s="11"/>
      <c r="EL306" s="12" t="e">
        <f t="shared" si="1979"/>
        <v>#DIV/0!</v>
      </c>
      <c r="EM306" s="13"/>
      <c r="EN306" s="13"/>
      <c r="EO306" s="25"/>
      <c r="EP306" s="38"/>
      <c r="EQ306" s="10"/>
      <c r="ER306" s="11"/>
      <c r="ES306" s="69">
        <f t="shared" si="2010"/>
        <v>0</v>
      </c>
      <c r="ET306" s="69">
        <f t="shared" si="2010"/>
        <v>0</v>
      </c>
      <c r="EU306" s="11"/>
      <c r="EV306" s="12" t="e">
        <f t="shared" si="1980"/>
        <v>#DIV/0!</v>
      </c>
      <c r="EW306" s="11"/>
      <c r="EX306" s="12" t="e">
        <f t="shared" si="1981"/>
        <v>#DIV/0!</v>
      </c>
      <c r="EY306" s="13"/>
      <c r="EZ306" s="13"/>
      <c r="FA306" s="25"/>
      <c r="FB306" s="38"/>
      <c r="FC306" s="10"/>
      <c r="FD306" s="11"/>
      <c r="FE306" s="69">
        <f t="shared" si="2011"/>
        <v>0</v>
      </c>
      <c r="FF306" s="69">
        <f t="shared" si="2011"/>
        <v>0</v>
      </c>
      <c r="FG306" s="11"/>
      <c r="FH306" s="12" t="e">
        <f t="shared" si="1982"/>
        <v>#DIV/0!</v>
      </c>
      <c r="FI306" s="11"/>
      <c r="FJ306" s="12" t="e">
        <f t="shared" si="1983"/>
        <v>#DIV/0!</v>
      </c>
      <c r="FK306" s="13"/>
      <c r="FL306" s="13"/>
      <c r="FM306" s="25"/>
      <c r="FN306" s="38"/>
      <c r="FO306" s="10"/>
      <c r="FP306" s="11"/>
      <c r="FQ306" s="69">
        <f t="shared" si="2012"/>
        <v>0</v>
      </c>
      <c r="FR306" s="69">
        <f t="shared" si="2012"/>
        <v>0</v>
      </c>
      <c r="FS306" s="11"/>
      <c r="FT306" s="12" t="e">
        <f t="shared" si="1984"/>
        <v>#DIV/0!</v>
      </c>
      <c r="FU306" s="11"/>
      <c r="FV306" s="12" t="e">
        <f t="shared" si="1985"/>
        <v>#DIV/0!</v>
      </c>
      <c r="FW306" s="13"/>
      <c r="FX306" s="13"/>
      <c r="FY306" s="25"/>
      <c r="FZ306" s="38"/>
      <c r="GA306" s="10"/>
      <c r="GB306" s="11"/>
      <c r="GC306" s="69">
        <f t="shared" si="2013"/>
        <v>0</v>
      </c>
      <c r="GD306" s="69">
        <f t="shared" si="2013"/>
        <v>0</v>
      </c>
      <c r="GE306" s="11"/>
      <c r="GF306" s="12" t="e">
        <f t="shared" si="1986"/>
        <v>#DIV/0!</v>
      </c>
      <c r="GG306" s="11"/>
      <c r="GH306" s="12" t="e">
        <f t="shared" si="1987"/>
        <v>#DIV/0!</v>
      </c>
      <c r="GI306" s="13"/>
      <c r="GJ306" s="13"/>
      <c r="GK306" s="25"/>
      <c r="GL306" s="38"/>
      <c r="GM306" s="10"/>
      <c r="GN306" s="11"/>
      <c r="GO306" s="69">
        <f t="shared" si="2014"/>
        <v>0</v>
      </c>
      <c r="GP306" s="69">
        <f t="shared" si="2014"/>
        <v>0</v>
      </c>
      <c r="GQ306" s="11"/>
      <c r="GR306" s="12" t="e">
        <f t="shared" si="1988"/>
        <v>#DIV/0!</v>
      </c>
      <c r="GS306" s="11"/>
      <c r="GT306" s="12" t="e">
        <f t="shared" si="1989"/>
        <v>#DIV/0!</v>
      </c>
      <c r="GU306" s="13"/>
      <c r="GV306" s="13"/>
      <c r="GW306" s="25"/>
      <c r="GX306" s="38"/>
      <c r="GY306" s="10"/>
      <c r="GZ306" s="11"/>
      <c r="HA306" s="69">
        <f t="shared" si="2015"/>
        <v>0</v>
      </c>
      <c r="HB306" s="69">
        <f t="shared" si="2015"/>
        <v>0</v>
      </c>
      <c r="HC306" s="11"/>
      <c r="HD306" s="12" t="e">
        <f t="shared" si="1990"/>
        <v>#DIV/0!</v>
      </c>
      <c r="HE306" s="11"/>
      <c r="HF306" s="12" t="e">
        <f t="shared" si="1991"/>
        <v>#DIV/0!</v>
      </c>
      <c r="HG306" s="13"/>
      <c r="HH306" s="13"/>
      <c r="HI306" s="25"/>
      <c r="HJ306" s="38"/>
      <c r="HK306" s="10">
        <f t="shared" si="1992"/>
        <v>3</v>
      </c>
      <c r="HL306" s="11">
        <f t="shared" si="1992"/>
        <v>0</v>
      </c>
      <c r="HM306" s="11">
        <f t="shared" si="1992"/>
        <v>3315</v>
      </c>
      <c r="HN306" s="11">
        <f t="shared" si="1992"/>
        <v>242</v>
      </c>
      <c r="HO306" s="11">
        <f t="shared" si="1993"/>
        <v>890</v>
      </c>
      <c r="HP306" s="95">
        <f t="shared" si="1994"/>
        <v>0.26847662141779788</v>
      </c>
      <c r="HQ306" s="15">
        <f t="shared" si="1995"/>
        <v>64</v>
      </c>
      <c r="HR306" s="12">
        <f t="shared" si="2016"/>
        <v>7.1910112359550568E-2</v>
      </c>
      <c r="HS306" s="16">
        <v>72.5</v>
      </c>
      <c r="HT306" s="17">
        <v>794</v>
      </c>
      <c r="HU306" s="16">
        <f t="shared" si="1996"/>
        <v>89.213483146067418</v>
      </c>
      <c r="HV306" s="23">
        <v>4425</v>
      </c>
      <c r="HW306" s="22">
        <v>4820</v>
      </c>
    </row>
    <row r="307" spans="1:231" ht="18.75" x14ac:dyDescent="0.25">
      <c r="A307" s="374"/>
      <c r="B307" s="41">
        <f t="shared" si="1656"/>
        <v>45177</v>
      </c>
      <c r="C307" s="10"/>
      <c r="D307" s="11"/>
      <c r="E307" s="69">
        <f t="shared" si="1997"/>
        <v>585</v>
      </c>
      <c r="F307" s="69">
        <f t="shared" si="1997"/>
        <v>42</v>
      </c>
      <c r="G307" s="11">
        <v>153</v>
      </c>
      <c r="H307" s="12">
        <f t="shared" si="1957"/>
        <v>0.30085470085470084</v>
      </c>
      <c r="I307" s="11">
        <v>23</v>
      </c>
      <c r="J307" s="12">
        <f t="shared" si="1998"/>
        <v>0.13068181818181818</v>
      </c>
      <c r="K307" s="13"/>
      <c r="L307" s="11"/>
      <c r="M307" s="25">
        <v>4788.5714285714284</v>
      </c>
      <c r="N307" s="38">
        <v>5113</v>
      </c>
      <c r="O307" s="10"/>
      <c r="P307" s="11"/>
      <c r="Q307" s="69">
        <f t="shared" si="1999"/>
        <v>597</v>
      </c>
      <c r="R307" s="69">
        <f t="shared" si="1999"/>
        <v>44</v>
      </c>
      <c r="S307" s="11">
        <v>155</v>
      </c>
      <c r="T307" s="12">
        <f t="shared" si="1958"/>
        <v>0.28643216080402012</v>
      </c>
      <c r="U307" s="11">
        <v>16</v>
      </c>
      <c r="V307" s="12">
        <f t="shared" si="1959"/>
        <v>9.3567251461988299E-2</v>
      </c>
      <c r="W307" s="13"/>
      <c r="X307" s="11"/>
      <c r="Y307" s="25">
        <v>4810.8571428571431</v>
      </c>
      <c r="Z307" s="38">
        <v>5169.166666666667</v>
      </c>
      <c r="AA307" s="10">
        <v>1</v>
      </c>
      <c r="AB307" s="11"/>
      <c r="AC307" s="69">
        <f t="shared" si="2000"/>
        <v>135</v>
      </c>
      <c r="AD307" s="69">
        <f t="shared" si="2000"/>
        <v>10</v>
      </c>
      <c r="AE307" s="11">
        <v>22</v>
      </c>
      <c r="AF307" s="12">
        <f t="shared" si="1960"/>
        <v>0.2074074074074074</v>
      </c>
      <c r="AG307" s="11">
        <v>6</v>
      </c>
      <c r="AH307" s="12">
        <f t="shared" si="1961"/>
        <v>0.21428571428571427</v>
      </c>
      <c r="AI307" s="13"/>
      <c r="AJ307" s="11"/>
      <c r="AK307" s="25">
        <v>4932.5</v>
      </c>
      <c r="AL307" s="38">
        <v>4850</v>
      </c>
      <c r="AM307" s="10"/>
      <c r="AN307" s="11"/>
      <c r="AO307" s="69">
        <f t="shared" si="2001"/>
        <v>666</v>
      </c>
      <c r="AP307" s="69">
        <f t="shared" si="2001"/>
        <v>49</v>
      </c>
      <c r="AQ307" s="11">
        <v>179</v>
      </c>
      <c r="AR307" s="12">
        <f t="shared" si="1962"/>
        <v>0.29129129129129128</v>
      </c>
      <c r="AS307" s="11">
        <v>15</v>
      </c>
      <c r="AT307" s="12">
        <f t="shared" si="1963"/>
        <v>7.7319587628865982E-2</v>
      </c>
      <c r="AU307" s="13"/>
      <c r="AV307" s="11"/>
      <c r="AW307" s="25">
        <v>5081.9444444444443</v>
      </c>
      <c r="AX307" s="38">
        <v>5330.7692307692305</v>
      </c>
      <c r="AY307" s="10"/>
      <c r="AZ307" s="11"/>
      <c r="BA307" s="69">
        <f t="shared" si="2002"/>
        <v>668</v>
      </c>
      <c r="BB307" s="69">
        <f t="shared" si="2002"/>
        <v>48</v>
      </c>
      <c r="BC307" s="11">
        <v>174</v>
      </c>
      <c r="BD307" s="12">
        <f t="shared" si="1964"/>
        <v>0.29940119760479039</v>
      </c>
      <c r="BE307" s="11">
        <v>26</v>
      </c>
      <c r="BF307" s="12">
        <f t="shared" si="1965"/>
        <v>0.13</v>
      </c>
      <c r="BG307" s="13"/>
      <c r="BH307" s="11"/>
      <c r="BI307" s="25">
        <v>5046.2857142857147</v>
      </c>
      <c r="BJ307" s="38">
        <v>5354.166666666667</v>
      </c>
      <c r="BK307" s="10"/>
      <c r="BL307" s="11"/>
      <c r="BM307" s="69">
        <f t="shared" si="2003"/>
        <v>663</v>
      </c>
      <c r="BN307" s="69">
        <f t="shared" si="2003"/>
        <v>49</v>
      </c>
      <c r="BO307" s="11">
        <v>172</v>
      </c>
      <c r="BP307" s="12">
        <f t="shared" si="1966"/>
        <v>0.27903469079939669</v>
      </c>
      <c r="BQ307" s="11">
        <v>13</v>
      </c>
      <c r="BR307" s="12">
        <f t="shared" si="1967"/>
        <v>7.0270270270270274E-2</v>
      </c>
      <c r="BS307" s="13"/>
      <c r="BT307" s="11"/>
      <c r="BU307" s="25">
        <v>5097.7142857142853</v>
      </c>
      <c r="BV307" s="38">
        <v>5725.5555555555557</v>
      </c>
      <c r="BW307" s="10"/>
      <c r="BX307" s="11"/>
      <c r="BY307" s="69">
        <f t="shared" si="2004"/>
        <v>0</v>
      </c>
      <c r="BZ307" s="69">
        <f t="shared" si="2004"/>
        <v>0</v>
      </c>
      <c r="CA307" s="11"/>
      <c r="CB307" s="12" t="e">
        <f t="shared" si="1968"/>
        <v>#DIV/0!</v>
      </c>
      <c r="CC307" s="11"/>
      <c r="CD307" s="12" t="e">
        <f t="shared" si="1969"/>
        <v>#DIV/0!</v>
      </c>
      <c r="CE307" s="13"/>
      <c r="CF307" s="11"/>
      <c r="CG307" s="25"/>
      <c r="CH307" s="38"/>
      <c r="CI307" s="10"/>
      <c r="CJ307" s="11"/>
      <c r="CK307" s="69">
        <f t="shared" si="2005"/>
        <v>0</v>
      </c>
      <c r="CL307" s="69">
        <f t="shared" si="2005"/>
        <v>0</v>
      </c>
      <c r="CM307" s="11"/>
      <c r="CN307" s="12" t="e">
        <f t="shared" si="1970"/>
        <v>#DIV/0!</v>
      </c>
      <c r="CO307" s="11"/>
      <c r="CP307" s="12" t="e">
        <f t="shared" si="1971"/>
        <v>#DIV/0!</v>
      </c>
      <c r="CQ307" s="13"/>
      <c r="CR307" s="11"/>
      <c r="CS307" s="25"/>
      <c r="CT307" s="38"/>
      <c r="CU307" s="10"/>
      <c r="CV307" s="11"/>
      <c r="CW307" s="69">
        <f t="shared" si="2006"/>
        <v>0</v>
      </c>
      <c r="CX307" s="69">
        <f t="shared" si="2006"/>
        <v>0</v>
      </c>
      <c r="CY307" s="11"/>
      <c r="CZ307" s="12" t="e">
        <f t="shared" si="1972"/>
        <v>#DIV/0!</v>
      </c>
      <c r="DA307" s="11"/>
      <c r="DB307" s="12" t="e">
        <f t="shared" si="1973"/>
        <v>#DIV/0!</v>
      </c>
      <c r="DC307" s="13"/>
      <c r="DD307" s="11"/>
      <c r="DE307" s="25"/>
      <c r="DF307" s="38"/>
      <c r="DG307" s="10"/>
      <c r="DH307" s="11"/>
      <c r="DI307" s="69">
        <f t="shared" si="2007"/>
        <v>0</v>
      </c>
      <c r="DJ307" s="69">
        <f t="shared" si="2007"/>
        <v>0</v>
      </c>
      <c r="DK307" s="11"/>
      <c r="DL307" s="12" t="e">
        <f t="shared" si="1974"/>
        <v>#DIV/0!</v>
      </c>
      <c r="DM307" s="11"/>
      <c r="DN307" s="12" t="e">
        <f t="shared" si="1975"/>
        <v>#DIV/0!</v>
      </c>
      <c r="DO307" s="13"/>
      <c r="DP307" s="11"/>
      <c r="DQ307" s="25"/>
      <c r="DR307" s="38"/>
      <c r="DS307" s="10"/>
      <c r="DT307" s="11"/>
      <c r="DU307" s="69">
        <f t="shared" si="2008"/>
        <v>0</v>
      </c>
      <c r="DV307" s="69">
        <f t="shared" si="2008"/>
        <v>0</v>
      </c>
      <c r="DW307" s="11"/>
      <c r="DX307" s="12" t="e">
        <f t="shared" si="1976"/>
        <v>#DIV/0!</v>
      </c>
      <c r="DY307" s="11"/>
      <c r="DZ307" s="12" t="e">
        <f t="shared" si="1977"/>
        <v>#DIV/0!</v>
      </c>
      <c r="EA307" s="13"/>
      <c r="EB307" s="11"/>
      <c r="EC307" s="25"/>
      <c r="ED307" s="38"/>
      <c r="EE307" s="10"/>
      <c r="EF307" s="11"/>
      <c r="EG307" s="69">
        <f t="shared" si="2009"/>
        <v>0</v>
      </c>
      <c r="EH307" s="69">
        <f t="shared" si="2009"/>
        <v>0</v>
      </c>
      <c r="EI307" s="11"/>
      <c r="EJ307" s="12" t="e">
        <f t="shared" si="1978"/>
        <v>#DIV/0!</v>
      </c>
      <c r="EK307" s="11"/>
      <c r="EL307" s="12" t="e">
        <f t="shared" si="1979"/>
        <v>#DIV/0!</v>
      </c>
      <c r="EM307" s="13"/>
      <c r="EN307" s="11"/>
      <c r="EO307" s="25"/>
      <c r="EP307" s="38"/>
      <c r="EQ307" s="10"/>
      <c r="ER307" s="11"/>
      <c r="ES307" s="69">
        <f t="shared" si="2010"/>
        <v>0</v>
      </c>
      <c r="ET307" s="69">
        <f t="shared" si="2010"/>
        <v>0</v>
      </c>
      <c r="EU307" s="11"/>
      <c r="EV307" s="12" t="e">
        <f t="shared" si="1980"/>
        <v>#DIV/0!</v>
      </c>
      <c r="EW307" s="11"/>
      <c r="EX307" s="12" t="e">
        <f t="shared" si="1981"/>
        <v>#DIV/0!</v>
      </c>
      <c r="EY307" s="13"/>
      <c r="EZ307" s="11"/>
      <c r="FA307" s="25"/>
      <c r="FB307" s="38"/>
      <c r="FC307" s="10"/>
      <c r="FD307" s="11"/>
      <c r="FE307" s="69">
        <f t="shared" si="2011"/>
        <v>0</v>
      </c>
      <c r="FF307" s="69">
        <f t="shared" si="2011"/>
        <v>0</v>
      </c>
      <c r="FG307" s="11"/>
      <c r="FH307" s="12" t="e">
        <f t="shared" si="1982"/>
        <v>#DIV/0!</v>
      </c>
      <c r="FI307" s="11"/>
      <c r="FJ307" s="12" t="e">
        <f t="shared" si="1983"/>
        <v>#DIV/0!</v>
      </c>
      <c r="FK307" s="13"/>
      <c r="FL307" s="11"/>
      <c r="FM307" s="25"/>
      <c r="FN307" s="38"/>
      <c r="FO307" s="10"/>
      <c r="FP307" s="11"/>
      <c r="FQ307" s="69">
        <f t="shared" si="2012"/>
        <v>0</v>
      </c>
      <c r="FR307" s="69">
        <f t="shared" si="2012"/>
        <v>0</v>
      </c>
      <c r="FS307" s="11"/>
      <c r="FT307" s="12" t="e">
        <f t="shared" si="1984"/>
        <v>#DIV/0!</v>
      </c>
      <c r="FU307" s="11"/>
      <c r="FV307" s="12" t="e">
        <f t="shared" si="1985"/>
        <v>#DIV/0!</v>
      </c>
      <c r="FW307" s="13"/>
      <c r="FX307" s="11"/>
      <c r="FY307" s="25"/>
      <c r="FZ307" s="38"/>
      <c r="GA307" s="10"/>
      <c r="GB307" s="11"/>
      <c r="GC307" s="69">
        <f t="shared" si="2013"/>
        <v>0</v>
      </c>
      <c r="GD307" s="69">
        <f t="shared" si="2013"/>
        <v>0</v>
      </c>
      <c r="GE307" s="11"/>
      <c r="GF307" s="12" t="e">
        <f t="shared" si="1986"/>
        <v>#DIV/0!</v>
      </c>
      <c r="GG307" s="11"/>
      <c r="GH307" s="12" t="e">
        <f t="shared" si="1987"/>
        <v>#DIV/0!</v>
      </c>
      <c r="GI307" s="13"/>
      <c r="GJ307" s="11"/>
      <c r="GK307" s="25"/>
      <c r="GL307" s="38"/>
      <c r="GM307" s="10"/>
      <c r="GN307" s="11"/>
      <c r="GO307" s="69">
        <f t="shared" si="2014"/>
        <v>0</v>
      </c>
      <c r="GP307" s="69">
        <f t="shared" si="2014"/>
        <v>0</v>
      </c>
      <c r="GQ307" s="11"/>
      <c r="GR307" s="12" t="e">
        <f t="shared" si="1988"/>
        <v>#DIV/0!</v>
      </c>
      <c r="GS307" s="11"/>
      <c r="GT307" s="12" t="e">
        <f t="shared" si="1989"/>
        <v>#DIV/0!</v>
      </c>
      <c r="GU307" s="13"/>
      <c r="GV307" s="11"/>
      <c r="GW307" s="25"/>
      <c r="GX307" s="38"/>
      <c r="GY307" s="10"/>
      <c r="GZ307" s="11"/>
      <c r="HA307" s="69">
        <f t="shared" si="2015"/>
        <v>0</v>
      </c>
      <c r="HB307" s="69">
        <f t="shared" si="2015"/>
        <v>0</v>
      </c>
      <c r="HC307" s="11"/>
      <c r="HD307" s="12" t="e">
        <f t="shared" si="1990"/>
        <v>#DIV/0!</v>
      </c>
      <c r="HE307" s="11"/>
      <c r="HF307" s="12" t="e">
        <f t="shared" si="1991"/>
        <v>#DIV/0!</v>
      </c>
      <c r="HG307" s="13"/>
      <c r="HH307" s="11"/>
      <c r="HI307" s="25"/>
      <c r="HJ307" s="38"/>
      <c r="HK307" s="10">
        <f t="shared" si="1992"/>
        <v>1</v>
      </c>
      <c r="HL307" s="11">
        <f t="shared" si="1992"/>
        <v>0</v>
      </c>
      <c r="HM307" s="11">
        <f t="shared" si="1992"/>
        <v>3314</v>
      </c>
      <c r="HN307" s="11">
        <f t="shared" si="1992"/>
        <v>242</v>
      </c>
      <c r="HO307" s="11">
        <f t="shared" si="1993"/>
        <v>954</v>
      </c>
      <c r="HP307" s="95">
        <f t="shared" si="1994"/>
        <v>0.28786964393482195</v>
      </c>
      <c r="HQ307" s="15">
        <f t="shared" si="1995"/>
        <v>99</v>
      </c>
      <c r="HR307" s="12">
        <f t="shared" si="2016"/>
        <v>0.10377358490566038</v>
      </c>
      <c r="HS307" s="16">
        <v>72.7</v>
      </c>
      <c r="HT307" s="17">
        <v>829</v>
      </c>
      <c r="HU307" s="16">
        <f t="shared" si="1996"/>
        <v>86.897274633123686</v>
      </c>
      <c r="HV307" s="23">
        <v>4964.29347826087</v>
      </c>
      <c r="HW307" s="22">
        <v>5294</v>
      </c>
    </row>
    <row r="308" spans="1:231" ht="18.75" x14ac:dyDescent="0.25">
      <c r="A308" s="374"/>
      <c r="B308" s="41">
        <f t="shared" si="1656"/>
        <v>45178</v>
      </c>
      <c r="C308" s="10"/>
      <c r="D308" s="11"/>
      <c r="E308" s="69">
        <f>E307-C308</f>
        <v>585</v>
      </c>
      <c r="F308" s="69">
        <f>F307-D308</f>
        <v>42</v>
      </c>
      <c r="G308" s="11">
        <v>167</v>
      </c>
      <c r="H308" s="12">
        <f t="shared" si="1957"/>
        <v>0.29914529914529914</v>
      </c>
      <c r="I308" s="11">
        <v>8</v>
      </c>
      <c r="J308" s="12">
        <f t="shared" si="1998"/>
        <v>4.5714285714285714E-2</v>
      </c>
      <c r="K308" s="13"/>
      <c r="L308" s="11"/>
      <c r="M308" s="39">
        <v>71.428571428571431</v>
      </c>
      <c r="N308" s="43">
        <v>100</v>
      </c>
      <c r="O308" s="10">
        <v>1</v>
      </c>
      <c r="P308" s="11"/>
      <c r="Q308" s="69">
        <f t="shared" si="1999"/>
        <v>596</v>
      </c>
      <c r="R308" s="69">
        <f t="shared" si="1999"/>
        <v>44</v>
      </c>
      <c r="S308" s="11">
        <v>166</v>
      </c>
      <c r="T308" s="12">
        <f t="shared" si="1958"/>
        <v>0.30704697986577179</v>
      </c>
      <c r="U308" s="11">
        <v>17</v>
      </c>
      <c r="V308" s="12">
        <f t="shared" si="1959"/>
        <v>9.2896174863387984E-2</v>
      </c>
      <c r="W308" s="13"/>
      <c r="X308" s="11"/>
      <c r="Y308" s="39">
        <v>77.142857142857139</v>
      </c>
      <c r="Z308" s="43">
        <v>91.666666666666671</v>
      </c>
      <c r="AA308" s="10"/>
      <c r="AB308" s="11"/>
      <c r="AC308" s="11">
        <f>AC307-AA308</f>
        <v>135</v>
      </c>
      <c r="AD308" s="69">
        <f t="shared" si="2000"/>
        <v>10</v>
      </c>
      <c r="AE308" s="11">
        <v>29</v>
      </c>
      <c r="AF308" s="12">
        <f t="shared" si="1960"/>
        <v>0.23703703703703705</v>
      </c>
      <c r="AG308" s="11">
        <v>3</v>
      </c>
      <c r="AH308" s="12">
        <f t="shared" si="1961"/>
        <v>9.375E-2</v>
      </c>
      <c r="AI308" s="13"/>
      <c r="AJ308" s="11"/>
      <c r="AK308" s="39">
        <v>75</v>
      </c>
      <c r="AL308" s="43">
        <v>100</v>
      </c>
      <c r="AM308" s="10"/>
      <c r="AN308" s="11"/>
      <c r="AO308" s="69">
        <f t="shared" si="2001"/>
        <v>666</v>
      </c>
      <c r="AP308" s="69">
        <f t="shared" si="2001"/>
        <v>49</v>
      </c>
      <c r="AQ308" s="11">
        <v>165</v>
      </c>
      <c r="AR308" s="12">
        <f t="shared" si="1962"/>
        <v>0.25675675675675674</v>
      </c>
      <c r="AS308" s="11">
        <v>6</v>
      </c>
      <c r="AT308" s="12">
        <f t="shared" si="1963"/>
        <v>3.5087719298245612E-2</v>
      </c>
      <c r="AU308" s="13"/>
      <c r="AV308" s="11"/>
      <c r="AW308" s="39">
        <v>72.222222222222229</v>
      </c>
      <c r="AX308" s="43">
        <v>92.307692307692307</v>
      </c>
      <c r="AY308" s="10"/>
      <c r="AZ308" s="11"/>
      <c r="BA308" s="69">
        <f t="shared" si="2002"/>
        <v>668</v>
      </c>
      <c r="BB308" s="69">
        <f t="shared" si="2002"/>
        <v>48</v>
      </c>
      <c r="BC308" s="11">
        <v>171</v>
      </c>
      <c r="BD308" s="12">
        <f t="shared" si="1964"/>
        <v>0.27095808383233533</v>
      </c>
      <c r="BE308" s="11">
        <v>10</v>
      </c>
      <c r="BF308" s="12">
        <f t="shared" si="1965"/>
        <v>5.5248618784530384E-2</v>
      </c>
      <c r="BG308" s="13"/>
      <c r="BH308" s="11"/>
      <c r="BI308" s="39">
        <v>88.571428571428569</v>
      </c>
      <c r="BJ308" s="43">
        <v>100</v>
      </c>
      <c r="BK308" s="10"/>
      <c r="BL308" s="11"/>
      <c r="BM308" s="69">
        <f t="shared" si="2003"/>
        <v>663</v>
      </c>
      <c r="BN308" s="69">
        <f t="shared" si="2003"/>
        <v>49</v>
      </c>
      <c r="BO308" s="11">
        <v>173</v>
      </c>
      <c r="BP308" s="12">
        <f t="shared" si="1966"/>
        <v>0.27149321266968324</v>
      </c>
      <c r="BQ308" s="11">
        <v>7</v>
      </c>
      <c r="BR308" s="12">
        <f t="shared" si="1967"/>
        <v>3.888888888888889E-2</v>
      </c>
      <c r="BS308" s="13"/>
      <c r="BT308" s="11"/>
      <c r="BU308" s="39">
        <v>57.142857142857146</v>
      </c>
      <c r="BV308" s="43">
        <v>100</v>
      </c>
      <c r="BW308" s="10"/>
      <c r="BX308" s="11"/>
      <c r="BY308" s="69">
        <f t="shared" si="2004"/>
        <v>0</v>
      </c>
      <c r="BZ308" s="69">
        <f t="shared" si="2004"/>
        <v>0</v>
      </c>
      <c r="CA308" s="11"/>
      <c r="CB308" s="12" t="e">
        <f t="shared" si="1968"/>
        <v>#DIV/0!</v>
      </c>
      <c r="CC308" s="11"/>
      <c r="CD308" s="12" t="e">
        <f t="shared" si="1969"/>
        <v>#DIV/0!</v>
      </c>
      <c r="CE308" s="13"/>
      <c r="CF308" s="11"/>
      <c r="CG308" s="39"/>
      <c r="CH308" s="43"/>
      <c r="CI308" s="10"/>
      <c r="CJ308" s="11"/>
      <c r="CK308" s="69">
        <f t="shared" si="2005"/>
        <v>0</v>
      </c>
      <c r="CL308" s="69">
        <f t="shared" si="2005"/>
        <v>0</v>
      </c>
      <c r="CM308" s="11"/>
      <c r="CN308" s="12" t="e">
        <f t="shared" si="1970"/>
        <v>#DIV/0!</v>
      </c>
      <c r="CO308" s="11"/>
      <c r="CP308" s="12" t="e">
        <f t="shared" si="1971"/>
        <v>#DIV/0!</v>
      </c>
      <c r="CQ308" s="13"/>
      <c r="CR308" s="11"/>
      <c r="CS308" s="39"/>
      <c r="CT308" s="43"/>
      <c r="CU308" s="10"/>
      <c r="CV308" s="11"/>
      <c r="CW308" s="69">
        <f t="shared" si="2006"/>
        <v>0</v>
      </c>
      <c r="CX308" s="69">
        <f t="shared" si="2006"/>
        <v>0</v>
      </c>
      <c r="CY308" s="11"/>
      <c r="CZ308" s="12" t="e">
        <f t="shared" si="1972"/>
        <v>#DIV/0!</v>
      </c>
      <c r="DA308" s="11"/>
      <c r="DB308" s="12" t="e">
        <f t="shared" si="1973"/>
        <v>#DIV/0!</v>
      </c>
      <c r="DC308" s="13"/>
      <c r="DD308" s="11"/>
      <c r="DE308" s="39"/>
      <c r="DF308" s="43"/>
      <c r="DG308" s="10"/>
      <c r="DH308" s="11"/>
      <c r="DI308" s="69">
        <f t="shared" si="2007"/>
        <v>0</v>
      </c>
      <c r="DJ308" s="69">
        <f t="shared" si="2007"/>
        <v>0</v>
      </c>
      <c r="DK308" s="11"/>
      <c r="DL308" s="12" t="e">
        <f t="shared" si="1974"/>
        <v>#DIV/0!</v>
      </c>
      <c r="DM308" s="11"/>
      <c r="DN308" s="12" t="e">
        <f t="shared" si="1975"/>
        <v>#DIV/0!</v>
      </c>
      <c r="DO308" s="13"/>
      <c r="DP308" s="11"/>
      <c r="DQ308" s="39"/>
      <c r="DR308" s="43"/>
      <c r="DS308" s="10"/>
      <c r="DT308" s="11"/>
      <c r="DU308" s="69">
        <f t="shared" si="2008"/>
        <v>0</v>
      </c>
      <c r="DV308" s="69">
        <f t="shared" si="2008"/>
        <v>0</v>
      </c>
      <c r="DW308" s="11"/>
      <c r="DX308" s="12" t="e">
        <f t="shared" si="1976"/>
        <v>#DIV/0!</v>
      </c>
      <c r="DY308" s="11"/>
      <c r="DZ308" s="12" t="e">
        <f t="shared" si="1977"/>
        <v>#DIV/0!</v>
      </c>
      <c r="EA308" s="13"/>
      <c r="EB308" s="11"/>
      <c r="EC308" s="39"/>
      <c r="ED308" s="43"/>
      <c r="EE308" s="10"/>
      <c r="EF308" s="11"/>
      <c r="EG308" s="69">
        <f t="shared" si="2009"/>
        <v>0</v>
      </c>
      <c r="EH308" s="69">
        <f t="shared" si="2009"/>
        <v>0</v>
      </c>
      <c r="EI308" s="11"/>
      <c r="EJ308" s="12" t="e">
        <f t="shared" si="1978"/>
        <v>#DIV/0!</v>
      </c>
      <c r="EK308" s="11"/>
      <c r="EL308" s="12" t="e">
        <f t="shared" si="1979"/>
        <v>#DIV/0!</v>
      </c>
      <c r="EM308" s="13"/>
      <c r="EN308" s="11"/>
      <c r="EO308" s="39"/>
      <c r="EP308" s="43"/>
      <c r="EQ308" s="10"/>
      <c r="ER308" s="11"/>
      <c r="ES308" s="69">
        <f t="shared" si="2010"/>
        <v>0</v>
      </c>
      <c r="ET308" s="69">
        <f t="shared" si="2010"/>
        <v>0</v>
      </c>
      <c r="EU308" s="11"/>
      <c r="EV308" s="12" t="e">
        <f t="shared" si="1980"/>
        <v>#DIV/0!</v>
      </c>
      <c r="EW308" s="11"/>
      <c r="EX308" s="12" t="e">
        <f t="shared" si="1981"/>
        <v>#DIV/0!</v>
      </c>
      <c r="EY308" s="13"/>
      <c r="EZ308" s="11"/>
      <c r="FA308" s="39"/>
      <c r="FB308" s="43"/>
      <c r="FC308" s="10"/>
      <c r="FD308" s="11"/>
      <c r="FE308" s="69">
        <f t="shared" si="2011"/>
        <v>0</v>
      </c>
      <c r="FF308" s="69">
        <f t="shared" si="2011"/>
        <v>0</v>
      </c>
      <c r="FG308" s="11"/>
      <c r="FH308" s="12" t="e">
        <f t="shared" si="1982"/>
        <v>#DIV/0!</v>
      </c>
      <c r="FI308" s="11"/>
      <c r="FJ308" s="12" t="e">
        <f t="shared" si="1983"/>
        <v>#DIV/0!</v>
      </c>
      <c r="FK308" s="13"/>
      <c r="FL308" s="11"/>
      <c r="FM308" s="39"/>
      <c r="FN308" s="43"/>
      <c r="FO308" s="10"/>
      <c r="FP308" s="11"/>
      <c r="FQ308" s="69">
        <f t="shared" si="2012"/>
        <v>0</v>
      </c>
      <c r="FR308" s="69">
        <f t="shared" si="2012"/>
        <v>0</v>
      </c>
      <c r="FS308" s="11"/>
      <c r="FT308" s="12" t="e">
        <f t="shared" si="1984"/>
        <v>#DIV/0!</v>
      </c>
      <c r="FU308" s="11"/>
      <c r="FV308" s="12" t="e">
        <f t="shared" si="1985"/>
        <v>#DIV/0!</v>
      </c>
      <c r="FW308" s="13"/>
      <c r="FX308" s="11"/>
      <c r="FY308" s="39"/>
      <c r="FZ308" s="43"/>
      <c r="GA308" s="10"/>
      <c r="GB308" s="11"/>
      <c r="GC308" s="69">
        <f t="shared" si="2013"/>
        <v>0</v>
      </c>
      <c r="GD308" s="69">
        <f t="shared" si="2013"/>
        <v>0</v>
      </c>
      <c r="GE308" s="11"/>
      <c r="GF308" s="12" t="e">
        <f t="shared" si="1986"/>
        <v>#DIV/0!</v>
      </c>
      <c r="GG308" s="11"/>
      <c r="GH308" s="12" t="e">
        <f t="shared" si="1987"/>
        <v>#DIV/0!</v>
      </c>
      <c r="GI308" s="13"/>
      <c r="GJ308" s="11"/>
      <c r="GK308" s="39"/>
      <c r="GL308" s="43"/>
      <c r="GM308" s="10"/>
      <c r="GN308" s="11"/>
      <c r="GO308" s="69">
        <f t="shared" si="2014"/>
        <v>0</v>
      </c>
      <c r="GP308" s="69">
        <f t="shared" si="2014"/>
        <v>0</v>
      </c>
      <c r="GQ308" s="11"/>
      <c r="GR308" s="12" t="e">
        <f t="shared" si="1988"/>
        <v>#DIV/0!</v>
      </c>
      <c r="GS308" s="11"/>
      <c r="GT308" s="12" t="e">
        <f t="shared" si="1989"/>
        <v>#DIV/0!</v>
      </c>
      <c r="GU308" s="13"/>
      <c r="GV308" s="11"/>
      <c r="GW308" s="39"/>
      <c r="GX308" s="43"/>
      <c r="GY308" s="10"/>
      <c r="GZ308" s="11"/>
      <c r="HA308" s="69">
        <f t="shared" si="2015"/>
        <v>0</v>
      </c>
      <c r="HB308" s="69">
        <f t="shared" si="2015"/>
        <v>0</v>
      </c>
      <c r="HC308" s="11"/>
      <c r="HD308" s="12" t="e">
        <f t="shared" si="1990"/>
        <v>#DIV/0!</v>
      </c>
      <c r="HE308" s="11"/>
      <c r="HF308" s="12" t="e">
        <f t="shared" si="1991"/>
        <v>#DIV/0!</v>
      </c>
      <c r="HG308" s="13"/>
      <c r="HH308" s="11"/>
      <c r="HI308" s="39"/>
      <c r="HJ308" s="43"/>
      <c r="HK308" s="10">
        <f t="shared" si="1992"/>
        <v>1</v>
      </c>
      <c r="HL308" s="11">
        <f t="shared" si="1992"/>
        <v>0</v>
      </c>
      <c r="HM308" s="11">
        <f t="shared" si="1992"/>
        <v>3313</v>
      </c>
      <c r="HN308" s="11">
        <f t="shared" si="1992"/>
        <v>242</v>
      </c>
      <c r="HO308" s="11">
        <f t="shared" si="1993"/>
        <v>922</v>
      </c>
      <c r="HP308" s="95">
        <f t="shared" si="1994"/>
        <v>0.27829761545427106</v>
      </c>
      <c r="HQ308" s="15">
        <f t="shared" si="1995"/>
        <v>51</v>
      </c>
      <c r="HR308" s="12">
        <f t="shared" si="2016"/>
        <v>5.5314533622559656E-2</v>
      </c>
      <c r="HS308" s="16">
        <v>72.8</v>
      </c>
      <c r="HT308" s="17">
        <v>839</v>
      </c>
      <c r="HU308" s="16">
        <f t="shared" si="1996"/>
        <v>90.997830802603048</v>
      </c>
      <c r="HV308" s="23">
        <v>71.195652173913047</v>
      </c>
      <c r="HW308" s="22">
        <v>86.666666666666671</v>
      </c>
    </row>
    <row r="309" spans="1:231" ht="19.5" thickBot="1" x14ac:dyDescent="0.3">
      <c r="A309" s="374"/>
      <c r="B309" s="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1143</v>
      </c>
      <c r="H309" s="28">
        <f>((G309+I309)/7)/E308</f>
        <v>0.3023199023199023</v>
      </c>
      <c r="I309" s="27">
        <f>SUM(I302:I308)</f>
        <v>95</v>
      </c>
      <c r="J309" s="28">
        <f>(I309/(I309+G309))</f>
        <v>7.6736672051696278E-2</v>
      </c>
      <c r="K309" s="27"/>
      <c r="L309" s="27"/>
      <c r="M309" s="29">
        <f>M307/M306*100-100</f>
        <v>8.2163034705407654</v>
      </c>
      <c r="N309" s="67">
        <f>N307/N306*100-100</f>
        <v>6.0788381742738551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1177</v>
      </c>
      <c r="T309" s="28">
        <f>((S309+U309)/7)/Q308</f>
        <v>0.30536912751677853</v>
      </c>
      <c r="U309" s="27">
        <f>SUM(U302:U308)</f>
        <v>97</v>
      </c>
      <c r="V309" s="28">
        <f>(U309/(U309+S309))</f>
        <v>7.6138147566718994E-2</v>
      </c>
      <c r="W309" s="27"/>
      <c r="X309" s="27"/>
      <c r="Y309" s="29">
        <f>Y307/Y306*100-100</f>
        <v>8.7199354317998541</v>
      </c>
      <c r="Z309" s="67">
        <f>Z307/Z306*100-100</f>
        <v>7.2441217150760622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205</v>
      </c>
      <c r="AF309" s="28">
        <f>((AE309+AG309)/7)/AC308</f>
        <v>0.24021164021164024</v>
      </c>
      <c r="AG309" s="27">
        <f>SUM(AG302:AG308)</f>
        <v>22</v>
      </c>
      <c r="AH309" s="28">
        <f>(AG309/(AG309+AE309))</f>
        <v>9.6916299559471369E-2</v>
      </c>
      <c r="AI309" s="27"/>
      <c r="AJ309" s="27"/>
      <c r="AK309" s="29">
        <f>AK307/AK306*100-100</f>
        <v>11.468926553672304</v>
      </c>
      <c r="AL309" s="67">
        <f>AL307/AL306*100-100</f>
        <v>0.62240663900414006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1161</v>
      </c>
      <c r="AR309" s="28">
        <f>((AQ309+AS309)/7)/AO308</f>
        <v>0.26040326040326039</v>
      </c>
      <c r="AS309" s="27">
        <f>SUM(AS302:AS308)</f>
        <v>53</v>
      </c>
      <c r="AT309" s="28">
        <f>(AS309/(AS309+AQ309))</f>
        <v>4.3657331136738059E-2</v>
      </c>
      <c r="AU309" s="27"/>
      <c r="AV309" s="27"/>
      <c r="AW309" s="29">
        <f>AW307/AW306*100-100</f>
        <v>14.846202134337716</v>
      </c>
      <c r="AX309" s="67">
        <f>AX307/AX306*100-100</f>
        <v>10.59687200766038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1217</v>
      </c>
      <c r="BD309" s="28">
        <f>((BC309+BE309)/7)/BA308</f>
        <v>0.28357570573139435</v>
      </c>
      <c r="BE309" s="27">
        <f>SUM(BE302:BE308)</f>
        <v>109</v>
      </c>
      <c r="BF309" s="28">
        <f>(BE309/(BE309+BC309))</f>
        <v>8.2202111613876319E-2</v>
      </c>
      <c r="BG309" s="27"/>
      <c r="BH309" s="27"/>
      <c r="BI309" s="29">
        <f>BI307/BI306*100-100</f>
        <v>14.040355125100888</v>
      </c>
      <c r="BJ309" s="67">
        <f>BJ307/BJ306*100-100</f>
        <v>11.082295988935002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1169</v>
      </c>
      <c r="BP309" s="28">
        <f>((BO309+BQ309)/7)/BM308</f>
        <v>0.26826115061409178</v>
      </c>
      <c r="BQ309" s="27">
        <f>SUM(BQ302:BQ308)</f>
        <v>76</v>
      </c>
      <c r="BR309" s="28">
        <f>(BQ309/(BQ309+BO309))</f>
        <v>6.1044176706827311E-2</v>
      </c>
      <c r="BS309" s="27"/>
      <c r="BT309" s="27"/>
      <c r="BU309" s="29">
        <f>BU307/BU306*100-100</f>
        <v>15.202582728006448</v>
      </c>
      <c r="BV309" s="67">
        <f>BV307/BV306*100-100</f>
        <v>18.787459658828951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7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7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7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7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7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7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7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7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7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7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7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7" t="e">
        <f>HJ307/HJ306*100-100</f>
        <v>#DIV/0!</v>
      </c>
      <c r="HK309" s="26">
        <f t="shared" si="1992"/>
        <v>12</v>
      </c>
      <c r="HL309" s="27">
        <f t="shared" si="1992"/>
        <v>0</v>
      </c>
      <c r="HM309" s="27">
        <f t="shared" si="1992"/>
        <v>0</v>
      </c>
      <c r="HN309" s="27">
        <f t="shared" si="1992"/>
        <v>0</v>
      </c>
      <c r="HO309" s="27">
        <f t="shared" si="1993"/>
        <v>6524</v>
      </c>
      <c r="HP309" s="96">
        <f>+((HO309)/HM308)/7</f>
        <v>0.2813160277693933</v>
      </c>
      <c r="HQ309" s="62">
        <f t="shared" si="1995"/>
        <v>452</v>
      </c>
      <c r="HR309" s="52">
        <f t="shared" si="2016"/>
        <v>6.9282648681790307E-2</v>
      </c>
      <c r="HS309" s="53">
        <f>SUM(HS302:HS308)/7</f>
        <v>72.785714285714292</v>
      </c>
      <c r="HT309" s="54">
        <f>SUM(HT302:HT308)</f>
        <v>5869</v>
      </c>
      <c r="HU309" s="53">
        <f>AVERAGE(HU302:HU308)</f>
        <v>89.941413290510056</v>
      </c>
      <c r="HV309" s="63">
        <f>HV307/HV306*100-100</f>
        <v>12.187423237533793</v>
      </c>
      <c r="HW309" s="67">
        <f>HW307/HW306*100-100</f>
        <v>9.834024896265575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3.6090225563909775E-3</v>
      </c>
      <c r="HL310" s="66">
        <f>HL309/HN299</f>
        <v>0</v>
      </c>
      <c r="HM310" s="45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373">
        <v>59</v>
      </c>
      <c r="B311" s="68">
        <f>B308+1</f>
        <v>45179</v>
      </c>
      <c r="C311" s="33"/>
      <c r="D311" s="34"/>
      <c r="E311" s="34">
        <f>E308-C311</f>
        <v>585</v>
      </c>
      <c r="F311" s="34">
        <f>F308-D311</f>
        <v>42</v>
      </c>
      <c r="G311" s="34">
        <v>151</v>
      </c>
      <c r="H311" s="35">
        <f t="shared" ref="H311:H317" si="2017">((G311+I311)/E311)</f>
        <v>0.28034188034188035</v>
      </c>
      <c r="I311" s="34">
        <v>13</v>
      </c>
      <c r="J311" s="35">
        <f>I311/(G311+I311)</f>
        <v>7.926829268292683E-2</v>
      </c>
      <c r="K311" s="36"/>
      <c r="L311" s="34"/>
      <c r="M311" s="34"/>
      <c r="N311" s="37"/>
      <c r="O311" s="33"/>
      <c r="P311" s="34"/>
      <c r="Q311" s="34">
        <f>Q308-O311</f>
        <v>596</v>
      </c>
      <c r="R311" s="34">
        <f>R308-P311</f>
        <v>44</v>
      </c>
      <c r="S311" s="34">
        <v>146</v>
      </c>
      <c r="T311" s="35">
        <f t="shared" ref="T311:T317" si="2018">((S311+U311)/Q311)</f>
        <v>0.26845637583892618</v>
      </c>
      <c r="U311" s="34">
        <v>14</v>
      </c>
      <c r="V311" s="35">
        <f t="shared" ref="V311:V317" si="2019">U311/(S311+U311)</f>
        <v>8.7499999999999994E-2</v>
      </c>
      <c r="W311" s="36"/>
      <c r="X311" s="34"/>
      <c r="Y311" s="34"/>
      <c r="Z311" s="37"/>
      <c r="AA311" s="33"/>
      <c r="AB311" s="34"/>
      <c r="AC311" s="34">
        <f>AC308-AA311</f>
        <v>135</v>
      </c>
      <c r="AD311" s="34">
        <f>AD308-AB311</f>
        <v>10</v>
      </c>
      <c r="AE311" s="34">
        <v>28</v>
      </c>
      <c r="AF311" s="35">
        <f t="shared" ref="AF311:AF317" si="2020">((AE311+AG311)/AC311)</f>
        <v>0.22962962962962963</v>
      </c>
      <c r="AG311" s="34">
        <v>3</v>
      </c>
      <c r="AH311" s="35">
        <f t="shared" ref="AH311:AH317" si="2021">AG311/(AE311+AG311)</f>
        <v>9.6774193548387094E-2</v>
      </c>
      <c r="AI311" s="36"/>
      <c r="AJ311" s="34"/>
      <c r="AK311" s="34"/>
      <c r="AL311" s="37"/>
      <c r="AM311" s="33">
        <v>1</v>
      </c>
      <c r="AN311" s="34"/>
      <c r="AO311" s="34">
        <f>AO308-AM311</f>
        <v>665</v>
      </c>
      <c r="AP311" s="34">
        <f>AP308-AN311</f>
        <v>49</v>
      </c>
      <c r="AQ311" s="34">
        <v>152</v>
      </c>
      <c r="AR311" s="35">
        <f t="shared" ref="AR311:AR317" si="2022">((AQ311+AS311)/AO311)</f>
        <v>0.24812030075187969</v>
      </c>
      <c r="AS311" s="34">
        <v>13</v>
      </c>
      <c r="AT311" s="35">
        <f t="shared" ref="AT311:AT317" si="2023">AS311/(AQ311+AS311)</f>
        <v>7.8787878787878782E-2</v>
      </c>
      <c r="AU311" s="36"/>
      <c r="AV311" s="34"/>
      <c r="AW311" s="34"/>
      <c r="AX311" s="37"/>
      <c r="AY311" s="33"/>
      <c r="AZ311" s="34"/>
      <c r="BA311" s="34">
        <f>BA308-AY311</f>
        <v>668</v>
      </c>
      <c r="BB311" s="34">
        <f>BB308-AZ311</f>
        <v>48</v>
      </c>
      <c r="BC311" s="34">
        <v>170</v>
      </c>
      <c r="BD311" s="35">
        <f t="shared" ref="BD311:BD317" si="2024">((BC311+BE311)/BA311)</f>
        <v>0.27395209580838326</v>
      </c>
      <c r="BE311" s="34">
        <v>13</v>
      </c>
      <c r="BF311" s="35">
        <f t="shared" ref="BF311:BF317" si="2025">BE311/(BC311+BE311)</f>
        <v>7.1038251366120214E-2</v>
      </c>
      <c r="BG311" s="36"/>
      <c r="BH311" s="34"/>
      <c r="BI311" s="34"/>
      <c r="BJ311" s="37"/>
      <c r="BK311" s="33"/>
      <c r="BL311" s="34"/>
      <c r="BM311" s="34">
        <f>BM308-BK311</f>
        <v>663</v>
      </c>
      <c r="BN311" s="34">
        <f>BN308-BL311</f>
        <v>49</v>
      </c>
      <c r="BO311" s="34">
        <v>163</v>
      </c>
      <c r="BP311" s="35">
        <f t="shared" ref="BP311:BP317" si="2026">((BO311+BQ311)/BM311)</f>
        <v>0.25641025641025639</v>
      </c>
      <c r="BQ311" s="34">
        <v>7</v>
      </c>
      <c r="BR311" s="35">
        <f t="shared" ref="BR311:BR317" si="2027">BQ311/(BO311+BQ311)</f>
        <v>4.1176470588235294E-2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028">((CA311+CC311)/BY311)</f>
        <v>#DIV/0!</v>
      </c>
      <c r="CC311" s="34"/>
      <c r="CD311" s="35" t="e">
        <f t="shared" ref="CD311:CD317" si="2029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030">((CM311+CO311)/CK311)</f>
        <v>#DIV/0!</v>
      </c>
      <c r="CO311" s="34"/>
      <c r="CP311" s="35" t="e">
        <f t="shared" ref="CP311:CP317" si="2031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032">((CY311+DA311)/CW311)</f>
        <v>#DIV/0!</v>
      </c>
      <c r="DA311" s="34"/>
      <c r="DB311" s="35" t="e">
        <f t="shared" ref="DB311:DB317" si="2033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034">((DK311+DM311)/DI311)</f>
        <v>#DIV/0!</v>
      </c>
      <c r="DM311" s="34"/>
      <c r="DN311" s="35" t="e">
        <f t="shared" ref="DN311:DN317" si="2035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036">((DW311+DY311)/DU311)</f>
        <v>#DIV/0!</v>
      </c>
      <c r="DY311" s="34"/>
      <c r="DZ311" s="35" t="e">
        <f t="shared" ref="DZ311:DZ317" si="2037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038">((EI311+EK311)/EG311)</f>
        <v>#DIV/0!</v>
      </c>
      <c r="EK311" s="34"/>
      <c r="EL311" s="35" t="e">
        <f t="shared" ref="EL311:EL317" si="2039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040">((EU311+EW311)/ES311)</f>
        <v>#DIV/0!</v>
      </c>
      <c r="EW311" s="34"/>
      <c r="EX311" s="35" t="e">
        <f t="shared" ref="EX311:EX317" si="2041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042">((FG311+FI311)/FE311)</f>
        <v>#DIV/0!</v>
      </c>
      <c r="FI311" s="34"/>
      <c r="FJ311" s="35" t="e">
        <f t="shared" ref="FJ311:FJ317" si="2043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044">((FS311+FU311)/FQ311)</f>
        <v>#DIV/0!</v>
      </c>
      <c r="FU311" s="34"/>
      <c r="FV311" s="35" t="e">
        <f t="shared" ref="FV311:FV317" si="2045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046">((GE311+GG311)/GC311)</f>
        <v>#DIV/0!</v>
      </c>
      <c r="GG311" s="34"/>
      <c r="GH311" s="35" t="e">
        <f t="shared" ref="GH311:GH317" si="2047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048">((GQ311+GS311)/GO311)</f>
        <v>#DIV/0!</v>
      </c>
      <c r="GS311" s="34"/>
      <c r="GT311" s="35" t="e">
        <f t="shared" ref="GT311:GT317" si="2049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050">((HC311+HE311)/HA311)</f>
        <v>#DIV/0!</v>
      </c>
      <c r="HE311" s="34"/>
      <c r="HF311" s="35" t="e">
        <f t="shared" ref="HF311:HF317" si="2051">HE311/(HC311+HE311)</f>
        <v>#DIV/0!</v>
      </c>
      <c r="HG311" s="36"/>
      <c r="HH311" s="34"/>
      <c r="HI311" s="34"/>
      <c r="HJ311" s="37"/>
      <c r="HK311" s="33">
        <f t="shared" ref="HK311:HN318" si="2052">+C311+O311+AA311+AM311+AY311+BK311+BW311+CI311+CU311+DG311+DS311+EE311+EQ311+FC311+FO311+GA311+GM311+GY311</f>
        <v>1</v>
      </c>
      <c r="HL311" s="34">
        <f t="shared" si="2052"/>
        <v>0</v>
      </c>
      <c r="HM311" s="34">
        <f t="shared" si="2052"/>
        <v>3312</v>
      </c>
      <c r="HN311" s="34">
        <f t="shared" si="2052"/>
        <v>242</v>
      </c>
      <c r="HO311" s="34">
        <f t="shared" ref="HO311:HO318" si="2053">+G311+S311+AE311+AQ311+BC311+BO311+CA311+CM311+CY311+DK311+DW311+EI311+EU311+FG311+FS311+GE311+GQ311+HC311+I311+U311+AG311+AS311+BE311+BQ311+CC311+CO311+DA311+DM311+DY311+EK311+EW311+FI311+FU311+GG311+GS311+HE311</f>
        <v>873</v>
      </c>
      <c r="HP311" s="94">
        <f t="shared" ref="HP311:HP317" si="2054">+(HO311)/HM311</f>
        <v>0.26358695652173914</v>
      </c>
      <c r="HQ311" s="48">
        <f t="shared" ref="HQ311:HQ318" si="2055">+I311+U311+AG311+AS311+BE311+BQ311+CC311+CO311+DA311+DM311+DY311+EK311+EW311+FI311+FU311+GG311+GS311+HE311</f>
        <v>63</v>
      </c>
      <c r="HR311" s="35">
        <f>+(HQ311/(HO311))</f>
        <v>7.2164948453608241E-2</v>
      </c>
      <c r="HS311" s="49">
        <v>73.7</v>
      </c>
      <c r="HT311" s="50">
        <v>788</v>
      </c>
      <c r="HU311" s="49">
        <f t="shared" ref="HU311:HU317" si="2056">+HT311/HO311*100</f>
        <v>90.26345933562429</v>
      </c>
      <c r="HV311" s="48"/>
      <c r="HW311" s="37"/>
    </row>
    <row r="312" spans="1:231" ht="18.75" x14ac:dyDescent="0.25">
      <c r="A312" s="374"/>
      <c r="B312" s="41">
        <f t="shared" si="1656"/>
        <v>45180</v>
      </c>
      <c r="C312" s="10"/>
      <c r="D312" s="11"/>
      <c r="E312" s="69">
        <f t="shared" ref="E312:F316" si="2057">E311-C312</f>
        <v>585</v>
      </c>
      <c r="F312" s="69">
        <f t="shared" si="2057"/>
        <v>42</v>
      </c>
      <c r="G312" s="11">
        <v>154</v>
      </c>
      <c r="H312" s="12">
        <f t="shared" si="2017"/>
        <v>0.28717948717948716</v>
      </c>
      <c r="I312" s="11">
        <v>14</v>
      </c>
      <c r="J312" s="12">
        <f t="shared" ref="J312:J317" si="2058">I312/(G312+I312)</f>
        <v>8.3333333333333329E-2</v>
      </c>
      <c r="K312" s="13"/>
      <c r="L312" s="11"/>
      <c r="M312" s="11"/>
      <c r="N312" s="14"/>
      <c r="O312" s="10"/>
      <c r="P312" s="11"/>
      <c r="Q312" s="69">
        <f t="shared" ref="Q312:R317" si="2059">Q311-O312</f>
        <v>596</v>
      </c>
      <c r="R312" s="69">
        <f t="shared" si="2059"/>
        <v>44</v>
      </c>
      <c r="S312" s="11">
        <v>171</v>
      </c>
      <c r="T312" s="12">
        <f t="shared" si="2018"/>
        <v>0.32046979865771813</v>
      </c>
      <c r="U312" s="11">
        <v>20</v>
      </c>
      <c r="V312" s="12">
        <f t="shared" si="2019"/>
        <v>0.10471204188481675</v>
      </c>
      <c r="W312" s="13"/>
      <c r="X312" s="11"/>
      <c r="Y312" s="11"/>
      <c r="Z312" s="14"/>
      <c r="AA312" s="10"/>
      <c r="AB312" s="11"/>
      <c r="AC312" s="69">
        <f t="shared" ref="AC312:AD317" si="2060">AC311-AA312</f>
        <v>135</v>
      </c>
      <c r="AD312" s="69">
        <f t="shared" si="2060"/>
        <v>10</v>
      </c>
      <c r="AE312" s="11">
        <v>28</v>
      </c>
      <c r="AF312" s="12">
        <f t="shared" si="2020"/>
        <v>0.22962962962962963</v>
      </c>
      <c r="AG312" s="11">
        <v>3</v>
      </c>
      <c r="AH312" s="12">
        <f t="shared" si="2021"/>
        <v>9.6774193548387094E-2</v>
      </c>
      <c r="AI312" s="13"/>
      <c r="AJ312" s="11"/>
      <c r="AK312" s="11"/>
      <c r="AL312" s="14"/>
      <c r="AM312" s="10"/>
      <c r="AN312" s="11"/>
      <c r="AO312" s="69">
        <f t="shared" ref="AO312:AP317" si="2061">AO311-AM312</f>
        <v>665</v>
      </c>
      <c r="AP312" s="69">
        <f t="shared" si="2061"/>
        <v>49</v>
      </c>
      <c r="AQ312" s="11">
        <v>158</v>
      </c>
      <c r="AR312" s="12">
        <f t="shared" si="2022"/>
        <v>0.26165413533834586</v>
      </c>
      <c r="AS312" s="11">
        <v>16</v>
      </c>
      <c r="AT312" s="12">
        <f t="shared" si="2023"/>
        <v>9.1954022988505746E-2</v>
      </c>
      <c r="AU312" s="13"/>
      <c r="AV312" s="11"/>
      <c r="AW312" s="11"/>
      <c r="AX312" s="14"/>
      <c r="AY312" s="10"/>
      <c r="AZ312" s="11"/>
      <c r="BA312" s="69">
        <f t="shared" ref="BA312:BB317" si="2062">BA311-AY312</f>
        <v>668</v>
      </c>
      <c r="BB312" s="69">
        <f t="shared" si="2062"/>
        <v>48</v>
      </c>
      <c r="BC312" s="11">
        <v>183</v>
      </c>
      <c r="BD312" s="12">
        <f t="shared" si="2024"/>
        <v>0.29640718562874252</v>
      </c>
      <c r="BE312" s="11">
        <v>15</v>
      </c>
      <c r="BF312" s="12">
        <f t="shared" si="2025"/>
        <v>7.575757575757576E-2</v>
      </c>
      <c r="BG312" s="13"/>
      <c r="BH312" s="11"/>
      <c r="BI312" s="11"/>
      <c r="BJ312" s="14"/>
      <c r="BK312" s="10"/>
      <c r="BL312" s="11"/>
      <c r="BM312" s="69">
        <f t="shared" ref="BM312:BN317" si="2063">BM311-BK312</f>
        <v>663</v>
      </c>
      <c r="BN312" s="69">
        <f t="shared" si="2063"/>
        <v>49</v>
      </c>
      <c r="BO312" s="11">
        <v>173</v>
      </c>
      <c r="BP312" s="12">
        <f t="shared" si="2026"/>
        <v>0.28205128205128205</v>
      </c>
      <c r="BQ312" s="11">
        <v>14</v>
      </c>
      <c r="BR312" s="12">
        <f t="shared" si="2027"/>
        <v>7.4866310160427801E-2</v>
      </c>
      <c r="BS312" s="13"/>
      <c r="BT312" s="11"/>
      <c r="BU312" s="11"/>
      <c r="BV312" s="14"/>
      <c r="BW312" s="10"/>
      <c r="BX312" s="11"/>
      <c r="BY312" s="69">
        <f t="shared" ref="BY312:BZ317" si="2064">BY311-BW312</f>
        <v>0</v>
      </c>
      <c r="BZ312" s="69">
        <f t="shared" si="2064"/>
        <v>0</v>
      </c>
      <c r="CA312" s="11"/>
      <c r="CB312" s="12" t="e">
        <f t="shared" si="2028"/>
        <v>#DIV/0!</v>
      </c>
      <c r="CC312" s="11"/>
      <c r="CD312" s="12" t="e">
        <f t="shared" si="2029"/>
        <v>#DIV/0!</v>
      </c>
      <c r="CE312" s="13"/>
      <c r="CF312" s="11"/>
      <c r="CG312" s="11"/>
      <c r="CH312" s="14"/>
      <c r="CI312" s="10"/>
      <c r="CJ312" s="11"/>
      <c r="CK312" s="69">
        <f t="shared" ref="CK312:CL317" si="2065">CK311-CI312</f>
        <v>0</v>
      </c>
      <c r="CL312" s="69">
        <f t="shared" si="2065"/>
        <v>0</v>
      </c>
      <c r="CM312" s="11"/>
      <c r="CN312" s="12" t="e">
        <f t="shared" si="2030"/>
        <v>#DIV/0!</v>
      </c>
      <c r="CO312" s="11"/>
      <c r="CP312" s="12" t="e">
        <f t="shared" si="2031"/>
        <v>#DIV/0!</v>
      </c>
      <c r="CQ312" s="13"/>
      <c r="CR312" s="11"/>
      <c r="CS312" s="11"/>
      <c r="CT312" s="14"/>
      <c r="CU312" s="10"/>
      <c r="CV312" s="11"/>
      <c r="CW312" s="69">
        <f t="shared" ref="CW312:CX317" si="2066">CW311-CU312</f>
        <v>0</v>
      </c>
      <c r="CX312" s="69">
        <f t="shared" si="2066"/>
        <v>0</v>
      </c>
      <c r="CY312" s="11"/>
      <c r="CZ312" s="12" t="e">
        <f t="shared" si="2032"/>
        <v>#DIV/0!</v>
      </c>
      <c r="DA312" s="11"/>
      <c r="DB312" s="12" t="e">
        <f t="shared" si="2033"/>
        <v>#DIV/0!</v>
      </c>
      <c r="DC312" s="13"/>
      <c r="DD312" s="11"/>
      <c r="DE312" s="11"/>
      <c r="DF312" s="14"/>
      <c r="DG312" s="10"/>
      <c r="DH312" s="11"/>
      <c r="DI312" s="69">
        <f t="shared" ref="DI312:DJ317" si="2067">DI311-DG312</f>
        <v>0</v>
      </c>
      <c r="DJ312" s="69">
        <f t="shared" si="2067"/>
        <v>0</v>
      </c>
      <c r="DK312" s="11"/>
      <c r="DL312" s="12" t="e">
        <f t="shared" si="2034"/>
        <v>#DIV/0!</v>
      </c>
      <c r="DM312" s="11"/>
      <c r="DN312" s="12" t="e">
        <f t="shared" si="2035"/>
        <v>#DIV/0!</v>
      </c>
      <c r="DO312" s="13"/>
      <c r="DP312" s="11"/>
      <c r="DQ312" s="11"/>
      <c r="DR312" s="14"/>
      <c r="DS312" s="10"/>
      <c r="DT312" s="11"/>
      <c r="DU312" s="69">
        <f t="shared" ref="DU312:DV317" si="2068">DU311-DS312</f>
        <v>0</v>
      </c>
      <c r="DV312" s="69">
        <f t="shared" si="2068"/>
        <v>0</v>
      </c>
      <c r="DW312" s="11"/>
      <c r="DX312" s="12" t="e">
        <f t="shared" si="2036"/>
        <v>#DIV/0!</v>
      </c>
      <c r="DY312" s="11"/>
      <c r="DZ312" s="12" t="e">
        <f t="shared" si="2037"/>
        <v>#DIV/0!</v>
      </c>
      <c r="EA312" s="13"/>
      <c r="EB312" s="11"/>
      <c r="EC312" s="11"/>
      <c r="ED312" s="14"/>
      <c r="EE312" s="10"/>
      <c r="EF312" s="11"/>
      <c r="EG312" s="69">
        <f t="shared" ref="EG312:EH317" si="2069">EG311-EE312</f>
        <v>0</v>
      </c>
      <c r="EH312" s="69">
        <f t="shared" si="2069"/>
        <v>0</v>
      </c>
      <c r="EI312" s="11"/>
      <c r="EJ312" s="12" t="e">
        <f t="shared" si="2038"/>
        <v>#DIV/0!</v>
      </c>
      <c r="EK312" s="11"/>
      <c r="EL312" s="12" t="e">
        <f t="shared" si="2039"/>
        <v>#DIV/0!</v>
      </c>
      <c r="EM312" s="13"/>
      <c r="EN312" s="11"/>
      <c r="EO312" s="11"/>
      <c r="EP312" s="14"/>
      <c r="EQ312" s="10"/>
      <c r="ER312" s="11"/>
      <c r="ES312" s="69">
        <f t="shared" ref="ES312:ET317" si="2070">ES311-EQ312</f>
        <v>0</v>
      </c>
      <c r="ET312" s="69">
        <f t="shared" si="2070"/>
        <v>0</v>
      </c>
      <c r="EU312" s="11"/>
      <c r="EV312" s="12" t="e">
        <f t="shared" si="2040"/>
        <v>#DIV/0!</v>
      </c>
      <c r="EW312" s="11"/>
      <c r="EX312" s="12" t="e">
        <f t="shared" si="2041"/>
        <v>#DIV/0!</v>
      </c>
      <c r="EY312" s="13"/>
      <c r="EZ312" s="11"/>
      <c r="FA312" s="11"/>
      <c r="FB312" s="14"/>
      <c r="FC312" s="10"/>
      <c r="FD312" s="11"/>
      <c r="FE312" s="69">
        <f t="shared" ref="FE312:FF317" si="2071">FE311-FC312</f>
        <v>0</v>
      </c>
      <c r="FF312" s="69">
        <f t="shared" si="2071"/>
        <v>0</v>
      </c>
      <c r="FG312" s="11"/>
      <c r="FH312" s="12" t="e">
        <f t="shared" si="2042"/>
        <v>#DIV/0!</v>
      </c>
      <c r="FI312" s="11"/>
      <c r="FJ312" s="12" t="e">
        <f t="shared" si="2043"/>
        <v>#DIV/0!</v>
      </c>
      <c r="FK312" s="13"/>
      <c r="FL312" s="11"/>
      <c r="FM312" s="11"/>
      <c r="FN312" s="14"/>
      <c r="FO312" s="10"/>
      <c r="FP312" s="11"/>
      <c r="FQ312" s="69">
        <f t="shared" ref="FQ312:FR317" si="2072">FQ311-FO312</f>
        <v>0</v>
      </c>
      <c r="FR312" s="69">
        <f t="shared" si="2072"/>
        <v>0</v>
      </c>
      <c r="FS312" s="11"/>
      <c r="FT312" s="12" t="e">
        <f t="shared" si="2044"/>
        <v>#DIV/0!</v>
      </c>
      <c r="FU312" s="11"/>
      <c r="FV312" s="12" t="e">
        <f t="shared" si="2045"/>
        <v>#DIV/0!</v>
      </c>
      <c r="FW312" s="13"/>
      <c r="FX312" s="11"/>
      <c r="FY312" s="11"/>
      <c r="FZ312" s="14"/>
      <c r="GA312" s="10"/>
      <c r="GB312" s="11"/>
      <c r="GC312" s="69">
        <f t="shared" ref="GC312:GD317" si="2073">GC311-GA312</f>
        <v>0</v>
      </c>
      <c r="GD312" s="69">
        <f t="shared" si="2073"/>
        <v>0</v>
      </c>
      <c r="GE312" s="11"/>
      <c r="GF312" s="12" t="e">
        <f t="shared" si="2046"/>
        <v>#DIV/0!</v>
      </c>
      <c r="GG312" s="11"/>
      <c r="GH312" s="12" t="e">
        <f t="shared" si="2047"/>
        <v>#DIV/0!</v>
      </c>
      <c r="GI312" s="13"/>
      <c r="GJ312" s="11"/>
      <c r="GK312" s="11"/>
      <c r="GL312" s="14"/>
      <c r="GM312" s="10"/>
      <c r="GN312" s="11"/>
      <c r="GO312" s="69">
        <f t="shared" ref="GO312:GP317" si="2074">GO311-GM312</f>
        <v>0</v>
      </c>
      <c r="GP312" s="69">
        <f t="shared" si="2074"/>
        <v>0</v>
      </c>
      <c r="GQ312" s="11"/>
      <c r="GR312" s="12" t="e">
        <f t="shared" si="2048"/>
        <v>#DIV/0!</v>
      </c>
      <c r="GS312" s="11"/>
      <c r="GT312" s="12" t="e">
        <f t="shared" si="2049"/>
        <v>#DIV/0!</v>
      </c>
      <c r="GU312" s="13"/>
      <c r="GV312" s="11"/>
      <c r="GW312" s="11"/>
      <c r="GX312" s="14"/>
      <c r="GY312" s="10"/>
      <c r="GZ312" s="11"/>
      <c r="HA312" s="69">
        <f t="shared" ref="HA312:HB317" si="2075">HA311-GY312</f>
        <v>0</v>
      </c>
      <c r="HB312" s="69">
        <f t="shared" si="2075"/>
        <v>0</v>
      </c>
      <c r="HC312" s="11"/>
      <c r="HD312" s="12" t="e">
        <f t="shared" si="2050"/>
        <v>#DIV/0!</v>
      </c>
      <c r="HE312" s="11"/>
      <c r="HF312" s="12" t="e">
        <f t="shared" si="2051"/>
        <v>#DIV/0!</v>
      </c>
      <c r="HG312" s="13"/>
      <c r="HH312" s="11"/>
      <c r="HI312" s="11"/>
      <c r="HJ312" s="14"/>
      <c r="HK312" s="10">
        <f t="shared" si="2052"/>
        <v>0</v>
      </c>
      <c r="HL312" s="11">
        <f t="shared" si="2052"/>
        <v>0</v>
      </c>
      <c r="HM312" s="11">
        <f t="shared" si="2052"/>
        <v>3312</v>
      </c>
      <c r="HN312" s="11">
        <f t="shared" si="2052"/>
        <v>242</v>
      </c>
      <c r="HO312" s="11">
        <f t="shared" si="2053"/>
        <v>949</v>
      </c>
      <c r="HP312" s="95">
        <f t="shared" si="2054"/>
        <v>0.28653381642512077</v>
      </c>
      <c r="HQ312" s="15">
        <f t="shared" si="2055"/>
        <v>82</v>
      </c>
      <c r="HR312" s="12">
        <f t="shared" ref="HR312:HR318" si="2076">+(HQ312/(HO312))</f>
        <v>8.6406743940990516E-2</v>
      </c>
      <c r="HS312" s="16">
        <v>73.099999999999994</v>
      </c>
      <c r="HT312" s="17">
        <v>832</v>
      </c>
      <c r="HU312" s="16">
        <f t="shared" si="2056"/>
        <v>87.671232876712324</v>
      </c>
      <c r="HV312" s="15"/>
      <c r="HW312" s="14"/>
    </row>
    <row r="313" spans="1:231" ht="18.75" x14ac:dyDescent="0.25">
      <c r="A313" s="374"/>
      <c r="B313" s="41">
        <f t="shared" si="1656"/>
        <v>45181</v>
      </c>
      <c r="C313" s="10"/>
      <c r="D313" s="11"/>
      <c r="E313" s="69">
        <f t="shared" si="2057"/>
        <v>585</v>
      </c>
      <c r="F313" s="69">
        <f t="shared" si="2057"/>
        <v>42</v>
      </c>
      <c r="G313" s="11">
        <v>154</v>
      </c>
      <c r="H313" s="12">
        <f t="shared" si="2017"/>
        <v>0.27863247863247864</v>
      </c>
      <c r="I313" s="11">
        <v>9</v>
      </c>
      <c r="J313" s="12">
        <f t="shared" si="2058"/>
        <v>5.5214723926380369E-2</v>
      </c>
      <c r="K313" s="13"/>
      <c r="L313" s="11"/>
      <c r="M313" s="11"/>
      <c r="N313" s="14"/>
      <c r="O313" s="10"/>
      <c r="P313" s="11"/>
      <c r="Q313" s="69">
        <f t="shared" si="2059"/>
        <v>596</v>
      </c>
      <c r="R313" s="69">
        <f t="shared" si="2059"/>
        <v>44</v>
      </c>
      <c r="S313" s="11">
        <v>147</v>
      </c>
      <c r="T313" s="12">
        <f t="shared" si="2018"/>
        <v>0.27181208053691275</v>
      </c>
      <c r="U313" s="11">
        <v>15</v>
      </c>
      <c r="V313" s="12">
        <f t="shared" si="2019"/>
        <v>9.2592592592592587E-2</v>
      </c>
      <c r="W313" s="13"/>
      <c r="X313" s="11"/>
      <c r="Y313" s="11"/>
      <c r="Z313" s="14"/>
      <c r="AA313" s="10">
        <v>2</v>
      </c>
      <c r="AB313" s="11"/>
      <c r="AC313" s="69">
        <f t="shared" si="2060"/>
        <v>133</v>
      </c>
      <c r="AD313" s="69">
        <f t="shared" si="2060"/>
        <v>10</v>
      </c>
      <c r="AE313" s="11">
        <v>22</v>
      </c>
      <c r="AF313" s="12">
        <f t="shared" si="2020"/>
        <v>0.22556390977443608</v>
      </c>
      <c r="AG313" s="11">
        <v>8</v>
      </c>
      <c r="AH313" s="12">
        <f t="shared" si="2021"/>
        <v>0.26666666666666666</v>
      </c>
      <c r="AI313" s="13"/>
      <c r="AJ313" s="11"/>
      <c r="AK313" s="11"/>
      <c r="AL313" s="14"/>
      <c r="AM313" s="10"/>
      <c r="AN313" s="11"/>
      <c r="AO313" s="69">
        <f t="shared" si="2061"/>
        <v>665</v>
      </c>
      <c r="AP313" s="69">
        <f t="shared" si="2061"/>
        <v>49</v>
      </c>
      <c r="AQ313" s="11">
        <v>172</v>
      </c>
      <c r="AR313" s="12">
        <f t="shared" si="2022"/>
        <v>0.26015037593984963</v>
      </c>
      <c r="AS313" s="11">
        <v>1</v>
      </c>
      <c r="AT313" s="12">
        <f t="shared" si="2023"/>
        <v>5.7803468208092483E-3</v>
      </c>
      <c r="AU313" s="13"/>
      <c r="AV313" s="11"/>
      <c r="AW313" s="11"/>
      <c r="AX313" s="14"/>
      <c r="AY313" s="10">
        <v>1</v>
      </c>
      <c r="AZ313" s="11"/>
      <c r="BA313" s="69">
        <f t="shared" si="2062"/>
        <v>667</v>
      </c>
      <c r="BB313" s="69">
        <f t="shared" si="2062"/>
        <v>48</v>
      </c>
      <c r="BC313" s="11">
        <v>160</v>
      </c>
      <c r="BD313" s="12">
        <f t="shared" si="2024"/>
        <v>0.25337331334332835</v>
      </c>
      <c r="BE313" s="11">
        <v>9</v>
      </c>
      <c r="BF313" s="12">
        <f t="shared" si="2025"/>
        <v>5.3254437869822487E-2</v>
      </c>
      <c r="BG313" s="13"/>
      <c r="BH313" s="11"/>
      <c r="BI313" s="11"/>
      <c r="BJ313" s="14"/>
      <c r="BK313" s="10"/>
      <c r="BL313" s="11"/>
      <c r="BM313" s="69">
        <f t="shared" si="2063"/>
        <v>663</v>
      </c>
      <c r="BN313" s="69">
        <f t="shared" si="2063"/>
        <v>49</v>
      </c>
      <c r="BO313" s="11">
        <v>164</v>
      </c>
      <c r="BP313" s="12">
        <f t="shared" si="2026"/>
        <v>0.25339366515837103</v>
      </c>
      <c r="BQ313" s="11">
        <v>4</v>
      </c>
      <c r="BR313" s="12">
        <f t="shared" si="2027"/>
        <v>2.3809523809523808E-2</v>
      </c>
      <c r="BS313" s="13"/>
      <c r="BT313" s="11"/>
      <c r="BU313" s="11"/>
      <c r="BV313" s="14"/>
      <c r="BW313" s="10"/>
      <c r="BX313" s="11"/>
      <c r="BY313" s="69">
        <f t="shared" si="2064"/>
        <v>0</v>
      </c>
      <c r="BZ313" s="69">
        <f t="shared" si="2064"/>
        <v>0</v>
      </c>
      <c r="CA313" s="11"/>
      <c r="CB313" s="12" t="e">
        <f t="shared" si="2028"/>
        <v>#DIV/0!</v>
      </c>
      <c r="CC313" s="11"/>
      <c r="CD313" s="12" t="e">
        <f t="shared" si="2029"/>
        <v>#DIV/0!</v>
      </c>
      <c r="CE313" s="13"/>
      <c r="CF313" s="11"/>
      <c r="CG313" s="11"/>
      <c r="CH313" s="14"/>
      <c r="CI313" s="10"/>
      <c r="CJ313" s="11"/>
      <c r="CK313" s="69">
        <f t="shared" si="2065"/>
        <v>0</v>
      </c>
      <c r="CL313" s="69">
        <f t="shared" si="2065"/>
        <v>0</v>
      </c>
      <c r="CM313" s="11"/>
      <c r="CN313" s="12" t="e">
        <f t="shared" si="2030"/>
        <v>#DIV/0!</v>
      </c>
      <c r="CO313" s="11"/>
      <c r="CP313" s="12" t="e">
        <f t="shared" si="2031"/>
        <v>#DIV/0!</v>
      </c>
      <c r="CQ313" s="13"/>
      <c r="CR313" s="11"/>
      <c r="CS313" s="11"/>
      <c r="CT313" s="14"/>
      <c r="CU313" s="10"/>
      <c r="CV313" s="11"/>
      <c r="CW313" s="69">
        <f t="shared" si="2066"/>
        <v>0</v>
      </c>
      <c r="CX313" s="69">
        <f t="shared" si="2066"/>
        <v>0</v>
      </c>
      <c r="CY313" s="11"/>
      <c r="CZ313" s="12" t="e">
        <f t="shared" si="2032"/>
        <v>#DIV/0!</v>
      </c>
      <c r="DA313" s="11"/>
      <c r="DB313" s="12" t="e">
        <f t="shared" si="2033"/>
        <v>#DIV/0!</v>
      </c>
      <c r="DC313" s="13"/>
      <c r="DD313" s="11"/>
      <c r="DE313" s="11"/>
      <c r="DF313" s="14"/>
      <c r="DG313" s="10"/>
      <c r="DH313" s="11"/>
      <c r="DI313" s="69">
        <f t="shared" si="2067"/>
        <v>0</v>
      </c>
      <c r="DJ313" s="69">
        <f t="shared" si="2067"/>
        <v>0</v>
      </c>
      <c r="DK313" s="11"/>
      <c r="DL313" s="12" t="e">
        <f t="shared" si="2034"/>
        <v>#DIV/0!</v>
      </c>
      <c r="DM313" s="11"/>
      <c r="DN313" s="12" t="e">
        <f t="shared" si="2035"/>
        <v>#DIV/0!</v>
      </c>
      <c r="DO313" s="13"/>
      <c r="DP313" s="11"/>
      <c r="DQ313" s="11"/>
      <c r="DR313" s="14"/>
      <c r="DS313" s="10"/>
      <c r="DT313" s="11"/>
      <c r="DU313" s="69">
        <f t="shared" si="2068"/>
        <v>0</v>
      </c>
      <c r="DV313" s="69">
        <f t="shared" si="2068"/>
        <v>0</v>
      </c>
      <c r="DW313" s="11"/>
      <c r="DX313" s="12" t="e">
        <f t="shared" si="2036"/>
        <v>#DIV/0!</v>
      </c>
      <c r="DY313" s="11"/>
      <c r="DZ313" s="12" t="e">
        <f t="shared" si="2037"/>
        <v>#DIV/0!</v>
      </c>
      <c r="EA313" s="13"/>
      <c r="EB313" s="11"/>
      <c r="EC313" s="11"/>
      <c r="ED313" s="14"/>
      <c r="EE313" s="10"/>
      <c r="EF313" s="11"/>
      <c r="EG313" s="69">
        <f t="shared" si="2069"/>
        <v>0</v>
      </c>
      <c r="EH313" s="69">
        <f t="shared" si="2069"/>
        <v>0</v>
      </c>
      <c r="EI313" s="11"/>
      <c r="EJ313" s="12" t="e">
        <f t="shared" si="2038"/>
        <v>#DIV/0!</v>
      </c>
      <c r="EK313" s="11"/>
      <c r="EL313" s="12" t="e">
        <f t="shared" si="2039"/>
        <v>#DIV/0!</v>
      </c>
      <c r="EM313" s="13"/>
      <c r="EN313" s="11"/>
      <c r="EO313" s="11"/>
      <c r="EP313" s="14"/>
      <c r="EQ313" s="10"/>
      <c r="ER313" s="11"/>
      <c r="ES313" s="69">
        <f t="shared" si="2070"/>
        <v>0</v>
      </c>
      <c r="ET313" s="69">
        <f t="shared" si="2070"/>
        <v>0</v>
      </c>
      <c r="EU313" s="11"/>
      <c r="EV313" s="12" t="e">
        <f t="shared" si="2040"/>
        <v>#DIV/0!</v>
      </c>
      <c r="EW313" s="11"/>
      <c r="EX313" s="12" t="e">
        <f t="shared" si="2041"/>
        <v>#DIV/0!</v>
      </c>
      <c r="EY313" s="13"/>
      <c r="EZ313" s="11"/>
      <c r="FA313" s="11"/>
      <c r="FB313" s="14"/>
      <c r="FC313" s="10"/>
      <c r="FD313" s="11"/>
      <c r="FE313" s="69">
        <f t="shared" si="2071"/>
        <v>0</v>
      </c>
      <c r="FF313" s="69">
        <f t="shared" si="2071"/>
        <v>0</v>
      </c>
      <c r="FG313" s="11"/>
      <c r="FH313" s="12" t="e">
        <f t="shared" si="2042"/>
        <v>#DIV/0!</v>
      </c>
      <c r="FI313" s="11"/>
      <c r="FJ313" s="12" t="e">
        <f t="shared" si="2043"/>
        <v>#DIV/0!</v>
      </c>
      <c r="FK313" s="13"/>
      <c r="FL313" s="11"/>
      <c r="FM313" s="11"/>
      <c r="FN313" s="14"/>
      <c r="FO313" s="10"/>
      <c r="FP313" s="11"/>
      <c r="FQ313" s="69">
        <f t="shared" si="2072"/>
        <v>0</v>
      </c>
      <c r="FR313" s="69">
        <f t="shared" si="2072"/>
        <v>0</v>
      </c>
      <c r="FS313" s="11"/>
      <c r="FT313" s="12" t="e">
        <f t="shared" si="2044"/>
        <v>#DIV/0!</v>
      </c>
      <c r="FU313" s="11"/>
      <c r="FV313" s="12" t="e">
        <f t="shared" si="2045"/>
        <v>#DIV/0!</v>
      </c>
      <c r="FW313" s="13"/>
      <c r="FX313" s="11"/>
      <c r="FY313" s="11"/>
      <c r="FZ313" s="14"/>
      <c r="GA313" s="10"/>
      <c r="GB313" s="11"/>
      <c r="GC313" s="69">
        <f t="shared" si="2073"/>
        <v>0</v>
      </c>
      <c r="GD313" s="69">
        <f t="shared" si="2073"/>
        <v>0</v>
      </c>
      <c r="GE313" s="11"/>
      <c r="GF313" s="12" t="e">
        <f t="shared" si="2046"/>
        <v>#DIV/0!</v>
      </c>
      <c r="GG313" s="11"/>
      <c r="GH313" s="12" t="e">
        <f t="shared" si="2047"/>
        <v>#DIV/0!</v>
      </c>
      <c r="GI313" s="13"/>
      <c r="GJ313" s="11"/>
      <c r="GK313" s="11"/>
      <c r="GL313" s="14"/>
      <c r="GM313" s="10"/>
      <c r="GN313" s="11"/>
      <c r="GO313" s="69">
        <f t="shared" si="2074"/>
        <v>0</v>
      </c>
      <c r="GP313" s="69">
        <f t="shared" si="2074"/>
        <v>0</v>
      </c>
      <c r="GQ313" s="11"/>
      <c r="GR313" s="12" t="e">
        <f t="shared" si="2048"/>
        <v>#DIV/0!</v>
      </c>
      <c r="GS313" s="11"/>
      <c r="GT313" s="12" t="e">
        <f t="shared" si="2049"/>
        <v>#DIV/0!</v>
      </c>
      <c r="GU313" s="13"/>
      <c r="GV313" s="11"/>
      <c r="GW313" s="11"/>
      <c r="GX313" s="14"/>
      <c r="GY313" s="10"/>
      <c r="GZ313" s="11"/>
      <c r="HA313" s="69">
        <f t="shared" si="2075"/>
        <v>0</v>
      </c>
      <c r="HB313" s="69">
        <f t="shared" si="2075"/>
        <v>0</v>
      </c>
      <c r="HC313" s="11"/>
      <c r="HD313" s="12" t="e">
        <f t="shared" si="2050"/>
        <v>#DIV/0!</v>
      </c>
      <c r="HE313" s="11"/>
      <c r="HF313" s="12" t="e">
        <f t="shared" si="2051"/>
        <v>#DIV/0!</v>
      </c>
      <c r="HG313" s="13"/>
      <c r="HH313" s="11"/>
      <c r="HI313" s="11"/>
      <c r="HJ313" s="14"/>
      <c r="HK313" s="10">
        <f t="shared" si="2052"/>
        <v>3</v>
      </c>
      <c r="HL313" s="11">
        <f t="shared" si="2052"/>
        <v>0</v>
      </c>
      <c r="HM313" s="11">
        <f t="shared" si="2052"/>
        <v>3309</v>
      </c>
      <c r="HN313" s="11">
        <f t="shared" si="2052"/>
        <v>242</v>
      </c>
      <c r="HO313" s="11">
        <f t="shared" si="2053"/>
        <v>865</v>
      </c>
      <c r="HP313" s="95">
        <f t="shared" si="2054"/>
        <v>0.26140828044726505</v>
      </c>
      <c r="HQ313" s="15">
        <f t="shared" si="2055"/>
        <v>46</v>
      </c>
      <c r="HR313" s="12">
        <f t="shared" si="2076"/>
        <v>5.3179190751445088E-2</v>
      </c>
      <c r="HS313" s="16">
        <v>73.2</v>
      </c>
      <c r="HT313" s="17">
        <v>790</v>
      </c>
      <c r="HU313" s="16">
        <f t="shared" si="2056"/>
        <v>91.329479768786129</v>
      </c>
      <c r="HV313" s="15"/>
      <c r="HW313" s="14"/>
    </row>
    <row r="314" spans="1:231" ht="18.75" x14ac:dyDescent="0.25">
      <c r="A314" s="374"/>
      <c r="B314" s="41">
        <f t="shared" si="1656"/>
        <v>45182</v>
      </c>
      <c r="C314" s="10"/>
      <c r="D314" s="11"/>
      <c r="E314" s="69">
        <f t="shared" si="2057"/>
        <v>585</v>
      </c>
      <c r="F314" s="69">
        <f t="shared" si="2057"/>
        <v>42</v>
      </c>
      <c r="G314" s="11">
        <v>151</v>
      </c>
      <c r="H314" s="12">
        <f t="shared" si="2017"/>
        <v>0.28034188034188035</v>
      </c>
      <c r="I314" s="11">
        <v>13</v>
      </c>
      <c r="J314" s="12">
        <f t="shared" si="2058"/>
        <v>7.926829268292683E-2</v>
      </c>
      <c r="K314" s="11"/>
      <c r="L314" s="11"/>
      <c r="M314" s="18"/>
      <c r="N314" s="20"/>
      <c r="O314" s="10">
        <v>1</v>
      </c>
      <c r="P314" s="11"/>
      <c r="Q314" s="69">
        <f t="shared" si="2059"/>
        <v>595</v>
      </c>
      <c r="R314" s="69">
        <f t="shared" si="2059"/>
        <v>44</v>
      </c>
      <c r="S314" s="11">
        <v>151</v>
      </c>
      <c r="T314" s="12">
        <f t="shared" si="2018"/>
        <v>0.27563025210084036</v>
      </c>
      <c r="U314" s="11">
        <v>13</v>
      </c>
      <c r="V314" s="12">
        <f t="shared" si="2019"/>
        <v>7.926829268292683E-2</v>
      </c>
      <c r="W314" s="11"/>
      <c r="X314" s="11"/>
      <c r="Y314" s="18"/>
      <c r="Z314" s="20"/>
      <c r="AA314" s="10"/>
      <c r="AB314" s="11"/>
      <c r="AC314" s="69">
        <f t="shared" si="2060"/>
        <v>133</v>
      </c>
      <c r="AD314" s="69">
        <f t="shared" si="2060"/>
        <v>10</v>
      </c>
      <c r="AE314" s="11">
        <v>30</v>
      </c>
      <c r="AF314" s="12">
        <f t="shared" si="2020"/>
        <v>0.26315789473684209</v>
      </c>
      <c r="AG314" s="11">
        <v>5</v>
      </c>
      <c r="AH314" s="12">
        <f t="shared" si="2021"/>
        <v>0.14285714285714285</v>
      </c>
      <c r="AI314" s="11"/>
      <c r="AJ314" s="11"/>
      <c r="AK314" s="18"/>
      <c r="AL314" s="20"/>
      <c r="AM314" s="10"/>
      <c r="AN314" s="11"/>
      <c r="AO314" s="69">
        <f t="shared" si="2061"/>
        <v>665</v>
      </c>
      <c r="AP314" s="69">
        <f t="shared" si="2061"/>
        <v>49</v>
      </c>
      <c r="AQ314" s="11">
        <v>158</v>
      </c>
      <c r="AR314" s="12">
        <f t="shared" si="2022"/>
        <v>0.25263157894736843</v>
      </c>
      <c r="AS314" s="11">
        <v>10</v>
      </c>
      <c r="AT314" s="12">
        <f t="shared" si="2023"/>
        <v>5.9523809523809521E-2</v>
      </c>
      <c r="AU314" s="11"/>
      <c r="AV314" s="11"/>
      <c r="AW314" s="18"/>
      <c r="AX314" s="20"/>
      <c r="AY314" s="10"/>
      <c r="AZ314" s="11"/>
      <c r="BA314" s="69">
        <f t="shared" si="2062"/>
        <v>667</v>
      </c>
      <c r="BB314" s="69">
        <f t="shared" si="2062"/>
        <v>48</v>
      </c>
      <c r="BC314" s="11">
        <v>159</v>
      </c>
      <c r="BD314" s="12">
        <f t="shared" si="2024"/>
        <v>0.25787106446776614</v>
      </c>
      <c r="BE314" s="11">
        <v>13</v>
      </c>
      <c r="BF314" s="12">
        <f t="shared" si="2025"/>
        <v>7.5581395348837205E-2</v>
      </c>
      <c r="BG314" s="11"/>
      <c r="BH314" s="11"/>
      <c r="BI314" s="18"/>
      <c r="BJ314" s="20"/>
      <c r="BK314" s="10">
        <v>1</v>
      </c>
      <c r="BL314" s="11"/>
      <c r="BM314" s="69">
        <f t="shared" si="2063"/>
        <v>662</v>
      </c>
      <c r="BN314" s="69">
        <f t="shared" si="2063"/>
        <v>49</v>
      </c>
      <c r="BO314" s="11">
        <v>167</v>
      </c>
      <c r="BP314" s="12">
        <f t="shared" si="2026"/>
        <v>0.26283987915407853</v>
      </c>
      <c r="BQ314" s="11">
        <v>7</v>
      </c>
      <c r="BR314" s="12">
        <f t="shared" si="2027"/>
        <v>4.0229885057471264E-2</v>
      </c>
      <c r="BS314" s="11"/>
      <c r="BT314" s="11"/>
      <c r="BU314" s="18"/>
      <c r="BV314" s="20"/>
      <c r="BW314" s="10"/>
      <c r="BX314" s="11"/>
      <c r="BY314" s="69">
        <f t="shared" si="2064"/>
        <v>0</v>
      </c>
      <c r="BZ314" s="69">
        <f t="shared" si="2064"/>
        <v>0</v>
      </c>
      <c r="CA314" s="11"/>
      <c r="CB314" s="12" t="e">
        <f t="shared" si="2028"/>
        <v>#DIV/0!</v>
      </c>
      <c r="CC314" s="11"/>
      <c r="CD314" s="12" t="e">
        <f t="shared" si="2029"/>
        <v>#DIV/0!</v>
      </c>
      <c r="CE314" s="11"/>
      <c r="CF314" s="11"/>
      <c r="CG314" s="18"/>
      <c r="CH314" s="20"/>
      <c r="CI314" s="10"/>
      <c r="CJ314" s="11"/>
      <c r="CK314" s="69">
        <f t="shared" si="2065"/>
        <v>0</v>
      </c>
      <c r="CL314" s="69">
        <f t="shared" si="2065"/>
        <v>0</v>
      </c>
      <c r="CM314" s="11"/>
      <c r="CN314" s="12" t="e">
        <f t="shared" si="2030"/>
        <v>#DIV/0!</v>
      </c>
      <c r="CO314" s="11"/>
      <c r="CP314" s="12" t="e">
        <f t="shared" si="2031"/>
        <v>#DIV/0!</v>
      </c>
      <c r="CQ314" s="11"/>
      <c r="CR314" s="11"/>
      <c r="CS314" s="18"/>
      <c r="CT314" s="20"/>
      <c r="CU314" s="10"/>
      <c r="CV314" s="11"/>
      <c r="CW314" s="69">
        <f t="shared" si="2066"/>
        <v>0</v>
      </c>
      <c r="CX314" s="69">
        <f t="shared" si="2066"/>
        <v>0</v>
      </c>
      <c r="CY314" s="11"/>
      <c r="CZ314" s="12" t="e">
        <f t="shared" si="2032"/>
        <v>#DIV/0!</v>
      </c>
      <c r="DA314" s="11"/>
      <c r="DB314" s="12" t="e">
        <f t="shared" si="2033"/>
        <v>#DIV/0!</v>
      </c>
      <c r="DC314" s="11"/>
      <c r="DD314" s="11"/>
      <c r="DE314" s="18"/>
      <c r="DF314" s="20"/>
      <c r="DG314" s="10"/>
      <c r="DH314" s="11"/>
      <c r="DI314" s="69">
        <f t="shared" si="2067"/>
        <v>0</v>
      </c>
      <c r="DJ314" s="69">
        <f t="shared" si="2067"/>
        <v>0</v>
      </c>
      <c r="DK314" s="11"/>
      <c r="DL314" s="12" t="e">
        <f t="shared" si="2034"/>
        <v>#DIV/0!</v>
      </c>
      <c r="DM314" s="11"/>
      <c r="DN314" s="12" t="e">
        <f t="shared" si="2035"/>
        <v>#DIV/0!</v>
      </c>
      <c r="DO314" s="11"/>
      <c r="DP314" s="11"/>
      <c r="DQ314" s="18"/>
      <c r="DR314" s="20"/>
      <c r="DS314" s="10"/>
      <c r="DT314" s="11"/>
      <c r="DU314" s="69">
        <f t="shared" si="2068"/>
        <v>0</v>
      </c>
      <c r="DV314" s="69">
        <f t="shared" si="2068"/>
        <v>0</v>
      </c>
      <c r="DW314" s="11"/>
      <c r="DX314" s="12" t="e">
        <f t="shared" si="2036"/>
        <v>#DIV/0!</v>
      </c>
      <c r="DY314" s="11"/>
      <c r="DZ314" s="12" t="e">
        <f t="shared" si="2037"/>
        <v>#DIV/0!</v>
      </c>
      <c r="EA314" s="11"/>
      <c r="EB314" s="11"/>
      <c r="EC314" s="18"/>
      <c r="ED314" s="20"/>
      <c r="EE314" s="10"/>
      <c r="EF314" s="11"/>
      <c r="EG314" s="69">
        <f t="shared" si="2069"/>
        <v>0</v>
      </c>
      <c r="EH314" s="69">
        <f t="shared" si="2069"/>
        <v>0</v>
      </c>
      <c r="EI314" s="11"/>
      <c r="EJ314" s="12" t="e">
        <f t="shared" si="2038"/>
        <v>#DIV/0!</v>
      </c>
      <c r="EK314" s="11"/>
      <c r="EL314" s="12" t="e">
        <f t="shared" si="2039"/>
        <v>#DIV/0!</v>
      </c>
      <c r="EM314" s="11"/>
      <c r="EN314" s="11"/>
      <c r="EO314" s="18"/>
      <c r="EP314" s="20"/>
      <c r="EQ314" s="10"/>
      <c r="ER314" s="11"/>
      <c r="ES314" s="69">
        <f t="shared" si="2070"/>
        <v>0</v>
      </c>
      <c r="ET314" s="69">
        <f t="shared" si="2070"/>
        <v>0</v>
      </c>
      <c r="EU314" s="11"/>
      <c r="EV314" s="12" t="e">
        <f t="shared" si="2040"/>
        <v>#DIV/0!</v>
      </c>
      <c r="EW314" s="11"/>
      <c r="EX314" s="12" t="e">
        <f t="shared" si="2041"/>
        <v>#DIV/0!</v>
      </c>
      <c r="EY314" s="11"/>
      <c r="EZ314" s="11"/>
      <c r="FA314" s="18"/>
      <c r="FB314" s="20"/>
      <c r="FC314" s="10"/>
      <c r="FD314" s="11"/>
      <c r="FE314" s="69">
        <f t="shared" si="2071"/>
        <v>0</v>
      </c>
      <c r="FF314" s="69">
        <f t="shared" si="2071"/>
        <v>0</v>
      </c>
      <c r="FG314" s="11"/>
      <c r="FH314" s="12" t="e">
        <f t="shared" si="2042"/>
        <v>#DIV/0!</v>
      </c>
      <c r="FI314" s="11"/>
      <c r="FJ314" s="12" t="e">
        <f t="shared" si="2043"/>
        <v>#DIV/0!</v>
      </c>
      <c r="FK314" s="11"/>
      <c r="FL314" s="11"/>
      <c r="FM314" s="18"/>
      <c r="FN314" s="20"/>
      <c r="FO314" s="10"/>
      <c r="FP314" s="11"/>
      <c r="FQ314" s="69">
        <f t="shared" si="2072"/>
        <v>0</v>
      </c>
      <c r="FR314" s="69">
        <f t="shared" si="2072"/>
        <v>0</v>
      </c>
      <c r="FS314" s="11"/>
      <c r="FT314" s="12" t="e">
        <f t="shared" si="2044"/>
        <v>#DIV/0!</v>
      </c>
      <c r="FU314" s="11"/>
      <c r="FV314" s="12" t="e">
        <f t="shared" si="2045"/>
        <v>#DIV/0!</v>
      </c>
      <c r="FW314" s="11"/>
      <c r="FX314" s="11"/>
      <c r="FY314" s="18"/>
      <c r="FZ314" s="20"/>
      <c r="GA314" s="10"/>
      <c r="GB314" s="11"/>
      <c r="GC314" s="69">
        <f t="shared" si="2073"/>
        <v>0</v>
      </c>
      <c r="GD314" s="69">
        <f t="shared" si="2073"/>
        <v>0</v>
      </c>
      <c r="GE314" s="11"/>
      <c r="GF314" s="12" t="e">
        <f t="shared" si="2046"/>
        <v>#DIV/0!</v>
      </c>
      <c r="GG314" s="11"/>
      <c r="GH314" s="12" t="e">
        <f t="shared" si="2047"/>
        <v>#DIV/0!</v>
      </c>
      <c r="GI314" s="11"/>
      <c r="GJ314" s="11"/>
      <c r="GK314" s="18"/>
      <c r="GL314" s="20"/>
      <c r="GM314" s="10"/>
      <c r="GN314" s="11"/>
      <c r="GO314" s="69">
        <f t="shared" si="2074"/>
        <v>0</v>
      </c>
      <c r="GP314" s="69">
        <f t="shared" si="2074"/>
        <v>0</v>
      </c>
      <c r="GQ314" s="11"/>
      <c r="GR314" s="12" t="e">
        <f t="shared" si="2048"/>
        <v>#DIV/0!</v>
      </c>
      <c r="GS314" s="11"/>
      <c r="GT314" s="12" t="e">
        <f t="shared" si="2049"/>
        <v>#DIV/0!</v>
      </c>
      <c r="GU314" s="11"/>
      <c r="GV314" s="11"/>
      <c r="GW314" s="18"/>
      <c r="GX314" s="20"/>
      <c r="GY314" s="10"/>
      <c r="GZ314" s="11"/>
      <c r="HA314" s="69">
        <f t="shared" si="2075"/>
        <v>0</v>
      </c>
      <c r="HB314" s="69">
        <f t="shared" si="2075"/>
        <v>0</v>
      </c>
      <c r="HC314" s="11"/>
      <c r="HD314" s="12" t="e">
        <f t="shared" si="2050"/>
        <v>#DIV/0!</v>
      </c>
      <c r="HE314" s="11"/>
      <c r="HF314" s="12" t="e">
        <f t="shared" si="2051"/>
        <v>#DIV/0!</v>
      </c>
      <c r="HG314" s="11"/>
      <c r="HH314" s="11"/>
      <c r="HI314" s="18"/>
      <c r="HJ314" s="20"/>
      <c r="HK314" s="10">
        <f t="shared" si="2052"/>
        <v>2</v>
      </c>
      <c r="HL314" s="11">
        <f t="shared" si="2052"/>
        <v>0</v>
      </c>
      <c r="HM314" s="11">
        <f t="shared" si="2052"/>
        <v>3307</v>
      </c>
      <c r="HN314" s="11">
        <f t="shared" si="2052"/>
        <v>242</v>
      </c>
      <c r="HO314" s="11">
        <f t="shared" si="2053"/>
        <v>877</v>
      </c>
      <c r="HP314" s="95">
        <f t="shared" si="2054"/>
        <v>0.26519504082249773</v>
      </c>
      <c r="HQ314" s="15">
        <f t="shared" si="2055"/>
        <v>61</v>
      </c>
      <c r="HR314" s="12">
        <f t="shared" si="2076"/>
        <v>6.9555302166476624E-2</v>
      </c>
      <c r="HS314" s="16">
        <v>73.3</v>
      </c>
      <c r="HT314" s="17">
        <v>784</v>
      </c>
      <c r="HU314" s="16">
        <f t="shared" si="2056"/>
        <v>89.395667046750276</v>
      </c>
      <c r="HV314" s="18"/>
      <c r="HW314" s="20"/>
    </row>
    <row r="315" spans="1:231" ht="18.75" x14ac:dyDescent="0.25">
      <c r="A315" s="374"/>
      <c r="B315" s="41">
        <f t="shared" si="1656"/>
        <v>45183</v>
      </c>
      <c r="C315" s="10"/>
      <c r="D315" s="11"/>
      <c r="E315" s="69">
        <f t="shared" si="2057"/>
        <v>585</v>
      </c>
      <c r="F315" s="69">
        <f t="shared" si="2057"/>
        <v>42</v>
      </c>
      <c r="G315" s="11">
        <v>150</v>
      </c>
      <c r="H315" s="12">
        <f t="shared" si="2017"/>
        <v>0.29914529914529914</v>
      </c>
      <c r="I315" s="11">
        <v>25</v>
      </c>
      <c r="J315" s="12">
        <f t="shared" si="2058"/>
        <v>0.14285714285714285</v>
      </c>
      <c r="K315" s="13"/>
      <c r="L315" s="13"/>
      <c r="M315" s="25"/>
      <c r="N315" s="38">
        <v>4840</v>
      </c>
      <c r="O315" s="10"/>
      <c r="P315" s="11"/>
      <c r="Q315" s="69">
        <f t="shared" si="2059"/>
        <v>595</v>
      </c>
      <c r="R315" s="69">
        <f t="shared" si="2059"/>
        <v>44</v>
      </c>
      <c r="S315" s="11">
        <v>159</v>
      </c>
      <c r="T315" s="12">
        <f t="shared" si="2018"/>
        <v>0.28235294117647058</v>
      </c>
      <c r="U315" s="11">
        <v>9</v>
      </c>
      <c r="V315" s="12">
        <f t="shared" si="2019"/>
        <v>5.3571428571428568E-2</v>
      </c>
      <c r="W315" s="13"/>
      <c r="X315" s="13"/>
      <c r="Y315" s="25"/>
      <c r="Z315" s="38">
        <v>4840</v>
      </c>
      <c r="AA315" s="10">
        <v>1</v>
      </c>
      <c r="AB315" s="11"/>
      <c r="AC315" s="69">
        <f t="shared" si="2060"/>
        <v>132</v>
      </c>
      <c r="AD315" s="69">
        <f t="shared" si="2060"/>
        <v>10</v>
      </c>
      <c r="AE315" s="11">
        <v>29</v>
      </c>
      <c r="AF315" s="12">
        <f t="shared" si="2020"/>
        <v>0.25</v>
      </c>
      <c r="AG315" s="11">
        <v>4</v>
      </c>
      <c r="AH315" s="12">
        <f t="shared" si="2021"/>
        <v>0.12121212121212122</v>
      </c>
      <c r="AI315" s="13"/>
      <c r="AJ315" s="13"/>
      <c r="AK315" s="25"/>
      <c r="AL315" s="38">
        <v>4840</v>
      </c>
      <c r="AM315" s="10">
        <v>1</v>
      </c>
      <c r="AN315" s="11"/>
      <c r="AO315" s="69">
        <f t="shared" si="2061"/>
        <v>664</v>
      </c>
      <c r="AP315" s="69">
        <f t="shared" si="2061"/>
        <v>49</v>
      </c>
      <c r="AQ315" s="11">
        <v>186</v>
      </c>
      <c r="AR315" s="12">
        <f t="shared" si="2022"/>
        <v>0.29668674698795183</v>
      </c>
      <c r="AS315" s="11">
        <v>11</v>
      </c>
      <c r="AT315" s="12">
        <f t="shared" si="2023"/>
        <v>5.5837563451776651E-2</v>
      </c>
      <c r="AU315" s="13"/>
      <c r="AV315" s="13"/>
      <c r="AW315" s="25"/>
      <c r="AX315" s="38">
        <v>4840</v>
      </c>
      <c r="AY315" s="10">
        <v>1</v>
      </c>
      <c r="AZ315" s="11"/>
      <c r="BA315" s="69">
        <f t="shared" si="2062"/>
        <v>666</v>
      </c>
      <c r="BB315" s="69">
        <f t="shared" si="2062"/>
        <v>48</v>
      </c>
      <c r="BC315" s="11">
        <v>181</v>
      </c>
      <c r="BD315" s="12">
        <f t="shared" si="2024"/>
        <v>0.30480480480480482</v>
      </c>
      <c r="BE315" s="11">
        <v>22</v>
      </c>
      <c r="BF315" s="12">
        <f t="shared" si="2025"/>
        <v>0.10837438423645321</v>
      </c>
      <c r="BG315" s="13"/>
      <c r="BH315" s="13"/>
      <c r="BI315" s="25"/>
      <c r="BJ315" s="38">
        <v>4840</v>
      </c>
      <c r="BK315" s="10">
        <v>1</v>
      </c>
      <c r="BL315" s="11"/>
      <c r="BM315" s="69">
        <f t="shared" si="2063"/>
        <v>661</v>
      </c>
      <c r="BN315" s="69">
        <f t="shared" si="2063"/>
        <v>49</v>
      </c>
      <c r="BO315" s="11">
        <v>170</v>
      </c>
      <c r="BP315" s="12">
        <f t="shared" si="2026"/>
        <v>0.27231467473524962</v>
      </c>
      <c r="BQ315" s="11">
        <v>10</v>
      </c>
      <c r="BR315" s="12">
        <f t="shared" si="2027"/>
        <v>5.5555555555555552E-2</v>
      </c>
      <c r="BS315" s="13"/>
      <c r="BT315" s="13"/>
      <c r="BU315" s="25"/>
      <c r="BV315" s="38">
        <v>4840</v>
      </c>
      <c r="BW315" s="10"/>
      <c r="BX315" s="11"/>
      <c r="BY315" s="69">
        <f t="shared" si="2064"/>
        <v>0</v>
      </c>
      <c r="BZ315" s="69">
        <f t="shared" si="2064"/>
        <v>0</v>
      </c>
      <c r="CA315" s="11"/>
      <c r="CB315" s="12" t="e">
        <f t="shared" si="2028"/>
        <v>#DIV/0!</v>
      </c>
      <c r="CC315" s="11"/>
      <c r="CD315" s="12" t="e">
        <f t="shared" si="2029"/>
        <v>#DIV/0!</v>
      </c>
      <c r="CE315" s="13"/>
      <c r="CF315" s="13"/>
      <c r="CG315" s="25"/>
      <c r="CH315" s="38"/>
      <c r="CI315" s="10"/>
      <c r="CJ315" s="11"/>
      <c r="CK315" s="69">
        <f t="shared" si="2065"/>
        <v>0</v>
      </c>
      <c r="CL315" s="69">
        <f t="shared" si="2065"/>
        <v>0</v>
      </c>
      <c r="CM315" s="11"/>
      <c r="CN315" s="12" t="e">
        <f t="shared" si="2030"/>
        <v>#DIV/0!</v>
      </c>
      <c r="CO315" s="11"/>
      <c r="CP315" s="12" t="e">
        <f t="shared" si="2031"/>
        <v>#DIV/0!</v>
      </c>
      <c r="CQ315" s="13"/>
      <c r="CR315" s="13"/>
      <c r="CS315" s="25"/>
      <c r="CT315" s="38"/>
      <c r="CU315" s="10"/>
      <c r="CV315" s="11"/>
      <c r="CW315" s="69">
        <f t="shared" si="2066"/>
        <v>0</v>
      </c>
      <c r="CX315" s="69">
        <f t="shared" si="2066"/>
        <v>0</v>
      </c>
      <c r="CY315" s="11"/>
      <c r="CZ315" s="12" t="e">
        <f t="shared" si="2032"/>
        <v>#DIV/0!</v>
      </c>
      <c r="DA315" s="11"/>
      <c r="DB315" s="12" t="e">
        <f t="shared" si="2033"/>
        <v>#DIV/0!</v>
      </c>
      <c r="DC315" s="13"/>
      <c r="DD315" s="13"/>
      <c r="DE315" s="25"/>
      <c r="DF315" s="38"/>
      <c r="DG315" s="10"/>
      <c r="DH315" s="11"/>
      <c r="DI315" s="69">
        <f t="shared" si="2067"/>
        <v>0</v>
      </c>
      <c r="DJ315" s="69">
        <f t="shared" si="2067"/>
        <v>0</v>
      </c>
      <c r="DK315" s="11"/>
      <c r="DL315" s="12" t="e">
        <f t="shared" si="2034"/>
        <v>#DIV/0!</v>
      </c>
      <c r="DM315" s="11"/>
      <c r="DN315" s="12" t="e">
        <f t="shared" si="2035"/>
        <v>#DIV/0!</v>
      </c>
      <c r="DO315" s="13"/>
      <c r="DP315" s="13"/>
      <c r="DQ315" s="25"/>
      <c r="DR315" s="38"/>
      <c r="DS315" s="10"/>
      <c r="DT315" s="11"/>
      <c r="DU315" s="69">
        <f t="shared" si="2068"/>
        <v>0</v>
      </c>
      <c r="DV315" s="69">
        <f t="shared" si="2068"/>
        <v>0</v>
      </c>
      <c r="DW315" s="11"/>
      <c r="DX315" s="12" t="e">
        <f t="shared" si="2036"/>
        <v>#DIV/0!</v>
      </c>
      <c r="DY315" s="11"/>
      <c r="DZ315" s="12" t="e">
        <f t="shared" si="2037"/>
        <v>#DIV/0!</v>
      </c>
      <c r="EA315" s="13"/>
      <c r="EB315" s="13"/>
      <c r="EC315" s="25"/>
      <c r="ED315" s="38"/>
      <c r="EE315" s="10"/>
      <c r="EF315" s="11"/>
      <c r="EG315" s="69">
        <f t="shared" si="2069"/>
        <v>0</v>
      </c>
      <c r="EH315" s="69">
        <f t="shared" si="2069"/>
        <v>0</v>
      </c>
      <c r="EI315" s="11"/>
      <c r="EJ315" s="12" t="e">
        <f t="shared" si="2038"/>
        <v>#DIV/0!</v>
      </c>
      <c r="EK315" s="11"/>
      <c r="EL315" s="12" t="e">
        <f t="shared" si="2039"/>
        <v>#DIV/0!</v>
      </c>
      <c r="EM315" s="13"/>
      <c r="EN315" s="13"/>
      <c r="EO315" s="25"/>
      <c r="EP315" s="38"/>
      <c r="EQ315" s="10"/>
      <c r="ER315" s="11"/>
      <c r="ES315" s="69">
        <f t="shared" si="2070"/>
        <v>0</v>
      </c>
      <c r="ET315" s="69">
        <f t="shared" si="2070"/>
        <v>0</v>
      </c>
      <c r="EU315" s="11"/>
      <c r="EV315" s="12" t="e">
        <f t="shared" si="2040"/>
        <v>#DIV/0!</v>
      </c>
      <c r="EW315" s="11"/>
      <c r="EX315" s="12" t="e">
        <f t="shared" si="2041"/>
        <v>#DIV/0!</v>
      </c>
      <c r="EY315" s="13"/>
      <c r="EZ315" s="13"/>
      <c r="FA315" s="25"/>
      <c r="FB315" s="38"/>
      <c r="FC315" s="10"/>
      <c r="FD315" s="11"/>
      <c r="FE315" s="69">
        <f t="shared" si="2071"/>
        <v>0</v>
      </c>
      <c r="FF315" s="69">
        <f t="shared" si="2071"/>
        <v>0</v>
      </c>
      <c r="FG315" s="11"/>
      <c r="FH315" s="12" t="e">
        <f t="shared" si="2042"/>
        <v>#DIV/0!</v>
      </c>
      <c r="FI315" s="11"/>
      <c r="FJ315" s="12" t="e">
        <f t="shared" si="2043"/>
        <v>#DIV/0!</v>
      </c>
      <c r="FK315" s="13"/>
      <c r="FL315" s="13"/>
      <c r="FM315" s="25"/>
      <c r="FN315" s="38"/>
      <c r="FO315" s="10"/>
      <c r="FP315" s="11"/>
      <c r="FQ315" s="69">
        <f t="shared" si="2072"/>
        <v>0</v>
      </c>
      <c r="FR315" s="69">
        <f t="shared" si="2072"/>
        <v>0</v>
      </c>
      <c r="FS315" s="11"/>
      <c r="FT315" s="12" t="e">
        <f t="shared" si="2044"/>
        <v>#DIV/0!</v>
      </c>
      <c r="FU315" s="11"/>
      <c r="FV315" s="12" t="e">
        <f t="shared" si="2045"/>
        <v>#DIV/0!</v>
      </c>
      <c r="FW315" s="13"/>
      <c r="FX315" s="13"/>
      <c r="FY315" s="25"/>
      <c r="FZ315" s="38"/>
      <c r="GA315" s="10"/>
      <c r="GB315" s="11"/>
      <c r="GC315" s="69">
        <f t="shared" si="2073"/>
        <v>0</v>
      </c>
      <c r="GD315" s="69">
        <f t="shared" si="2073"/>
        <v>0</v>
      </c>
      <c r="GE315" s="11"/>
      <c r="GF315" s="12" t="e">
        <f t="shared" si="2046"/>
        <v>#DIV/0!</v>
      </c>
      <c r="GG315" s="11"/>
      <c r="GH315" s="12" t="e">
        <f t="shared" si="2047"/>
        <v>#DIV/0!</v>
      </c>
      <c r="GI315" s="13"/>
      <c r="GJ315" s="13"/>
      <c r="GK315" s="25"/>
      <c r="GL315" s="38"/>
      <c r="GM315" s="10"/>
      <c r="GN315" s="11"/>
      <c r="GO315" s="69">
        <f t="shared" si="2074"/>
        <v>0</v>
      </c>
      <c r="GP315" s="69">
        <f t="shared" si="2074"/>
        <v>0</v>
      </c>
      <c r="GQ315" s="11"/>
      <c r="GR315" s="12" t="e">
        <f t="shared" si="2048"/>
        <v>#DIV/0!</v>
      </c>
      <c r="GS315" s="11"/>
      <c r="GT315" s="12" t="e">
        <f t="shared" si="2049"/>
        <v>#DIV/0!</v>
      </c>
      <c r="GU315" s="13"/>
      <c r="GV315" s="13"/>
      <c r="GW315" s="25"/>
      <c r="GX315" s="38"/>
      <c r="GY315" s="10"/>
      <c r="GZ315" s="11"/>
      <c r="HA315" s="69">
        <f t="shared" si="2075"/>
        <v>0</v>
      </c>
      <c r="HB315" s="69">
        <f t="shared" si="2075"/>
        <v>0</v>
      </c>
      <c r="HC315" s="11"/>
      <c r="HD315" s="12" t="e">
        <f t="shared" si="2050"/>
        <v>#DIV/0!</v>
      </c>
      <c r="HE315" s="11"/>
      <c r="HF315" s="12" t="e">
        <f t="shared" si="2051"/>
        <v>#DIV/0!</v>
      </c>
      <c r="HG315" s="13"/>
      <c r="HH315" s="13"/>
      <c r="HI315" s="25"/>
      <c r="HJ315" s="38"/>
      <c r="HK315" s="10">
        <f t="shared" si="2052"/>
        <v>4</v>
      </c>
      <c r="HL315" s="11">
        <f t="shared" si="2052"/>
        <v>0</v>
      </c>
      <c r="HM315" s="11">
        <f t="shared" si="2052"/>
        <v>3303</v>
      </c>
      <c r="HN315" s="11">
        <f t="shared" si="2052"/>
        <v>242</v>
      </c>
      <c r="HO315" s="11">
        <f t="shared" si="2053"/>
        <v>956</v>
      </c>
      <c r="HP315" s="95">
        <f t="shared" si="2054"/>
        <v>0.28943384801695426</v>
      </c>
      <c r="HQ315" s="15">
        <f t="shared" si="2055"/>
        <v>81</v>
      </c>
      <c r="HR315" s="12">
        <f t="shared" si="2076"/>
        <v>8.4728033472803346E-2</v>
      </c>
      <c r="HS315" s="16">
        <v>73.400000000000006</v>
      </c>
      <c r="HT315" s="17">
        <v>841</v>
      </c>
      <c r="HU315" s="16">
        <f t="shared" si="2056"/>
        <v>87.970711297071119</v>
      </c>
      <c r="HV315" s="23"/>
      <c r="HW315" s="22">
        <v>4840</v>
      </c>
    </row>
    <row r="316" spans="1:231" ht="18.75" x14ac:dyDescent="0.25">
      <c r="A316" s="374"/>
      <c r="B316" s="41">
        <f t="shared" ref="B316:B352" si="2077">+B315+1</f>
        <v>45184</v>
      </c>
      <c r="C316" s="10"/>
      <c r="D316" s="11"/>
      <c r="E316" s="69">
        <f t="shared" si="2057"/>
        <v>585</v>
      </c>
      <c r="F316" s="69">
        <f t="shared" si="2057"/>
        <v>42</v>
      </c>
      <c r="G316" s="11">
        <v>161</v>
      </c>
      <c r="H316" s="12">
        <f t="shared" si="2017"/>
        <v>0.30598290598290601</v>
      </c>
      <c r="I316" s="11">
        <v>18</v>
      </c>
      <c r="J316" s="12">
        <f t="shared" si="2058"/>
        <v>0.1005586592178771</v>
      </c>
      <c r="K316" s="13"/>
      <c r="L316" s="11"/>
      <c r="M316" s="25"/>
      <c r="N316" s="38">
        <v>5030.91</v>
      </c>
      <c r="O316" s="10">
        <v>1</v>
      </c>
      <c r="P316" s="11"/>
      <c r="Q316" s="69">
        <f t="shared" si="2059"/>
        <v>594</v>
      </c>
      <c r="R316" s="69">
        <f t="shared" si="2059"/>
        <v>44</v>
      </c>
      <c r="S316" s="11">
        <v>158</v>
      </c>
      <c r="T316" s="12">
        <f t="shared" si="2018"/>
        <v>0.28956228956228958</v>
      </c>
      <c r="U316" s="11">
        <v>14</v>
      </c>
      <c r="V316" s="12">
        <f t="shared" si="2019"/>
        <v>8.1395348837209308E-2</v>
      </c>
      <c r="W316" s="13"/>
      <c r="X316" s="11"/>
      <c r="Y316" s="25"/>
      <c r="Z316" s="38">
        <v>5158.18</v>
      </c>
      <c r="AA316" s="10"/>
      <c r="AB316" s="11"/>
      <c r="AC316" s="69">
        <f t="shared" si="2060"/>
        <v>132</v>
      </c>
      <c r="AD316" s="69">
        <f t="shared" si="2060"/>
        <v>10</v>
      </c>
      <c r="AE316" s="11">
        <v>29</v>
      </c>
      <c r="AF316" s="12">
        <f t="shared" si="2020"/>
        <v>0.24242424242424243</v>
      </c>
      <c r="AG316" s="11">
        <v>3</v>
      </c>
      <c r="AH316" s="12">
        <f t="shared" si="2021"/>
        <v>9.375E-2</v>
      </c>
      <c r="AI316" s="13"/>
      <c r="AJ316" s="11"/>
      <c r="AK316" s="25"/>
      <c r="AL316" s="38">
        <v>5040</v>
      </c>
      <c r="AM316" s="10">
        <v>1</v>
      </c>
      <c r="AN316" s="11"/>
      <c r="AO316" s="69">
        <f t="shared" si="2061"/>
        <v>663</v>
      </c>
      <c r="AP316" s="69">
        <f t="shared" si="2061"/>
        <v>49</v>
      </c>
      <c r="AQ316" s="11">
        <v>152</v>
      </c>
      <c r="AR316" s="12">
        <f t="shared" si="2022"/>
        <v>0.24132730015082957</v>
      </c>
      <c r="AS316" s="11">
        <v>8</v>
      </c>
      <c r="AT316" s="12">
        <f t="shared" si="2023"/>
        <v>0.05</v>
      </c>
      <c r="AU316" s="13"/>
      <c r="AV316" s="11"/>
      <c r="AW316" s="25"/>
      <c r="AX316" s="38">
        <v>5427.86</v>
      </c>
      <c r="AY316" s="10">
        <v>1</v>
      </c>
      <c r="AZ316" s="11"/>
      <c r="BA316" s="69">
        <f t="shared" si="2062"/>
        <v>665</v>
      </c>
      <c r="BB316" s="69">
        <f t="shared" si="2062"/>
        <v>48</v>
      </c>
      <c r="BC316" s="11">
        <v>162</v>
      </c>
      <c r="BD316" s="12">
        <f t="shared" si="2024"/>
        <v>0.26466165413533832</v>
      </c>
      <c r="BE316" s="11">
        <v>14</v>
      </c>
      <c r="BF316" s="12">
        <f t="shared" si="2025"/>
        <v>7.9545454545454544E-2</v>
      </c>
      <c r="BG316" s="13"/>
      <c r="BH316" s="11"/>
      <c r="BI316" s="25"/>
      <c r="BJ316" s="38">
        <v>5346.36</v>
      </c>
      <c r="BK316" s="10"/>
      <c r="BL316" s="11"/>
      <c r="BM316" s="69">
        <f t="shared" si="2063"/>
        <v>661</v>
      </c>
      <c r="BN316" s="69">
        <f t="shared" si="2063"/>
        <v>49</v>
      </c>
      <c r="BO316" s="11">
        <v>171</v>
      </c>
      <c r="BP316" s="12">
        <f t="shared" si="2026"/>
        <v>0.27080181543116488</v>
      </c>
      <c r="BQ316" s="11">
        <v>8</v>
      </c>
      <c r="BR316" s="12">
        <f t="shared" si="2027"/>
        <v>4.4692737430167599E-2</v>
      </c>
      <c r="BS316" s="13"/>
      <c r="BT316" s="11"/>
      <c r="BU316" s="25"/>
      <c r="BV316" s="38">
        <v>5796.36</v>
      </c>
      <c r="BW316" s="10"/>
      <c r="BX316" s="11"/>
      <c r="BY316" s="69">
        <f t="shared" si="2064"/>
        <v>0</v>
      </c>
      <c r="BZ316" s="69">
        <f t="shared" si="2064"/>
        <v>0</v>
      </c>
      <c r="CA316" s="11"/>
      <c r="CB316" s="12" t="e">
        <f t="shared" si="2028"/>
        <v>#DIV/0!</v>
      </c>
      <c r="CC316" s="11"/>
      <c r="CD316" s="12" t="e">
        <f t="shared" si="2029"/>
        <v>#DIV/0!</v>
      </c>
      <c r="CE316" s="13"/>
      <c r="CF316" s="11"/>
      <c r="CG316" s="25"/>
      <c r="CH316" s="38"/>
      <c r="CI316" s="10"/>
      <c r="CJ316" s="11"/>
      <c r="CK316" s="69">
        <f t="shared" si="2065"/>
        <v>0</v>
      </c>
      <c r="CL316" s="69">
        <f t="shared" si="2065"/>
        <v>0</v>
      </c>
      <c r="CM316" s="11"/>
      <c r="CN316" s="12" t="e">
        <f t="shared" si="2030"/>
        <v>#DIV/0!</v>
      </c>
      <c r="CO316" s="11"/>
      <c r="CP316" s="12" t="e">
        <f t="shared" si="2031"/>
        <v>#DIV/0!</v>
      </c>
      <c r="CQ316" s="13"/>
      <c r="CR316" s="11"/>
      <c r="CS316" s="25"/>
      <c r="CT316" s="38"/>
      <c r="CU316" s="10"/>
      <c r="CV316" s="11"/>
      <c r="CW316" s="69">
        <f t="shared" si="2066"/>
        <v>0</v>
      </c>
      <c r="CX316" s="69">
        <f t="shared" si="2066"/>
        <v>0</v>
      </c>
      <c r="CY316" s="11"/>
      <c r="CZ316" s="12" t="e">
        <f t="shared" si="2032"/>
        <v>#DIV/0!</v>
      </c>
      <c r="DA316" s="11"/>
      <c r="DB316" s="12" t="e">
        <f t="shared" si="2033"/>
        <v>#DIV/0!</v>
      </c>
      <c r="DC316" s="13"/>
      <c r="DD316" s="11"/>
      <c r="DE316" s="25"/>
      <c r="DF316" s="38"/>
      <c r="DG316" s="10"/>
      <c r="DH316" s="11"/>
      <c r="DI316" s="69">
        <f t="shared" si="2067"/>
        <v>0</v>
      </c>
      <c r="DJ316" s="69">
        <f t="shared" si="2067"/>
        <v>0</v>
      </c>
      <c r="DK316" s="11"/>
      <c r="DL316" s="12" t="e">
        <f t="shared" si="2034"/>
        <v>#DIV/0!</v>
      </c>
      <c r="DM316" s="11"/>
      <c r="DN316" s="12" t="e">
        <f t="shared" si="2035"/>
        <v>#DIV/0!</v>
      </c>
      <c r="DO316" s="13"/>
      <c r="DP316" s="11"/>
      <c r="DQ316" s="25"/>
      <c r="DR316" s="38"/>
      <c r="DS316" s="10"/>
      <c r="DT316" s="11"/>
      <c r="DU316" s="69">
        <f t="shared" si="2068"/>
        <v>0</v>
      </c>
      <c r="DV316" s="69">
        <f t="shared" si="2068"/>
        <v>0</v>
      </c>
      <c r="DW316" s="11"/>
      <c r="DX316" s="12" t="e">
        <f t="shared" si="2036"/>
        <v>#DIV/0!</v>
      </c>
      <c r="DY316" s="11"/>
      <c r="DZ316" s="12" t="e">
        <f t="shared" si="2037"/>
        <v>#DIV/0!</v>
      </c>
      <c r="EA316" s="13"/>
      <c r="EB316" s="11"/>
      <c r="EC316" s="25"/>
      <c r="ED316" s="38"/>
      <c r="EE316" s="10"/>
      <c r="EF316" s="11"/>
      <c r="EG316" s="69">
        <f t="shared" si="2069"/>
        <v>0</v>
      </c>
      <c r="EH316" s="69">
        <f t="shared" si="2069"/>
        <v>0</v>
      </c>
      <c r="EI316" s="11"/>
      <c r="EJ316" s="12" t="e">
        <f t="shared" si="2038"/>
        <v>#DIV/0!</v>
      </c>
      <c r="EK316" s="11"/>
      <c r="EL316" s="12" t="e">
        <f t="shared" si="2039"/>
        <v>#DIV/0!</v>
      </c>
      <c r="EM316" s="13"/>
      <c r="EN316" s="11"/>
      <c r="EO316" s="25"/>
      <c r="EP316" s="38"/>
      <c r="EQ316" s="10"/>
      <c r="ER316" s="11"/>
      <c r="ES316" s="69">
        <f t="shared" si="2070"/>
        <v>0</v>
      </c>
      <c r="ET316" s="69">
        <f t="shared" si="2070"/>
        <v>0</v>
      </c>
      <c r="EU316" s="11"/>
      <c r="EV316" s="12" t="e">
        <f t="shared" si="2040"/>
        <v>#DIV/0!</v>
      </c>
      <c r="EW316" s="11"/>
      <c r="EX316" s="12" t="e">
        <f t="shared" si="2041"/>
        <v>#DIV/0!</v>
      </c>
      <c r="EY316" s="13"/>
      <c r="EZ316" s="11"/>
      <c r="FA316" s="25"/>
      <c r="FB316" s="38"/>
      <c r="FC316" s="10"/>
      <c r="FD316" s="11"/>
      <c r="FE316" s="69">
        <f t="shared" si="2071"/>
        <v>0</v>
      </c>
      <c r="FF316" s="69">
        <f t="shared" si="2071"/>
        <v>0</v>
      </c>
      <c r="FG316" s="11"/>
      <c r="FH316" s="12" t="e">
        <f t="shared" si="2042"/>
        <v>#DIV/0!</v>
      </c>
      <c r="FI316" s="11"/>
      <c r="FJ316" s="12" t="e">
        <f t="shared" si="2043"/>
        <v>#DIV/0!</v>
      </c>
      <c r="FK316" s="13"/>
      <c r="FL316" s="11"/>
      <c r="FM316" s="25"/>
      <c r="FN316" s="38"/>
      <c r="FO316" s="10"/>
      <c r="FP316" s="11"/>
      <c r="FQ316" s="69">
        <f t="shared" si="2072"/>
        <v>0</v>
      </c>
      <c r="FR316" s="69">
        <f t="shared" si="2072"/>
        <v>0</v>
      </c>
      <c r="FS316" s="11"/>
      <c r="FT316" s="12" t="e">
        <f t="shared" si="2044"/>
        <v>#DIV/0!</v>
      </c>
      <c r="FU316" s="11"/>
      <c r="FV316" s="12" t="e">
        <f t="shared" si="2045"/>
        <v>#DIV/0!</v>
      </c>
      <c r="FW316" s="13"/>
      <c r="FX316" s="11"/>
      <c r="FY316" s="25"/>
      <c r="FZ316" s="38"/>
      <c r="GA316" s="10"/>
      <c r="GB316" s="11"/>
      <c r="GC316" s="69">
        <f t="shared" si="2073"/>
        <v>0</v>
      </c>
      <c r="GD316" s="69">
        <f t="shared" si="2073"/>
        <v>0</v>
      </c>
      <c r="GE316" s="11"/>
      <c r="GF316" s="12" t="e">
        <f t="shared" si="2046"/>
        <v>#DIV/0!</v>
      </c>
      <c r="GG316" s="11"/>
      <c r="GH316" s="12" t="e">
        <f t="shared" si="2047"/>
        <v>#DIV/0!</v>
      </c>
      <c r="GI316" s="13"/>
      <c r="GJ316" s="11"/>
      <c r="GK316" s="25"/>
      <c r="GL316" s="38"/>
      <c r="GM316" s="10"/>
      <c r="GN316" s="11"/>
      <c r="GO316" s="69">
        <f t="shared" si="2074"/>
        <v>0</v>
      </c>
      <c r="GP316" s="69">
        <f t="shared" si="2074"/>
        <v>0</v>
      </c>
      <c r="GQ316" s="11"/>
      <c r="GR316" s="12" t="e">
        <f t="shared" si="2048"/>
        <v>#DIV/0!</v>
      </c>
      <c r="GS316" s="11"/>
      <c r="GT316" s="12" t="e">
        <f t="shared" si="2049"/>
        <v>#DIV/0!</v>
      </c>
      <c r="GU316" s="13"/>
      <c r="GV316" s="11"/>
      <c r="GW316" s="25"/>
      <c r="GX316" s="38"/>
      <c r="GY316" s="10"/>
      <c r="GZ316" s="11"/>
      <c r="HA316" s="69">
        <f t="shared" si="2075"/>
        <v>0</v>
      </c>
      <c r="HB316" s="69">
        <f t="shared" si="2075"/>
        <v>0</v>
      </c>
      <c r="HC316" s="11"/>
      <c r="HD316" s="12" t="e">
        <f t="shared" si="2050"/>
        <v>#DIV/0!</v>
      </c>
      <c r="HE316" s="11"/>
      <c r="HF316" s="12" t="e">
        <f t="shared" si="2051"/>
        <v>#DIV/0!</v>
      </c>
      <c r="HG316" s="13"/>
      <c r="HH316" s="11"/>
      <c r="HI316" s="25"/>
      <c r="HJ316" s="38"/>
      <c r="HK316" s="10">
        <f t="shared" si="2052"/>
        <v>3</v>
      </c>
      <c r="HL316" s="11">
        <f t="shared" si="2052"/>
        <v>0</v>
      </c>
      <c r="HM316" s="11">
        <f t="shared" si="2052"/>
        <v>3300</v>
      </c>
      <c r="HN316" s="11">
        <f t="shared" si="2052"/>
        <v>242</v>
      </c>
      <c r="HO316" s="11">
        <f t="shared" si="2053"/>
        <v>898</v>
      </c>
      <c r="HP316" s="95">
        <f t="shared" si="2054"/>
        <v>0.2721212121212121</v>
      </c>
      <c r="HQ316" s="15">
        <f t="shared" si="2055"/>
        <v>65</v>
      </c>
      <c r="HR316" s="12">
        <f t="shared" si="2076"/>
        <v>7.2383073496659248E-2</v>
      </c>
      <c r="HS316" s="16">
        <v>73.3</v>
      </c>
      <c r="HT316" s="17">
        <v>796</v>
      </c>
      <c r="HU316" s="16">
        <f t="shared" si="2056"/>
        <v>88.641425389755014</v>
      </c>
      <c r="HV316" s="23"/>
      <c r="HW316" s="22">
        <v>5340.33</v>
      </c>
    </row>
    <row r="317" spans="1:231" ht="18.75" x14ac:dyDescent="0.25">
      <c r="A317" s="374"/>
      <c r="B317" s="41">
        <f t="shared" si="2077"/>
        <v>45185</v>
      </c>
      <c r="C317" s="10"/>
      <c r="D317" s="11"/>
      <c r="E317" s="69">
        <f>E316-C317</f>
        <v>585</v>
      </c>
      <c r="F317" s="69">
        <f>F316-D317</f>
        <v>42</v>
      </c>
      <c r="G317" s="11">
        <v>153</v>
      </c>
      <c r="H317" s="12">
        <f t="shared" si="2017"/>
        <v>0.29230769230769232</v>
      </c>
      <c r="I317" s="11">
        <v>18</v>
      </c>
      <c r="J317" s="12">
        <f t="shared" si="2058"/>
        <v>0.10526315789473684</v>
      </c>
      <c r="K317" s="13"/>
      <c r="L317" s="11"/>
      <c r="M317" s="39"/>
      <c r="N317" s="43">
        <v>100</v>
      </c>
      <c r="O317" s="10"/>
      <c r="P317" s="11"/>
      <c r="Q317" s="69">
        <f t="shared" si="2059"/>
        <v>594</v>
      </c>
      <c r="R317" s="69">
        <f t="shared" si="2059"/>
        <v>44</v>
      </c>
      <c r="S317" s="11">
        <v>160</v>
      </c>
      <c r="T317" s="12">
        <f t="shared" si="2018"/>
        <v>0.28956228956228958</v>
      </c>
      <c r="U317" s="11">
        <v>12</v>
      </c>
      <c r="V317" s="12">
        <f t="shared" si="2019"/>
        <v>6.9767441860465115E-2</v>
      </c>
      <c r="W317" s="13"/>
      <c r="X317" s="11"/>
      <c r="Y317" s="39"/>
      <c r="Z317" s="43">
        <v>100</v>
      </c>
      <c r="AA317" s="10"/>
      <c r="AB317" s="11"/>
      <c r="AC317" s="69">
        <f t="shared" si="2060"/>
        <v>132</v>
      </c>
      <c r="AD317" s="69">
        <f t="shared" si="2060"/>
        <v>10</v>
      </c>
      <c r="AE317" s="11">
        <v>32</v>
      </c>
      <c r="AF317" s="12">
        <f t="shared" si="2020"/>
        <v>0.26515151515151514</v>
      </c>
      <c r="AG317" s="11">
        <v>3</v>
      </c>
      <c r="AH317" s="12">
        <f t="shared" si="2021"/>
        <v>8.5714285714285715E-2</v>
      </c>
      <c r="AI317" s="13"/>
      <c r="AJ317" s="11"/>
      <c r="AK317" s="39"/>
      <c r="AL317" s="43">
        <v>100</v>
      </c>
      <c r="AM317" s="10"/>
      <c r="AN317" s="11"/>
      <c r="AO317" s="69">
        <f t="shared" si="2061"/>
        <v>663</v>
      </c>
      <c r="AP317" s="69">
        <f t="shared" si="2061"/>
        <v>49</v>
      </c>
      <c r="AQ317" s="11">
        <v>158</v>
      </c>
      <c r="AR317" s="12">
        <f t="shared" si="2022"/>
        <v>0.25037707390648567</v>
      </c>
      <c r="AS317" s="11">
        <v>8</v>
      </c>
      <c r="AT317" s="12">
        <f t="shared" si="2023"/>
        <v>4.8192771084337352E-2</v>
      </c>
      <c r="AU317" s="13"/>
      <c r="AV317" s="11"/>
      <c r="AW317" s="39"/>
      <c r="AX317" s="43">
        <v>100</v>
      </c>
      <c r="AY317" s="10">
        <v>4</v>
      </c>
      <c r="AZ317" s="11"/>
      <c r="BA317" s="69">
        <f t="shared" si="2062"/>
        <v>661</v>
      </c>
      <c r="BB317" s="69">
        <f t="shared" si="2062"/>
        <v>48</v>
      </c>
      <c r="BC317" s="11">
        <v>160</v>
      </c>
      <c r="BD317" s="12">
        <f t="shared" si="2024"/>
        <v>0.26021180030257185</v>
      </c>
      <c r="BE317" s="11">
        <v>12</v>
      </c>
      <c r="BF317" s="12">
        <f t="shared" si="2025"/>
        <v>6.9767441860465115E-2</v>
      </c>
      <c r="BG317" s="13"/>
      <c r="BH317" s="11"/>
      <c r="BI317" s="39"/>
      <c r="BJ317" s="43">
        <v>72.73</v>
      </c>
      <c r="BK317" s="10"/>
      <c r="BL317" s="11"/>
      <c r="BM317" s="69">
        <f t="shared" si="2063"/>
        <v>661</v>
      </c>
      <c r="BN317" s="69">
        <f t="shared" si="2063"/>
        <v>49</v>
      </c>
      <c r="BO317" s="11">
        <v>165</v>
      </c>
      <c r="BP317" s="12">
        <f t="shared" si="2026"/>
        <v>0.26172465960665658</v>
      </c>
      <c r="BQ317" s="11">
        <v>8</v>
      </c>
      <c r="BR317" s="12">
        <f t="shared" si="2027"/>
        <v>4.6242774566473986E-2</v>
      </c>
      <c r="BS317" s="13"/>
      <c r="BT317" s="11"/>
      <c r="BU317" s="39"/>
      <c r="BV317" s="43">
        <v>100</v>
      </c>
      <c r="BW317" s="10"/>
      <c r="BX317" s="11"/>
      <c r="BY317" s="69">
        <f t="shared" si="2064"/>
        <v>0</v>
      </c>
      <c r="BZ317" s="69">
        <f t="shared" si="2064"/>
        <v>0</v>
      </c>
      <c r="CA317" s="11"/>
      <c r="CB317" s="12" t="e">
        <f t="shared" si="2028"/>
        <v>#DIV/0!</v>
      </c>
      <c r="CC317" s="11"/>
      <c r="CD317" s="12" t="e">
        <f t="shared" si="2029"/>
        <v>#DIV/0!</v>
      </c>
      <c r="CE317" s="13"/>
      <c r="CF317" s="11"/>
      <c r="CG317" s="39"/>
      <c r="CH317" s="43"/>
      <c r="CI317" s="10"/>
      <c r="CJ317" s="11"/>
      <c r="CK317" s="69">
        <f t="shared" si="2065"/>
        <v>0</v>
      </c>
      <c r="CL317" s="69">
        <f t="shared" si="2065"/>
        <v>0</v>
      </c>
      <c r="CM317" s="11"/>
      <c r="CN317" s="12" t="e">
        <f t="shared" si="2030"/>
        <v>#DIV/0!</v>
      </c>
      <c r="CO317" s="11"/>
      <c r="CP317" s="12" t="e">
        <f t="shared" si="2031"/>
        <v>#DIV/0!</v>
      </c>
      <c r="CQ317" s="13"/>
      <c r="CR317" s="11"/>
      <c r="CS317" s="39"/>
      <c r="CT317" s="43"/>
      <c r="CU317" s="10"/>
      <c r="CV317" s="11"/>
      <c r="CW317" s="69">
        <f t="shared" si="2066"/>
        <v>0</v>
      </c>
      <c r="CX317" s="69">
        <f t="shared" si="2066"/>
        <v>0</v>
      </c>
      <c r="CY317" s="11"/>
      <c r="CZ317" s="12" t="e">
        <f t="shared" si="2032"/>
        <v>#DIV/0!</v>
      </c>
      <c r="DA317" s="11"/>
      <c r="DB317" s="12" t="e">
        <f t="shared" si="2033"/>
        <v>#DIV/0!</v>
      </c>
      <c r="DC317" s="13"/>
      <c r="DD317" s="11"/>
      <c r="DE317" s="39"/>
      <c r="DF317" s="43"/>
      <c r="DG317" s="10"/>
      <c r="DH317" s="11"/>
      <c r="DI317" s="69">
        <f t="shared" si="2067"/>
        <v>0</v>
      </c>
      <c r="DJ317" s="69">
        <f t="shared" si="2067"/>
        <v>0</v>
      </c>
      <c r="DK317" s="11"/>
      <c r="DL317" s="12" t="e">
        <f t="shared" si="2034"/>
        <v>#DIV/0!</v>
      </c>
      <c r="DM317" s="11"/>
      <c r="DN317" s="12" t="e">
        <f t="shared" si="2035"/>
        <v>#DIV/0!</v>
      </c>
      <c r="DO317" s="13"/>
      <c r="DP317" s="11"/>
      <c r="DQ317" s="39"/>
      <c r="DR317" s="43"/>
      <c r="DS317" s="10"/>
      <c r="DT317" s="11"/>
      <c r="DU317" s="69">
        <f t="shared" si="2068"/>
        <v>0</v>
      </c>
      <c r="DV317" s="69">
        <f t="shared" si="2068"/>
        <v>0</v>
      </c>
      <c r="DW317" s="11"/>
      <c r="DX317" s="12" t="e">
        <f t="shared" si="2036"/>
        <v>#DIV/0!</v>
      </c>
      <c r="DY317" s="11"/>
      <c r="DZ317" s="12" t="e">
        <f t="shared" si="2037"/>
        <v>#DIV/0!</v>
      </c>
      <c r="EA317" s="13"/>
      <c r="EB317" s="11"/>
      <c r="EC317" s="39"/>
      <c r="ED317" s="43"/>
      <c r="EE317" s="10"/>
      <c r="EF317" s="11"/>
      <c r="EG317" s="69">
        <f t="shared" si="2069"/>
        <v>0</v>
      </c>
      <c r="EH317" s="69">
        <f t="shared" si="2069"/>
        <v>0</v>
      </c>
      <c r="EI317" s="11"/>
      <c r="EJ317" s="12" t="e">
        <f t="shared" si="2038"/>
        <v>#DIV/0!</v>
      </c>
      <c r="EK317" s="11"/>
      <c r="EL317" s="12" t="e">
        <f t="shared" si="2039"/>
        <v>#DIV/0!</v>
      </c>
      <c r="EM317" s="13"/>
      <c r="EN317" s="11"/>
      <c r="EO317" s="39"/>
      <c r="EP317" s="43"/>
      <c r="EQ317" s="10"/>
      <c r="ER317" s="11"/>
      <c r="ES317" s="69">
        <f t="shared" si="2070"/>
        <v>0</v>
      </c>
      <c r="ET317" s="69">
        <f t="shared" si="2070"/>
        <v>0</v>
      </c>
      <c r="EU317" s="11"/>
      <c r="EV317" s="12" t="e">
        <f t="shared" si="2040"/>
        <v>#DIV/0!</v>
      </c>
      <c r="EW317" s="11"/>
      <c r="EX317" s="12" t="e">
        <f t="shared" si="2041"/>
        <v>#DIV/0!</v>
      </c>
      <c r="EY317" s="13"/>
      <c r="EZ317" s="11"/>
      <c r="FA317" s="39"/>
      <c r="FB317" s="43"/>
      <c r="FC317" s="10"/>
      <c r="FD317" s="11"/>
      <c r="FE317" s="69">
        <f t="shared" si="2071"/>
        <v>0</v>
      </c>
      <c r="FF317" s="69">
        <f t="shared" si="2071"/>
        <v>0</v>
      </c>
      <c r="FG317" s="11"/>
      <c r="FH317" s="12" t="e">
        <f t="shared" si="2042"/>
        <v>#DIV/0!</v>
      </c>
      <c r="FI317" s="11"/>
      <c r="FJ317" s="12" t="e">
        <f t="shared" si="2043"/>
        <v>#DIV/0!</v>
      </c>
      <c r="FK317" s="13"/>
      <c r="FL317" s="11"/>
      <c r="FM317" s="39"/>
      <c r="FN317" s="43"/>
      <c r="FO317" s="10"/>
      <c r="FP317" s="11"/>
      <c r="FQ317" s="69">
        <f t="shared" si="2072"/>
        <v>0</v>
      </c>
      <c r="FR317" s="69">
        <f t="shared" si="2072"/>
        <v>0</v>
      </c>
      <c r="FS317" s="11"/>
      <c r="FT317" s="12" t="e">
        <f t="shared" si="2044"/>
        <v>#DIV/0!</v>
      </c>
      <c r="FU317" s="11"/>
      <c r="FV317" s="12" t="e">
        <f t="shared" si="2045"/>
        <v>#DIV/0!</v>
      </c>
      <c r="FW317" s="13"/>
      <c r="FX317" s="11"/>
      <c r="FY317" s="39"/>
      <c r="FZ317" s="43"/>
      <c r="GA317" s="10"/>
      <c r="GB317" s="11"/>
      <c r="GC317" s="69">
        <f t="shared" si="2073"/>
        <v>0</v>
      </c>
      <c r="GD317" s="69">
        <f t="shared" si="2073"/>
        <v>0</v>
      </c>
      <c r="GE317" s="11"/>
      <c r="GF317" s="12" t="e">
        <f t="shared" si="2046"/>
        <v>#DIV/0!</v>
      </c>
      <c r="GG317" s="11"/>
      <c r="GH317" s="12" t="e">
        <f t="shared" si="2047"/>
        <v>#DIV/0!</v>
      </c>
      <c r="GI317" s="13"/>
      <c r="GJ317" s="11"/>
      <c r="GK317" s="39"/>
      <c r="GL317" s="43"/>
      <c r="GM317" s="10"/>
      <c r="GN317" s="11"/>
      <c r="GO317" s="69">
        <f t="shared" si="2074"/>
        <v>0</v>
      </c>
      <c r="GP317" s="69">
        <f t="shared" si="2074"/>
        <v>0</v>
      </c>
      <c r="GQ317" s="11"/>
      <c r="GR317" s="12" t="e">
        <f t="shared" si="2048"/>
        <v>#DIV/0!</v>
      </c>
      <c r="GS317" s="11"/>
      <c r="GT317" s="12" t="e">
        <f t="shared" si="2049"/>
        <v>#DIV/0!</v>
      </c>
      <c r="GU317" s="13"/>
      <c r="GV317" s="11"/>
      <c r="GW317" s="39"/>
      <c r="GX317" s="43"/>
      <c r="GY317" s="10"/>
      <c r="GZ317" s="11"/>
      <c r="HA317" s="69">
        <f t="shared" si="2075"/>
        <v>0</v>
      </c>
      <c r="HB317" s="69">
        <f t="shared" si="2075"/>
        <v>0</v>
      </c>
      <c r="HC317" s="11"/>
      <c r="HD317" s="12" t="e">
        <f t="shared" si="2050"/>
        <v>#DIV/0!</v>
      </c>
      <c r="HE317" s="11"/>
      <c r="HF317" s="12" t="e">
        <f t="shared" si="2051"/>
        <v>#DIV/0!</v>
      </c>
      <c r="HG317" s="13"/>
      <c r="HH317" s="11"/>
      <c r="HI317" s="39"/>
      <c r="HJ317" s="43"/>
      <c r="HK317" s="10">
        <f t="shared" si="2052"/>
        <v>4</v>
      </c>
      <c r="HL317" s="11">
        <f t="shared" si="2052"/>
        <v>0</v>
      </c>
      <c r="HM317" s="11">
        <f t="shared" si="2052"/>
        <v>3296</v>
      </c>
      <c r="HN317" s="11">
        <f t="shared" si="2052"/>
        <v>242</v>
      </c>
      <c r="HO317" s="11">
        <f t="shared" si="2053"/>
        <v>889</v>
      </c>
      <c r="HP317" s="95">
        <f t="shared" si="2054"/>
        <v>0.26972087378640774</v>
      </c>
      <c r="HQ317" s="15">
        <f t="shared" si="2055"/>
        <v>61</v>
      </c>
      <c r="HR317" s="12">
        <f t="shared" si="2076"/>
        <v>6.8616422947131606E-2</v>
      </c>
      <c r="HS317" s="16">
        <v>73.400000000000006</v>
      </c>
      <c r="HT317" s="17">
        <v>793</v>
      </c>
      <c r="HU317" s="16">
        <f t="shared" si="2056"/>
        <v>89.201349831271088</v>
      </c>
      <c r="HV317" s="23"/>
      <c r="HW317" s="22">
        <v>77.05</v>
      </c>
    </row>
    <row r="318" spans="1:231" ht="19.5" thickBot="1" x14ac:dyDescent="0.3">
      <c r="A318" s="374"/>
      <c r="B318" s="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1074</v>
      </c>
      <c r="H318" s="28">
        <f>((G318+I318)/7)/E317</f>
        <v>0.28913308913308911</v>
      </c>
      <c r="I318" s="27">
        <f>SUM(I311:I317)</f>
        <v>110</v>
      </c>
      <c r="J318" s="28">
        <f>(I318/(I318+G318))</f>
        <v>9.29054054054054E-2</v>
      </c>
      <c r="K318" s="27"/>
      <c r="L318" s="27"/>
      <c r="M318" s="29" t="e">
        <f>M316/M315*100-100</f>
        <v>#DIV/0!</v>
      </c>
      <c r="N318" s="67">
        <f>N316/N315*100-100</f>
        <v>3.9444214876033072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1092</v>
      </c>
      <c r="T318" s="28">
        <f>((S318+U318)/7)/Q317</f>
        <v>0.28595478595478596</v>
      </c>
      <c r="U318" s="27">
        <f>SUM(U311:U317)</f>
        <v>97</v>
      </c>
      <c r="V318" s="28">
        <f>(U318/(U318+S318))</f>
        <v>8.1581160639192601E-2</v>
      </c>
      <c r="W318" s="27"/>
      <c r="X318" s="27"/>
      <c r="Y318" s="29" t="e">
        <f>Y316/Y315*100-100</f>
        <v>#DIV/0!</v>
      </c>
      <c r="Z318" s="67">
        <f>Z316/Z315*100-100</f>
        <v>6.5739669421487577</v>
      </c>
      <c r="AA318" s="26">
        <f>SUM(AA311:AA317)</f>
        <v>3</v>
      </c>
      <c r="AB318" s="27">
        <f>SUM(AB311:AB317)</f>
        <v>0</v>
      </c>
      <c r="AC318" s="27"/>
      <c r="AD318" s="27"/>
      <c r="AE318" s="27">
        <f>SUM(AE311:AE317)</f>
        <v>198</v>
      </c>
      <c r="AF318" s="28">
        <f>((AE318+AG318)/7)/AC317</f>
        <v>0.24567099567099568</v>
      </c>
      <c r="AG318" s="27">
        <f>SUM(AG311:AG317)</f>
        <v>29</v>
      </c>
      <c r="AH318" s="28">
        <f>(AG318/(AG318+AE318))</f>
        <v>0.1277533039647577</v>
      </c>
      <c r="AI318" s="27"/>
      <c r="AJ318" s="27"/>
      <c r="AK318" s="29" t="e">
        <f>AK316/AK315*100-100</f>
        <v>#DIV/0!</v>
      </c>
      <c r="AL318" s="67">
        <f>AL316/AL315*100-100</f>
        <v>4.1322314049586879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1136</v>
      </c>
      <c r="AR318" s="28">
        <f>((AQ318+AS318)/7)/AO317</f>
        <v>0.2592113768584357</v>
      </c>
      <c r="AS318" s="27">
        <f>SUM(AS311:AS317)</f>
        <v>67</v>
      </c>
      <c r="AT318" s="28">
        <f>(AS318/(AS318+AQ318))</f>
        <v>5.5694098088113049E-2</v>
      </c>
      <c r="AU318" s="27"/>
      <c r="AV318" s="27"/>
      <c r="AW318" s="29" t="e">
        <f>AW316/AW315*100-100</f>
        <v>#DIV/0!</v>
      </c>
      <c r="AX318" s="67">
        <f>AX316/AX315*100-100</f>
        <v>12.145867768595025</v>
      </c>
      <c r="AY318" s="26">
        <f>SUM(AY311:AY317)</f>
        <v>7</v>
      </c>
      <c r="AZ318" s="27">
        <f>SUM(AZ311:AZ317)</f>
        <v>0</v>
      </c>
      <c r="BA318" s="27"/>
      <c r="BB318" s="27"/>
      <c r="BC318" s="27">
        <f>SUM(BC311:BC317)</f>
        <v>1175</v>
      </c>
      <c r="BD318" s="28">
        <f>((BC318+BE318)/7)/BA317</f>
        <v>0.27512427058569267</v>
      </c>
      <c r="BE318" s="27">
        <f>SUM(BE311:BE317)</f>
        <v>98</v>
      </c>
      <c r="BF318" s="28">
        <f>(BE318/(BE318+BC318))</f>
        <v>7.6983503534956796E-2</v>
      </c>
      <c r="BG318" s="27"/>
      <c r="BH318" s="27"/>
      <c r="BI318" s="29" t="e">
        <f>BI316/BI315*100-100</f>
        <v>#DIV/0!</v>
      </c>
      <c r="BJ318" s="67">
        <f>BJ316/BJ315*100-100</f>
        <v>10.461983471074362</v>
      </c>
      <c r="BK318" s="26">
        <f>SUM(BK311:BK317)</f>
        <v>2</v>
      </c>
      <c r="BL318" s="27">
        <f>SUM(BL311:BL317)</f>
        <v>0</v>
      </c>
      <c r="BM318" s="27"/>
      <c r="BN318" s="27"/>
      <c r="BO318" s="27">
        <f>SUM(BO311:BO317)</f>
        <v>1173</v>
      </c>
      <c r="BP318" s="28">
        <f>((BO318+BQ318)/7)/BM317</f>
        <v>0.26604711476118437</v>
      </c>
      <c r="BQ318" s="27">
        <f>SUM(BQ311:BQ317)</f>
        <v>58</v>
      </c>
      <c r="BR318" s="28">
        <f>(BQ318/(BQ318+BO318))</f>
        <v>4.7116165718927704E-2</v>
      </c>
      <c r="BS318" s="27"/>
      <c r="BT318" s="27"/>
      <c r="BU318" s="29" t="e">
        <f>BU316/BU315*100-100</f>
        <v>#DIV/0!</v>
      </c>
      <c r="BV318" s="67">
        <f>BV316/BV315*100-100</f>
        <v>19.759504132231399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7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7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7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7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7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7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7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7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7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7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7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7" t="e">
        <f>HJ316/HJ315*100-100</f>
        <v>#DIV/0!</v>
      </c>
      <c r="HK318" s="26">
        <f t="shared" si="2052"/>
        <v>17</v>
      </c>
      <c r="HL318" s="27">
        <f t="shared" si="2052"/>
        <v>0</v>
      </c>
      <c r="HM318" s="27">
        <f t="shared" si="2052"/>
        <v>0</v>
      </c>
      <c r="HN318" s="27">
        <f t="shared" si="2052"/>
        <v>0</v>
      </c>
      <c r="HO318" s="27">
        <f t="shared" si="2053"/>
        <v>6307</v>
      </c>
      <c r="HP318" s="96">
        <f>+((HO318)/HM317)/7</f>
        <v>0.27336165048543692</v>
      </c>
      <c r="HQ318" s="62">
        <f t="shared" si="2055"/>
        <v>459</v>
      </c>
      <c r="HR318" s="52">
        <f t="shared" si="2076"/>
        <v>7.277628032345014E-2</v>
      </c>
      <c r="HS318" s="53">
        <f>SUM(HS311:HS317)/7</f>
        <v>73.342857142857156</v>
      </c>
      <c r="HT318" s="54">
        <f>SUM(HT311:HT317)</f>
        <v>5624</v>
      </c>
      <c r="HU318" s="53">
        <f>AVERAGE(HU311:HU317)</f>
        <v>89.210475077995739</v>
      </c>
      <c r="HV318" s="63" t="e">
        <f>HV316/HV315*100-100</f>
        <v>#DIV/0!</v>
      </c>
      <c r="HW318" s="67">
        <f>HW316/HW315*100-100</f>
        <v>10.337396694214874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5.1313009357078177E-3</v>
      </c>
      <c r="HL319" s="66">
        <f>HL318/HN308</f>
        <v>0</v>
      </c>
      <c r="HM319" s="45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373">
        <v>60</v>
      </c>
      <c r="B320" s="68">
        <f>B317+1</f>
        <v>45186</v>
      </c>
      <c r="C320" s="33"/>
      <c r="D320" s="34"/>
      <c r="E320" s="34">
        <f>E317-C320</f>
        <v>585</v>
      </c>
      <c r="F320" s="34">
        <f>F317-D320</f>
        <v>42</v>
      </c>
      <c r="G320" s="34">
        <v>168</v>
      </c>
      <c r="H320" s="35">
        <f t="shared" ref="H320:H326" si="2078">((G320+I320)/E320)</f>
        <v>0.3247863247863248</v>
      </c>
      <c r="I320" s="34">
        <v>22</v>
      </c>
      <c r="J320" s="35">
        <f>I320/(G320+I320)</f>
        <v>0.11578947368421053</v>
      </c>
      <c r="K320" s="36"/>
      <c r="L320" s="34"/>
      <c r="M320" s="34"/>
      <c r="N320" s="37"/>
      <c r="O320" s="33"/>
      <c r="P320" s="34"/>
      <c r="Q320" s="34">
        <f>Q317-O320</f>
        <v>594</v>
      </c>
      <c r="R320" s="34">
        <f>R317-P320</f>
        <v>44</v>
      </c>
      <c r="S320" s="34">
        <v>145</v>
      </c>
      <c r="T320" s="35">
        <f t="shared" ref="T320:T326" si="2079">((S320+U320)/Q320)</f>
        <v>0.27946127946127947</v>
      </c>
      <c r="U320" s="34">
        <v>21</v>
      </c>
      <c r="V320" s="35">
        <f t="shared" ref="V320:V326" si="2080">U320/(S320+U320)</f>
        <v>0.12650602409638553</v>
      </c>
      <c r="W320" s="36"/>
      <c r="X320" s="34"/>
      <c r="Y320" s="34"/>
      <c r="Z320" s="37"/>
      <c r="AA320" s="33"/>
      <c r="AB320" s="34"/>
      <c r="AC320" s="34">
        <f>AC317-AA320</f>
        <v>132</v>
      </c>
      <c r="AD320" s="34">
        <f>AD317-AB320</f>
        <v>10</v>
      </c>
      <c r="AE320" s="34">
        <v>31</v>
      </c>
      <c r="AF320" s="35">
        <f t="shared" ref="AF320:AF326" si="2081">((AE320+AG320)/AC320)</f>
        <v>0.25757575757575757</v>
      </c>
      <c r="AG320" s="34">
        <v>3</v>
      </c>
      <c r="AH320" s="35">
        <f t="shared" ref="AH320:AH326" si="2082">AG320/(AE320+AG320)</f>
        <v>8.8235294117647065E-2</v>
      </c>
      <c r="AI320" s="36"/>
      <c r="AJ320" s="34"/>
      <c r="AK320" s="34"/>
      <c r="AL320" s="37"/>
      <c r="AM320" s="33">
        <v>2</v>
      </c>
      <c r="AN320" s="34"/>
      <c r="AO320" s="34">
        <f>AO317-AM320</f>
        <v>661</v>
      </c>
      <c r="AP320" s="34">
        <f>AP317-AN320</f>
        <v>49</v>
      </c>
      <c r="AQ320" s="34">
        <v>169</v>
      </c>
      <c r="AR320" s="35">
        <f t="shared" ref="AR320:AR326" si="2083">((AQ320+AS320)/AO320)</f>
        <v>0.27382753403933435</v>
      </c>
      <c r="AS320" s="34">
        <v>12</v>
      </c>
      <c r="AT320" s="35">
        <f t="shared" ref="AT320:AT326" si="2084">AS320/(AQ320+AS320)</f>
        <v>6.6298342541436461E-2</v>
      </c>
      <c r="AU320" s="36"/>
      <c r="AV320" s="34"/>
      <c r="AW320" s="34"/>
      <c r="AX320" s="37"/>
      <c r="AY320" s="33"/>
      <c r="AZ320" s="34"/>
      <c r="BA320" s="34">
        <f>BA317-AY320</f>
        <v>661</v>
      </c>
      <c r="BB320" s="34">
        <f>BB317-AZ320</f>
        <v>48</v>
      </c>
      <c r="BC320" s="34">
        <v>149</v>
      </c>
      <c r="BD320" s="35">
        <f t="shared" ref="BD320:BD326" si="2085">((BC320+BE320)/BA320)</f>
        <v>0.24508320726172467</v>
      </c>
      <c r="BE320" s="34">
        <v>13</v>
      </c>
      <c r="BF320" s="35">
        <f t="shared" ref="BF320:BF326" si="2086">BE320/(BC320+BE320)</f>
        <v>8.0246913580246909E-2</v>
      </c>
      <c r="BG320" s="36"/>
      <c r="BH320" s="34"/>
      <c r="BI320" s="34"/>
      <c r="BJ320" s="37"/>
      <c r="BK320" s="33">
        <v>1</v>
      </c>
      <c r="BL320" s="34"/>
      <c r="BM320" s="34">
        <f>BM317-BK320</f>
        <v>660</v>
      </c>
      <c r="BN320" s="34">
        <f>BN317-BL320</f>
        <v>49</v>
      </c>
      <c r="BO320" s="34">
        <v>152</v>
      </c>
      <c r="BP320" s="35">
        <f t="shared" ref="BP320:BP326" si="2087">((BO320+BQ320)/BM320)</f>
        <v>0.24393939393939393</v>
      </c>
      <c r="BQ320" s="34">
        <v>9</v>
      </c>
      <c r="BR320" s="35">
        <f t="shared" ref="BR320:BR326" si="2088">BQ320/(BO320+BQ320)</f>
        <v>5.5900621118012424E-2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089">((CA320+CC320)/BY320)</f>
        <v>#DIV/0!</v>
      </c>
      <c r="CC320" s="34"/>
      <c r="CD320" s="35" t="e">
        <f t="shared" ref="CD320:CD326" si="2090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091">((CM320+CO320)/CK320)</f>
        <v>#DIV/0!</v>
      </c>
      <c r="CO320" s="34"/>
      <c r="CP320" s="35" t="e">
        <f t="shared" ref="CP320:CP326" si="2092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093">((CY320+DA320)/CW320)</f>
        <v>#DIV/0!</v>
      </c>
      <c r="DA320" s="34"/>
      <c r="DB320" s="35" t="e">
        <f t="shared" ref="DB320:DB326" si="2094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095">((DK320+DM320)/DI320)</f>
        <v>#DIV/0!</v>
      </c>
      <c r="DM320" s="34"/>
      <c r="DN320" s="35" t="e">
        <f t="shared" ref="DN320:DN326" si="2096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097">((DW320+DY320)/DU320)</f>
        <v>#DIV/0!</v>
      </c>
      <c r="DY320" s="34"/>
      <c r="DZ320" s="35" t="e">
        <f t="shared" ref="DZ320:DZ326" si="2098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099">((EI320+EK320)/EG320)</f>
        <v>#DIV/0!</v>
      </c>
      <c r="EK320" s="34"/>
      <c r="EL320" s="35" t="e">
        <f t="shared" ref="EL320:EL326" si="2100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101">((EU320+EW320)/ES320)</f>
        <v>#DIV/0!</v>
      </c>
      <c r="EW320" s="34"/>
      <c r="EX320" s="35" t="e">
        <f t="shared" ref="EX320:EX326" si="2102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103">((FG320+FI320)/FE320)</f>
        <v>#DIV/0!</v>
      </c>
      <c r="FI320" s="34"/>
      <c r="FJ320" s="35" t="e">
        <f t="shared" ref="FJ320:FJ326" si="2104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105">((FS320+FU320)/FQ320)</f>
        <v>#DIV/0!</v>
      </c>
      <c r="FU320" s="34"/>
      <c r="FV320" s="35" t="e">
        <f t="shared" ref="FV320:FV326" si="2106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107">((GE320+GG320)/GC320)</f>
        <v>#DIV/0!</v>
      </c>
      <c r="GG320" s="34"/>
      <c r="GH320" s="35" t="e">
        <f t="shared" ref="GH320:GH326" si="2108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109">((GQ320+GS320)/GO320)</f>
        <v>#DIV/0!</v>
      </c>
      <c r="GS320" s="34"/>
      <c r="GT320" s="35" t="e">
        <f t="shared" ref="GT320:GT326" si="2110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111">((HC320+HE320)/HA320)</f>
        <v>#DIV/0!</v>
      </c>
      <c r="HE320" s="34"/>
      <c r="HF320" s="35" t="e">
        <f t="shared" ref="HF320:HF326" si="2112">HE320/(HC320+HE320)</f>
        <v>#DIV/0!</v>
      </c>
      <c r="HG320" s="36"/>
      <c r="HH320" s="34"/>
      <c r="HI320" s="34"/>
      <c r="HJ320" s="37"/>
      <c r="HK320" s="33">
        <f t="shared" ref="HK320:HN327" si="2113">+C320+O320+AA320+AM320+AY320+BK320+BW320+CI320+CU320+DG320+DS320+EE320+EQ320+FC320+FO320+GA320+GM320+GY320</f>
        <v>3</v>
      </c>
      <c r="HL320" s="34">
        <f t="shared" si="2113"/>
        <v>0</v>
      </c>
      <c r="HM320" s="34">
        <f t="shared" si="2113"/>
        <v>3293</v>
      </c>
      <c r="HN320" s="34">
        <f t="shared" si="2113"/>
        <v>242</v>
      </c>
      <c r="HO320" s="34">
        <f t="shared" ref="HO320:HO327" si="2114">+G320+S320+AE320+AQ320+BC320+BO320+CA320+CM320+CY320+DK320+DW320+EI320+EU320+FG320+FS320+GE320+GQ320+HC320+I320+U320+AG320+AS320+BE320+BQ320+CC320+CO320+DA320+DM320+DY320+EK320+EW320+FI320+FU320+GG320+GS320+HE320</f>
        <v>894</v>
      </c>
      <c r="HP320" s="94">
        <f t="shared" ref="HP320:HP326" si="2115">+(HO320)/HM320</f>
        <v>0.2714849681141816</v>
      </c>
      <c r="HQ320" s="48">
        <f t="shared" ref="HQ320:HQ327" si="2116">+I320+U320+AG320+AS320+BE320+BQ320+CC320+CO320+DA320+DM320+DY320+EK320+EW320+FI320+FU320+GG320+GS320+HE320</f>
        <v>80</v>
      </c>
      <c r="HR320" s="35">
        <f>+(HQ320/(HO320))</f>
        <v>8.9485458612975396E-2</v>
      </c>
      <c r="HS320" s="49">
        <v>73.3</v>
      </c>
      <c r="HT320" s="50">
        <v>785</v>
      </c>
      <c r="HU320" s="49">
        <f t="shared" ref="HU320:HU326" si="2117">+HT320/HO320*100</f>
        <v>87.807606263982109</v>
      </c>
      <c r="HV320" s="48"/>
      <c r="HW320" s="37"/>
    </row>
    <row r="321" spans="1:231" ht="18.75" x14ac:dyDescent="0.25">
      <c r="A321" s="374"/>
      <c r="B321" s="41">
        <f t="shared" si="2077"/>
        <v>45187</v>
      </c>
      <c r="C321" s="10"/>
      <c r="D321" s="11"/>
      <c r="E321" s="69">
        <f t="shared" ref="E321:F325" si="2118">E320-C321</f>
        <v>585</v>
      </c>
      <c r="F321" s="69">
        <f t="shared" si="2118"/>
        <v>42</v>
      </c>
      <c r="G321" s="11">
        <v>164</v>
      </c>
      <c r="H321" s="12">
        <f t="shared" si="2078"/>
        <v>0.30256410256410254</v>
      </c>
      <c r="I321" s="11">
        <v>13</v>
      </c>
      <c r="J321" s="12">
        <f t="shared" ref="J321:J326" si="2119">I321/(G321+I321)</f>
        <v>7.3446327683615822E-2</v>
      </c>
      <c r="K321" s="13"/>
      <c r="L321" s="11"/>
      <c r="M321" s="11"/>
      <c r="N321" s="14"/>
      <c r="O321" s="10"/>
      <c r="P321" s="11"/>
      <c r="Q321" s="69">
        <f t="shared" ref="Q321:R326" si="2120">Q320-O321</f>
        <v>594</v>
      </c>
      <c r="R321" s="69">
        <f t="shared" si="2120"/>
        <v>44</v>
      </c>
      <c r="S321" s="11">
        <v>174</v>
      </c>
      <c r="T321" s="12">
        <f t="shared" si="2079"/>
        <v>0.32323232323232326</v>
      </c>
      <c r="U321" s="11">
        <v>18</v>
      </c>
      <c r="V321" s="12">
        <f t="shared" si="2080"/>
        <v>9.375E-2</v>
      </c>
      <c r="W321" s="13"/>
      <c r="X321" s="11"/>
      <c r="Y321" s="11"/>
      <c r="Z321" s="14"/>
      <c r="AA321" s="10">
        <v>4</v>
      </c>
      <c r="AB321" s="11">
        <v>1</v>
      </c>
      <c r="AC321" s="69">
        <f t="shared" ref="AC321:AD326" si="2121">AC320-AA321</f>
        <v>128</v>
      </c>
      <c r="AD321" s="69">
        <f t="shared" si="2121"/>
        <v>9</v>
      </c>
      <c r="AE321" s="11">
        <v>34</v>
      </c>
      <c r="AF321" s="12">
        <f t="shared" si="2081"/>
        <v>0.28125</v>
      </c>
      <c r="AG321" s="11">
        <v>2</v>
      </c>
      <c r="AH321" s="12">
        <f t="shared" si="2082"/>
        <v>5.5555555555555552E-2</v>
      </c>
      <c r="AI321" s="13"/>
      <c r="AJ321" s="11"/>
      <c r="AK321" s="11"/>
      <c r="AL321" s="14"/>
      <c r="AM321" s="10"/>
      <c r="AN321" s="11"/>
      <c r="AO321" s="69">
        <f t="shared" ref="AO321:AP326" si="2122">AO320-AM321</f>
        <v>661</v>
      </c>
      <c r="AP321" s="69">
        <f t="shared" si="2122"/>
        <v>49</v>
      </c>
      <c r="AQ321" s="11">
        <v>159</v>
      </c>
      <c r="AR321" s="12">
        <f t="shared" si="2083"/>
        <v>0.26172465960665658</v>
      </c>
      <c r="AS321" s="11">
        <v>14</v>
      </c>
      <c r="AT321" s="12">
        <f t="shared" si="2084"/>
        <v>8.0924855491329481E-2</v>
      </c>
      <c r="AU321" s="13"/>
      <c r="AV321" s="11"/>
      <c r="AW321" s="11"/>
      <c r="AX321" s="14"/>
      <c r="AY321" s="10"/>
      <c r="AZ321" s="11"/>
      <c r="BA321" s="69">
        <f t="shared" ref="BA321:BB326" si="2123">BA320-AY321</f>
        <v>661</v>
      </c>
      <c r="BB321" s="69">
        <f t="shared" si="2123"/>
        <v>48</v>
      </c>
      <c r="BC321" s="11">
        <v>161</v>
      </c>
      <c r="BD321" s="12">
        <f t="shared" si="2085"/>
        <v>0.28139183055975792</v>
      </c>
      <c r="BE321" s="11">
        <v>25</v>
      </c>
      <c r="BF321" s="12">
        <f t="shared" si="2086"/>
        <v>0.13440860215053763</v>
      </c>
      <c r="BG321" s="13"/>
      <c r="BH321" s="11"/>
      <c r="BI321" s="11"/>
      <c r="BJ321" s="14"/>
      <c r="BK321" s="10"/>
      <c r="BL321" s="11"/>
      <c r="BM321" s="69">
        <f t="shared" ref="BM321:BN326" si="2124">BM320-BK321</f>
        <v>660</v>
      </c>
      <c r="BN321" s="69">
        <f t="shared" si="2124"/>
        <v>49</v>
      </c>
      <c r="BO321" s="11">
        <v>161</v>
      </c>
      <c r="BP321" s="12">
        <f t="shared" si="2087"/>
        <v>0.26060606060606062</v>
      </c>
      <c r="BQ321" s="11">
        <v>11</v>
      </c>
      <c r="BR321" s="12">
        <f t="shared" si="2088"/>
        <v>6.3953488372093026E-2</v>
      </c>
      <c r="BS321" s="13"/>
      <c r="BT321" s="11"/>
      <c r="BU321" s="11"/>
      <c r="BV321" s="14"/>
      <c r="BW321" s="10"/>
      <c r="BX321" s="11"/>
      <c r="BY321" s="69">
        <f t="shared" ref="BY321:BZ326" si="2125">BY320-BW321</f>
        <v>0</v>
      </c>
      <c r="BZ321" s="69">
        <f t="shared" si="2125"/>
        <v>0</v>
      </c>
      <c r="CA321" s="11"/>
      <c r="CB321" s="12" t="e">
        <f t="shared" si="2089"/>
        <v>#DIV/0!</v>
      </c>
      <c r="CC321" s="11"/>
      <c r="CD321" s="12" t="e">
        <f t="shared" si="2090"/>
        <v>#DIV/0!</v>
      </c>
      <c r="CE321" s="13"/>
      <c r="CF321" s="11"/>
      <c r="CG321" s="11"/>
      <c r="CH321" s="14"/>
      <c r="CI321" s="10"/>
      <c r="CJ321" s="11"/>
      <c r="CK321" s="69">
        <f t="shared" ref="CK321:CL326" si="2126">CK320-CI321</f>
        <v>0</v>
      </c>
      <c r="CL321" s="69">
        <f t="shared" si="2126"/>
        <v>0</v>
      </c>
      <c r="CM321" s="11"/>
      <c r="CN321" s="12" t="e">
        <f t="shared" si="2091"/>
        <v>#DIV/0!</v>
      </c>
      <c r="CO321" s="11"/>
      <c r="CP321" s="12" t="e">
        <f t="shared" si="2092"/>
        <v>#DIV/0!</v>
      </c>
      <c r="CQ321" s="13"/>
      <c r="CR321" s="11"/>
      <c r="CS321" s="11"/>
      <c r="CT321" s="14"/>
      <c r="CU321" s="10"/>
      <c r="CV321" s="11"/>
      <c r="CW321" s="69">
        <f t="shared" ref="CW321:CX326" si="2127">CW320-CU321</f>
        <v>0</v>
      </c>
      <c r="CX321" s="69">
        <f t="shared" si="2127"/>
        <v>0</v>
      </c>
      <c r="CY321" s="11"/>
      <c r="CZ321" s="12" t="e">
        <f t="shared" si="2093"/>
        <v>#DIV/0!</v>
      </c>
      <c r="DA321" s="11"/>
      <c r="DB321" s="12" t="e">
        <f t="shared" si="2094"/>
        <v>#DIV/0!</v>
      </c>
      <c r="DC321" s="13"/>
      <c r="DD321" s="11"/>
      <c r="DE321" s="11"/>
      <c r="DF321" s="14"/>
      <c r="DG321" s="10"/>
      <c r="DH321" s="11"/>
      <c r="DI321" s="69">
        <f t="shared" ref="DI321:DJ326" si="2128">DI320-DG321</f>
        <v>0</v>
      </c>
      <c r="DJ321" s="69">
        <f t="shared" si="2128"/>
        <v>0</v>
      </c>
      <c r="DK321" s="11"/>
      <c r="DL321" s="12" t="e">
        <f t="shared" si="2095"/>
        <v>#DIV/0!</v>
      </c>
      <c r="DM321" s="11"/>
      <c r="DN321" s="12" t="e">
        <f t="shared" si="2096"/>
        <v>#DIV/0!</v>
      </c>
      <c r="DO321" s="13"/>
      <c r="DP321" s="11"/>
      <c r="DQ321" s="11"/>
      <c r="DR321" s="14"/>
      <c r="DS321" s="10"/>
      <c r="DT321" s="11"/>
      <c r="DU321" s="69">
        <f t="shared" ref="DU321:DV326" si="2129">DU320-DS321</f>
        <v>0</v>
      </c>
      <c r="DV321" s="69">
        <f t="shared" si="2129"/>
        <v>0</v>
      </c>
      <c r="DW321" s="11"/>
      <c r="DX321" s="12" t="e">
        <f t="shared" si="2097"/>
        <v>#DIV/0!</v>
      </c>
      <c r="DY321" s="11"/>
      <c r="DZ321" s="12" t="e">
        <f t="shared" si="2098"/>
        <v>#DIV/0!</v>
      </c>
      <c r="EA321" s="13"/>
      <c r="EB321" s="11"/>
      <c r="EC321" s="11"/>
      <c r="ED321" s="14"/>
      <c r="EE321" s="10"/>
      <c r="EF321" s="11"/>
      <c r="EG321" s="69">
        <f t="shared" ref="EG321:EH326" si="2130">EG320-EE321</f>
        <v>0</v>
      </c>
      <c r="EH321" s="69">
        <f t="shared" si="2130"/>
        <v>0</v>
      </c>
      <c r="EI321" s="11"/>
      <c r="EJ321" s="12" t="e">
        <f t="shared" si="2099"/>
        <v>#DIV/0!</v>
      </c>
      <c r="EK321" s="11"/>
      <c r="EL321" s="12" t="e">
        <f t="shared" si="2100"/>
        <v>#DIV/0!</v>
      </c>
      <c r="EM321" s="13"/>
      <c r="EN321" s="11"/>
      <c r="EO321" s="11"/>
      <c r="EP321" s="14"/>
      <c r="EQ321" s="10"/>
      <c r="ER321" s="11"/>
      <c r="ES321" s="69">
        <f t="shared" ref="ES321:ET326" si="2131">ES320-EQ321</f>
        <v>0</v>
      </c>
      <c r="ET321" s="69">
        <f t="shared" si="2131"/>
        <v>0</v>
      </c>
      <c r="EU321" s="11"/>
      <c r="EV321" s="12" t="e">
        <f t="shared" si="2101"/>
        <v>#DIV/0!</v>
      </c>
      <c r="EW321" s="11"/>
      <c r="EX321" s="12" t="e">
        <f t="shared" si="2102"/>
        <v>#DIV/0!</v>
      </c>
      <c r="EY321" s="13"/>
      <c r="EZ321" s="11"/>
      <c r="FA321" s="11"/>
      <c r="FB321" s="14"/>
      <c r="FC321" s="10"/>
      <c r="FD321" s="11"/>
      <c r="FE321" s="69">
        <f t="shared" ref="FE321:FF326" si="2132">FE320-FC321</f>
        <v>0</v>
      </c>
      <c r="FF321" s="69">
        <f t="shared" si="2132"/>
        <v>0</v>
      </c>
      <c r="FG321" s="11"/>
      <c r="FH321" s="12" t="e">
        <f t="shared" si="2103"/>
        <v>#DIV/0!</v>
      </c>
      <c r="FI321" s="11"/>
      <c r="FJ321" s="12" t="e">
        <f t="shared" si="2104"/>
        <v>#DIV/0!</v>
      </c>
      <c r="FK321" s="13"/>
      <c r="FL321" s="11"/>
      <c r="FM321" s="11"/>
      <c r="FN321" s="14"/>
      <c r="FO321" s="10"/>
      <c r="FP321" s="11"/>
      <c r="FQ321" s="69">
        <f t="shared" ref="FQ321:FR326" si="2133">FQ320-FO321</f>
        <v>0</v>
      </c>
      <c r="FR321" s="69">
        <f t="shared" si="2133"/>
        <v>0</v>
      </c>
      <c r="FS321" s="11"/>
      <c r="FT321" s="12" t="e">
        <f t="shared" si="2105"/>
        <v>#DIV/0!</v>
      </c>
      <c r="FU321" s="11"/>
      <c r="FV321" s="12" t="e">
        <f t="shared" si="2106"/>
        <v>#DIV/0!</v>
      </c>
      <c r="FW321" s="13"/>
      <c r="FX321" s="11"/>
      <c r="FY321" s="11"/>
      <c r="FZ321" s="14"/>
      <c r="GA321" s="10"/>
      <c r="GB321" s="11"/>
      <c r="GC321" s="69">
        <f t="shared" ref="GC321:GD326" si="2134">GC320-GA321</f>
        <v>0</v>
      </c>
      <c r="GD321" s="69">
        <f t="shared" si="2134"/>
        <v>0</v>
      </c>
      <c r="GE321" s="11"/>
      <c r="GF321" s="12" t="e">
        <f t="shared" si="2107"/>
        <v>#DIV/0!</v>
      </c>
      <c r="GG321" s="11"/>
      <c r="GH321" s="12" t="e">
        <f t="shared" si="2108"/>
        <v>#DIV/0!</v>
      </c>
      <c r="GI321" s="13"/>
      <c r="GJ321" s="11"/>
      <c r="GK321" s="11"/>
      <c r="GL321" s="14"/>
      <c r="GM321" s="10"/>
      <c r="GN321" s="11"/>
      <c r="GO321" s="69">
        <f t="shared" ref="GO321:GP326" si="2135">GO320-GM321</f>
        <v>0</v>
      </c>
      <c r="GP321" s="69">
        <f t="shared" si="2135"/>
        <v>0</v>
      </c>
      <c r="GQ321" s="11"/>
      <c r="GR321" s="12" t="e">
        <f t="shared" si="2109"/>
        <v>#DIV/0!</v>
      </c>
      <c r="GS321" s="11"/>
      <c r="GT321" s="12" t="e">
        <f t="shared" si="2110"/>
        <v>#DIV/0!</v>
      </c>
      <c r="GU321" s="13"/>
      <c r="GV321" s="11"/>
      <c r="GW321" s="11"/>
      <c r="GX321" s="14"/>
      <c r="GY321" s="10"/>
      <c r="GZ321" s="11"/>
      <c r="HA321" s="69">
        <f t="shared" ref="HA321:HB326" si="2136">HA320-GY321</f>
        <v>0</v>
      </c>
      <c r="HB321" s="69">
        <f t="shared" si="2136"/>
        <v>0</v>
      </c>
      <c r="HC321" s="11"/>
      <c r="HD321" s="12" t="e">
        <f t="shared" si="2111"/>
        <v>#DIV/0!</v>
      </c>
      <c r="HE321" s="11"/>
      <c r="HF321" s="12" t="e">
        <f t="shared" si="2112"/>
        <v>#DIV/0!</v>
      </c>
      <c r="HG321" s="13"/>
      <c r="HH321" s="11"/>
      <c r="HI321" s="11"/>
      <c r="HJ321" s="14"/>
      <c r="HK321" s="10">
        <f t="shared" si="2113"/>
        <v>4</v>
      </c>
      <c r="HL321" s="11">
        <f t="shared" si="2113"/>
        <v>1</v>
      </c>
      <c r="HM321" s="11">
        <f t="shared" si="2113"/>
        <v>3289</v>
      </c>
      <c r="HN321" s="11">
        <f t="shared" si="2113"/>
        <v>241</v>
      </c>
      <c r="HO321" s="11">
        <f t="shared" si="2114"/>
        <v>936</v>
      </c>
      <c r="HP321" s="95">
        <f t="shared" si="2115"/>
        <v>0.28458498023715417</v>
      </c>
      <c r="HQ321" s="15">
        <f t="shared" si="2116"/>
        <v>83</v>
      </c>
      <c r="HR321" s="12">
        <f t="shared" ref="HR321:HR327" si="2137">+(HQ321/(HO321))</f>
        <v>8.8675213675213679E-2</v>
      </c>
      <c r="HS321" s="16">
        <v>73.2</v>
      </c>
      <c r="HT321" s="17">
        <v>818</v>
      </c>
      <c r="HU321" s="16">
        <f t="shared" si="2117"/>
        <v>87.393162393162399</v>
      </c>
      <c r="HV321" s="15"/>
      <c r="HW321" s="14"/>
    </row>
    <row r="322" spans="1:231" ht="18.75" x14ac:dyDescent="0.25">
      <c r="A322" s="374"/>
      <c r="B322" s="41">
        <f t="shared" si="2077"/>
        <v>45188</v>
      </c>
      <c r="C322" s="10"/>
      <c r="D322" s="11"/>
      <c r="E322" s="69">
        <f t="shared" si="2118"/>
        <v>585</v>
      </c>
      <c r="F322" s="69">
        <f t="shared" si="2118"/>
        <v>42</v>
      </c>
      <c r="G322" s="11">
        <v>169</v>
      </c>
      <c r="H322" s="12">
        <f t="shared" si="2078"/>
        <v>0.30940170940170941</v>
      </c>
      <c r="I322" s="11">
        <v>12</v>
      </c>
      <c r="J322" s="12">
        <f t="shared" si="2119"/>
        <v>6.6298342541436461E-2</v>
      </c>
      <c r="K322" s="13"/>
      <c r="L322" s="11"/>
      <c r="M322" s="11"/>
      <c r="N322" s="14"/>
      <c r="O322" s="10"/>
      <c r="P322" s="11"/>
      <c r="Q322" s="69">
        <f t="shared" si="2120"/>
        <v>594</v>
      </c>
      <c r="R322" s="69">
        <f t="shared" si="2120"/>
        <v>44</v>
      </c>
      <c r="S322" s="11">
        <v>166</v>
      </c>
      <c r="T322" s="12">
        <f t="shared" si="2079"/>
        <v>0.29797979797979796</v>
      </c>
      <c r="U322" s="11">
        <v>11</v>
      </c>
      <c r="V322" s="12">
        <f t="shared" si="2080"/>
        <v>6.2146892655367235E-2</v>
      </c>
      <c r="W322" s="13"/>
      <c r="X322" s="11"/>
      <c r="Y322" s="11"/>
      <c r="Z322" s="14"/>
      <c r="AA322" s="10"/>
      <c r="AB322" s="11"/>
      <c r="AC322" s="69">
        <f t="shared" si="2121"/>
        <v>128</v>
      </c>
      <c r="AD322" s="69">
        <f t="shared" si="2121"/>
        <v>9</v>
      </c>
      <c r="AE322" s="11">
        <v>39</v>
      </c>
      <c r="AF322" s="12">
        <f t="shared" si="2081"/>
        <v>0.328125</v>
      </c>
      <c r="AG322" s="11">
        <v>3</v>
      </c>
      <c r="AH322" s="12">
        <f t="shared" si="2082"/>
        <v>7.1428571428571425E-2</v>
      </c>
      <c r="AI322" s="13"/>
      <c r="AJ322" s="11"/>
      <c r="AK322" s="11"/>
      <c r="AL322" s="14"/>
      <c r="AM322" s="10"/>
      <c r="AN322" s="11"/>
      <c r="AO322" s="69">
        <f t="shared" si="2122"/>
        <v>661</v>
      </c>
      <c r="AP322" s="69">
        <f t="shared" si="2122"/>
        <v>49</v>
      </c>
      <c r="AQ322" s="11">
        <v>176</v>
      </c>
      <c r="AR322" s="12">
        <f t="shared" si="2083"/>
        <v>0.27685325264750377</v>
      </c>
      <c r="AS322" s="11">
        <v>7</v>
      </c>
      <c r="AT322" s="12">
        <f t="shared" si="2084"/>
        <v>3.825136612021858E-2</v>
      </c>
      <c r="AU322" s="13"/>
      <c r="AV322" s="11"/>
      <c r="AW322" s="11"/>
      <c r="AX322" s="14"/>
      <c r="AY322" s="10"/>
      <c r="AZ322" s="11"/>
      <c r="BA322" s="69">
        <f t="shared" si="2123"/>
        <v>661</v>
      </c>
      <c r="BB322" s="69">
        <f t="shared" si="2123"/>
        <v>48</v>
      </c>
      <c r="BC322" s="11">
        <v>171</v>
      </c>
      <c r="BD322" s="12">
        <f t="shared" si="2085"/>
        <v>0.29046898638426627</v>
      </c>
      <c r="BE322" s="11">
        <v>21</v>
      </c>
      <c r="BF322" s="12">
        <f t="shared" si="2086"/>
        <v>0.109375</v>
      </c>
      <c r="BG322" s="13"/>
      <c r="BH322" s="11"/>
      <c r="BI322" s="11"/>
      <c r="BJ322" s="14"/>
      <c r="BK322" s="10">
        <v>1</v>
      </c>
      <c r="BL322" s="11"/>
      <c r="BM322" s="69">
        <f t="shared" si="2124"/>
        <v>659</v>
      </c>
      <c r="BN322" s="69">
        <f t="shared" si="2124"/>
        <v>49</v>
      </c>
      <c r="BO322" s="11">
        <v>170</v>
      </c>
      <c r="BP322" s="12">
        <f t="shared" si="2087"/>
        <v>0.26555386949924126</v>
      </c>
      <c r="BQ322" s="11">
        <v>5</v>
      </c>
      <c r="BR322" s="12">
        <f t="shared" si="2088"/>
        <v>2.8571428571428571E-2</v>
      </c>
      <c r="BS322" s="13"/>
      <c r="BT322" s="11"/>
      <c r="BU322" s="11"/>
      <c r="BV322" s="14"/>
      <c r="BW322" s="10"/>
      <c r="BX322" s="11"/>
      <c r="BY322" s="69">
        <f t="shared" si="2125"/>
        <v>0</v>
      </c>
      <c r="BZ322" s="69">
        <f t="shared" si="2125"/>
        <v>0</v>
      </c>
      <c r="CA322" s="11"/>
      <c r="CB322" s="12" t="e">
        <f t="shared" si="2089"/>
        <v>#DIV/0!</v>
      </c>
      <c r="CC322" s="11"/>
      <c r="CD322" s="12" t="e">
        <f t="shared" si="2090"/>
        <v>#DIV/0!</v>
      </c>
      <c r="CE322" s="13"/>
      <c r="CF322" s="11"/>
      <c r="CG322" s="11"/>
      <c r="CH322" s="14"/>
      <c r="CI322" s="10"/>
      <c r="CJ322" s="11"/>
      <c r="CK322" s="69">
        <f t="shared" si="2126"/>
        <v>0</v>
      </c>
      <c r="CL322" s="69">
        <f t="shared" si="2126"/>
        <v>0</v>
      </c>
      <c r="CM322" s="11"/>
      <c r="CN322" s="12" t="e">
        <f t="shared" si="2091"/>
        <v>#DIV/0!</v>
      </c>
      <c r="CO322" s="11"/>
      <c r="CP322" s="12" t="e">
        <f t="shared" si="2092"/>
        <v>#DIV/0!</v>
      </c>
      <c r="CQ322" s="13"/>
      <c r="CR322" s="11"/>
      <c r="CS322" s="11"/>
      <c r="CT322" s="14"/>
      <c r="CU322" s="10"/>
      <c r="CV322" s="11"/>
      <c r="CW322" s="69">
        <f t="shared" si="2127"/>
        <v>0</v>
      </c>
      <c r="CX322" s="69">
        <f t="shared" si="2127"/>
        <v>0</v>
      </c>
      <c r="CY322" s="11"/>
      <c r="CZ322" s="12" t="e">
        <f t="shared" si="2093"/>
        <v>#DIV/0!</v>
      </c>
      <c r="DA322" s="11"/>
      <c r="DB322" s="12" t="e">
        <f t="shared" si="2094"/>
        <v>#DIV/0!</v>
      </c>
      <c r="DC322" s="13"/>
      <c r="DD322" s="11"/>
      <c r="DE322" s="11"/>
      <c r="DF322" s="14"/>
      <c r="DG322" s="10"/>
      <c r="DH322" s="11"/>
      <c r="DI322" s="69">
        <f t="shared" si="2128"/>
        <v>0</v>
      </c>
      <c r="DJ322" s="69">
        <f t="shared" si="2128"/>
        <v>0</v>
      </c>
      <c r="DK322" s="11"/>
      <c r="DL322" s="12" t="e">
        <f t="shared" si="2095"/>
        <v>#DIV/0!</v>
      </c>
      <c r="DM322" s="11"/>
      <c r="DN322" s="12" t="e">
        <f t="shared" si="2096"/>
        <v>#DIV/0!</v>
      </c>
      <c r="DO322" s="13"/>
      <c r="DP322" s="11"/>
      <c r="DQ322" s="11"/>
      <c r="DR322" s="14"/>
      <c r="DS322" s="10"/>
      <c r="DT322" s="11"/>
      <c r="DU322" s="69">
        <f t="shared" si="2129"/>
        <v>0</v>
      </c>
      <c r="DV322" s="69">
        <f t="shared" si="2129"/>
        <v>0</v>
      </c>
      <c r="DW322" s="11"/>
      <c r="DX322" s="12" t="e">
        <f t="shared" si="2097"/>
        <v>#DIV/0!</v>
      </c>
      <c r="DY322" s="11"/>
      <c r="DZ322" s="12" t="e">
        <f t="shared" si="2098"/>
        <v>#DIV/0!</v>
      </c>
      <c r="EA322" s="13"/>
      <c r="EB322" s="11"/>
      <c r="EC322" s="11"/>
      <c r="ED322" s="14"/>
      <c r="EE322" s="10"/>
      <c r="EF322" s="11"/>
      <c r="EG322" s="69">
        <f t="shared" si="2130"/>
        <v>0</v>
      </c>
      <c r="EH322" s="69">
        <f t="shared" si="2130"/>
        <v>0</v>
      </c>
      <c r="EI322" s="11"/>
      <c r="EJ322" s="12" t="e">
        <f t="shared" si="2099"/>
        <v>#DIV/0!</v>
      </c>
      <c r="EK322" s="11"/>
      <c r="EL322" s="12" t="e">
        <f t="shared" si="2100"/>
        <v>#DIV/0!</v>
      </c>
      <c r="EM322" s="13"/>
      <c r="EN322" s="11"/>
      <c r="EO322" s="11"/>
      <c r="EP322" s="14"/>
      <c r="EQ322" s="10"/>
      <c r="ER322" s="11"/>
      <c r="ES322" s="69">
        <f t="shared" si="2131"/>
        <v>0</v>
      </c>
      <c r="ET322" s="69">
        <f t="shared" si="2131"/>
        <v>0</v>
      </c>
      <c r="EU322" s="11"/>
      <c r="EV322" s="12" t="e">
        <f t="shared" si="2101"/>
        <v>#DIV/0!</v>
      </c>
      <c r="EW322" s="11"/>
      <c r="EX322" s="12" t="e">
        <f t="shared" si="2102"/>
        <v>#DIV/0!</v>
      </c>
      <c r="EY322" s="13"/>
      <c r="EZ322" s="11"/>
      <c r="FA322" s="11"/>
      <c r="FB322" s="14"/>
      <c r="FC322" s="10"/>
      <c r="FD322" s="11"/>
      <c r="FE322" s="69">
        <f t="shared" si="2132"/>
        <v>0</v>
      </c>
      <c r="FF322" s="69">
        <f t="shared" si="2132"/>
        <v>0</v>
      </c>
      <c r="FG322" s="11"/>
      <c r="FH322" s="12" t="e">
        <f t="shared" si="2103"/>
        <v>#DIV/0!</v>
      </c>
      <c r="FI322" s="11"/>
      <c r="FJ322" s="12" t="e">
        <f t="shared" si="2104"/>
        <v>#DIV/0!</v>
      </c>
      <c r="FK322" s="13"/>
      <c r="FL322" s="11"/>
      <c r="FM322" s="11"/>
      <c r="FN322" s="14"/>
      <c r="FO322" s="10"/>
      <c r="FP322" s="11"/>
      <c r="FQ322" s="69">
        <f t="shared" si="2133"/>
        <v>0</v>
      </c>
      <c r="FR322" s="69">
        <f t="shared" si="2133"/>
        <v>0</v>
      </c>
      <c r="FS322" s="11"/>
      <c r="FT322" s="12" t="e">
        <f t="shared" si="2105"/>
        <v>#DIV/0!</v>
      </c>
      <c r="FU322" s="11"/>
      <c r="FV322" s="12" t="e">
        <f t="shared" si="2106"/>
        <v>#DIV/0!</v>
      </c>
      <c r="FW322" s="13"/>
      <c r="FX322" s="11"/>
      <c r="FY322" s="11"/>
      <c r="FZ322" s="14"/>
      <c r="GA322" s="10"/>
      <c r="GB322" s="11"/>
      <c r="GC322" s="69">
        <f t="shared" si="2134"/>
        <v>0</v>
      </c>
      <c r="GD322" s="69">
        <f t="shared" si="2134"/>
        <v>0</v>
      </c>
      <c r="GE322" s="11"/>
      <c r="GF322" s="12" t="e">
        <f t="shared" si="2107"/>
        <v>#DIV/0!</v>
      </c>
      <c r="GG322" s="11"/>
      <c r="GH322" s="12" t="e">
        <f t="shared" si="2108"/>
        <v>#DIV/0!</v>
      </c>
      <c r="GI322" s="13"/>
      <c r="GJ322" s="11"/>
      <c r="GK322" s="11"/>
      <c r="GL322" s="14"/>
      <c r="GM322" s="10"/>
      <c r="GN322" s="11"/>
      <c r="GO322" s="69">
        <f t="shared" si="2135"/>
        <v>0</v>
      </c>
      <c r="GP322" s="69">
        <f t="shared" si="2135"/>
        <v>0</v>
      </c>
      <c r="GQ322" s="11"/>
      <c r="GR322" s="12" t="e">
        <f t="shared" si="2109"/>
        <v>#DIV/0!</v>
      </c>
      <c r="GS322" s="11"/>
      <c r="GT322" s="12" t="e">
        <f t="shared" si="2110"/>
        <v>#DIV/0!</v>
      </c>
      <c r="GU322" s="13"/>
      <c r="GV322" s="11"/>
      <c r="GW322" s="11"/>
      <c r="GX322" s="14"/>
      <c r="GY322" s="10"/>
      <c r="GZ322" s="11"/>
      <c r="HA322" s="69">
        <f t="shared" si="2136"/>
        <v>0</v>
      </c>
      <c r="HB322" s="69">
        <f t="shared" si="2136"/>
        <v>0</v>
      </c>
      <c r="HC322" s="11"/>
      <c r="HD322" s="12" t="e">
        <f t="shared" si="2111"/>
        <v>#DIV/0!</v>
      </c>
      <c r="HE322" s="11"/>
      <c r="HF322" s="12" t="e">
        <f t="shared" si="2112"/>
        <v>#DIV/0!</v>
      </c>
      <c r="HG322" s="13"/>
      <c r="HH322" s="11"/>
      <c r="HI322" s="11"/>
      <c r="HJ322" s="14"/>
      <c r="HK322" s="10">
        <f t="shared" si="2113"/>
        <v>1</v>
      </c>
      <c r="HL322" s="11">
        <f t="shared" si="2113"/>
        <v>0</v>
      </c>
      <c r="HM322" s="11">
        <f t="shared" si="2113"/>
        <v>3288</v>
      </c>
      <c r="HN322" s="11">
        <f t="shared" si="2113"/>
        <v>241</v>
      </c>
      <c r="HO322" s="11">
        <f t="shared" si="2114"/>
        <v>950</v>
      </c>
      <c r="HP322" s="95">
        <f t="shared" si="2115"/>
        <v>0.28892944038929441</v>
      </c>
      <c r="HQ322" s="15">
        <f t="shared" si="2116"/>
        <v>59</v>
      </c>
      <c r="HR322" s="12">
        <f t="shared" si="2137"/>
        <v>6.210526315789474E-2</v>
      </c>
      <c r="HS322" s="16">
        <v>73.2</v>
      </c>
      <c r="HT322" s="17">
        <v>843</v>
      </c>
      <c r="HU322" s="16">
        <f t="shared" si="2117"/>
        <v>88.736842105263165</v>
      </c>
      <c r="HV322" s="15"/>
      <c r="HW322" s="14"/>
    </row>
    <row r="323" spans="1:231" ht="18.75" x14ac:dyDescent="0.25">
      <c r="A323" s="374"/>
      <c r="B323" s="41">
        <f t="shared" si="2077"/>
        <v>45189</v>
      </c>
      <c r="C323" s="10"/>
      <c r="D323" s="11"/>
      <c r="E323" s="69">
        <f t="shared" si="2118"/>
        <v>585</v>
      </c>
      <c r="F323" s="69">
        <f t="shared" si="2118"/>
        <v>42</v>
      </c>
      <c r="G323" s="11">
        <v>163</v>
      </c>
      <c r="H323" s="12">
        <f t="shared" si="2078"/>
        <v>0.31111111111111112</v>
      </c>
      <c r="I323" s="11">
        <v>19</v>
      </c>
      <c r="J323" s="12">
        <f t="shared" si="2119"/>
        <v>0.1043956043956044</v>
      </c>
      <c r="K323" s="11"/>
      <c r="L323" s="11"/>
      <c r="M323" s="18"/>
      <c r="N323" s="20"/>
      <c r="O323" s="10"/>
      <c r="P323" s="11"/>
      <c r="Q323" s="69">
        <f t="shared" si="2120"/>
        <v>594</v>
      </c>
      <c r="R323" s="69">
        <f t="shared" si="2120"/>
        <v>44</v>
      </c>
      <c r="S323" s="11">
        <v>160</v>
      </c>
      <c r="T323" s="12">
        <f t="shared" si="2079"/>
        <v>0.2946127946127946</v>
      </c>
      <c r="U323" s="11">
        <v>15</v>
      </c>
      <c r="V323" s="12">
        <f t="shared" si="2080"/>
        <v>8.5714285714285715E-2</v>
      </c>
      <c r="W323" s="11"/>
      <c r="X323" s="11"/>
      <c r="Y323" s="18"/>
      <c r="Z323" s="20"/>
      <c r="AA323" s="10">
        <v>2</v>
      </c>
      <c r="AB323" s="11"/>
      <c r="AC323" s="69">
        <f t="shared" si="2121"/>
        <v>126</v>
      </c>
      <c r="AD323" s="69">
        <f t="shared" si="2121"/>
        <v>9</v>
      </c>
      <c r="AE323" s="11">
        <v>31</v>
      </c>
      <c r="AF323" s="12">
        <f t="shared" si="2081"/>
        <v>0.26190476190476192</v>
      </c>
      <c r="AG323" s="11">
        <v>2</v>
      </c>
      <c r="AH323" s="12">
        <f t="shared" si="2082"/>
        <v>6.0606060606060608E-2</v>
      </c>
      <c r="AI323" s="11"/>
      <c r="AJ323" s="11"/>
      <c r="AK323" s="18"/>
      <c r="AL323" s="20"/>
      <c r="AM323" s="10"/>
      <c r="AN323" s="11"/>
      <c r="AO323" s="69">
        <f t="shared" si="2122"/>
        <v>661</v>
      </c>
      <c r="AP323" s="69">
        <f t="shared" si="2122"/>
        <v>49</v>
      </c>
      <c r="AQ323" s="11">
        <v>151</v>
      </c>
      <c r="AR323" s="12">
        <f t="shared" si="2083"/>
        <v>0.24205748865355523</v>
      </c>
      <c r="AS323" s="11">
        <v>9</v>
      </c>
      <c r="AT323" s="12">
        <f t="shared" si="2084"/>
        <v>5.6250000000000001E-2</v>
      </c>
      <c r="AU323" s="11"/>
      <c r="AV323" s="11"/>
      <c r="AW323" s="18"/>
      <c r="AX323" s="20"/>
      <c r="AY323" s="10">
        <v>1</v>
      </c>
      <c r="AZ323" s="11"/>
      <c r="BA323" s="69">
        <f t="shared" si="2123"/>
        <v>660</v>
      </c>
      <c r="BB323" s="69">
        <f t="shared" si="2123"/>
        <v>48</v>
      </c>
      <c r="BC323" s="11">
        <v>147</v>
      </c>
      <c r="BD323" s="12">
        <f t="shared" si="2085"/>
        <v>0.25151515151515152</v>
      </c>
      <c r="BE323" s="11">
        <v>19</v>
      </c>
      <c r="BF323" s="12">
        <f t="shared" si="2086"/>
        <v>0.1144578313253012</v>
      </c>
      <c r="BG323" s="11"/>
      <c r="BH323" s="11"/>
      <c r="BI323" s="18"/>
      <c r="BJ323" s="20"/>
      <c r="BK323" s="10"/>
      <c r="BL323" s="11"/>
      <c r="BM323" s="69">
        <f t="shared" si="2124"/>
        <v>659</v>
      </c>
      <c r="BN323" s="69">
        <f t="shared" si="2124"/>
        <v>49</v>
      </c>
      <c r="BO323" s="11">
        <v>153</v>
      </c>
      <c r="BP323" s="12">
        <f t="shared" si="2087"/>
        <v>0.2503793626707132</v>
      </c>
      <c r="BQ323" s="11">
        <v>12</v>
      </c>
      <c r="BR323" s="12">
        <f t="shared" si="2088"/>
        <v>7.2727272727272724E-2</v>
      </c>
      <c r="BS323" s="11"/>
      <c r="BT323" s="11"/>
      <c r="BU323" s="18"/>
      <c r="BV323" s="20"/>
      <c r="BW323" s="10"/>
      <c r="BX323" s="11"/>
      <c r="BY323" s="69">
        <f t="shared" si="2125"/>
        <v>0</v>
      </c>
      <c r="BZ323" s="69">
        <f t="shared" si="2125"/>
        <v>0</v>
      </c>
      <c r="CA323" s="11"/>
      <c r="CB323" s="12" t="e">
        <f t="shared" si="2089"/>
        <v>#DIV/0!</v>
      </c>
      <c r="CC323" s="11"/>
      <c r="CD323" s="12" t="e">
        <f t="shared" si="2090"/>
        <v>#DIV/0!</v>
      </c>
      <c r="CE323" s="11"/>
      <c r="CF323" s="11"/>
      <c r="CG323" s="18"/>
      <c r="CH323" s="20"/>
      <c r="CI323" s="10"/>
      <c r="CJ323" s="11"/>
      <c r="CK323" s="69">
        <f t="shared" si="2126"/>
        <v>0</v>
      </c>
      <c r="CL323" s="69">
        <f t="shared" si="2126"/>
        <v>0</v>
      </c>
      <c r="CM323" s="11"/>
      <c r="CN323" s="12" t="e">
        <f t="shared" si="2091"/>
        <v>#DIV/0!</v>
      </c>
      <c r="CO323" s="11"/>
      <c r="CP323" s="12" t="e">
        <f t="shared" si="2092"/>
        <v>#DIV/0!</v>
      </c>
      <c r="CQ323" s="11"/>
      <c r="CR323" s="11"/>
      <c r="CS323" s="18"/>
      <c r="CT323" s="20"/>
      <c r="CU323" s="10"/>
      <c r="CV323" s="11"/>
      <c r="CW323" s="69">
        <f t="shared" si="2127"/>
        <v>0</v>
      </c>
      <c r="CX323" s="69">
        <f t="shared" si="2127"/>
        <v>0</v>
      </c>
      <c r="CY323" s="11"/>
      <c r="CZ323" s="12" t="e">
        <f t="shared" si="2093"/>
        <v>#DIV/0!</v>
      </c>
      <c r="DA323" s="11"/>
      <c r="DB323" s="12" t="e">
        <f t="shared" si="2094"/>
        <v>#DIV/0!</v>
      </c>
      <c r="DC323" s="11"/>
      <c r="DD323" s="11"/>
      <c r="DE323" s="18"/>
      <c r="DF323" s="20"/>
      <c r="DG323" s="10"/>
      <c r="DH323" s="11"/>
      <c r="DI323" s="69">
        <f t="shared" si="2128"/>
        <v>0</v>
      </c>
      <c r="DJ323" s="69">
        <f t="shared" si="2128"/>
        <v>0</v>
      </c>
      <c r="DK323" s="11"/>
      <c r="DL323" s="12" t="e">
        <f t="shared" si="2095"/>
        <v>#DIV/0!</v>
      </c>
      <c r="DM323" s="11"/>
      <c r="DN323" s="12" t="e">
        <f t="shared" si="2096"/>
        <v>#DIV/0!</v>
      </c>
      <c r="DO323" s="11"/>
      <c r="DP323" s="11"/>
      <c r="DQ323" s="18"/>
      <c r="DR323" s="20"/>
      <c r="DS323" s="10"/>
      <c r="DT323" s="11"/>
      <c r="DU323" s="69">
        <f t="shared" si="2129"/>
        <v>0</v>
      </c>
      <c r="DV323" s="69">
        <f t="shared" si="2129"/>
        <v>0</v>
      </c>
      <c r="DW323" s="11"/>
      <c r="DX323" s="12" t="e">
        <f t="shared" si="2097"/>
        <v>#DIV/0!</v>
      </c>
      <c r="DY323" s="11"/>
      <c r="DZ323" s="12" t="e">
        <f t="shared" si="2098"/>
        <v>#DIV/0!</v>
      </c>
      <c r="EA323" s="11"/>
      <c r="EB323" s="11"/>
      <c r="EC323" s="18"/>
      <c r="ED323" s="20"/>
      <c r="EE323" s="10"/>
      <c r="EF323" s="11"/>
      <c r="EG323" s="69">
        <f t="shared" si="2130"/>
        <v>0</v>
      </c>
      <c r="EH323" s="69">
        <f t="shared" si="2130"/>
        <v>0</v>
      </c>
      <c r="EI323" s="11"/>
      <c r="EJ323" s="12" t="e">
        <f t="shared" si="2099"/>
        <v>#DIV/0!</v>
      </c>
      <c r="EK323" s="11"/>
      <c r="EL323" s="12" t="e">
        <f t="shared" si="2100"/>
        <v>#DIV/0!</v>
      </c>
      <c r="EM323" s="11"/>
      <c r="EN323" s="11"/>
      <c r="EO323" s="18"/>
      <c r="EP323" s="20"/>
      <c r="EQ323" s="10"/>
      <c r="ER323" s="11"/>
      <c r="ES323" s="69">
        <f t="shared" si="2131"/>
        <v>0</v>
      </c>
      <c r="ET323" s="69">
        <f t="shared" si="2131"/>
        <v>0</v>
      </c>
      <c r="EU323" s="11"/>
      <c r="EV323" s="12" t="e">
        <f t="shared" si="2101"/>
        <v>#DIV/0!</v>
      </c>
      <c r="EW323" s="11"/>
      <c r="EX323" s="12" t="e">
        <f t="shared" si="2102"/>
        <v>#DIV/0!</v>
      </c>
      <c r="EY323" s="11"/>
      <c r="EZ323" s="11"/>
      <c r="FA323" s="18"/>
      <c r="FB323" s="20"/>
      <c r="FC323" s="10"/>
      <c r="FD323" s="11"/>
      <c r="FE323" s="69">
        <f t="shared" si="2132"/>
        <v>0</v>
      </c>
      <c r="FF323" s="69">
        <f t="shared" si="2132"/>
        <v>0</v>
      </c>
      <c r="FG323" s="11"/>
      <c r="FH323" s="12" t="e">
        <f t="shared" si="2103"/>
        <v>#DIV/0!</v>
      </c>
      <c r="FI323" s="11"/>
      <c r="FJ323" s="12" t="e">
        <f t="shared" si="2104"/>
        <v>#DIV/0!</v>
      </c>
      <c r="FK323" s="11"/>
      <c r="FL323" s="11"/>
      <c r="FM323" s="18"/>
      <c r="FN323" s="20"/>
      <c r="FO323" s="10"/>
      <c r="FP323" s="11"/>
      <c r="FQ323" s="69">
        <f t="shared" si="2133"/>
        <v>0</v>
      </c>
      <c r="FR323" s="69">
        <f t="shared" si="2133"/>
        <v>0</v>
      </c>
      <c r="FS323" s="11"/>
      <c r="FT323" s="12" t="e">
        <f t="shared" si="2105"/>
        <v>#DIV/0!</v>
      </c>
      <c r="FU323" s="11"/>
      <c r="FV323" s="12" t="e">
        <f t="shared" si="2106"/>
        <v>#DIV/0!</v>
      </c>
      <c r="FW323" s="11"/>
      <c r="FX323" s="11"/>
      <c r="FY323" s="18"/>
      <c r="FZ323" s="20"/>
      <c r="GA323" s="10"/>
      <c r="GB323" s="11"/>
      <c r="GC323" s="69">
        <f t="shared" si="2134"/>
        <v>0</v>
      </c>
      <c r="GD323" s="69">
        <f t="shared" si="2134"/>
        <v>0</v>
      </c>
      <c r="GE323" s="11"/>
      <c r="GF323" s="12" t="e">
        <f t="shared" si="2107"/>
        <v>#DIV/0!</v>
      </c>
      <c r="GG323" s="11"/>
      <c r="GH323" s="12" t="e">
        <f t="shared" si="2108"/>
        <v>#DIV/0!</v>
      </c>
      <c r="GI323" s="11"/>
      <c r="GJ323" s="11"/>
      <c r="GK323" s="18"/>
      <c r="GL323" s="20"/>
      <c r="GM323" s="10"/>
      <c r="GN323" s="11"/>
      <c r="GO323" s="69">
        <f t="shared" si="2135"/>
        <v>0</v>
      </c>
      <c r="GP323" s="69">
        <f t="shared" si="2135"/>
        <v>0</v>
      </c>
      <c r="GQ323" s="11"/>
      <c r="GR323" s="12" t="e">
        <f t="shared" si="2109"/>
        <v>#DIV/0!</v>
      </c>
      <c r="GS323" s="11"/>
      <c r="GT323" s="12" t="e">
        <f t="shared" si="2110"/>
        <v>#DIV/0!</v>
      </c>
      <c r="GU323" s="11"/>
      <c r="GV323" s="11"/>
      <c r="GW323" s="18"/>
      <c r="GX323" s="20"/>
      <c r="GY323" s="10"/>
      <c r="GZ323" s="11"/>
      <c r="HA323" s="69">
        <f t="shared" si="2136"/>
        <v>0</v>
      </c>
      <c r="HB323" s="69">
        <f t="shared" si="2136"/>
        <v>0</v>
      </c>
      <c r="HC323" s="11"/>
      <c r="HD323" s="12" t="e">
        <f t="shared" si="2111"/>
        <v>#DIV/0!</v>
      </c>
      <c r="HE323" s="11"/>
      <c r="HF323" s="12" t="e">
        <f t="shared" si="2112"/>
        <v>#DIV/0!</v>
      </c>
      <c r="HG323" s="11"/>
      <c r="HH323" s="11"/>
      <c r="HI323" s="18"/>
      <c r="HJ323" s="20"/>
      <c r="HK323" s="10">
        <f t="shared" si="2113"/>
        <v>3</v>
      </c>
      <c r="HL323" s="11">
        <f t="shared" si="2113"/>
        <v>0</v>
      </c>
      <c r="HM323" s="11">
        <f t="shared" si="2113"/>
        <v>3285</v>
      </c>
      <c r="HN323" s="11">
        <f t="shared" si="2113"/>
        <v>241</v>
      </c>
      <c r="HO323" s="11">
        <f t="shared" si="2114"/>
        <v>881</v>
      </c>
      <c r="HP323" s="95">
        <f t="shared" si="2115"/>
        <v>0.26818873668188736</v>
      </c>
      <c r="HQ323" s="15">
        <f t="shared" si="2116"/>
        <v>76</v>
      </c>
      <c r="HR323" s="12">
        <f t="shared" si="2137"/>
        <v>8.6265607264472188E-2</v>
      </c>
      <c r="HS323" s="16">
        <v>73.400000000000006</v>
      </c>
      <c r="HT323" s="17">
        <v>774</v>
      </c>
      <c r="HU323" s="16">
        <f t="shared" si="2117"/>
        <v>87.854710556186149</v>
      </c>
      <c r="HV323" s="18"/>
      <c r="HW323" s="20"/>
    </row>
    <row r="324" spans="1:231" ht="18.75" x14ac:dyDescent="0.25">
      <c r="A324" s="374"/>
      <c r="B324" s="41">
        <f t="shared" si="2077"/>
        <v>45190</v>
      </c>
      <c r="C324" s="10">
        <v>1</v>
      </c>
      <c r="D324" s="11"/>
      <c r="E324" s="69">
        <f t="shared" si="2118"/>
        <v>584</v>
      </c>
      <c r="F324" s="69">
        <f t="shared" si="2118"/>
        <v>42</v>
      </c>
      <c r="G324" s="11">
        <v>166</v>
      </c>
      <c r="H324" s="12">
        <f t="shared" si="2078"/>
        <v>0.30821917808219179</v>
      </c>
      <c r="I324" s="11">
        <v>14</v>
      </c>
      <c r="J324" s="12">
        <f t="shared" si="2119"/>
        <v>7.7777777777777779E-2</v>
      </c>
      <c r="K324" s="13"/>
      <c r="L324" s="13"/>
      <c r="M324" s="25">
        <v>4465</v>
      </c>
      <c r="N324" s="38">
        <v>4860</v>
      </c>
      <c r="O324" s="10">
        <v>1</v>
      </c>
      <c r="P324" s="11"/>
      <c r="Q324" s="69">
        <f t="shared" si="2120"/>
        <v>593</v>
      </c>
      <c r="R324" s="69">
        <f t="shared" si="2120"/>
        <v>44</v>
      </c>
      <c r="S324" s="11">
        <v>142</v>
      </c>
      <c r="T324" s="12">
        <f t="shared" si="2079"/>
        <v>0.26981450252951095</v>
      </c>
      <c r="U324" s="11">
        <v>18</v>
      </c>
      <c r="V324" s="12">
        <f t="shared" si="2080"/>
        <v>0.1125</v>
      </c>
      <c r="W324" s="13"/>
      <c r="X324" s="13"/>
      <c r="Y324" s="25">
        <v>4465</v>
      </c>
      <c r="Z324" s="38">
        <v>4860</v>
      </c>
      <c r="AA324" s="10">
        <v>1</v>
      </c>
      <c r="AB324" s="11"/>
      <c r="AC324" s="69">
        <f t="shared" si="2121"/>
        <v>125</v>
      </c>
      <c r="AD324" s="69">
        <f t="shared" si="2121"/>
        <v>9</v>
      </c>
      <c r="AE324" s="11">
        <v>43</v>
      </c>
      <c r="AF324" s="12">
        <f t="shared" si="2081"/>
        <v>0.38400000000000001</v>
      </c>
      <c r="AG324" s="11">
        <v>5</v>
      </c>
      <c r="AH324" s="12">
        <f t="shared" si="2082"/>
        <v>0.10416666666666667</v>
      </c>
      <c r="AI324" s="13"/>
      <c r="AJ324" s="13"/>
      <c r="AK324" s="25">
        <v>4465</v>
      </c>
      <c r="AL324" s="38">
        <v>4860</v>
      </c>
      <c r="AM324" s="10"/>
      <c r="AN324" s="11"/>
      <c r="AO324" s="69">
        <f t="shared" si="2122"/>
        <v>661</v>
      </c>
      <c r="AP324" s="69">
        <f t="shared" si="2122"/>
        <v>49</v>
      </c>
      <c r="AQ324" s="11">
        <v>165</v>
      </c>
      <c r="AR324" s="12">
        <f t="shared" si="2083"/>
        <v>0.26626323751891073</v>
      </c>
      <c r="AS324" s="11">
        <v>11</v>
      </c>
      <c r="AT324" s="12">
        <f t="shared" si="2084"/>
        <v>6.25E-2</v>
      </c>
      <c r="AU324" s="13"/>
      <c r="AV324" s="13"/>
      <c r="AW324" s="25">
        <v>4465</v>
      </c>
      <c r="AX324" s="38">
        <v>4860</v>
      </c>
      <c r="AY324" s="10"/>
      <c r="AZ324" s="11"/>
      <c r="BA324" s="69">
        <f t="shared" si="2123"/>
        <v>660</v>
      </c>
      <c r="BB324" s="69">
        <f t="shared" si="2123"/>
        <v>48</v>
      </c>
      <c r="BC324" s="11">
        <v>155</v>
      </c>
      <c r="BD324" s="12">
        <f t="shared" si="2085"/>
        <v>0.26212121212121214</v>
      </c>
      <c r="BE324" s="11">
        <v>18</v>
      </c>
      <c r="BF324" s="12">
        <f t="shared" si="2086"/>
        <v>0.10404624277456648</v>
      </c>
      <c r="BG324" s="13"/>
      <c r="BH324" s="13"/>
      <c r="BI324" s="25">
        <v>4465</v>
      </c>
      <c r="BJ324" s="38">
        <v>4860</v>
      </c>
      <c r="BK324" s="10"/>
      <c r="BL324" s="11"/>
      <c r="BM324" s="69">
        <f t="shared" si="2124"/>
        <v>659</v>
      </c>
      <c r="BN324" s="69">
        <f t="shared" si="2124"/>
        <v>49</v>
      </c>
      <c r="BO324" s="11">
        <v>152</v>
      </c>
      <c r="BP324" s="12">
        <f t="shared" si="2087"/>
        <v>0.23823975720789076</v>
      </c>
      <c r="BQ324" s="11">
        <v>5</v>
      </c>
      <c r="BR324" s="12">
        <f t="shared" si="2088"/>
        <v>3.1847133757961783E-2</v>
      </c>
      <c r="BS324" s="13"/>
      <c r="BT324" s="13"/>
      <c r="BU324" s="25">
        <v>4465</v>
      </c>
      <c r="BV324" s="38">
        <v>4860</v>
      </c>
      <c r="BW324" s="10"/>
      <c r="BX324" s="11"/>
      <c r="BY324" s="69">
        <f t="shared" si="2125"/>
        <v>0</v>
      </c>
      <c r="BZ324" s="69">
        <f t="shared" si="2125"/>
        <v>0</v>
      </c>
      <c r="CA324" s="11"/>
      <c r="CB324" s="12" t="e">
        <f t="shared" si="2089"/>
        <v>#DIV/0!</v>
      </c>
      <c r="CC324" s="11"/>
      <c r="CD324" s="12" t="e">
        <f t="shared" si="2090"/>
        <v>#DIV/0!</v>
      </c>
      <c r="CE324" s="13"/>
      <c r="CF324" s="13"/>
      <c r="CG324" s="25"/>
      <c r="CH324" s="38"/>
      <c r="CI324" s="10"/>
      <c r="CJ324" s="11"/>
      <c r="CK324" s="69">
        <f t="shared" si="2126"/>
        <v>0</v>
      </c>
      <c r="CL324" s="69">
        <f t="shared" si="2126"/>
        <v>0</v>
      </c>
      <c r="CM324" s="11"/>
      <c r="CN324" s="12" t="e">
        <f t="shared" si="2091"/>
        <v>#DIV/0!</v>
      </c>
      <c r="CO324" s="11"/>
      <c r="CP324" s="12" t="e">
        <f t="shared" si="2092"/>
        <v>#DIV/0!</v>
      </c>
      <c r="CQ324" s="13"/>
      <c r="CR324" s="13"/>
      <c r="CS324" s="25"/>
      <c r="CT324" s="38"/>
      <c r="CU324" s="10"/>
      <c r="CV324" s="11"/>
      <c r="CW324" s="69">
        <f t="shared" si="2127"/>
        <v>0</v>
      </c>
      <c r="CX324" s="69">
        <f t="shared" si="2127"/>
        <v>0</v>
      </c>
      <c r="CY324" s="11"/>
      <c r="CZ324" s="12" t="e">
        <f t="shared" si="2093"/>
        <v>#DIV/0!</v>
      </c>
      <c r="DA324" s="11"/>
      <c r="DB324" s="12" t="e">
        <f t="shared" si="2094"/>
        <v>#DIV/0!</v>
      </c>
      <c r="DC324" s="13"/>
      <c r="DD324" s="13"/>
      <c r="DE324" s="25"/>
      <c r="DF324" s="38"/>
      <c r="DG324" s="10"/>
      <c r="DH324" s="11"/>
      <c r="DI324" s="69">
        <f t="shared" si="2128"/>
        <v>0</v>
      </c>
      <c r="DJ324" s="69">
        <f t="shared" si="2128"/>
        <v>0</v>
      </c>
      <c r="DK324" s="11"/>
      <c r="DL324" s="12" t="e">
        <f t="shared" si="2095"/>
        <v>#DIV/0!</v>
      </c>
      <c r="DM324" s="11"/>
      <c r="DN324" s="12" t="e">
        <f t="shared" si="2096"/>
        <v>#DIV/0!</v>
      </c>
      <c r="DO324" s="13"/>
      <c r="DP324" s="13"/>
      <c r="DQ324" s="25"/>
      <c r="DR324" s="38"/>
      <c r="DS324" s="10"/>
      <c r="DT324" s="11"/>
      <c r="DU324" s="69">
        <f t="shared" si="2129"/>
        <v>0</v>
      </c>
      <c r="DV324" s="69">
        <f t="shared" si="2129"/>
        <v>0</v>
      </c>
      <c r="DW324" s="11"/>
      <c r="DX324" s="12" t="e">
        <f t="shared" si="2097"/>
        <v>#DIV/0!</v>
      </c>
      <c r="DY324" s="11"/>
      <c r="DZ324" s="12" t="e">
        <f t="shared" si="2098"/>
        <v>#DIV/0!</v>
      </c>
      <c r="EA324" s="13"/>
      <c r="EB324" s="13"/>
      <c r="EC324" s="25"/>
      <c r="ED324" s="38"/>
      <c r="EE324" s="10"/>
      <c r="EF324" s="11"/>
      <c r="EG324" s="69">
        <f t="shared" si="2130"/>
        <v>0</v>
      </c>
      <c r="EH324" s="69">
        <f t="shared" si="2130"/>
        <v>0</v>
      </c>
      <c r="EI324" s="11"/>
      <c r="EJ324" s="12" t="e">
        <f t="shared" si="2099"/>
        <v>#DIV/0!</v>
      </c>
      <c r="EK324" s="11"/>
      <c r="EL324" s="12" t="e">
        <f t="shared" si="2100"/>
        <v>#DIV/0!</v>
      </c>
      <c r="EM324" s="13"/>
      <c r="EN324" s="13"/>
      <c r="EO324" s="25"/>
      <c r="EP324" s="38"/>
      <c r="EQ324" s="10"/>
      <c r="ER324" s="11"/>
      <c r="ES324" s="69">
        <f t="shared" si="2131"/>
        <v>0</v>
      </c>
      <c r="ET324" s="69">
        <f t="shared" si="2131"/>
        <v>0</v>
      </c>
      <c r="EU324" s="11"/>
      <c r="EV324" s="12" t="e">
        <f t="shared" si="2101"/>
        <v>#DIV/0!</v>
      </c>
      <c r="EW324" s="11"/>
      <c r="EX324" s="12" t="e">
        <f t="shared" si="2102"/>
        <v>#DIV/0!</v>
      </c>
      <c r="EY324" s="13"/>
      <c r="EZ324" s="13"/>
      <c r="FA324" s="25"/>
      <c r="FB324" s="38"/>
      <c r="FC324" s="10"/>
      <c r="FD324" s="11"/>
      <c r="FE324" s="69">
        <f t="shared" si="2132"/>
        <v>0</v>
      </c>
      <c r="FF324" s="69">
        <f t="shared" si="2132"/>
        <v>0</v>
      </c>
      <c r="FG324" s="11"/>
      <c r="FH324" s="12" t="e">
        <f t="shared" si="2103"/>
        <v>#DIV/0!</v>
      </c>
      <c r="FI324" s="11"/>
      <c r="FJ324" s="12" t="e">
        <f t="shared" si="2104"/>
        <v>#DIV/0!</v>
      </c>
      <c r="FK324" s="13"/>
      <c r="FL324" s="13"/>
      <c r="FM324" s="25"/>
      <c r="FN324" s="38"/>
      <c r="FO324" s="10"/>
      <c r="FP324" s="11"/>
      <c r="FQ324" s="69">
        <f t="shared" si="2133"/>
        <v>0</v>
      </c>
      <c r="FR324" s="69">
        <f t="shared" si="2133"/>
        <v>0</v>
      </c>
      <c r="FS324" s="11"/>
      <c r="FT324" s="12" t="e">
        <f t="shared" si="2105"/>
        <v>#DIV/0!</v>
      </c>
      <c r="FU324" s="11"/>
      <c r="FV324" s="12" t="e">
        <f t="shared" si="2106"/>
        <v>#DIV/0!</v>
      </c>
      <c r="FW324" s="13"/>
      <c r="FX324" s="13"/>
      <c r="FY324" s="25"/>
      <c r="FZ324" s="38"/>
      <c r="GA324" s="10"/>
      <c r="GB324" s="11"/>
      <c r="GC324" s="69">
        <f t="shared" si="2134"/>
        <v>0</v>
      </c>
      <c r="GD324" s="69">
        <f t="shared" si="2134"/>
        <v>0</v>
      </c>
      <c r="GE324" s="11"/>
      <c r="GF324" s="12" t="e">
        <f t="shared" si="2107"/>
        <v>#DIV/0!</v>
      </c>
      <c r="GG324" s="11"/>
      <c r="GH324" s="12" t="e">
        <f t="shared" si="2108"/>
        <v>#DIV/0!</v>
      </c>
      <c r="GI324" s="13"/>
      <c r="GJ324" s="13"/>
      <c r="GK324" s="25"/>
      <c r="GL324" s="38"/>
      <c r="GM324" s="10"/>
      <c r="GN324" s="11"/>
      <c r="GO324" s="69">
        <f t="shared" si="2135"/>
        <v>0</v>
      </c>
      <c r="GP324" s="69">
        <f t="shared" si="2135"/>
        <v>0</v>
      </c>
      <c r="GQ324" s="11"/>
      <c r="GR324" s="12" t="e">
        <f t="shared" si="2109"/>
        <v>#DIV/0!</v>
      </c>
      <c r="GS324" s="11"/>
      <c r="GT324" s="12" t="e">
        <f t="shared" si="2110"/>
        <v>#DIV/0!</v>
      </c>
      <c r="GU324" s="13"/>
      <c r="GV324" s="13"/>
      <c r="GW324" s="25"/>
      <c r="GX324" s="38"/>
      <c r="GY324" s="10"/>
      <c r="GZ324" s="11"/>
      <c r="HA324" s="69">
        <f t="shared" si="2136"/>
        <v>0</v>
      </c>
      <c r="HB324" s="69">
        <f t="shared" si="2136"/>
        <v>0</v>
      </c>
      <c r="HC324" s="11"/>
      <c r="HD324" s="12" t="e">
        <f t="shared" si="2111"/>
        <v>#DIV/0!</v>
      </c>
      <c r="HE324" s="11"/>
      <c r="HF324" s="12" t="e">
        <f t="shared" si="2112"/>
        <v>#DIV/0!</v>
      </c>
      <c r="HG324" s="13"/>
      <c r="HH324" s="13"/>
      <c r="HI324" s="25"/>
      <c r="HJ324" s="38"/>
      <c r="HK324" s="10">
        <f t="shared" si="2113"/>
        <v>3</v>
      </c>
      <c r="HL324" s="11">
        <f t="shared" si="2113"/>
        <v>0</v>
      </c>
      <c r="HM324" s="11">
        <f t="shared" si="2113"/>
        <v>3282</v>
      </c>
      <c r="HN324" s="11">
        <f t="shared" si="2113"/>
        <v>241</v>
      </c>
      <c r="HO324" s="11">
        <f t="shared" si="2114"/>
        <v>894</v>
      </c>
      <c r="HP324" s="95">
        <f t="shared" si="2115"/>
        <v>0.27239488117001825</v>
      </c>
      <c r="HQ324" s="15">
        <f t="shared" si="2116"/>
        <v>71</v>
      </c>
      <c r="HR324" s="12">
        <f t="shared" si="2137"/>
        <v>7.9418344519015666E-2</v>
      </c>
      <c r="HS324" s="16">
        <v>73.3</v>
      </c>
      <c r="HT324" s="17">
        <v>784</v>
      </c>
      <c r="HU324" s="16">
        <f t="shared" si="2117"/>
        <v>87.695749440715886</v>
      </c>
      <c r="HV324" s="23">
        <v>4465</v>
      </c>
      <c r="HW324" s="22">
        <v>4860</v>
      </c>
    </row>
    <row r="325" spans="1:231" ht="18.75" x14ac:dyDescent="0.25">
      <c r="A325" s="374"/>
      <c r="B325" s="41">
        <f t="shared" si="2077"/>
        <v>45191</v>
      </c>
      <c r="C325" s="10">
        <v>1</v>
      </c>
      <c r="D325" s="11"/>
      <c r="E325" s="69">
        <f t="shared" si="2118"/>
        <v>583</v>
      </c>
      <c r="F325" s="69">
        <f t="shared" si="2118"/>
        <v>42</v>
      </c>
      <c r="G325" s="11">
        <v>151</v>
      </c>
      <c r="H325" s="12">
        <f t="shared" si="2078"/>
        <v>0.29159519725557459</v>
      </c>
      <c r="I325" s="11">
        <v>19</v>
      </c>
      <c r="J325" s="12">
        <f t="shared" si="2119"/>
        <v>0.11176470588235295</v>
      </c>
      <c r="K325" s="13"/>
      <c r="L325" s="11"/>
      <c r="M325" s="25">
        <v>4897.18</v>
      </c>
      <c r="N325" s="38">
        <v>5147.8599999999997</v>
      </c>
      <c r="O325" s="10"/>
      <c r="P325" s="11"/>
      <c r="Q325" s="69">
        <f t="shared" si="2120"/>
        <v>593</v>
      </c>
      <c r="R325" s="69">
        <f t="shared" si="2120"/>
        <v>44</v>
      </c>
      <c r="S325" s="11">
        <v>156</v>
      </c>
      <c r="T325" s="12">
        <f t="shared" si="2079"/>
        <v>0.2900505902192243</v>
      </c>
      <c r="U325" s="11">
        <v>16</v>
      </c>
      <c r="V325" s="12">
        <f t="shared" si="2080"/>
        <v>9.3023255813953487E-2</v>
      </c>
      <c r="W325" s="13"/>
      <c r="X325" s="11"/>
      <c r="Y325" s="25">
        <v>4903.16</v>
      </c>
      <c r="Z325" s="38">
        <v>5487</v>
      </c>
      <c r="AA325" s="10"/>
      <c r="AB325" s="11"/>
      <c r="AC325" s="69">
        <f t="shared" si="2121"/>
        <v>125</v>
      </c>
      <c r="AD325" s="69">
        <f t="shared" si="2121"/>
        <v>9</v>
      </c>
      <c r="AE325" s="11">
        <v>29</v>
      </c>
      <c r="AF325" s="12">
        <f t="shared" si="2081"/>
        <v>0.25600000000000001</v>
      </c>
      <c r="AG325" s="11">
        <v>3</v>
      </c>
      <c r="AH325" s="12">
        <f t="shared" si="2082"/>
        <v>9.375E-2</v>
      </c>
      <c r="AI325" s="13"/>
      <c r="AJ325" s="11"/>
      <c r="AK325" s="25">
        <v>5574.29</v>
      </c>
      <c r="AL325" s="38">
        <v>4896.67</v>
      </c>
      <c r="AM325" s="10"/>
      <c r="AN325" s="11"/>
      <c r="AO325" s="69">
        <f t="shared" si="2122"/>
        <v>661</v>
      </c>
      <c r="AP325" s="69">
        <f t="shared" si="2122"/>
        <v>49</v>
      </c>
      <c r="AQ325" s="11">
        <v>158</v>
      </c>
      <c r="AR325" s="12">
        <f t="shared" si="2083"/>
        <v>0.26626323751891073</v>
      </c>
      <c r="AS325" s="11">
        <v>18</v>
      </c>
      <c r="AT325" s="12">
        <f t="shared" si="2084"/>
        <v>0.10227272727272728</v>
      </c>
      <c r="AU325" s="13"/>
      <c r="AV325" s="11"/>
      <c r="AW325" s="25">
        <v>4963.33</v>
      </c>
      <c r="AX325" s="38">
        <v>5537.5</v>
      </c>
      <c r="AY325" s="10"/>
      <c r="AZ325" s="11"/>
      <c r="BA325" s="69">
        <f t="shared" si="2123"/>
        <v>660</v>
      </c>
      <c r="BB325" s="69">
        <f t="shared" si="2123"/>
        <v>48</v>
      </c>
      <c r="BC325" s="11">
        <v>148</v>
      </c>
      <c r="BD325" s="12">
        <f t="shared" si="2085"/>
        <v>0.25</v>
      </c>
      <c r="BE325" s="11">
        <v>17</v>
      </c>
      <c r="BF325" s="12">
        <f t="shared" si="2086"/>
        <v>0.10303030303030303</v>
      </c>
      <c r="BG325" s="13"/>
      <c r="BH325" s="11"/>
      <c r="BI325" s="25">
        <v>5188.18</v>
      </c>
      <c r="BJ325" s="38">
        <v>5456.36</v>
      </c>
      <c r="BK325" s="10"/>
      <c r="BL325" s="11"/>
      <c r="BM325" s="69">
        <f t="shared" si="2124"/>
        <v>659</v>
      </c>
      <c r="BN325" s="69">
        <f t="shared" si="2124"/>
        <v>49</v>
      </c>
      <c r="BO325" s="11">
        <v>152</v>
      </c>
      <c r="BP325" s="12">
        <f t="shared" si="2087"/>
        <v>0.23823975720789076</v>
      </c>
      <c r="BQ325" s="11">
        <v>5</v>
      </c>
      <c r="BR325" s="12">
        <f t="shared" si="2088"/>
        <v>3.1847133757961783E-2</v>
      </c>
      <c r="BS325" s="13"/>
      <c r="BT325" s="11"/>
      <c r="BU325" s="25">
        <v>5172</v>
      </c>
      <c r="BV325" s="38">
        <v>5506.36</v>
      </c>
      <c r="BW325" s="10"/>
      <c r="BX325" s="11"/>
      <c r="BY325" s="69">
        <f t="shared" si="2125"/>
        <v>0</v>
      </c>
      <c r="BZ325" s="69">
        <f t="shared" si="2125"/>
        <v>0</v>
      </c>
      <c r="CA325" s="11"/>
      <c r="CB325" s="12" t="e">
        <f t="shared" si="2089"/>
        <v>#DIV/0!</v>
      </c>
      <c r="CC325" s="11"/>
      <c r="CD325" s="12" t="e">
        <f t="shared" si="2090"/>
        <v>#DIV/0!</v>
      </c>
      <c r="CE325" s="13"/>
      <c r="CF325" s="11"/>
      <c r="CG325" s="25"/>
      <c r="CH325" s="38"/>
      <c r="CI325" s="10"/>
      <c r="CJ325" s="11"/>
      <c r="CK325" s="69">
        <f t="shared" si="2126"/>
        <v>0</v>
      </c>
      <c r="CL325" s="69">
        <f t="shared" si="2126"/>
        <v>0</v>
      </c>
      <c r="CM325" s="11"/>
      <c r="CN325" s="12" t="e">
        <f t="shared" si="2091"/>
        <v>#DIV/0!</v>
      </c>
      <c r="CO325" s="11"/>
      <c r="CP325" s="12" t="e">
        <f t="shared" si="2092"/>
        <v>#DIV/0!</v>
      </c>
      <c r="CQ325" s="13"/>
      <c r="CR325" s="11"/>
      <c r="CS325" s="25"/>
      <c r="CT325" s="38"/>
      <c r="CU325" s="10"/>
      <c r="CV325" s="11"/>
      <c r="CW325" s="69">
        <f t="shared" si="2127"/>
        <v>0</v>
      </c>
      <c r="CX325" s="69">
        <f t="shared" si="2127"/>
        <v>0</v>
      </c>
      <c r="CY325" s="11"/>
      <c r="CZ325" s="12" t="e">
        <f t="shared" si="2093"/>
        <v>#DIV/0!</v>
      </c>
      <c r="DA325" s="11"/>
      <c r="DB325" s="12" t="e">
        <f t="shared" si="2094"/>
        <v>#DIV/0!</v>
      </c>
      <c r="DC325" s="13"/>
      <c r="DD325" s="11"/>
      <c r="DE325" s="25"/>
      <c r="DF325" s="38"/>
      <c r="DG325" s="10"/>
      <c r="DH325" s="11"/>
      <c r="DI325" s="69">
        <f t="shared" si="2128"/>
        <v>0</v>
      </c>
      <c r="DJ325" s="69">
        <f t="shared" si="2128"/>
        <v>0</v>
      </c>
      <c r="DK325" s="11"/>
      <c r="DL325" s="12" t="e">
        <f t="shared" si="2095"/>
        <v>#DIV/0!</v>
      </c>
      <c r="DM325" s="11"/>
      <c r="DN325" s="12" t="e">
        <f t="shared" si="2096"/>
        <v>#DIV/0!</v>
      </c>
      <c r="DO325" s="13"/>
      <c r="DP325" s="11"/>
      <c r="DQ325" s="25"/>
      <c r="DR325" s="38"/>
      <c r="DS325" s="10"/>
      <c r="DT325" s="11"/>
      <c r="DU325" s="69">
        <f t="shared" si="2129"/>
        <v>0</v>
      </c>
      <c r="DV325" s="69">
        <f t="shared" si="2129"/>
        <v>0</v>
      </c>
      <c r="DW325" s="11"/>
      <c r="DX325" s="12" t="e">
        <f t="shared" si="2097"/>
        <v>#DIV/0!</v>
      </c>
      <c r="DY325" s="11"/>
      <c r="DZ325" s="12" t="e">
        <f t="shared" si="2098"/>
        <v>#DIV/0!</v>
      </c>
      <c r="EA325" s="13"/>
      <c r="EB325" s="11"/>
      <c r="EC325" s="25"/>
      <c r="ED325" s="38"/>
      <c r="EE325" s="10"/>
      <c r="EF325" s="11"/>
      <c r="EG325" s="69">
        <f t="shared" si="2130"/>
        <v>0</v>
      </c>
      <c r="EH325" s="69">
        <f t="shared" si="2130"/>
        <v>0</v>
      </c>
      <c r="EI325" s="11"/>
      <c r="EJ325" s="12" t="e">
        <f t="shared" si="2099"/>
        <v>#DIV/0!</v>
      </c>
      <c r="EK325" s="11"/>
      <c r="EL325" s="12" t="e">
        <f t="shared" si="2100"/>
        <v>#DIV/0!</v>
      </c>
      <c r="EM325" s="13"/>
      <c r="EN325" s="11"/>
      <c r="EO325" s="25"/>
      <c r="EP325" s="38"/>
      <c r="EQ325" s="10"/>
      <c r="ER325" s="11"/>
      <c r="ES325" s="69">
        <f t="shared" si="2131"/>
        <v>0</v>
      </c>
      <c r="ET325" s="69">
        <f t="shared" si="2131"/>
        <v>0</v>
      </c>
      <c r="EU325" s="11"/>
      <c r="EV325" s="12" t="e">
        <f t="shared" si="2101"/>
        <v>#DIV/0!</v>
      </c>
      <c r="EW325" s="11"/>
      <c r="EX325" s="12" t="e">
        <f t="shared" si="2102"/>
        <v>#DIV/0!</v>
      </c>
      <c r="EY325" s="13"/>
      <c r="EZ325" s="11"/>
      <c r="FA325" s="25"/>
      <c r="FB325" s="38"/>
      <c r="FC325" s="10"/>
      <c r="FD325" s="11"/>
      <c r="FE325" s="69">
        <f t="shared" si="2132"/>
        <v>0</v>
      </c>
      <c r="FF325" s="69">
        <f t="shared" si="2132"/>
        <v>0</v>
      </c>
      <c r="FG325" s="11"/>
      <c r="FH325" s="12" t="e">
        <f t="shared" si="2103"/>
        <v>#DIV/0!</v>
      </c>
      <c r="FI325" s="11"/>
      <c r="FJ325" s="12" t="e">
        <f t="shared" si="2104"/>
        <v>#DIV/0!</v>
      </c>
      <c r="FK325" s="13"/>
      <c r="FL325" s="11"/>
      <c r="FM325" s="25"/>
      <c r="FN325" s="38"/>
      <c r="FO325" s="10"/>
      <c r="FP325" s="11"/>
      <c r="FQ325" s="69">
        <f t="shared" si="2133"/>
        <v>0</v>
      </c>
      <c r="FR325" s="69">
        <f t="shared" si="2133"/>
        <v>0</v>
      </c>
      <c r="FS325" s="11"/>
      <c r="FT325" s="12" t="e">
        <f t="shared" si="2105"/>
        <v>#DIV/0!</v>
      </c>
      <c r="FU325" s="11"/>
      <c r="FV325" s="12" t="e">
        <f t="shared" si="2106"/>
        <v>#DIV/0!</v>
      </c>
      <c r="FW325" s="13"/>
      <c r="FX325" s="11"/>
      <c r="FY325" s="25"/>
      <c r="FZ325" s="38"/>
      <c r="GA325" s="10"/>
      <c r="GB325" s="11"/>
      <c r="GC325" s="69">
        <f t="shared" si="2134"/>
        <v>0</v>
      </c>
      <c r="GD325" s="69">
        <f t="shared" si="2134"/>
        <v>0</v>
      </c>
      <c r="GE325" s="11"/>
      <c r="GF325" s="12" t="e">
        <f t="shared" si="2107"/>
        <v>#DIV/0!</v>
      </c>
      <c r="GG325" s="11"/>
      <c r="GH325" s="12" t="e">
        <f t="shared" si="2108"/>
        <v>#DIV/0!</v>
      </c>
      <c r="GI325" s="13"/>
      <c r="GJ325" s="11"/>
      <c r="GK325" s="25"/>
      <c r="GL325" s="38"/>
      <c r="GM325" s="10"/>
      <c r="GN325" s="11"/>
      <c r="GO325" s="69">
        <f t="shared" si="2135"/>
        <v>0</v>
      </c>
      <c r="GP325" s="69">
        <f t="shared" si="2135"/>
        <v>0</v>
      </c>
      <c r="GQ325" s="11"/>
      <c r="GR325" s="12" t="e">
        <f t="shared" si="2109"/>
        <v>#DIV/0!</v>
      </c>
      <c r="GS325" s="11"/>
      <c r="GT325" s="12" t="e">
        <f t="shared" si="2110"/>
        <v>#DIV/0!</v>
      </c>
      <c r="GU325" s="13"/>
      <c r="GV325" s="11"/>
      <c r="GW325" s="25"/>
      <c r="GX325" s="38"/>
      <c r="GY325" s="10"/>
      <c r="GZ325" s="11"/>
      <c r="HA325" s="69">
        <f t="shared" si="2136"/>
        <v>0</v>
      </c>
      <c r="HB325" s="69">
        <f t="shared" si="2136"/>
        <v>0</v>
      </c>
      <c r="HC325" s="11"/>
      <c r="HD325" s="12" t="e">
        <f t="shared" si="2111"/>
        <v>#DIV/0!</v>
      </c>
      <c r="HE325" s="11"/>
      <c r="HF325" s="12" t="e">
        <f t="shared" si="2112"/>
        <v>#DIV/0!</v>
      </c>
      <c r="HG325" s="13"/>
      <c r="HH325" s="11"/>
      <c r="HI325" s="25"/>
      <c r="HJ325" s="38"/>
      <c r="HK325" s="10">
        <f t="shared" si="2113"/>
        <v>1</v>
      </c>
      <c r="HL325" s="11">
        <f t="shared" si="2113"/>
        <v>0</v>
      </c>
      <c r="HM325" s="11">
        <f t="shared" si="2113"/>
        <v>3281</v>
      </c>
      <c r="HN325" s="11">
        <f t="shared" si="2113"/>
        <v>241</v>
      </c>
      <c r="HO325" s="11">
        <f t="shared" si="2114"/>
        <v>872</v>
      </c>
      <c r="HP325" s="95">
        <f t="shared" si="2115"/>
        <v>0.26577263029564158</v>
      </c>
      <c r="HQ325" s="15">
        <f t="shared" si="2116"/>
        <v>78</v>
      </c>
      <c r="HR325" s="12">
        <f t="shared" si="2137"/>
        <v>8.9449541284403675E-2</v>
      </c>
      <c r="HS325" s="16">
        <v>72.3</v>
      </c>
      <c r="HT325" s="17">
        <v>746</v>
      </c>
      <c r="HU325" s="16">
        <f t="shared" si="2117"/>
        <v>85.550458715596335</v>
      </c>
      <c r="HV325" s="23">
        <v>5038.51</v>
      </c>
      <c r="HW325" s="22">
        <v>5388.03</v>
      </c>
    </row>
    <row r="326" spans="1:231" ht="18.75" x14ac:dyDescent="0.25">
      <c r="A326" s="374"/>
      <c r="B326" s="41">
        <f t="shared" si="2077"/>
        <v>45192</v>
      </c>
      <c r="C326" s="10"/>
      <c r="D326" s="11"/>
      <c r="E326" s="69">
        <f>E325-C326</f>
        <v>583</v>
      </c>
      <c r="F326" s="69">
        <f>F325-D326</f>
        <v>42</v>
      </c>
      <c r="G326" s="11">
        <v>158</v>
      </c>
      <c r="H326" s="12">
        <f t="shared" si="2078"/>
        <v>0.28987993138936535</v>
      </c>
      <c r="I326" s="11">
        <v>11</v>
      </c>
      <c r="J326" s="12">
        <f t="shared" si="2119"/>
        <v>6.5088757396449703E-2</v>
      </c>
      <c r="K326" s="13"/>
      <c r="L326" s="11"/>
      <c r="M326" s="39">
        <v>84.6</v>
      </c>
      <c r="N326" s="43">
        <v>78.599999999999994</v>
      </c>
      <c r="O326" s="10"/>
      <c r="P326" s="11"/>
      <c r="Q326" s="69">
        <f t="shared" si="2120"/>
        <v>593</v>
      </c>
      <c r="R326" s="69">
        <f t="shared" si="2120"/>
        <v>44</v>
      </c>
      <c r="S326" s="11">
        <v>149</v>
      </c>
      <c r="T326" s="12">
        <f t="shared" si="2079"/>
        <v>0.27655986509274871</v>
      </c>
      <c r="U326" s="11">
        <v>15</v>
      </c>
      <c r="V326" s="12">
        <f t="shared" si="2080"/>
        <v>9.1463414634146339E-2</v>
      </c>
      <c r="W326" s="13"/>
      <c r="X326" s="11"/>
      <c r="Y326" s="39">
        <v>78.95</v>
      </c>
      <c r="Z326" s="43">
        <v>100</v>
      </c>
      <c r="AA326" s="10"/>
      <c r="AB326" s="11"/>
      <c r="AC326" s="69">
        <f t="shared" si="2121"/>
        <v>125</v>
      </c>
      <c r="AD326" s="69">
        <f t="shared" si="2121"/>
        <v>9</v>
      </c>
      <c r="AE326" s="11">
        <v>22</v>
      </c>
      <c r="AF326" s="12">
        <f t="shared" si="2081"/>
        <v>0.184</v>
      </c>
      <c r="AG326" s="11">
        <v>1</v>
      </c>
      <c r="AH326" s="12">
        <f t="shared" si="2082"/>
        <v>4.3478260869565216E-2</v>
      </c>
      <c r="AI326" s="13"/>
      <c r="AJ326" s="11"/>
      <c r="AK326" s="39">
        <v>85.7</v>
      </c>
      <c r="AL326" s="43">
        <v>66.7</v>
      </c>
      <c r="AM326" s="10">
        <v>1</v>
      </c>
      <c r="AN326" s="11"/>
      <c r="AO326" s="69">
        <f t="shared" si="2122"/>
        <v>660</v>
      </c>
      <c r="AP326" s="69">
        <f t="shared" si="2122"/>
        <v>49</v>
      </c>
      <c r="AQ326" s="11">
        <v>173</v>
      </c>
      <c r="AR326" s="12">
        <f t="shared" si="2083"/>
        <v>0.27878787878787881</v>
      </c>
      <c r="AS326" s="11">
        <v>11</v>
      </c>
      <c r="AT326" s="12">
        <f t="shared" si="2084"/>
        <v>5.9782608695652176E-2</v>
      </c>
      <c r="AU326" s="13"/>
      <c r="AV326" s="11"/>
      <c r="AW326" s="39">
        <v>66.7</v>
      </c>
      <c r="AX326" s="43">
        <v>100</v>
      </c>
      <c r="AY326" s="10"/>
      <c r="AZ326" s="11"/>
      <c r="BA326" s="69">
        <f t="shared" si="2123"/>
        <v>660</v>
      </c>
      <c r="BB326" s="69">
        <f t="shared" si="2123"/>
        <v>48</v>
      </c>
      <c r="BC326" s="11">
        <v>143</v>
      </c>
      <c r="BD326" s="12">
        <f t="shared" si="2085"/>
        <v>0.25303030303030305</v>
      </c>
      <c r="BE326" s="11">
        <v>24</v>
      </c>
      <c r="BF326" s="12">
        <f t="shared" si="2086"/>
        <v>0.1437125748502994</v>
      </c>
      <c r="BG326" s="13"/>
      <c r="BH326" s="11"/>
      <c r="BI326" s="39">
        <v>63.64</v>
      </c>
      <c r="BJ326" s="43">
        <v>100</v>
      </c>
      <c r="BK326" s="10"/>
      <c r="BL326" s="11"/>
      <c r="BM326" s="69">
        <f t="shared" si="2124"/>
        <v>659</v>
      </c>
      <c r="BN326" s="69">
        <f t="shared" si="2124"/>
        <v>49</v>
      </c>
      <c r="BO326" s="11">
        <v>142</v>
      </c>
      <c r="BP326" s="12">
        <f t="shared" si="2087"/>
        <v>0.2291350531107739</v>
      </c>
      <c r="BQ326" s="11">
        <v>9</v>
      </c>
      <c r="BR326" s="12">
        <f t="shared" si="2088"/>
        <v>5.9602649006622516E-2</v>
      </c>
      <c r="BS326" s="13"/>
      <c r="BT326" s="11"/>
      <c r="BU326" s="39">
        <v>62.86</v>
      </c>
      <c r="BV326" s="43">
        <v>90.91</v>
      </c>
      <c r="BW326" s="10"/>
      <c r="BX326" s="11"/>
      <c r="BY326" s="69">
        <f t="shared" si="2125"/>
        <v>0</v>
      </c>
      <c r="BZ326" s="69">
        <f t="shared" si="2125"/>
        <v>0</v>
      </c>
      <c r="CA326" s="11"/>
      <c r="CB326" s="12" t="e">
        <f t="shared" si="2089"/>
        <v>#DIV/0!</v>
      </c>
      <c r="CC326" s="11"/>
      <c r="CD326" s="12" t="e">
        <f t="shared" si="2090"/>
        <v>#DIV/0!</v>
      </c>
      <c r="CE326" s="13"/>
      <c r="CF326" s="11"/>
      <c r="CG326" s="39"/>
      <c r="CH326" s="43"/>
      <c r="CI326" s="10"/>
      <c r="CJ326" s="11"/>
      <c r="CK326" s="69">
        <f t="shared" si="2126"/>
        <v>0</v>
      </c>
      <c r="CL326" s="69">
        <f t="shared" si="2126"/>
        <v>0</v>
      </c>
      <c r="CM326" s="11"/>
      <c r="CN326" s="12" t="e">
        <f t="shared" si="2091"/>
        <v>#DIV/0!</v>
      </c>
      <c r="CO326" s="11"/>
      <c r="CP326" s="12" t="e">
        <f t="shared" si="2092"/>
        <v>#DIV/0!</v>
      </c>
      <c r="CQ326" s="13"/>
      <c r="CR326" s="11"/>
      <c r="CS326" s="39"/>
      <c r="CT326" s="43"/>
      <c r="CU326" s="10"/>
      <c r="CV326" s="11"/>
      <c r="CW326" s="69">
        <f t="shared" si="2127"/>
        <v>0</v>
      </c>
      <c r="CX326" s="69">
        <f t="shared" si="2127"/>
        <v>0</v>
      </c>
      <c r="CY326" s="11"/>
      <c r="CZ326" s="12" t="e">
        <f t="shared" si="2093"/>
        <v>#DIV/0!</v>
      </c>
      <c r="DA326" s="11"/>
      <c r="DB326" s="12" t="e">
        <f t="shared" si="2094"/>
        <v>#DIV/0!</v>
      </c>
      <c r="DC326" s="13"/>
      <c r="DD326" s="11"/>
      <c r="DE326" s="39"/>
      <c r="DF326" s="43"/>
      <c r="DG326" s="10"/>
      <c r="DH326" s="11"/>
      <c r="DI326" s="69">
        <f t="shared" si="2128"/>
        <v>0</v>
      </c>
      <c r="DJ326" s="69">
        <f t="shared" si="2128"/>
        <v>0</v>
      </c>
      <c r="DK326" s="11"/>
      <c r="DL326" s="12" t="e">
        <f t="shared" si="2095"/>
        <v>#DIV/0!</v>
      </c>
      <c r="DM326" s="11"/>
      <c r="DN326" s="12" t="e">
        <f t="shared" si="2096"/>
        <v>#DIV/0!</v>
      </c>
      <c r="DO326" s="13"/>
      <c r="DP326" s="11"/>
      <c r="DQ326" s="39"/>
      <c r="DR326" s="43"/>
      <c r="DS326" s="10"/>
      <c r="DT326" s="11"/>
      <c r="DU326" s="69">
        <f t="shared" si="2129"/>
        <v>0</v>
      </c>
      <c r="DV326" s="69">
        <f t="shared" si="2129"/>
        <v>0</v>
      </c>
      <c r="DW326" s="11"/>
      <c r="DX326" s="12" t="e">
        <f t="shared" si="2097"/>
        <v>#DIV/0!</v>
      </c>
      <c r="DY326" s="11"/>
      <c r="DZ326" s="12" t="e">
        <f t="shared" si="2098"/>
        <v>#DIV/0!</v>
      </c>
      <c r="EA326" s="13"/>
      <c r="EB326" s="11"/>
      <c r="EC326" s="39"/>
      <c r="ED326" s="43"/>
      <c r="EE326" s="10"/>
      <c r="EF326" s="11"/>
      <c r="EG326" s="69">
        <f t="shared" si="2130"/>
        <v>0</v>
      </c>
      <c r="EH326" s="69">
        <f t="shared" si="2130"/>
        <v>0</v>
      </c>
      <c r="EI326" s="11"/>
      <c r="EJ326" s="12" t="e">
        <f t="shared" si="2099"/>
        <v>#DIV/0!</v>
      </c>
      <c r="EK326" s="11"/>
      <c r="EL326" s="12" t="e">
        <f t="shared" si="2100"/>
        <v>#DIV/0!</v>
      </c>
      <c r="EM326" s="13"/>
      <c r="EN326" s="11"/>
      <c r="EO326" s="39"/>
      <c r="EP326" s="43"/>
      <c r="EQ326" s="10"/>
      <c r="ER326" s="11"/>
      <c r="ES326" s="69">
        <f t="shared" si="2131"/>
        <v>0</v>
      </c>
      <c r="ET326" s="69">
        <f t="shared" si="2131"/>
        <v>0</v>
      </c>
      <c r="EU326" s="11"/>
      <c r="EV326" s="12" t="e">
        <f t="shared" si="2101"/>
        <v>#DIV/0!</v>
      </c>
      <c r="EW326" s="11"/>
      <c r="EX326" s="12" t="e">
        <f t="shared" si="2102"/>
        <v>#DIV/0!</v>
      </c>
      <c r="EY326" s="13"/>
      <c r="EZ326" s="11"/>
      <c r="FA326" s="39"/>
      <c r="FB326" s="43"/>
      <c r="FC326" s="10"/>
      <c r="FD326" s="11"/>
      <c r="FE326" s="69">
        <f t="shared" si="2132"/>
        <v>0</v>
      </c>
      <c r="FF326" s="69">
        <f t="shared" si="2132"/>
        <v>0</v>
      </c>
      <c r="FG326" s="11"/>
      <c r="FH326" s="12" t="e">
        <f t="shared" si="2103"/>
        <v>#DIV/0!</v>
      </c>
      <c r="FI326" s="11"/>
      <c r="FJ326" s="12" t="e">
        <f t="shared" si="2104"/>
        <v>#DIV/0!</v>
      </c>
      <c r="FK326" s="13"/>
      <c r="FL326" s="11"/>
      <c r="FM326" s="39"/>
      <c r="FN326" s="43"/>
      <c r="FO326" s="10"/>
      <c r="FP326" s="11"/>
      <c r="FQ326" s="69">
        <f t="shared" si="2133"/>
        <v>0</v>
      </c>
      <c r="FR326" s="69">
        <f t="shared" si="2133"/>
        <v>0</v>
      </c>
      <c r="FS326" s="11"/>
      <c r="FT326" s="12" t="e">
        <f t="shared" si="2105"/>
        <v>#DIV/0!</v>
      </c>
      <c r="FU326" s="11"/>
      <c r="FV326" s="12" t="e">
        <f t="shared" si="2106"/>
        <v>#DIV/0!</v>
      </c>
      <c r="FW326" s="13"/>
      <c r="FX326" s="11"/>
      <c r="FY326" s="39"/>
      <c r="FZ326" s="43"/>
      <c r="GA326" s="10"/>
      <c r="GB326" s="11"/>
      <c r="GC326" s="69">
        <f t="shared" si="2134"/>
        <v>0</v>
      </c>
      <c r="GD326" s="69">
        <f t="shared" si="2134"/>
        <v>0</v>
      </c>
      <c r="GE326" s="11"/>
      <c r="GF326" s="12" t="e">
        <f t="shared" si="2107"/>
        <v>#DIV/0!</v>
      </c>
      <c r="GG326" s="11"/>
      <c r="GH326" s="12" t="e">
        <f t="shared" si="2108"/>
        <v>#DIV/0!</v>
      </c>
      <c r="GI326" s="13"/>
      <c r="GJ326" s="11"/>
      <c r="GK326" s="39"/>
      <c r="GL326" s="43"/>
      <c r="GM326" s="10"/>
      <c r="GN326" s="11"/>
      <c r="GO326" s="69">
        <f t="shared" si="2135"/>
        <v>0</v>
      </c>
      <c r="GP326" s="69">
        <f t="shared" si="2135"/>
        <v>0</v>
      </c>
      <c r="GQ326" s="11"/>
      <c r="GR326" s="12" t="e">
        <f t="shared" si="2109"/>
        <v>#DIV/0!</v>
      </c>
      <c r="GS326" s="11"/>
      <c r="GT326" s="12" t="e">
        <f t="shared" si="2110"/>
        <v>#DIV/0!</v>
      </c>
      <c r="GU326" s="13"/>
      <c r="GV326" s="11"/>
      <c r="GW326" s="39"/>
      <c r="GX326" s="43"/>
      <c r="GY326" s="10"/>
      <c r="GZ326" s="11"/>
      <c r="HA326" s="69">
        <f t="shared" si="2136"/>
        <v>0</v>
      </c>
      <c r="HB326" s="69">
        <f t="shared" si="2136"/>
        <v>0</v>
      </c>
      <c r="HC326" s="11"/>
      <c r="HD326" s="12" t="e">
        <f t="shared" si="2111"/>
        <v>#DIV/0!</v>
      </c>
      <c r="HE326" s="11"/>
      <c r="HF326" s="12" t="e">
        <f t="shared" si="2112"/>
        <v>#DIV/0!</v>
      </c>
      <c r="HG326" s="13"/>
      <c r="HH326" s="11"/>
      <c r="HI326" s="39"/>
      <c r="HJ326" s="43"/>
      <c r="HK326" s="10">
        <f t="shared" si="2113"/>
        <v>1</v>
      </c>
      <c r="HL326" s="11">
        <f t="shared" si="2113"/>
        <v>0</v>
      </c>
      <c r="HM326" s="11">
        <f t="shared" si="2113"/>
        <v>3280</v>
      </c>
      <c r="HN326" s="11">
        <f t="shared" si="2113"/>
        <v>241</v>
      </c>
      <c r="HO326" s="11">
        <f t="shared" si="2114"/>
        <v>858</v>
      </c>
      <c r="HP326" s="95">
        <f t="shared" si="2115"/>
        <v>0.26158536585365855</v>
      </c>
      <c r="HQ326" s="15">
        <f t="shared" si="2116"/>
        <v>71</v>
      </c>
      <c r="HR326" s="12">
        <f t="shared" si="2137"/>
        <v>8.2750582750582752E-2</v>
      </c>
      <c r="HS326" s="16">
        <v>72.7</v>
      </c>
      <c r="HT326" s="17">
        <v>739</v>
      </c>
      <c r="HU326" s="16">
        <f t="shared" si="2117"/>
        <v>86.130536130536129</v>
      </c>
      <c r="HV326" s="23">
        <v>70.209999999999994</v>
      </c>
      <c r="HW326" s="22">
        <v>83.61</v>
      </c>
    </row>
    <row r="327" spans="1:231" ht="19.5" thickBot="1" x14ac:dyDescent="0.3">
      <c r="A327" s="374"/>
      <c r="B327" s="42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1139</v>
      </c>
      <c r="H327" s="28">
        <f>((G327+I327)/7)/E326</f>
        <v>0.30605243812790983</v>
      </c>
      <c r="I327" s="27">
        <f>SUM(I320:I326)</f>
        <v>110</v>
      </c>
      <c r="J327" s="28">
        <f>(I327/(I327+G327))</f>
        <v>8.8070456365092073E-2</v>
      </c>
      <c r="K327" s="27"/>
      <c r="L327" s="27"/>
      <c r="M327" s="29">
        <f>M325/M324*100-100</f>
        <v>9.6792833146696466</v>
      </c>
      <c r="N327" s="67">
        <f>N325/N324*100-100</f>
        <v>5.9230452674896981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1092</v>
      </c>
      <c r="T327" s="28">
        <f>((S327+U327)/7)/Q326</f>
        <v>0.29053240183088413</v>
      </c>
      <c r="U327" s="27">
        <f>SUM(U320:U326)</f>
        <v>114</v>
      </c>
      <c r="V327" s="28">
        <f>(U327/(U327+S327))</f>
        <v>9.4527363184079602E-2</v>
      </c>
      <c r="W327" s="27"/>
      <c r="X327" s="27"/>
      <c r="Y327" s="29">
        <f>Y325/Y324*100-100</f>
        <v>9.8132138857782678</v>
      </c>
      <c r="Z327" s="67">
        <f>Z325/Z324*100-100</f>
        <v>12.901234567901241</v>
      </c>
      <c r="AA327" s="26">
        <f>SUM(AA320:AA326)</f>
        <v>7</v>
      </c>
      <c r="AB327" s="27">
        <f>SUM(AB320:AB326)</f>
        <v>1</v>
      </c>
      <c r="AC327" s="27"/>
      <c r="AD327" s="27"/>
      <c r="AE327" s="27">
        <f>SUM(AE320:AE326)</f>
        <v>229</v>
      </c>
      <c r="AF327" s="28">
        <f>((AE327+AG327)/7)/AC326</f>
        <v>0.28342857142857142</v>
      </c>
      <c r="AG327" s="27">
        <f>SUM(AG320:AG326)</f>
        <v>19</v>
      </c>
      <c r="AH327" s="28">
        <f>(AG327/(AG327+AE327))</f>
        <v>7.6612903225806453E-2</v>
      </c>
      <c r="AI327" s="27"/>
      <c r="AJ327" s="27"/>
      <c r="AK327" s="29">
        <f>AK325/AK324*100-100</f>
        <v>24.844120940649489</v>
      </c>
      <c r="AL327" s="67">
        <f>AL325/AL324*100-100</f>
        <v>0.75452674897118754</v>
      </c>
      <c r="AM327" s="26">
        <f>SUM(AM320:AM326)</f>
        <v>3</v>
      </c>
      <c r="AN327" s="27">
        <f>SUM(AN320:AN326)</f>
        <v>0</v>
      </c>
      <c r="AO327" s="27"/>
      <c r="AP327" s="27"/>
      <c r="AQ327" s="27">
        <f>SUM(AQ320:AQ326)</f>
        <v>1151</v>
      </c>
      <c r="AR327" s="28">
        <f>((AQ327+AS327)/7)/AO326</f>
        <v>0.26688311688311689</v>
      </c>
      <c r="AS327" s="27">
        <f>SUM(AS320:AS326)</f>
        <v>82</v>
      </c>
      <c r="AT327" s="28">
        <f>(AS327/(AS327+AQ327))</f>
        <v>6.6504460665044604E-2</v>
      </c>
      <c r="AU327" s="27"/>
      <c r="AV327" s="27"/>
      <c r="AW327" s="29">
        <f>AW325/AW324*100-100</f>
        <v>11.160806270996645</v>
      </c>
      <c r="AX327" s="67">
        <f>AX325/AX324*100-100</f>
        <v>13.940329218106996</v>
      </c>
      <c r="AY327" s="26">
        <f>SUM(AY320:AY326)</f>
        <v>1</v>
      </c>
      <c r="AZ327" s="27">
        <f>SUM(AZ320:AZ326)</f>
        <v>0</v>
      </c>
      <c r="BA327" s="27"/>
      <c r="BB327" s="27"/>
      <c r="BC327" s="27">
        <f>SUM(BC320:BC326)</f>
        <v>1074</v>
      </c>
      <c r="BD327" s="28">
        <f>((BC327+BE327)/7)/BA326</f>
        <v>0.26212121212121214</v>
      </c>
      <c r="BE327" s="27">
        <f>SUM(BE320:BE326)</f>
        <v>137</v>
      </c>
      <c r="BF327" s="28">
        <f>(BE327/(BE327+BC327))</f>
        <v>0.11312964492155243</v>
      </c>
      <c r="BG327" s="27"/>
      <c r="BH327" s="27"/>
      <c r="BI327" s="29">
        <f>BI325/BI324*100-100</f>
        <v>16.196640537514</v>
      </c>
      <c r="BJ327" s="67">
        <f>BJ325/BJ324*100-100</f>
        <v>12.270781893004099</v>
      </c>
      <c r="BK327" s="26">
        <f>SUM(BK320:BK326)</f>
        <v>2</v>
      </c>
      <c r="BL327" s="27">
        <f>SUM(BL320:BL326)</f>
        <v>0</v>
      </c>
      <c r="BM327" s="27"/>
      <c r="BN327" s="27"/>
      <c r="BO327" s="27">
        <f>SUM(BO320:BO326)</f>
        <v>1082</v>
      </c>
      <c r="BP327" s="28">
        <f>((BO327+BQ327)/7)/BM326</f>
        <v>0.24669412529807069</v>
      </c>
      <c r="BQ327" s="27">
        <f>SUM(BQ320:BQ326)</f>
        <v>56</v>
      </c>
      <c r="BR327" s="28">
        <f>(BQ327/(BQ327+BO327))</f>
        <v>4.9209138840070298E-2</v>
      </c>
      <c r="BS327" s="27"/>
      <c r="BT327" s="27"/>
      <c r="BU327" s="29">
        <f>BU325/BU324*100-100</f>
        <v>15.834266517357221</v>
      </c>
      <c r="BV327" s="67">
        <f>BV325/BV324*100-100</f>
        <v>13.299588477366257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7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7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7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7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7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7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7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7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7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7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7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7" t="e">
        <f>HJ325/HJ324*100-100</f>
        <v>#DIV/0!</v>
      </c>
      <c r="HK327" s="26">
        <f t="shared" si="2113"/>
        <v>16</v>
      </c>
      <c r="HL327" s="27">
        <f t="shared" si="2113"/>
        <v>1</v>
      </c>
      <c r="HM327" s="27">
        <f t="shared" si="2113"/>
        <v>0</v>
      </c>
      <c r="HN327" s="27">
        <f t="shared" si="2113"/>
        <v>0</v>
      </c>
      <c r="HO327" s="27">
        <f t="shared" si="2114"/>
        <v>6285</v>
      </c>
      <c r="HP327" s="96">
        <f>+((HO327)/HM326)/7</f>
        <v>0.27373693379790942</v>
      </c>
      <c r="HQ327" s="62">
        <f t="shared" si="2116"/>
        <v>518</v>
      </c>
      <c r="HR327" s="52">
        <f t="shared" si="2137"/>
        <v>8.2418456642800314E-2</v>
      </c>
      <c r="HS327" s="53">
        <f>SUM(HS320:HS326)/7</f>
        <v>73.057142857142864</v>
      </c>
      <c r="HT327" s="54">
        <f>SUM(HT320:HT326)</f>
        <v>5489</v>
      </c>
      <c r="HU327" s="53">
        <f>AVERAGE(HU320:HU326)</f>
        <v>87.309866515063163</v>
      </c>
      <c r="HV327" s="63">
        <f>HV325/HV324*100-100</f>
        <v>12.844568868980971</v>
      </c>
      <c r="HW327" s="67">
        <f>HW325/HW324*100-100</f>
        <v>10.864814814814807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4.8543689320388345E-3</v>
      </c>
      <c r="HL328" s="66">
        <f>HL327/HN317</f>
        <v>4.1322314049586778E-3</v>
      </c>
      <c r="HM328" s="45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373">
        <v>61</v>
      </c>
      <c r="B329" s="68">
        <f>B326+1</f>
        <v>45193</v>
      </c>
      <c r="C329" s="33">
        <v>1</v>
      </c>
      <c r="D329" s="34"/>
      <c r="E329" s="34">
        <f>E326-C329</f>
        <v>582</v>
      </c>
      <c r="F329" s="34">
        <f>F326-D329</f>
        <v>42</v>
      </c>
      <c r="G329" s="34">
        <v>164</v>
      </c>
      <c r="H329" s="35">
        <f t="shared" ref="H329:H335" si="2138">((G329+I329)/E329)</f>
        <v>0.31615120274914088</v>
      </c>
      <c r="I329" s="34">
        <v>20</v>
      </c>
      <c r="J329" s="35">
        <f>I329/(G329+I329)</f>
        <v>0.10869565217391304</v>
      </c>
      <c r="K329" s="36"/>
      <c r="L329" s="34"/>
      <c r="M329" s="34"/>
      <c r="N329" s="37"/>
      <c r="O329" s="33">
        <v>1</v>
      </c>
      <c r="P329" s="34"/>
      <c r="Q329" s="34">
        <f>Q326-O329</f>
        <v>592</v>
      </c>
      <c r="R329" s="34">
        <f>R326-P329</f>
        <v>44</v>
      </c>
      <c r="S329" s="34">
        <v>139</v>
      </c>
      <c r="T329" s="35">
        <f t="shared" ref="T329:T335" si="2139">((S329+U329)/Q329)</f>
        <v>0.25844594594594594</v>
      </c>
      <c r="U329" s="34">
        <v>14</v>
      </c>
      <c r="V329" s="35">
        <f t="shared" ref="V329:V335" si="2140">U329/(S329+U329)</f>
        <v>9.1503267973856203E-2</v>
      </c>
      <c r="W329" s="36"/>
      <c r="X329" s="34"/>
      <c r="Y329" s="34"/>
      <c r="Z329" s="37"/>
      <c r="AA329" s="33">
        <v>2</v>
      </c>
      <c r="AB329" s="34">
        <v>1</v>
      </c>
      <c r="AC329" s="34">
        <f>AC326-AA329</f>
        <v>123</v>
      </c>
      <c r="AD329" s="34">
        <f>AD326-AB329</f>
        <v>8</v>
      </c>
      <c r="AE329" s="34">
        <v>34</v>
      </c>
      <c r="AF329" s="35">
        <f t="shared" ref="AF329:AF335" si="2141">((AE329+AG329)/AC329)</f>
        <v>0.35772357723577236</v>
      </c>
      <c r="AG329" s="34">
        <v>10</v>
      </c>
      <c r="AH329" s="35">
        <f t="shared" ref="AH329:AH335" si="2142">AG329/(AE329+AG329)</f>
        <v>0.22727272727272727</v>
      </c>
      <c r="AI329" s="36"/>
      <c r="AJ329" s="34"/>
      <c r="AK329" s="34"/>
      <c r="AL329" s="37"/>
      <c r="AM329" s="33"/>
      <c r="AN329" s="34"/>
      <c r="AO329" s="34">
        <f>AO326-AM329</f>
        <v>660</v>
      </c>
      <c r="AP329" s="34">
        <f>AP326-AN329</f>
        <v>49</v>
      </c>
      <c r="AQ329" s="34">
        <v>140</v>
      </c>
      <c r="AR329" s="35">
        <f t="shared" ref="AR329:AR335" si="2143">((AQ329+AS329)/AO329)</f>
        <v>0.22121212121212122</v>
      </c>
      <c r="AS329" s="34">
        <v>6</v>
      </c>
      <c r="AT329" s="35">
        <f t="shared" ref="AT329:AT335" si="2144">AS329/(AQ329+AS329)</f>
        <v>4.1095890410958902E-2</v>
      </c>
      <c r="AU329" s="36"/>
      <c r="AV329" s="34"/>
      <c r="AW329" s="34"/>
      <c r="AX329" s="37"/>
      <c r="AY329" s="33"/>
      <c r="AZ329" s="34"/>
      <c r="BA329" s="34">
        <f>BA326-AY329</f>
        <v>660</v>
      </c>
      <c r="BB329" s="34">
        <f>BB326-AZ329</f>
        <v>48</v>
      </c>
      <c r="BC329" s="34">
        <v>149</v>
      </c>
      <c r="BD329" s="35">
        <f t="shared" ref="BD329:BD335" si="2145">((BC329+BE329)/BA329)</f>
        <v>0.25909090909090909</v>
      </c>
      <c r="BE329" s="34">
        <v>22</v>
      </c>
      <c r="BF329" s="35">
        <f t="shared" ref="BF329:BF335" si="2146">BE329/(BC329+BE329)</f>
        <v>0.12865497076023391</v>
      </c>
      <c r="BG329" s="36"/>
      <c r="BH329" s="34"/>
      <c r="BI329" s="34"/>
      <c r="BJ329" s="37"/>
      <c r="BK329" s="33"/>
      <c r="BL329" s="34"/>
      <c r="BM329" s="34">
        <f>BM326-BK329</f>
        <v>659</v>
      </c>
      <c r="BN329" s="34">
        <f>BN326-BL329</f>
        <v>49</v>
      </c>
      <c r="BO329" s="34">
        <v>164</v>
      </c>
      <c r="BP329" s="35">
        <f t="shared" ref="BP329:BP335" si="2147">((BO329+BQ329)/BM329)</f>
        <v>0.25796661608497723</v>
      </c>
      <c r="BQ329" s="34">
        <v>6</v>
      </c>
      <c r="BR329" s="35">
        <f t="shared" ref="BR329:BR335" si="2148">BQ329/(BO329+BQ329)</f>
        <v>3.5294117647058823E-2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149">((CA329+CC329)/BY329)</f>
        <v>#DIV/0!</v>
      </c>
      <c r="CC329" s="34"/>
      <c r="CD329" s="35" t="e">
        <f t="shared" ref="CD329:CD335" si="2150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151">((CM329+CO329)/CK329)</f>
        <v>#DIV/0!</v>
      </c>
      <c r="CO329" s="34"/>
      <c r="CP329" s="35" t="e">
        <f t="shared" ref="CP329:CP335" si="2152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153">((CY329+DA329)/CW329)</f>
        <v>#DIV/0!</v>
      </c>
      <c r="DA329" s="34"/>
      <c r="DB329" s="35" t="e">
        <f t="shared" ref="DB329:DB335" si="2154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155">((DK329+DM329)/DI329)</f>
        <v>#DIV/0!</v>
      </c>
      <c r="DM329" s="34"/>
      <c r="DN329" s="35" t="e">
        <f t="shared" ref="DN329:DN335" si="2156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157">((DW329+DY329)/DU329)</f>
        <v>#DIV/0!</v>
      </c>
      <c r="DY329" s="34"/>
      <c r="DZ329" s="35" t="e">
        <f t="shared" ref="DZ329:DZ335" si="2158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159">((EI329+EK329)/EG329)</f>
        <v>#DIV/0!</v>
      </c>
      <c r="EK329" s="34"/>
      <c r="EL329" s="35" t="e">
        <f t="shared" ref="EL329:EL335" si="2160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161">((EU329+EW329)/ES329)</f>
        <v>#DIV/0!</v>
      </c>
      <c r="EW329" s="34"/>
      <c r="EX329" s="35" t="e">
        <f t="shared" ref="EX329:EX335" si="2162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163">((FG329+FI329)/FE329)</f>
        <v>#DIV/0!</v>
      </c>
      <c r="FI329" s="34"/>
      <c r="FJ329" s="35" t="e">
        <f t="shared" ref="FJ329:FJ335" si="2164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165">((FS329+FU329)/FQ329)</f>
        <v>#DIV/0!</v>
      </c>
      <c r="FU329" s="34"/>
      <c r="FV329" s="35" t="e">
        <f t="shared" ref="FV329:FV335" si="2166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167">((GE329+GG329)/GC329)</f>
        <v>#DIV/0!</v>
      </c>
      <c r="GG329" s="34"/>
      <c r="GH329" s="35" t="e">
        <f t="shared" ref="GH329:GH335" si="2168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169">((GQ329+GS329)/GO329)</f>
        <v>#DIV/0!</v>
      </c>
      <c r="GS329" s="34"/>
      <c r="GT329" s="35" t="e">
        <f t="shared" ref="GT329:GT335" si="2170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171">((HC329+HE329)/HA329)</f>
        <v>#DIV/0!</v>
      </c>
      <c r="HE329" s="34"/>
      <c r="HF329" s="35" t="e">
        <f t="shared" ref="HF329:HF335" si="2172">HE329/(HC329+HE329)</f>
        <v>#DIV/0!</v>
      </c>
      <c r="HG329" s="36"/>
      <c r="HH329" s="34"/>
      <c r="HI329" s="34"/>
      <c r="HJ329" s="37"/>
      <c r="HK329" s="33">
        <f t="shared" ref="HK329:HN336" si="2173">+C329+O329+AA329+AM329+AY329+BK329+BW329+CI329+CU329+DG329+DS329+EE329+EQ329+FC329+FO329+GA329+GM329+GY329</f>
        <v>4</v>
      </c>
      <c r="HL329" s="34">
        <f t="shared" si="2173"/>
        <v>1</v>
      </c>
      <c r="HM329" s="34">
        <f t="shared" si="2173"/>
        <v>3276</v>
      </c>
      <c r="HN329" s="34">
        <f t="shared" si="2173"/>
        <v>240</v>
      </c>
      <c r="HO329" s="34">
        <f t="shared" ref="HO329:HO336" si="2174">+G329+S329+AE329+AQ329+BC329+BO329+CA329+CM329+CY329+DK329+DW329+EI329+EU329+FG329+FS329+GE329+GQ329+HC329+I329+U329+AG329+AS329+BE329+BQ329+CC329+CO329+DA329+DM329+DY329+EK329+EW329+FI329+FU329+GG329+GS329+HE329</f>
        <v>868</v>
      </c>
      <c r="HP329" s="94">
        <f t="shared" ref="HP329:HP335" si="2175">+(HO329)/HM329</f>
        <v>0.26495726495726496</v>
      </c>
      <c r="HQ329" s="48">
        <f t="shared" ref="HQ329:HQ336" si="2176">+I329+U329+AG329+AS329+BE329+BQ329+CC329+CO329+DA329+DM329+DY329+EK329+EW329+FI329+FU329+GG329+GS329+HE329</f>
        <v>78</v>
      </c>
      <c r="HR329" s="35">
        <f>+(HQ329/(HO329))</f>
        <v>8.9861751152073732E-2</v>
      </c>
      <c r="HS329" s="49">
        <v>73.599999999999994</v>
      </c>
      <c r="HT329" s="50">
        <v>754</v>
      </c>
      <c r="HU329" s="49">
        <f t="shared" ref="HU329:HU335" si="2177">+HT329/HO329*100</f>
        <v>86.866359447004598</v>
      </c>
      <c r="HV329" s="48"/>
      <c r="HW329" s="37"/>
    </row>
    <row r="330" spans="1:231" ht="18.75" x14ac:dyDescent="0.25">
      <c r="A330" s="374"/>
      <c r="B330" s="41">
        <f t="shared" si="2077"/>
        <v>45194</v>
      </c>
      <c r="C330" s="10"/>
      <c r="D330" s="11"/>
      <c r="E330" s="69">
        <f t="shared" ref="E330:F334" si="2178">E329-C330</f>
        <v>582</v>
      </c>
      <c r="F330" s="69">
        <f t="shared" si="2178"/>
        <v>42</v>
      </c>
      <c r="G330" s="11">
        <v>137</v>
      </c>
      <c r="H330" s="12">
        <f t="shared" si="2138"/>
        <v>0.24742268041237114</v>
      </c>
      <c r="I330" s="11">
        <v>7</v>
      </c>
      <c r="J330" s="12">
        <f t="shared" ref="J330:J335" si="2179">I330/(G330+I330)</f>
        <v>4.8611111111111112E-2</v>
      </c>
      <c r="K330" s="13"/>
      <c r="L330" s="11"/>
      <c r="M330" s="11"/>
      <c r="N330" s="14"/>
      <c r="O330" s="10"/>
      <c r="P330" s="11"/>
      <c r="Q330" s="69">
        <f t="shared" ref="Q330:R335" si="2180">Q329-O330</f>
        <v>592</v>
      </c>
      <c r="R330" s="69">
        <f t="shared" si="2180"/>
        <v>44</v>
      </c>
      <c r="S330" s="11">
        <v>137</v>
      </c>
      <c r="T330" s="12">
        <f t="shared" si="2139"/>
        <v>0.2483108108108108</v>
      </c>
      <c r="U330" s="11">
        <v>10</v>
      </c>
      <c r="V330" s="12">
        <f t="shared" si="2140"/>
        <v>6.8027210884353748E-2</v>
      </c>
      <c r="W330" s="13"/>
      <c r="X330" s="11"/>
      <c r="Y330" s="11"/>
      <c r="Z330" s="14"/>
      <c r="AA330" s="10"/>
      <c r="AB330" s="11"/>
      <c r="AC330" s="69">
        <f t="shared" ref="AC330:AD335" si="2181">AC329-AA330</f>
        <v>123</v>
      </c>
      <c r="AD330" s="69">
        <f t="shared" si="2181"/>
        <v>8</v>
      </c>
      <c r="AE330" s="11">
        <v>34</v>
      </c>
      <c r="AF330" s="12">
        <f t="shared" si="2141"/>
        <v>0.28455284552845528</v>
      </c>
      <c r="AG330" s="11">
        <v>1</v>
      </c>
      <c r="AH330" s="12">
        <f t="shared" si="2142"/>
        <v>2.8571428571428571E-2</v>
      </c>
      <c r="AI330" s="13"/>
      <c r="AJ330" s="11"/>
      <c r="AK330" s="11"/>
      <c r="AL330" s="14"/>
      <c r="AM330" s="10"/>
      <c r="AN330" s="11"/>
      <c r="AO330" s="69">
        <f t="shared" ref="AO330:AP335" si="2182">AO329-AM330</f>
        <v>660</v>
      </c>
      <c r="AP330" s="69">
        <f t="shared" si="2182"/>
        <v>49</v>
      </c>
      <c r="AQ330" s="11">
        <v>147</v>
      </c>
      <c r="AR330" s="12">
        <f t="shared" si="2143"/>
        <v>0.23484848484848486</v>
      </c>
      <c r="AS330" s="11">
        <v>8</v>
      </c>
      <c r="AT330" s="12">
        <f t="shared" si="2144"/>
        <v>5.1612903225806452E-2</v>
      </c>
      <c r="AU330" s="13"/>
      <c r="AV330" s="11"/>
      <c r="AW330" s="11"/>
      <c r="AX330" s="14"/>
      <c r="AY330" s="10"/>
      <c r="AZ330" s="11"/>
      <c r="BA330" s="69">
        <f t="shared" ref="BA330:BB335" si="2183">BA329-AY330</f>
        <v>660</v>
      </c>
      <c r="BB330" s="69">
        <f t="shared" si="2183"/>
        <v>48</v>
      </c>
      <c r="BC330" s="11">
        <v>122</v>
      </c>
      <c r="BD330" s="12">
        <f t="shared" si="2145"/>
        <v>0.19848484848484849</v>
      </c>
      <c r="BE330" s="11">
        <v>9</v>
      </c>
      <c r="BF330" s="12">
        <f t="shared" si="2146"/>
        <v>6.8702290076335881E-2</v>
      </c>
      <c r="BG330" s="13"/>
      <c r="BH330" s="11"/>
      <c r="BI330" s="11"/>
      <c r="BJ330" s="14"/>
      <c r="BK330" s="10">
        <v>1</v>
      </c>
      <c r="BL330" s="11"/>
      <c r="BM330" s="69">
        <f t="shared" ref="BM330:BN335" si="2184">BM329-BK330</f>
        <v>658</v>
      </c>
      <c r="BN330" s="69">
        <f t="shared" si="2184"/>
        <v>49</v>
      </c>
      <c r="BO330" s="11">
        <v>127</v>
      </c>
      <c r="BP330" s="12">
        <f t="shared" si="2147"/>
        <v>0.20364741641337386</v>
      </c>
      <c r="BQ330" s="11">
        <v>7</v>
      </c>
      <c r="BR330" s="12">
        <f t="shared" si="2148"/>
        <v>5.2238805970149252E-2</v>
      </c>
      <c r="BS330" s="13"/>
      <c r="BT330" s="11"/>
      <c r="BU330" s="11"/>
      <c r="BV330" s="14"/>
      <c r="BW330" s="10"/>
      <c r="BX330" s="11"/>
      <c r="BY330" s="69">
        <f t="shared" ref="BY330:BZ335" si="2185">BY329-BW330</f>
        <v>0</v>
      </c>
      <c r="BZ330" s="69">
        <f t="shared" si="2185"/>
        <v>0</v>
      </c>
      <c r="CA330" s="11"/>
      <c r="CB330" s="12" t="e">
        <f t="shared" si="2149"/>
        <v>#DIV/0!</v>
      </c>
      <c r="CC330" s="11"/>
      <c r="CD330" s="12" t="e">
        <f t="shared" si="2150"/>
        <v>#DIV/0!</v>
      </c>
      <c r="CE330" s="13"/>
      <c r="CF330" s="11"/>
      <c r="CG330" s="11"/>
      <c r="CH330" s="14"/>
      <c r="CI330" s="10"/>
      <c r="CJ330" s="11"/>
      <c r="CK330" s="69">
        <f t="shared" ref="CK330:CL335" si="2186">CK329-CI330</f>
        <v>0</v>
      </c>
      <c r="CL330" s="69">
        <f t="shared" si="2186"/>
        <v>0</v>
      </c>
      <c r="CM330" s="11"/>
      <c r="CN330" s="12" t="e">
        <f t="shared" si="2151"/>
        <v>#DIV/0!</v>
      </c>
      <c r="CO330" s="11"/>
      <c r="CP330" s="12" t="e">
        <f t="shared" si="2152"/>
        <v>#DIV/0!</v>
      </c>
      <c r="CQ330" s="13"/>
      <c r="CR330" s="11"/>
      <c r="CS330" s="11"/>
      <c r="CT330" s="14"/>
      <c r="CU330" s="10"/>
      <c r="CV330" s="11"/>
      <c r="CW330" s="69">
        <f t="shared" ref="CW330:CX335" si="2187">CW329-CU330</f>
        <v>0</v>
      </c>
      <c r="CX330" s="69">
        <f t="shared" si="2187"/>
        <v>0</v>
      </c>
      <c r="CY330" s="11"/>
      <c r="CZ330" s="12" t="e">
        <f t="shared" si="2153"/>
        <v>#DIV/0!</v>
      </c>
      <c r="DA330" s="11"/>
      <c r="DB330" s="12" t="e">
        <f t="shared" si="2154"/>
        <v>#DIV/0!</v>
      </c>
      <c r="DC330" s="13"/>
      <c r="DD330" s="11"/>
      <c r="DE330" s="11"/>
      <c r="DF330" s="14"/>
      <c r="DG330" s="10"/>
      <c r="DH330" s="11"/>
      <c r="DI330" s="69">
        <f t="shared" ref="DI330:DJ335" si="2188">DI329-DG330</f>
        <v>0</v>
      </c>
      <c r="DJ330" s="69">
        <f t="shared" si="2188"/>
        <v>0</v>
      </c>
      <c r="DK330" s="11"/>
      <c r="DL330" s="12" t="e">
        <f t="shared" si="2155"/>
        <v>#DIV/0!</v>
      </c>
      <c r="DM330" s="11"/>
      <c r="DN330" s="12" t="e">
        <f t="shared" si="2156"/>
        <v>#DIV/0!</v>
      </c>
      <c r="DO330" s="13"/>
      <c r="DP330" s="11"/>
      <c r="DQ330" s="11"/>
      <c r="DR330" s="14"/>
      <c r="DS330" s="10"/>
      <c r="DT330" s="11"/>
      <c r="DU330" s="69">
        <f t="shared" ref="DU330:DV335" si="2189">DU329-DS330</f>
        <v>0</v>
      </c>
      <c r="DV330" s="69">
        <f t="shared" si="2189"/>
        <v>0</v>
      </c>
      <c r="DW330" s="11"/>
      <c r="DX330" s="12" t="e">
        <f t="shared" si="2157"/>
        <v>#DIV/0!</v>
      </c>
      <c r="DY330" s="11"/>
      <c r="DZ330" s="12" t="e">
        <f t="shared" si="2158"/>
        <v>#DIV/0!</v>
      </c>
      <c r="EA330" s="13"/>
      <c r="EB330" s="11"/>
      <c r="EC330" s="11"/>
      <c r="ED330" s="14"/>
      <c r="EE330" s="10"/>
      <c r="EF330" s="11"/>
      <c r="EG330" s="69">
        <f t="shared" ref="EG330:EH335" si="2190">EG329-EE330</f>
        <v>0</v>
      </c>
      <c r="EH330" s="69">
        <f t="shared" si="2190"/>
        <v>0</v>
      </c>
      <c r="EI330" s="11"/>
      <c r="EJ330" s="12" t="e">
        <f t="shared" si="2159"/>
        <v>#DIV/0!</v>
      </c>
      <c r="EK330" s="11"/>
      <c r="EL330" s="12" t="e">
        <f t="shared" si="2160"/>
        <v>#DIV/0!</v>
      </c>
      <c r="EM330" s="13"/>
      <c r="EN330" s="11"/>
      <c r="EO330" s="11"/>
      <c r="EP330" s="14"/>
      <c r="EQ330" s="10"/>
      <c r="ER330" s="11"/>
      <c r="ES330" s="69">
        <f t="shared" ref="ES330:ET335" si="2191">ES329-EQ330</f>
        <v>0</v>
      </c>
      <c r="ET330" s="69">
        <f t="shared" si="2191"/>
        <v>0</v>
      </c>
      <c r="EU330" s="11"/>
      <c r="EV330" s="12" t="e">
        <f t="shared" si="2161"/>
        <v>#DIV/0!</v>
      </c>
      <c r="EW330" s="11"/>
      <c r="EX330" s="12" t="e">
        <f t="shared" si="2162"/>
        <v>#DIV/0!</v>
      </c>
      <c r="EY330" s="13"/>
      <c r="EZ330" s="11"/>
      <c r="FA330" s="11"/>
      <c r="FB330" s="14"/>
      <c r="FC330" s="10"/>
      <c r="FD330" s="11"/>
      <c r="FE330" s="69">
        <f t="shared" ref="FE330:FF335" si="2192">FE329-FC330</f>
        <v>0</v>
      </c>
      <c r="FF330" s="69">
        <f t="shared" si="2192"/>
        <v>0</v>
      </c>
      <c r="FG330" s="11"/>
      <c r="FH330" s="12" t="e">
        <f t="shared" si="2163"/>
        <v>#DIV/0!</v>
      </c>
      <c r="FI330" s="11"/>
      <c r="FJ330" s="12" t="e">
        <f t="shared" si="2164"/>
        <v>#DIV/0!</v>
      </c>
      <c r="FK330" s="13"/>
      <c r="FL330" s="11"/>
      <c r="FM330" s="11"/>
      <c r="FN330" s="14"/>
      <c r="FO330" s="10"/>
      <c r="FP330" s="11"/>
      <c r="FQ330" s="69">
        <f t="shared" ref="FQ330:FR335" si="2193">FQ329-FO330</f>
        <v>0</v>
      </c>
      <c r="FR330" s="69">
        <f t="shared" si="2193"/>
        <v>0</v>
      </c>
      <c r="FS330" s="11"/>
      <c r="FT330" s="12" t="e">
        <f t="shared" si="2165"/>
        <v>#DIV/0!</v>
      </c>
      <c r="FU330" s="11"/>
      <c r="FV330" s="12" t="e">
        <f t="shared" si="2166"/>
        <v>#DIV/0!</v>
      </c>
      <c r="FW330" s="13"/>
      <c r="FX330" s="11"/>
      <c r="FY330" s="11"/>
      <c r="FZ330" s="14"/>
      <c r="GA330" s="10"/>
      <c r="GB330" s="11"/>
      <c r="GC330" s="69">
        <f t="shared" ref="GC330:GD335" si="2194">GC329-GA330</f>
        <v>0</v>
      </c>
      <c r="GD330" s="69">
        <f t="shared" si="2194"/>
        <v>0</v>
      </c>
      <c r="GE330" s="11"/>
      <c r="GF330" s="12" t="e">
        <f t="shared" si="2167"/>
        <v>#DIV/0!</v>
      </c>
      <c r="GG330" s="11"/>
      <c r="GH330" s="12" t="e">
        <f t="shared" si="2168"/>
        <v>#DIV/0!</v>
      </c>
      <c r="GI330" s="13"/>
      <c r="GJ330" s="11"/>
      <c r="GK330" s="11"/>
      <c r="GL330" s="14"/>
      <c r="GM330" s="10"/>
      <c r="GN330" s="11"/>
      <c r="GO330" s="69">
        <f t="shared" ref="GO330:GP335" si="2195">GO329-GM330</f>
        <v>0</v>
      </c>
      <c r="GP330" s="69">
        <f t="shared" si="2195"/>
        <v>0</v>
      </c>
      <c r="GQ330" s="11"/>
      <c r="GR330" s="12" t="e">
        <f t="shared" si="2169"/>
        <v>#DIV/0!</v>
      </c>
      <c r="GS330" s="11"/>
      <c r="GT330" s="12" t="e">
        <f t="shared" si="2170"/>
        <v>#DIV/0!</v>
      </c>
      <c r="GU330" s="13"/>
      <c r="GV330" s="11"/>
      <c r="GW330" s="11"/>
      <c r="GX330" s="14"/>
      <c r="GY330" s="10"/>
      <c r="GZ330" s="11"/>
      <c r="HA330" s="69">
        <f t="shared" ref="HA330:HB335" si="2196">HA329-GY330</f>
        <v>0</v>
      </c>
      <c r="HB330" s="69">
        <f t="shared" si="2196"/>
        <v>0</v>
      </c>
      <c r="HC330" s="11"/>
      <c r="HD330" s="12" t="e">
        <f t="shared" si="2171"/>
        <v>#DIV/0!</v>
      </c>
      <c r="HE330" s="11"/>
      <c r="HF330" s="12" t="e">
        <f t="shared" si="2172"/>
        <v>#DIV/0!</v>
      </c>
      <c r="HG330" s="13"/>
      <c r="HH330" s="11"/>
      <c r="HI330" s="11"/>
      <c r="HJ330" s="14"/>
      <c r="HK330" s="10">
        <f t="shared" si="2173"/>
        <v>1</v>
      </c>
      <c r="HL330" s="11">
        <f t="shared" si="2173"/>
        <v>0</v>
      </c>
      <c r="HM330" s="11">
        <f t="shared" si="2173"/>
        <v>3275</v>
      </c>
      <c r="HN330" s="11">
        <f t="shared" si="2173"/>
        <v>240</v>
      </c>
      <c r="HO330" s="11">
        <f t="shared" si="2174"/>
        <v>746</v>
      </c>
      <c r="HP330" s="95">
        <f t="shared" si="2175"/>
        <v>0.22778625954198473</v>
      </c>
      <c r="HQ330" s="15">
        <f t="shared" si="2176"/>
        <v>42</v>
      </c>
      <c r="HR330" s="12">
        <f t="shared" ref="HR330:HR336" si="2197">+(HQ330/(HO330))</f>
        <v>5.6300268096514748E-2</v>
      </c>
      <c r="HS330" s="16">
        <v>72.7</v>
      </c>
      <c r="HT330" s="17">
        <v>666</v>
      </c>
      <c r="HU330" s="16">
        <f t="shared" si="2177"/>
        <v>89.276139410187668</v>
      </c>
      <c r="HV330" s="15"/>
      <c r="HW330" s="14"/>
    </row>
    <row r="331" spans="1:231" ht="18.75" x14ac:dyDescent="0.25">
      <c r="A331" s="374"/>
      <c r="B331" s="41">
        <f t="shared" si="2077"/>
        <v>45195</v>
      </c>
      <c r="C331" s="10"/>
      <c r="D331" s="11"/>
      <c r="E331" s="69">
        <f t="shared" si="2178"/>
        <v>582</v>
      </c>
      <c r="F331" s="69">
        <f t="shared" si="2178"/>
        <v>42</v>
      </c>
      <c r="G331" s="11">
        <v>160</v>
      </c>
      <c r="H331" s="12">
        <f t="shared" si="2138"/>
        <v>0.30756013745704469</v>
      </c>
      <c r="I331" s="11">
        <v>19</v>
      </c>
      <c r="J331" s="12">
        <f t="shared" si="2179"/>
        <v>0.10614525139664804</v>
      </c>
      <c r="K331" s="13"/>
      <c r="L331" s="11"/>
      <c r="M331" s="11"/>
      <c r="N331" s="14"/>
      <c r="O331" s="10"/>
      <c r="P331" s="11"/>
      <c r="Q331" s="69">
        <f t="shared" si="2180"/>
        <v>592</v>
      </c>
      <c r="R331" s="69">
        <f t="shared" si="2180"/>
        <v>44</v>
      </c>
      <c r="S331" s="11">
        <v>144</v>
      </c>
      <c r="T331" s="12">
        <f t="shared" si="2139"/>
        <v>0.27871621621621623</v>
      </c>
      <c r="U331" s="11">
        <v>21</v>
      </c>
      <c r="V331" s="12">
        <f t="shared" si="2140"/>
        <v>0.12727272727272726</v>
      </c>
      <c r="W331" s="13"/>
      <c r="X331" s="11"/>
      <c r="Y331" s="11"/>
      <c r="Z331" s="14"/>
      <c r="AA331" s="10"/>
      <c r="AB331" s="11"/>
      <c r="AC331" s="69">
        <f t="shared" si="2181"/>
        <v>123</v>
      </c>
      <c r="AD331" s="69">
        <f t="shared" si="2181"/>
        <v>8</v>
      </c>
      <c r="AE331" s="11">
        <v>36</v>
      </c>
      <c r="AF331" s="12">
        <f t="shared" si="2141"/>
        <v>0.32520325203252032</v>
      </c>
      <c r="AG331" s="11">
        <v>4</v>
      </c>
      <c r="AH331" s="12">
        <f t="shared" si="2142"/>
        <v>0.1</v>
      </c>
      <c r="AI331" s="13"/>
      <c r="AJ331" s="11"/>
      <c r="AK331" s="11"/>
      <c r="AL331" s="14"/>
      <c r="AM331" s="10"/>
      <c r="AN331" s="11"/>
      <c r="AO331" s="69">
        <f t="shared" si="2182"/>
        <v>660</v>
      </c>
      <c r="AP331" s="69">
        <f t="shared" si="2182"/>
        <v>49</v>
      </c>
      <c r="AQ331" s="11">
        <v>166</v>
      </c>
      <c r="AR331" s="12">
        <f t="shared" si="2143"/>
        <v>0.27575757575757576</v>
      </c>
      <c r="AS331" s="11">
        <v>16</v>
      </c>
      <c r="AT331" s="12">
        <f t="shared" si="2144"/>
        <v>8.7912087912087919E-2</v>
      </c>
      <c r="AU331" s="13"/>
      <c r="AV331" s="11"/>
      <c r="AW331" s="11"/>
      <c r="AX331" s="14"/>
      <c r="AY331" s="10"/>
      <c r="AZ331" s="11"/>
      <c r="BA331" s="69">
        <f t="shared" si="2183"/>
        <v>660</v>
      </c>
      <c r="BB331" s="69">
        <f t="shared" si="2183"/>
        <v>48</v>
      </c>
      <c r="BC331" s="11">
        <v>160</v>
      </c>
      <c r="BD331" s="12">
        <f t="shared" si="2145"/>
        <v>0.26818181818181819</v>
      </c>
      <c r="BE331" s="11">
        <v>17</v>
      </c>
      <c r="BF331" s="12">
        <f t="shared" si="2146"/>
        <v>9.6045197740112997E-2</v>
      </c>
      <c r="BG331" s="13"/>
      <c r="BH331" s="11"/>
      <c r="BI331" s="11"/>
      <c r="BJ331" s="14"/>
      <c r="BK331" s="10"/>
      <c r="BL331" s="11"/>
      <c r="BM331" s="69">
        <f t="shared" si="2184"/>
        <v>658</v>
      </c>
      <c r="BN331" s="69">
        <f t="shared" si="2184"/>
        <v>49</v>
      </c>
      <c r="BO331" s="11">
        <v>166</v>
      </c>
      <c r="BP331" s="12">
        <f t="shared" si="2147"/>
        <v>0.27659574468085107</v>
      </c>
      <c r="BQ331" s="11">
        <v>16</v>
      </c>
      <c r="BR331" s="12">
        <f t="shared" si="2148"/>
        <v>8.7912087912087919E-2</v>
      </c>
      <c r="BS331" s="13"/>
      <c r="BT331" s="11"/>
      <c r="BU331" s="11"/>
      <c r="BV331" s="14"/>
      <c r="BW331" s="10"/>
      <c r="BX331" s="11"/>
      <c r="BY331" s="69">
        <f t="shared" si="2185"/>
        <v>0</v>
      </c>
      <c r="BZ331" s="69">
        <f t="shared" si="2185"/>
        <v>0</v>
      </c>
      <c r="CA331" s="11"/>
      <c r="CB331" s="12" t="e">
        <f t="shared" si="2149"/>
        <v>#DIV/0!</v>
      </c>
      <c r="CC331" s="11"/>
      <c r="CD331" s="12" t="e">
        <f t="shared" si="2150"/>
        <v>#DIV/0!</v>
      </c>
      <c r="CE331" s="13"/>
      <c r="CF331" s="11"/>
      <c r="CG331" s="11"/>
      <c r="CH331" s="14"/>
      <c r="CI331" s="10"/>
      <c r="CJ331" s="11"/>
      <c r="CK331" s="69">
        <f t="shared" si="2186"/>
        <v>0</v>
      </c>
      <c r="CL331" s="69">
        <f t="shared" si="2186"/>
        <v>0</v>
      </c>
      <c r="CM331" s="11"/>
      <c r="CN331" s="12" t="e">
        <f t="shared" si="2151"/>
        <v>#DIV/0!</v>
      </c>
      <c r="CO331" s="11"/>
      <c r="CP331" s="12" t="e">
        <f t="shared" si="2152"/>
        <v>#DIV/0!</v>
      </c>
      <c r="CQ331" s="13"/>
      <c r="CR331" s="11"/>
      <c r="CS331" s="11"/>
      <c r="CT331" s="14"/>
      <c r="CU331" s="10"/>
      <c r="CV331" s="11"/>
      <c r="CW331" s="69">
        <f t="shared" si="2187"/>
        <v>0</v>
      </c>
      <c r="CX331" s="69">
        <f t="shared" si="2187"/>
        <v>0</v>
      </c>
      <c r="CY331" s="11"/>
      <c r="CZ331" s="12" t="e">
        <f t="shared" si="2153"/>
        <v>#DIV/0!</v>
      </c>
      <c r="DA331" s="11"/>
      <c r="DB331" s="12" t="e">
        <f t="shared" si="2154"/>
        <v>#DIV/0!</v>
      </c>
      <c r="DC331" s="13"/>
      <c r="DD331" s="11"/>
      <c r="DE331" s="11"/>
      <c r="DF331" s="14"/>
      <c r="DG331" s="10"/>
      <c r="DH331" s="11"/>
      <c r="DI331" s="69">
        <f t="shared" si="2188"/>
        <v>0</v>
      </c>
      <c r="DJ331" s="69">
        <f t="shared" si="2188"/>
        <v>0</v>
      </c>
      <c r="DK331" s="11"/>
      <c r="DL331" s="12" t="e">
        <f t="shared" si="2155"/>
        <v>#DIV/0!</v>
      </c>
      <c r="DM331" s="11"/>
      <c r="DN331" s="12" t="e">
        <f t="shared" si="2156"/>
        <v>#DIV/0!</v>
      </c>
      <c r="DO331" s="13"/>
      <c r="DP331" s="11"/>
      <c r="DQ331" s="11"/>
      <c r="DR331" s="14"/>
      <c r="DS331" s="10"/>
      <c r="DT331" s="11"/>
      <c r="DU331" s="69">
        <f t="shared" si="2189"/>
        <v>0</v>
      </c>
      <c r="DV331" s="69">
        <f t="shared" si="2189"/>
        <v>0</v>
      </c>
      <c r="DW331" s="11"/>
      <c r="DX331" s="12" t="e">
        <f t="shared" si="2157"/>
        <v>#DIV/0!</v>
      </c>
      <c r="DY331" s="11"/>
      <c r="DZ331" s="12" t="e">
        <f t="shared" si="2158"/>
        <v>#DIV/0!</v>
      </c>
      <c r="EA331" s="13"/>
      <c r="EB331" s="11"/>
      <c r="EC331" s="11"/>
      <c r="ED331" s="14"/>
      <c r="EE331" s="10"/>
      <c r="EF331" s="11"/>
      <c r="EG331" s="69">
        <f t="shared" si="2190"/>
        <v>0</v>
      </c>
      <c r="EH331" s="69">
        <f t="shared" si="2190"/>
        <v>0</v>
      </c>
      <c r="EI331" s="11"/>
      <c r="EJ331" s="12" t="e">
        <f t="shared" si="2159"/>
        <v>#DIV/0!</v>
      </c>
      <c r="EK331" s="11"/>
      <c r="EL331" s="12" t="e">
        <f t="shared" si="2160"/>
        <v>#DIV/0!</v>
      </c>
      <c r="EM331" s="13"/>
      <c r="EN331" s="11"/>
      <c r="EO331" s="11"/>
      <c r="EP331" s="14"/>
      <c r="EQ331" s="10"/>
      <c r="ER331" s="11"/>
      <c r="ES331" s="69">
        <f t="shared" si="2191"/>
        <v>0</v>
      </c>
      <c r="ET331" s="69">
        <f t="shared" si="2191"/>
        <v>0</v>
      </c>
      <c r="EU331" s="11"/>
      <c r="EV331" s="12" t="e">
        <f t="shared" si="2161"/>
        <v>#DIV/0!</v>
      </c>
      <c r="EW331" s="11"/>
      <c r="EX331" s="12" t="e">
        <f t="shared" si="2162"/>
        <v>#DIV/0!</v>
      </c>
      <c r="EY331" s="13"/>
      <c r="EZ331" s="11"/>
      <c r="FA331" s="11"/>
      <c r="FB331" s="14"/>
      <c r="FC331" s="10"/>
      <c r="FD331" s="11"/>
      <c r="FE331" s="69">
        <f t="shared" si="2192"/>
        <v>0</v>
      </c>
      <c r="FF331" s="69">
        <f t="shared" si="2192"/>
        <v>0</v>
      </c>
      <c r="FG331" s="11"/>
      <c r="FH331" s="12" t="e">
        <f t="shared" si="2163"/>
        <v>#DIV/0!</v>
      </c>
      <c r="FI331" s="11"/>
      <c r="FJ331" s="12" t="e">
        <f t="shared" si="2164"/>
        <v>#DIV/0!</v>
      </c>
      <c r="FK331" s="13"/>
      <c r="FL331" s="11"/>
      <c r="FM331" s="11"/>
      <c r="FN331" s="14"/>
      <c r="FO331" s="10"/>
      <c r="FP331" s="11"/>
      <c r="FQ331" s="69">
        <f t="shared" si="2193"/>
        <v>0</v>
      </c>
      <c r="FR331" s="69">
        <f t="shared" si="2193"/>
        <v>0</v>
      </c>
      <c r="FS331" s="11"/>
      <c r="FT331" s="12" t="e">
        <f t="shared" si="2165"/>
        <v>#DIV/0!</v>
      </c>
      <c r="FU331" s="11"/>
      <c r="FV331" s="12" t="e">
        <f t="shared" si="2166"/>
        <v>#DIV/0!</v>
      </c>
      <c r="FW331" s="13"/>
      <c r="FX331" s="11"/>
      <c r="FY331" s="11"/>
      <c r="FZ331" s="14"/>
      <c r="GA331" s="10"/>
      <c r="GB331" s="11"/>
      <c r="GC331" s="69">
        <f t="shared" si="2194"/>
        <v>0</v>
      </c>
      <c r="GD331" s="69">
        <f t="shared" si="2194"/>
        <v>0</v>
      </c>
      <c r="GE331" s="11"/>
      <c r="GF331" s="12" t="e">
        <f t="shared" si="2167"/>
        <v>#DIV/0!</v>
      </c>
      <c r="GG331" s="11"/>
      <c r="GH331" s="12" t="e">
        <f t="shared" si="2168"/>
        <v>#DIV/0!</v>
      </c>
      <c r="GI331" s="13"/>
      <c r="GJ331" s="11"/>
      <c r="GK331" s="11"/>
      <c r="GL331" s="14"/>
      <c r="GM331" s="10"/>
      <c r="GN331" s="11"/>
      <c r="GO331" s="69">
        <f t="shared" si="2195"/>
        <v>0</v>
      </c>
      <c r="GP331" s="69">
        <f t="shared" si="2195"/>
        <v>0</v>
      </c>
      <c r="GQ331" s="11"/>
      <c r="GR331" s="12" t="e">
        <f t="shared" si="2169"/>
        <v>#DIV/0!</v>
      </c>
      <c r="GS331" s="11"/>
      <c r="GT331" s="12" t="e">
        <f t="shared" si="2170"/>
        <v>#DIV/0!</v>
      </c>
      <c r="GU331" s="13"/>
      <c r="GV331" s="11"/>
      <c r="GW331" s="11"/>
      <c r="GX331" s="14"/>
      <c r="GY331" s="10"/>
      <c r="GZ331" s="11"/>
      <c r="HA331" s="69">
        <f t="shared" si="2196"/>
        <v>0</v>
      </c>
      <c r="HB331" s="69">
        <f t="shared" si="2196"/>
        <v>0</v>
      </c>
      <c r="HC331" s="11"/>
      <c r="HD331" s="12" t="e">
        <f t="shared" si="2171"/>
        <v>#DIV/0!</v>
      </c>
      <c r="HE331" s="11"/>
      <c r="HF331" s="12" t="e">
        <f t="shared" si="2172"/>
        <v>#DIV/0!</v>
      </c>
      <c r="HG331" s="13"/>
      <c r="HH331" s="11"/>
      <c r="HI331" s="11"/>
      <c r="HJ331" s="14"/>
      <c r="HK331" s="10">
        <f t="shared" si="2173"/>
        <v>0</v>
      </c>
      <c r="HL331" s="11">
        <f t="shared" si="2173"/>
        <v>0</v>
      </c>
      <c r="HM331" s="11">
        <f t="shared" si="2173"/>
        <v>3275</v>
      </c>
      <c r="HN331" s="11">
        <f t="shared" si="2173"/>
        <v>240</v>
      </c>
      <c r="HO331" s="11">
        <f t="shared" si="2174"/>
        <v>925</v>
      </c>
      <c r="HP331" s="95">
        <f t="shared" si="2175"/>
        <v>0.28244274809160308</v>
      </c>
      <c r="HQ331" s="15">
        <f t="shared" si="2176"/>
        <v>93</v>
      </c>
      <c r="HR331" s="12">
        <f t="shared" si="2197"/>
        <v>0.10054054054054054</v>
      </c>
      <c r="HS331" s="16">
        <v>73</v>
      </c>
      <c r="HT331" s="17">
        <v>775</v>
      </c>
      <c r="HU331" s="16">
        <f t="shared" si="2177"/>
        <v>83.78378378378379</v>
      </c>
      <c r="HV331" s="15"/>
      <c r="HW331" s="14"/>
    </row>
    <row r="332" spans="1:231" ht="18.75" x14ac:dyDescent="0.25">
      <c r="A332" s="374"/>
      <c r="B332" s="41">
        <f t="shared" si="2077"/>
        <v>45196</v>
      </c>
      <c r="C332" s="10"/>
      <c r="D332" s="11"/>
      <c r="E332" s="69">
        <f t="shared" si="2178"/>
        <v>582</v>
      </c>
      <c r="F332" s="69">
        <f t="shared" si="2178"/>
        <v>42</v>
      </c>
      <c r="G332" s="11">
        <v>140</v>
      </c>
      <c r="H332" s="12">
        <f t="shared" si="2138"/>
        <v>0.26632302405498282</v>
      </c>
      <c r="I332" s="11">
        <v>15</v>
      </c>
      <c r="J332" s="12">
        <f t="shared" si="2179"/>
        <v>9.6774193548387094E-2</v>
      </c>
      <c r="K332" s="11"/>
      <c r="L332" s="11"/>
      <c r="M332" s="18"/>
      <c r="N332" s="20"/>
      <c r="O332" s="10"/>
      <c r="P332" s="11"/>
      <c r="Q332" s="69">
        <f t="shared" si="2180"/>
        <v>592</v>
      </c>
      <c r="R332" s="69">
        <f t="shared" si="2180"/>
        <v>44</v>
      </c>
      <c r="S332" s="11">
        <v>142</v>
      </c>
      <c r="T332" s="12">
        <f t="shared" si="2139"/>
        <v>0.26182432432432434</v>
      </c>
      <c r="U332" s="11">
        <v>13</v>
      </c>
      <c r="V332" s="12">
        <f t="shared" si="2140"/>
        <v>8.387096774193549E-2</v>
      </c>
      <c r="W332" s="11"/>
      <c r="X332" s="11"/>
      <c r="Y332" s="18"/>
      <c r="Z332" s="20"/>
      <c r="AA332" s="10">
        <v>1</v>
      </c>
      <c r="AB332" s="11"/>
      <c r="AC332" s="69">
        <f t="shared" si="2181"/>
        <v>122</v>
      </c>
      <c r="AD332" s="69">
        <f t="shared" si="2181"/>
        <v>8</v>
      </c>
      <c r="AE332" s="11">
        <v>32</v>
      </c>
      <c r="AF332" s="12">
        <f t="shared" si="2141"/>
        <v>0.27868852459016391</v>
      </c>
      <c r="AG332" s="11">
        <v>2</v>
      </c>
      <c r="AH332" s="12">
        <f t="shared" si="2142"/>
        <v>5.8823529411764705E-2</v>
      </c>
      <c r="AI332" s="11"/>
      <c r="AJ332" s="11"/>
      <c r="AK332" s="18"/>
      <c r="AL332" s="20"/>
      <c r="AM332" s="10">
        <v>1</v>
      </c>
      <c r="AN332" s="11"/>
      <c r="AO332" s="69">
        <f t="shared" si="2182"/>
        <v>659</v>
      </c>
      <c r="AP332" s="69">
        <f t="shared" si="2182"/>
        <v>49</v>
      </c>
      <c r="AQ332" s="11">
        <v>134</v>
      </c>
      <c r="AR332" s="12">
        <f t="shared" si="2143"/>
        <v>0.22306525037936267</v>
      </c>
      <c r="AS332" s="11">
        <v>13</v>
      </c>
      <c r="AT332" s="12">
        <f t="shared" si="2144"/>
        <v>8.8435374149659865E-2</v>
      </c>
      <c r="AU332" s="11"/>
      <c r="AV332" s="11"/>
      <c r="AW332" s="18"/>
      <c r="AX332" s="20"/>
      <c r="AY332" s="10"/>
      <c r="AZ332" s="11"/>
      <c r="BA332" s="69">
        <f t="shared" si="2183"/>
        <v>660</v>
      </c>
      <c r="BB332" s="69">
        <f t="shared" si="2183"/>
        <v>48</v>
      </c>
      <c r="BC332" s="11">
        <v>132</v>
      </c>
      <c r="BD332" s="12">
        <f t="shared" si="2145"/>
        <v>0.23484848484848486</v>
      </c>
      <c r="BE332" s="11">
        <v>23</v>
      </c>
      <c r="BF332" s="12">
        <f t="shared" si="2146"/>
        <v>0.14838709677419354</v>
      </c>
      <c r="BG332" s="11"/>
      <c r="BH332" s="11"/>
      <c r="BI332" s="18"/>
      <c r="BJ332" s="20"/>
      <c r="BK332" s="10"/>
      <c r="BL332" s="11"/>
      <c r="BM332" s="69">
        <f t="shared" si="2184"/>
        <v>658</v>
      </c>
      <c r="BN332" s="69">
        <f t="shared" si="2184"/>
        <v>49</v>
      </c>
      <c r="BO332" s="11">
        <v>149</v>
      </c>
      <c r="BP332" s="12">
        <f t="shared" si="2147"/>
        <v>0.24012158054711247</v>
      </c>
      <c r="BQ332" s="11">
        <v>9</v>
      </c>
      <c r="BR332" s="12">
        <f t="shared" si="2148"/>
        <v>5.6962025316455694E-2</v>
      </c>
      <c r="BS332" s="11"/>
      <c r="BT332" s="11"/>
      <c r="BU332" s="18"/>
      <c r="BV332" s="20"/>
      <c r="BW332" s="10"/>
      <c r="BX332" s="11"/>
      <c r="BY332" s="69">
        <f t="shared" si="2185"/>
        <v>0</v>
      </c>
      <c r="BZ332" s="69">
        <f t="shared" si="2185"/>
        <v>0</v>
      </c>
      <c r="CA332" s="11"/>
      <c r="CB332" s="12" t="e">
        <f t="shared" si="2149"/>
        <v>#DIV/0!</v>
      </c>
      <c r="CC332" s="11"/>
      <c r="CD332" s="12" t="e">
        <f t="shared" si="2150"/>
        <v>#DIV/0!</v>
      </c>
      <c r="CE332" s="11"/>
      <c r="CF332" s="11"/>
      <c r="CG332" s="18"/>
      <c r="CH332" s="20"/>
      <c r="CI332" s="10"/>
      <c r="CJ332" s="11"/>
      <c r="CK332" s="69">
        <f t="shared" si="2186"/>
        <v>0</v>
      </c>
      <c r="CL332" s="69">
        <f t="shared" si="2186"/>
        <v>0</v>
      </c>
      <c r="CM332" s="11"/>
      <c r="CN332" s="12" t="e">
        <f t="shared" si="2151"/>
        <v>#DIV/0!</v>
      </c>
      <c r="CO332" s="11"/>
      <c r="CP332" s="12" t="e">
        <f t="shared" si="2152"/>
        <v>#DIV/0!</v>
      </c>
      <c r="CQ332" s="11"/>
      <c r="CR332" s="11"/>
      <c r="CS332" s="18"/>
      <c r="CT332" s="20"/>
      <c r="CU332" s="10"/>
      <c r="CV332" s="11"/>
      <c r="CW332" s="69">
        <f t="shared" si="2187"/>
        <v>0</v>
      </c>
      <c r="CX332" s="69">
        <f t="shared" si="2187"/>
        <v>0</v>
      </c>
      <c r="CY332" s="11"/>
      <c r="CZ332" s="12" t="e">
        <f t="shared" si="2153"/>
        <v>#DIV/0!</v>
      </c>
      <c r="DA332" s="11"/>
      <c r="DB332" s="12" t="e">
        <f t="shared" si="2154"/>
        <v>#DIV/0!</v>
      </c>
      <c r="DC332" s="11"/>
      <c r="DD332" s="11"/>
      <c r="DE332" s="18"/>
      <c r="DF332" s="20"/>
      <c r="DG332" s="10"/>
      <c r="DH332" s="11"/>
      <c r="DI332" s="69">
        <f t="shared" si="2188"/>
        <v>0</v>
      </c>
      <c r="DJ332" s="69">
        <f t="shared" si="2188"/>
        <v>0</v>
      </c>
      <c r="DK332" s="11"/>
      <c r="DL332" s="12" t="e">
        <f t="shared" si="2155"/>
        <v>#DIV/0!</v>
      </c>
      <c r="DM332" s="11"/>
      <c r="DN332" s="12" t="e">
        <f t="shared" si="2156"/>
        <v>#DIV/0!</v>
      </c>
      <c r="DO332" s="11"/>
      <c r="DP332" s="11"/>
      <c r="DQ332" s="18"/>
      <c r="DR332" s="20"/>
      <c r="DS332" s="10"/>
      <c r="DT332" s="11"/>
      <c r="DU332" s="69">
        <f t="shared" si="2189"/>
        <v>0</v>
      </c>
      <c r="DV332" s="69">
        <f t="shared" si="2189"/>
        <v>0</v>
      </c>
      <c r="DW332" s="11"/>
      <c r="DX332" s="12" t="e">
        <f t="shared" si="2157"/>
        <v>#DIV/0!</v>
      </c>
      <c r="DY332" s="11"/>
      <c r="DZ332" s="12" t="e">
        <f t="shared" si="2158"/>
        <v>#DIV/0!</v>
      </c>
      <c r="EA332" s="11"/>
      <c r="EB332" s="11"/>
      <c r="EC332" s="18"/>
      <c r="ED332" s="20"/>
      <c r="EE332" s="10"/>
      <c r="EF332" s="11"/>
      <c r="EG332" s="69">
        <f t="shared" si="2190"/>
        <v>0</v>
      </c>
      <c r="EH332" s="69">
        <f t="shared" si="2190"/>
        <v>0</v>
      </c>
      <c r="EI332" s="11"/>
      <c r="EJ332" s="12" t="e">
        <f t="shared" si="2159"/>
        <v>#DIV/0!</v>
      </c>
      <c r="EK332" s="11"/>
      <c r="EL332" s="12" t="e">
        <f t="shared" si="2160"/>
        <v>#DIV/0!</v>
      </c>
      <c r="EM332" s="11"/>
      <c r="EN332" s="11"/>
      <c r="EO332" s="18"/>
      <c r="EP332" s="20"/>
      <c r="EQ332" s="10"/>
      <c r="ER332" s="11"/>
      <c r="ES332" s="69">
        <f t="shared" si="2191"/>
        <v>0</v>
      </c>
      <c r="ET332" s="69">
        <f t="shared" si="2191"/>
        <v>0</v>
      </c>
      <c r="EU332" s="11"/>
      <c r="EV332" s="12" t="e">
        <f t="shared" si="2161"/>
        <v>#DIV/0!</v>
      </c>
      <c r="EW332" s="11"/>
      <c r="EX332" s="12" t="e">
        <f t="shared" si="2162"/>
        <v>#DIV/0!</v>
      </c>
      <c r="EY332" s="11"/>
      <c r="EZ332" s="11"/>
      <c r="FA332" s="18"/>
      <c r="FB332" s="20"/>
      <c r="FC332" s="10"/>
      <c r="FD332" s="11"/>
      <c r="FE332" s="69">
        <f t="shared" si="2192"/>
        <v>0</v>
      </c>
      <c r="FF332" s="69">
        <f t="shared" si="2192"/>
        <v>0</v>
      </c>
      <c r="FG332" s="11"/>
      <c r="FH332" s="12" t="e">
        <f t="shared" si="2163"/>
        <v>#DIV/0!</v>
      </c>
      <c r="FI332" s="11"/>
      <c r="FJ332" s="12" t="e">
        <f t="shared" si="2164"/>
        <v>#DIV/0!</v>
      </c>
      <c r="FK332" s="11"/>
      <c r="FL332" s="11"/>
      <c r="FM332" s="18"/>
      <c r="FN332" s="20"/>
      <c r="FO332" s="10"/>
      <c r="FP332" s="11"/>
      <c r="FQ332" s="69">
        <f t="shared" si="2193"/>
        <v>0</v>
      </c>
      <c r="FR332" s="69">
        <f t="shared" si="2193"/>
        <v>0</v>
      </c>
      <c r="FS332" s="11"/>
      <c r="FT332" s="12" t="e">
        <f t="shared" si="2165"/>
        <v>#DIV/0!</v>
      </c>
      <c r="FU332" s="11"/>
      <c r="FV332" s="12" t="e">
        <f t="shared" si="2166"/>
        <v>#DIV/0!</v>
      </c>
      <c r="FW332" s="11"/>
      <c r="FX332" s="11"/>
      <c r="FY332" s="18"/>
      <c r="FZ332" s="20"/>
      <c r="GA332" s="10"/>
      <c r="GB332" s="11"/>
      <c r="GC332" s="69">
        <f t="shared" si="2194"/>
        <v>0</v>
      </c>
      <c r="GD332" s="69">
        <f t="shared" si="2194"/>
        <v>0</v>
      </c>
      <c r="GE332" s="11"/>
      <c r="GF332" s="12" t="e">
        <f t="shared" si="2167"/>
        <v>#DIV/0!</v>
      </c>
      <c r="GG332" s="11"/>
      <c r="GH332" s="12" t="e">
        <f t="shared" si="2168"/>
        <v>#DIV/0!</v>
      </c>
      <c r="GI332" s="11"/>
      <c r="GJ332" s="11"/>
      <c r="GK332" s="18"/>
      <c r="GL332" s="20"/>
      <c r="GM332" s="10"/>
      <c r="GN332" s="11"/>
      <c r="GO332" s="69">
        <f t="shared" si="2195"/>
        <v>0</v>
      </c>
      <c r="GP332" s="69">
        <f t="shared" si="2195"/>
        <v>0</v>
      </c>
      <c r="GQ332" s="11"/>
      <c r="GR332" s="12" t="e">
        <f t="shared" si="2169"/>
        <v>#DIV/0!</v>
      </c>
      <c r="GS332" s="11"/>
      <c r="GT332" s="12" t="e">
        <f t="shared" si="2170"/>
        <v>#DIV/0!</v>
      </c>
      <c r="GU332" s="11"/>
      <c r="GV332" s="11"/>
      <c r="GW332" s="18"/>
      <c r="GX332" s="20"/>
      <c r="GY332" s="10"/>
      <c r="GZ332" s="11"/>
      <c r="HA332" s="69">
        <f t="shared" si="2196"/>
        <v>0</v>
      </c>
      <c r="HB332" s="69">
        <f t="shared" si="2196"/>
        <v>0</v>
      </c>
      <c r="HC332" s="11"/>
      <c r="HD332" s="12" t="e">
        <f t="shared" si="2171"/>
        <v>#DIV/0!</v>
      </c>
      <c r="HE332" s="11"/>
      <c r="HF332" s="12" t="e">
        <f t="shared" si="2172"/>
        <v>#DIV/0!</v>
      </c>
      <c r="HG332" s="11"/>
      <c r="HH332" s="11"/>
      <c r="HI332" s="18"/>
      <c r="HJ332" s="20"/>
      <c r="HK332" s="10">
        <f t="shared" si="2173"/>
        <v>2</v>
      </c>
      <c r="HL332" s="11">
        <f t="shared" si="2173"/>
        <v>0</v>
      </c>
      <c r="HM332" s="11">
        <f t="shared" si="2173"/>
        <v>3273</v>
      </c>
      <c r="HN332" s="11">
        <f t="shared" si="2173"/>
        <v>240</v>
      </c>
      <c r="HO332" s="11">
        <f t="shared" si="2174"/>
        <v>804</v>
      </c>
      <c r="HP332" s="95">
        <f t="shared" si="2175"/>
        <v>0.24564619615032079</v>
      </c>
      <c r="HQ332" s="15">
        <f t="shared" si="2176"/>
        <v>75</v>
      </c>
      <c r="HR332" s="12">
        <f t="shared" si="2197"/>
        <v>9.3283582089552244E-2</v>
      </c>
      <c r="HS332" s="16">
        <v>73.099999999999994</v>
      </c>
      <c r="HT332" s="17">
        <v>670</v>
      </c>
      <c r="HU332" s="16">
        <f t="shared" si="2177"/>
        <v>83.333333333333343</v>
      </c>
      <c r="HV332" s="18"/>
      <c r="HW332" s="20"/>
    </row>
    <row r="333" spans="1:231" ht="18.75" x14ac:dyDescent="0.25">
      <c r="A333" s="374"/>
      <c r="B333" s="41">
        <f t="shared" si="2077"/>
        <v>45197</v>
      </c>
      <c r="C333" s="10">
        <v>1</v>
      </c>
      <c r="D333" s="11"/>
      <c r="E333" s="69">
        <f t="shared" si="2178"/>
        <v>581</v>
      </c>
      <c r="F333" s="69">
        <f t="shared" si="2178"/>
        <v>42</v>
      </c>
      <c r="G333" s="11">
        <v>149</v>
      </c>
      <c r="H333" s="12">
        <f t="shared" si="2138"/>
        <v>0.27194492254733221</v>
      </c>
      <c r="I333" s="11">
        <v>9</v>
      </c>
      <c r="J333" s="12">
        <f t="shared" si="2179"/>
        <v>5.6962025316455694E-2</v>
      </c>
      <c r="K333" s="13"/>
      <c r="L333" s="13"/>
      <c r="M333" s="25"/>
      <c r="N333" s="38">
        <v>4880</v>
      </c>
      <c r="O333" s="10"/>
      <c r="P333" s="11"/>
      <c r="Q333" s="69">
        <f t="shared" si="2180"/>
        <v>592</v>
      </c>
      <c r="R333" s="69">
        <f t="shared" si="2180"/>
        <v>44</v>
      </c>
      <c r="S333" s="11">
        <v>143</v>
      </c>
      <c r="T333" s="12">
        <f t="shared" si="2139"/>
        <v>0.26689189189189189</v>
      </c>
      <c r="U333" s="11">
        <v>15</v>
      </c>
      <c r="V333" s="12">
        <f t="shared" si="2140"/>
        <v>9.49367088607595E-2</v>
      </c>
      <c r="W333" s="13"/>
      <c r="X333" s="13"/>
      <c r="Y333" s="25"/>
      <c r="Z333" s="38">
        <v>4880</v>
      </c>
      <c r="AA333" s="10"/>
      <c r="AB333" s="11"/>
      <c r="AC333" s="69">
        <f t="shared" si="2181"/>
        <v>122</v>
      </c>
      <c r="AD333" s="69">
        <f t="shared" si="2181"/>
        <v>8</v>
      </c>
      <c r="AE333" s="11">
        <v>37</v>
      </c>
      <c r="AF333" s="12">
        <f t="shared" si="2141"/>
        <v>0.35245901639344263</v>
      </c>
      <c r="AG333" s="11">
        <v>6</v>
      </c>
      <c r="AH333" s="12">
        <f t="shared" si="2142"/>
        <v>0.13953488372093023</v>
      </c>
      <c r="AI333" s="13"/>
      <c r="AJ333" s="13"/>
      <c r="AK333" s="25"/>
      <c r="AL333" s="38">
        <v>4880</v>
      </c>
      <c r="AM333" s="10">
        <v>1</v>
      </c>
      <c r="AN333" s="11"/>
      <c r="AO333" s="69">
        <f t="shared" si="2182"/>
        <v>658</v>
      </c>
      <c r="AP333" s="69">
        <f t="shared" si="2182"/>
        <v>49</v>
      </c>
      <c r="AQ333" s="11">
        <v>150</v>
      </c>
      <c r="AR333" s="12">
        <f t="shared" si="2143"/>
        <v>0.24620060790273557</v>
      </c>
      <c r="AS333" s="11">
        <v>12</v>
      </c>
      <c r="AT333" s="12">
        <f t="shared" si="2144"/>
        <v>7.407407407407407E-2</v>
      </c>
      <c r="AU333" s="13"/>
      <c r="AV333" s="13"/>
      <c r="AW333" s="25"/>
      <c r="AX333" s="38">
        <v>4880</v>
      </c>
      <c r="AY333" s="10"/>
      <c r="AZ333" s="11"/>
      <c r="BA333" s="69">
        <f t="shared" si="2183"/>
        <v>660</v>
      </c>
      <c r="BB333" s="69">
        <f t="shared" si="2183"/>
        <v>48</v>
      </c>
      <c r="BC333" s="11">
        <v>161</v>
      </c>
      <c r="BD333" s="12">
        <f t="shared" si="2145"/>
        <v>0.28030303030303028</v>
      </c>
      <c r="BE333" s="11">
        <v>24</v>
      </c>
      <c r="BF333" s="12">
        <f t="shared" si="2146"/>
        <v>0.12972972972972974</v>
      </c>
      <c r="BG333" s="13"/>
      <c r="BH333" s="13"/>
      <c r="BI333" s="25"/>
      <c r="BJ333" s="38">
        <v>4880</v>
      </c>
      <c r="BK333" s="10"/>
      <c r="BL333" s="11"/>
      <c r="BM333" s="69">
        <f t="shared" si="2184"/>
        <v>658</v>
      </c>
      <c r="BN333" s="69">
        <f t="shared" si="2184"/>
        <v>49</v>
      </c>
      <c r="BO333" s="11">
        <v>149</v>
      </c>
      <c r="BP333" s="12">
        <f t="shared" si="2147"/>
        <v>0.24924012158054712</v>
      </c>
      <c r="BQ333" s="11">
        <v>15</v>
      </c>
      <c r="BR333" s="12">
        <f t="shared" si="2148"/>
        <v>9.1463414634146339E-2</v>
      </c>
      <c r="BS333" s="13"/>
      <c r="BT333" s="13"/>
      <c r="BU333" s="25"/>
      <c r="BV333" s="38">
        <v>4880</v>
      </c>
      <c r="BW333" s="10"/>
      <c r="BX333" s="11"/>
      <c r="BY333" s="69">
        <f t="shared" si="2185"/>
        <v>0</v>
      </c>
      <c r="BZ333" s="69">
        <f t="shared" si="2185"/>
        <v>0</v>
      </c>
      <c r="CA333" s="11"/>
      <c r="CB333" s="12" t="e">
        <f t="shared" si="2149"/>
        <v>#DIV/0!</v>
      </c>
      <c r="CC333" s="11"/>
      <c r="CD333" s="12" t="e">
        <f t="shared" si="2150"/>
        <v>#DIV/0!</v>
      </c>
      <c r="CE333" s="13"/>
      <c r="CF333" s="13"/>
      <c r="CG333" s="25"/>
      <c r="CH333" s="38"/>
      <c r="CI333" s="10"/>
      <c r="CJ333" s="11"/>
      <c r="CK333" s="69">
        <f t="shared" si="2186"/>
        <v>0</v>
      </c>
      <c r="CL333" s="69">
        <f t="shared" si="2186"/>
        <v>0</v>
      </c>
      <c r="CM333" s="11"/>
      <c r="CN333" s="12" t="e">
        <f t="shared" si="2151"/>
        <v>#DIV/0!</v>
      </c>
      <c r="CO333" s="11"/>
      <c r="CP333" s="12" t="e">
        <f t="shared" si="2152"/>
        <v>#DIV/0!</v>
      </c>
      <c r="CQ333" s="13"/>
      <c r="CR333" s="13"/>
      <c r="CS333" s="25"/>
      <c r="CT333" s="38"/>
      <c r="CU333" s="10"/>
      <c r="CV333" s="11"/>
      <c r="CW333" s="69">
        <f t="shared" si="2187"/>
        <v>0</v>
      </c>
      <c r="CX333" s="69">
        <f t="shared" si="2187"/>
        <v>0</v>
      </c>
      <c r="CY333" s="11"/>
      <c r="CZ333" s="12" t="e">
        <f t="shared" si="2153"/>
        <v>#DIV/0!</v>
      </c>
      <c r="DA333" s="11"/>
      <c r="DB333" s="12" t="e">
        <f t="shared" si="2154"/>
        <v>#DIV/0!</v>
      </c>
      <c r="DC333" s="13"/>
      <c r="DD333" s="13"/>
      <c r="DE333" s="25"/>
      <c r="DF333" s="38"/>
      <c r="DG333" s="10"/>
      <c r="DH333" s="11"/>
      <c r="DI333" s="69">
        <f t="shared" si="2188"/>
        <v>0</v>
      </c>
      <c r="DJ333" s="69">
        <f t="shared" si="2188"/>
        <v>0</v>
      </c>
      <c r="DK333" s="11"/>
      <c r="DL333" s="12" t="e">
        <f t="shared" si="2155"/>
        <v>#DIV/0!</v>
      </c>
      <c r="DM333" s="11"/>
      <c r="DN333" s="12" t="e">
        <f t="shared" si="2156"/>
        <v>#DIV/0!</v>
      </c>
      <c r="DO333" s="13"/>
      <c r="DP333" s="13"/>
      <c r="DQ333" s="25"/>
      <c r="DR333" s="38"/>
      <c r="DS333" s="10"/>
      <c r="DT333" s="11"/>
      <c r="DU333" s="69">
        <f t="shared" si="2189"/>
        <v>0</v>
      </c>
      <c r="DV333" s="69">
        <f t="shared" si="2189"/>
        <v>0</v>
      </c>
      <c r="DW333" s="11"/>
      <c r="DX333" s="12" t="e">
        <f t="shared" si="2157"/>
        <v>#DIV/0!</v>
      </c>
      <c r="DY333" s="11"/>
      <c r="DZ333" s="12" t="e">
        <f t="shared" si="2158"/>
        <v>#DIV/0!</v>
      </c>
      <c r="EA333" s="13"/>
      <c r="EB333" s="13"/>
      <c r="EC333" s="25"/>
      <c r="ED333" s="38"/>
      <c r="EE333" s="10"/>
      <c r="EF333" s="11"/>
      <c r="EG333" s="69">
        <f t="shared" si="2190"/>
        <v>0</v>
      </c>
      <c r="EH333" s="69">
        <f t="shared" si="2190"/>
        <v>0</v>
      </c>
      <c r="EI333" s="11"/>
      <c r="EJ333" s="12" t="e">
        <f t="shared" si="2159"/>
        <v>#DIV/0!</v>
      </c>
      <c r="EK333" s="11"/>
      <c r="EL333" s="12" t="e">
        <f t="shared" si="2160"/>
        <v>#DIV/0!</v>
      </c>
      <c r="EM333" s="13"/>
      <c r="EN333" s="13"/>
      <c r="EO333" s="25"/>
      <c r="EP333" s="38"/>
      <c r="EQ333" s="10"/>
      <c r="ER333" s="11"/>
      <c r="ES333" s="69">
        <f t="shared" si="2191"/>
        <v>0</v>
      </c>
      <c r="ET333" s="69">
        <f t="shared" si="2191"/>
        <v>0</v>
      </c>
      <c r="EU333" s="11"/>
      <c r="EV333" s="12" t="e">
        <f t="shared" si="2161"/>
        <v>#DIV/0!</v>
      </c>
      <c r="EW333" s="11"/>
      <c r="EX333" s="12" t="e">
        <f t="shared" si="2162"/>
        <v>#DIV/0!</v>
      </c>
      <c r="EY333" s="13"/>
      <c r="EZ333" s="13"/>
      <c r="FA333" s="25"/>
      <c r="FB333" s="38"/>
      <c r="FC333" s="10"/>
      <c r="FD333" s="11"/>
      <c r="FE333" s="69">
        <f t="shared" si="2192"/>
        <v>0</v>
      </c>
      <c r="FF333" s="69">
        <f t="shared" si="2192"/>
        <v>0</v>
      </c>
      <c r="FG333" s="11"/>
      <c r="FH333" s="12" t="e">
        <f t="shared" si="2163"/>
        <v>#DIV/0!</v>
      </c>
      <c r="FI333" s="11"/>
      <c r="FJ333" s="12" t="e">
        <f t="shared" si="2164"/>
        <v>#DIV/0!</v>
      </c>
      <c r="FK333" s="13"/>
      <c r="FL333" s="13"/>
      <c r="FM333" s="25"/>
      <c r="FN333" s="38"/>
      <c r="FO333" s="10"/>
      <c r="FP333" s="11"/>
      <c r="FQ333" s="69">
        <f t="shared" si="2193"/>
        <v>0</v>
      </c>
      <c r="FR333" s="69">
        <f t="shared" si="2193"/>
        <v>0</v>
      </c>
      <c r="FS333" s="11"/>
      <c r="FT333" s="12" t="e">
        <f t="shared" si="2165"/>
        <v>#DIV/0!</v>
      </c>
      <c r="FU333" s="11"/>
      <c r="FV333" s="12" t="e">
        <f t="shared" si="2166"/>
        <v>#DIV/0!</v>
      </c>
      <c r="FW333" s="13"/>
      <c r="FX333" s="13"/>
      <c r="FY333" s="25"/>
      <c r="FZ333" s="38"/>
      <c r="GA333" s="10"/>
      <c r="GB333" s="11"/>
      <c r="GC333" s="69">
        <f t="shared" si="2194"/>
        <v>0</v>
      </c>
      <c r="GD333" s="69">
        <f t="shared" si="2194"/>
        <v>0</v>
      </c>
      <c r="GE333" s="11"/>
      <c r="GF333" s="12" t="e">
        <f t="shared" si="2167"/>
        <v>#DIV/0!</v>
      </c>
      <c r="GG333" s="11"/>
      <c r="GH333" s="12" t="e">
        <f t="shared" si="2168"/>
        <v>#DIV/0!</v>
      </c>
      <c r="GI333" s="13"/>
      <c r="GJ333" s="13"/>
      <c r="GK333" s="25"/>
      <c r="GL333" s="38"/>
      <c r="GM333" s="10"/>
      <c r="GN333" s="11"/>
      <c r="GO333" s="69">
        <f t="shared" si="2195"/>
        <v>0</v>
      </c>
      <c r="GP333" s="69">
        <f t="shared" si="2195"/>
        <v>0</v>
      </c>
      <c r="GQ333" s="11"/>
      <c r="GR333" s="12" t="e">
        <f t="shared" si="2169"/>
        <v>#DIV/0!</v>
      </c>
      <c r="GS333" s="11"/>
      <c r="GT333" s="12" t="e">
        <f t="shared" si="2170"/>
        <v>#DIV/0!</v>
      </c>
      <c r="GU333" s="13"/>
      <c r="GV333" s="13"/>
      <c r="GW333" s="25"/>
      <c r="GX333" s="38"/>
      <c r="GY333" s="10"/>
      <c r="GZ333" s="11"/>
      <c r="HA333" s="69">
        <f t="shared" si="2196"/>
        <v>0</v>
      </c>
      <c r="HB333" s="69">
        <f t="shared" si="2196"/>
        <v>0</v>
      </c>
      <c r="HC333" s="11"/>
      <c r="HD333" s="12" t="e">
        <f t="shared" si="2171"/>
        <v>#DIV/0!</v>
      </c>
      <c r="HE333" s="11"/>
      <c r="HF333" s="12" t="e">
        <f t="shared" si="2172"/>
        <v>#DIV/0!</v>
      </c>
      <c r="HG333" s="13"/>
      <c r="HH333" s="13"/>
      <c r="HI333" s="25"/>
      <c r="HJ333" s="38"/>
      <c r="HK333" s="10">
        <f t="shared" si="2173"/>
        <v>2</v>
      </c>
      <c r="HL333" s="11">
        <f t="shared" si="2173"/>
        <v>0</v>
      </c>
      <c r="HM333" s="11">
        <f t="shared" si="2173"/>
        <v>3271</v>
      </c>
      <c r="HN333" s="11">
        <f t="shared" si="2173"/>
        <v>240</v>
      </c>
      <c r="HO333" s="11">
        <f t="shared" si="2174"/>
        <v>870</v>
      </c>
      <c r="HP333" s="95">
        <f t="shared" si="2175"/>
        <v>0.26597370834607154</v>
      </c>
      <c r="HQ333" s="15">
        <f t="shared" si="2176"/>
        <v>81</v>
      </c>
      <c r="HR333" s="12">
        <f t="shared" si="2197"/>
        <v>9.3103448275862075E-2</v>
      </c>
      <c r="HS333" s="16">
        <v>73.099999999999994</v>
      </c>
      <c r="HT333" s="17">
        <v>745</v>
      </c>
      <c r="HU333" s="16">
        <f t="shared" si="2177"/>
        <v>85.632183908045974</v>
      </c>
      <c r="HV333" s="23"/>
      <c r="HW333" s="22">
        <v>4880</v>
      </c>
    </row>
    <row r="334" spans="1:231" ht="18.75" x14ac:dyDescent="0.25">
      <c r="A334" s="374"/>
      <c r="B334" s="41">
        <f t="shared" si="2077"/>
        <v>45198</v>
      </c>
      <c r="C334" s="10">
        <v>2</v>
      </c>
      <c r="D334" s="11"/>
      <c r="E334" s="69">
        <f t="shared" si="2178"/>
        <v>579</v>
      </c>
      <c r="F334" s="69">
        <f t="shared" si="2178"/>
        <v>42</v>
      </c>
      <c r="G334" s="11">
        <v>139</v>
      </c>
      <c r="H334" s="12">
        <f t="shared" si="2138"/>
        <v>0.27288428324697755</v>
      </c>
      <c r="I334" s="11">
        <v>19</v>
      </c>
      <c r="J334" s="12">
        <f t="shared" si="2179"/>
        <v>0.12025316455696203</v>
      </c>
      <c r="K334" s="13"/>
      <c r="L334" s="11"/>
      <c r="M334" s="25"/>
      <c r="N334" s="38">
        <v>5238.33</v>
      </c>
      <c r="O334" s="10"/>
      <c r="P334" s="11"/>
      <c r="Q334" s="69">
        <f t="shared" si="2180"/>
        <v>592</v>
      </c>
      <c r="R334" s="69">
        <f t="shared" si="2180"/>
        <v>44</v>
      </c>
      <c r="S334" s="11">
        <v>151</v>
      </c>
      <c r="T334" s="12">
        <f t="shared" si="2139"/>
        <v>0.28040540540540543</v>
      </c>
      <c r="U334" s="11">
        <v>15</v>
      </c>
      <c r="V334" s="12">
        <f t="shared" si="2140"/>
        <v>9.036144578313253E-2</v>
      </c>
      <c r="W334" s="13"/>
      <c r="X334" s="11"/>
      <c r="Y334" s="25"/>
      <c r="Z334" s="38">
        <v>5359.09</v>
      </c>
      <c r="AA334" s="10">
        <v>1</v>
      </c>
      <c r="AB334" s="11"/>
      <c r="AC334" s="69">
        <f t="shared" si="2181"/>
        <v>121</v>
      </c>
      <c r="AD334" s="69">
        <f t="shared" si="2181"/>
        <v>8</v>
      </c>
      <c r="AE334" s="11">
        <v>28</v>
      </c>
      <c r="AF334" s="12">
        <f t="shared" si="2141"/>
        <v>0.27272727272727271</v>
      </c>
      <c r="AG334" s="11">
        <v>5</v>
      </c>
      <c r="AH334" s="12">
        <f t="shared" si="2142"/>
        <v>0.15151515151515152</v>
      </c>
      <c r="AI334" s="13"/>
      <c r="AJ334" s="11"/>
      <c r="AK334" s="25"/>
      <c r="AL334" s="38">
        <v>4693.33</v>
      </c>
      <c r="AM334" s="10"/>
      <c r="AN334" s="11"/>
      <c r="AO334" s="69">
        <f t="shared" si="2182"/>
        <v>658</v>
      </c>
      <c r="AP334" s="69">
        <f t="shared" si="2182"/>
        <v>49</v>
      </c>
      <c r="AQ334" s="11">
        <v>150</v>
      </c>
      <c r="AR334" s="12">
        <f t="shared" si="2143"/>
        <v>0.25379939209726443</v>
      </c>
      <c r="AS334" s="11">
        <v>17</v>
      </c>
      <c r="AT334" s="12">
        <f t="shared" si="2144"/>
        <v>0.10179640718562874</v>
      </c>
      <c r="AU334" s="13"/>
      <c r="AV334" s="11"/>
      <c r="AW334" s="25"/>
      <c r="AX334" s="38">
        <v>5660.91</v>
      </c>
      <c r="AY334" s="10"/>
      <c r="AZ334" s="11"/>
      <c r="BA334" s="69">
        <f t="shared" si="2183"/>
        <v>660</v>
      </c>
      <c r="BB334" s="69">
        <f t="shared" si="2183"/>
        <v>48</v>
      </c>
      <c r="BC334" s="11">
        <v>150</v>
      </c>
      <c r="BD334" s="12">
        <f t="shared" si="2145"/>
        <v>0.25303030303030305</v>
      </c>
      <c r="BE334" s="11">
        <v>17</v>
      </c>
      <c r="BF334" s="12">
        <f t="shared" si="2146"/>
        <v>0.10179640718562874</v>
      </c>
      <c r="BG334" s="13"/>
      <c r="BH334" s="11"/>
      <c r="BI334" s="25"/>
      <c r="BJ334" s="38">
        <v>5544.44</v>
      </c>
      <c r="BK334" s="10"/>
      <c r="BL334" s="11"/>
      <c r="BM334" s="69">
        <f t="shared" si="2184"/>
        <v>658</v>
      </c>
      <c r="BN334" s="69">
        <f t="shared" si="2184"/>
        <v>49</v>
      </c>
      <c r="BO334" s="11">
        <v>135</v>
      </c>
      <c r="BP334" s="12">
        <f t="shared" si="2147"/>
        <v>0.21884498480243161</v>
      </c>
      <c r="BQ334" s="11">
        <v>9</v>
      </c>
      <c r="BR334" s="12">
        <f t="shared" si="2148"/>
        <v>6.25E-2</v>
      </c>
      <c r="BS334" s="13"/>
      <c r="BT334" s="11"/>
      <c r="BU334" s="25"/>
      <c r="BV334" s="38">
        <v>5791</v>
      </c>
      <c r="BW334" s="10"/>
      <c r="BX334" s="11"/>
      <c r="BY334" s="69">
        <f t="shared" si="2185"/>
        <v>0</v>
      </c>
      <c r="BZ334" s="69">
        <f t="shared" si="2185"/>
        <v>0</v>
      </c>
      <c r="CA334" s="11"/>
      <c r="CB334" s="12" t="e">
        <f t="shared" si="2149"/>
        <v>#DIV/0!</v>
      </c>
      <c r="CC334" s="11"/>
      <c r="CD334" s="12" t="e">
        <f t="shared" si="2150"/>
        <v>#DIV/0!</v>
      </c>
      <c r="CE334" s="13"/>
      <c r="CF334" s="11"/>
      <c r="CG334" s="25"/>
      <c r="CH334" s="38"/>
      <c r="CI334" s="10"/>
      <c r="CJ334" s="11"/>
      <c r="CK334" s="69">
        <f t="shared" si="2186"/>
        <v>0</v>
      </c>
      <c r="CL334" s="69">
        <f t="shared" si="2186"/>
        <v>0</v>
      </c>
      <c r="CM334" s="11"/>
      <c r="CN334" s="12" t="e">
        <f t="shared" si="2151"/>
        <v>#DIV/0!</v>
      </c>
      <c r="CO334" s="11"/>
      <c r="CP334" s="12" t="e">
        <f t="shared" si="2152"/>
        <v>#DIV/0!</v>
      </c>
      <c r="CQ334" s="13"/>
      <c r="CR334" s="11"/>
      <c r="CS334" s="25"/>
      <c r="CT334" s="38"/>
      <c r="CU334" s="10"/>
      <c r="CV334" s="11"/>
      <c r="CW334" s="69">
        <f t="shared" si="2187"/>
        <v>0</v>
      </c>
      <c r="CX334" s="69">
        <f t="shared" si="2187"/>
        <v>0</v>
      </c>
      <c r="CY334" s="11"/>
      <c r="CZ334" s="12" t="e">
        <f t="shared" si="2153"/>
        <v>#DIV/0!</v>
      </c>
      <c r="DA334" s="11"/>
      <c r="DB334" s="12" t="e">
        <f t="shared" si="2154"/>
        <v>#DIV/0!</v>
      </c>
      <c r="DC334" s="13"/>
      <c r="DD334" s="11"/>
      <c r="DE334" s="25"/>
      <c r="DF334" s="38"/>
      <c r="DG334" s="10"/>
      <c r="DH334" s="11"/>
      <c r="DI334" s="69">
        <f t="shared" si="2188"/>
        <v>0</v>
      </c>
      <c r="DJ334" s="69">
        <f t="shared" si="2188"/>
        <v>0</v>
      </c>
      <c r="DK334" s="11"/>
      <c r="DL334" s="12" t="e">
        <f t="shared" si="2155"/>
        <v>#DIV/0!</v>
      </c>
      <c r="DM334" s="11"/>
      <c r="DN334" s="12" t="e">
        <f t="shared" si="2156"/>
        <v>#DIV/0!</v>
      </c>
      <c r="DO334" s="13"/>
      <c r="DP334" s="11"/>
      <c r="DQ334" s="25"/>
      <c r="DR334" s="38"/>
      <c r="DS334" s="10"/>
      <c r="DT334" s="11"/>
      <c r="DU334" s="69">
        <f t="shared" si="2189"/>
        <v>0</v>
      </c>
      <c r="DV334" s="69">
        <f t="shared" si="2189"/>
        <v>0</v>
      </c>
      <c r="DW334" s="11"/>
      <c r="DX334" s="12" t="e">
        <f t="shared" si="2157"/>
        <v>#DIV/0!</v>
      </c>
      <c r="DY334" s="11"/>
      <c r="DZ334" s="12" t="e">
        <f t="shared" si="2158"/>
        <v>#DIV/0!</v>
      </c>
      <c r="EA334" s="13"/>
      <c r="EB334" s="11"/>
      <c r="EC334" s="25"/>
      <c r="ED334" s="38"/>
      <c r="EE334" s="10"/>
      <c r="EF334" s="11"/>
      <c r="EG334" s="69">
        <f t="shared" si="2190"/>
        <v>0</v>
      </c>
      <c r="EH334" s="69">
        <f t="shared" si="2190"/>
        <v>0</v>
      </c>
      <c r="EI334" s="11"/>
      <c r="EJ334" s="12" t="e">
        <f t="shared" si="2159"/>
        <v>#DIV/0!</v>
      </c>
      <c r="EK334" s="11"/>
      <c r="EL334" s="12" t="e">
        <f t="shared" si="2160"/>
        <v>#DIV/0!</v>
      </c>
      <c r="EM334" s="13"/>
      <c r="EN334" s="11"/>
      <c r="EO334" s="25"/>
      <c r="EP334" s="38"/>
      <c r="EQ334" s="10"/>
      <c r="ER334" s="11"/>
      <c r="ES334" s="69">
        <f t="shared" si="2191"/>
        <v>0</v>
      </c>
      <c r="ET334" s="69">
        <f t="shared" si="2191"/>
        <v>0</v>
      </c>
      <c r="EU334" s="11"/>
      <c r="EV334" s="12" t="e">
        <f t="shared" si="2161"/>
        <v>#DIV/0!</v>
      </c>
      <c r="EW334" s="11"/>
      <c r="EX334" s="12" t="e">
        <f t="shared" si="2162"/>
        <v>#DIV/0!</v>
      </c>
      <c r="EY334" s="13"/>
      <c r="EZ334" s="11"/>
      <c r="FA334" s="25"/>
      <c r="FB334" s="38"/>
      <c r="FC334" s="10"/>
      <c r="FD334" s="11"/>
      <c r="FE334" s="69">
        <f t="shared" si="2192"/>
        <v>0</v>
      </c>
      <c r="FF334" s="69">
        <f t="shared" si="2192"/>
        <v>0</v>
      </c>
      <c r="FG334" s="11"/>
      <c r="FH334" s="12" t="e">
        <f t="shared" si="2163"/>
        <v>#DIV/0!</v>
      </c>
      <c r="FI334" s="11"/>
      <c r="FJ334" s="12" t="e">
        <f t="shared" si="2164"/>
        <v>#DIV/0!</v>
      </c>
      <c r="FK334" s="13"/>
      <c r="FL334" s="11"/>
      <c r="FM334" s="25"/>
      <c r="FN334" s="38"/>
      <c r="FO334" s="10"/>
      <c r="FP334" s="11"/>
      <c r="FQ334" s="69">
        <f t="shared" si="2193"/>
        <v>0</v>
      </c>
      <c r="FR334" s="69">
        <f t="shared" si="2193"/>
        <v>0</v>
      </c>
      <c r="FS334" s="11"/>
      <c r="FT334" s="12" t="e">
        <f t="shared" si="2165"/>
        <v>#DIV/0!</v>
      </c>
      <c r="FU334" s="11"/>
      <c r="FV334" s="12" t="e">
        <f t="shared" si="2166"/>
        <v>#DIV/0!</v>
      </c>
      <c r="FW334" s="13"/>
      <c r="FX334" s="11"/>
      <c r="FY334" s="25"/>
      <c r="FZ334" s="38"/>
      <c r="GA334" s="10"/>
      <c r="GB334" s="11"/>
      <c r="GC334" s="69">
        <f t="shared" si="2194"/>
        <v>0</v>
      </c>
      <c r="GD334" s="69">
        <f t="shared" si="2194"/>
        <v>0</v>
      </c>
      <c r="GE334" s="11"/>
      <c r="GF334" s="12" t="e">
        <f t="shared" si="2167"/>
        <v>#DIV/0!</v>
      </c>
      <c r="GG334" s="11"/>
      <c r="GH334" s="12" t="e">
        <f t="shared" si="2168"/>
        <v>#DIV/0!</v>
      </c>
      <c r="GI334" s="13"/>
      <c r="GJ334" s="11"/>
      <c r="GK334" s="25"/>
      <c r="GL334" s="38"/>
      <c r="GM334" s="10"/>
      <c r="GN334" s="11"/>
      <c r="GO334" s="69">
        <f t="shared" si="2195"/>
        <v>0</v>
      </c>
      <c r="GP334" s="69">
        <f t="shared" si="2195"/>
        <v>0</v>
      </c>
      <c r="GQ334" s="11"/>
      <c r="GR334" s="12" t="e">
        <f t="shared" si="2169"/>
        <v>#DIV/0!</v>
      </c>
      <c r="GS334" s="11"/>
      <c r="GT334" s="12" t="e">
        <f t="shared" si="2170"/>
        <v>#DIV/0!</v>
      </c>
      <c r="GU334" s="13"/>
      <c r="GV334" s="11"/>
      <c r="GW334" s="25"/>
      <c r="GX334" s="38"/>
      <c r="GY334" s="10"/>
      <c r="GZ334" s="11"/>
      <c r="HA334" s="69">
        <f t="shared" si="2196"/>
        <v>0</v>
      </c>
      <c r="HB334" s="69">
        <f t="shared" si="2196"/>
        <v>0</v>
      </c>
      <c r="HC334" s="11"/>
      <c r="HD334" s="12" t="e">
        <f t="shared" si="2171"/>
        <v>#DIV/0!</v>
      </c>
      <c r="HE334" s="11"/>
      <c r="HF334" s="12" t="e">
        <f t="shared" si="2172"/>
        <v>#DIV/0!</v>
      </c>
      <c r="HG334" s="13"/>
      <c r="HH334" s="11"/>
      <c r="HI334" s="25"/>
      <c r="HJ334" s="38"/>
      <c r="HK334" s="10">
        <f t="shared" si="2173"/>
        <v>3</v>
      </c>
      <c r="HL334" s="11">
        <f t="shared" si="2173"/>
        <v>0</v>
      </c>
      <c r="HM334" s="11">
        <f t="shared" si="2173"/>
        <v>3268</v>
      </c>
      <c r="HN334" s="11">
        <f t="shared" si="2173"/>
        <v>240</v>
      </c>
      <c r="HO334" s="11">
        <f t="shared" si="2174"/>
        <v>835</v>
      </c>
      <c r="HP334" s="95">
        <f t="shared" si="2175"/>
        <v>0.2555079559363525</v>
      </c>
      <c r="HQ334" s="15">
        <f t="shared" si="2176"/>
        <v>82</v>
      </c>
      <c r="HR334" s="12">
        <f t="shared" si="2197"/>
        <v>9.8203592814371257E-2</v>
      </c>
      <c r="HS334" s="16">
        <v>73.2</v>
      </c>
      <c r="HT334" s="17">
        <v>713</v>
      </c>
      <c r="HU334" s="16">
        <f t="shared" si="2177"/>
        <v>85.389221556886227</v>
      </c>
      <c r="HV334" s="23"/>
      <c r="HW334" s="22">
        <v>5463.75</v>
      </c>
    </row>
    <row r="335" spans="1:231" ht="18.75" x14ac:dyDescent="0.25">
      <c r="A335" s="374"/>
      <c r="B335" s="41">
        <f t="shared" si="2077"/>
        <v>45199</v>
      </c>
      <c r="C335" s="10">
        <v>1</v>
      </c>
      <c r="D335" s="11"/>
      <c r="E335" s="69">
        <f>E334-C335</f>
        <v>578</v>
      </c>
      <c r="F335" s="69">
        <f>F334-D335</f>
        <v>42</v>
      </c>
      <c r="G335" s="11">
        <v>144</v>
      </c>
      <c r="H335" s="12">
        <f t="shared" si="2138"/>
        <v>0.30449826989619377</v>
      </c>
      <c r="I335" s="11">
        <v>32</v>
      </c>
      <c r="J335" s="12">
        <f t="shared" si="2179"/>
        <v>0.18181818181818182</v>
      </c>
      <c r="K335" s="13"/>
      <c r="L335" s="11"/>
      <c r="M335" s="39"/>
      <c r="N335" s="43">
        <v>83.3</v>
      </c>
      <c r="O335" s="10"/>
      <c r="P335" s="11"/>
      <c r="Q335" s="69">
        <f t="shared" si="2180"/>
        <v>592</v>
      </c>
      <c r="R335" s="69">
        <f t="shared" si="2180"/>
        <v>44</v>
      </c>
      <c r="S335" s="11">
        <v>125</v>
      </c>
      <c r="T335" s="12">
        <f t="shared" si="2139"/>
        <v>0.24493243243243243</v>
      </c>
      <c r="U335" s="11">
        <v>20</v>
      </c>
      <c r="V335" s="12">
        <f t="shared" si="2140"/>
        <v>0.13793103448275862</v>
      </c>
      <c r="W335" s="13"/>
      <c r="X335" s="11"/>
      <c r="Y335" s="39"/>
      <c r="Z335" s="43">
        <v>81.819999999999993</v>
      </c>
      <c r="AA335" s="10"/>
      <c r="AB335" s="11"/>
      <c r="AC335" s="69">
        <f t="shared" si="2181"/>
        <v>121</v>
      </c>
      <c r="AD335" s="69">
        <f t="shared" si="2181"/>
        <v>8</v>
      </c>
      <c r="AE335" s="11">
        <v>27</v>
      </c>
      <c r="AF335" s="12">
        <f t="shared" si="2141"/>
        <v>0.27272727272727271</v>
      </c>
      <c r="AG335" s="11">
        <v>6</v>
      </c>
      <c r="AH335" s="12">
        <f t="shared" si="2142"/>
        <v>0.18181818181818182</v>
      </c>
      <c r="AI335" s="13"/>
      <c r="AJ335" s="11"/>
      <c r="AK335" s="39"/>
      <c r="AL335" s="43">
        <v>100</v>
      </c>
      <c r="AM335" s="10">
        <v>1</v>
      </c>
      <c r="AN335" s="11"/>
      <c r="AO335" s="69">
        <f t="shared" si="2182"/>
        <v>657</v>
      </c>
      <c r="AP335" s="69">
        <f t="shared" si="2182"/>
        <v>49</v>
      </c>
      <c r="AQ335" s="11">
        <v>134</v>
      </c>
      <c r="AR335" s="12">
        <f t="shared" si="2143"/>
        <v>0.22678843226788431</v>
      </c>
      <c r="AS335" s="11">
        <v>15</v>
      </c>
      <c r="AT335" s="12">
        <f t="shared" si="2144"/>
        <v>0.10067114093959731</v>
      </c>
      <c r="AU335" s="13"/>
      <c r="AV335" s="11"/>
      <c r="AW335" s="39"/>
      <c r="AX335" s="43">
        <v>100</v>
      </c>
      <c r="AY335" s="10">
        <v>2</v>
      </c>
      <c r="AZ335" s="11"/>
      <c r="BA335" s="69">
        <f t="shared" si="2183"/>
        <v>658</v>
      </c>
      <c r="BB335" s="69">
        <f t="shared" si="2183"/>
        <v>48</v>
      </c>
      <c r="BC335" s="11">
        <v>147</v>
      </c>
      <c r="BD335" s="12">
        <f t="shared" si="2145"/>
        <v>0.24164133738601823</v>
      </c>
      <c r="BE335" s="11">
        <v>12</v>
      </c>
      <c r="BF335" s="12">
        <f t="shared" si="2146"/>
        <v>7.5471698113207544E-2</v>
      </c>
      <c r="BG335" s="13"/>
      <c r="BH335" s="11"/>
      <c r="BI335" s="39"/>
      <c r="BJ335" s="43">
        <v>100</v>
      </c>
      <c r="BK335" s="10">
        <v>2</v>
      </c>
      <c r="BL335" s="11"/>
      <c r="BM335" s="69">
        <f t="shared" si="2184"/>
        <v>656</v>
      </c>
      <c r="BN335" s="69">
        <f t="shared" si="2184"/>
        <v>49</v>
      </c>
      <c r="BO335" s="11">
        <v>138</v>
      </c>
      <c r="BP335" s="12">
        <f t="shared" si="2147"/>
        <v>0.22865853658536586</v>
      </c>
      <c r="BQ335" s="11">
        <v>12</v>
      </c>
      <c r="BR335" s="12">
        <f t="shared" si="2148"/>
        <v>0.08</v>
      </c>
      <c r="BS335" s="13"/>
      <c r="BT335" s="11"/>
      <c r="BU335" s="39"/>
      <c r="BV335" s="43">
        <v>100</v>
      </c>
      <c r="BW335" s="10"/>
      <c r="BX335" s="11"/>
      <c r="BY335" s="69">
        <f t="shared" si="2185"/>
        <v>0</v>
      </c>
      <c r="BZ335" s="69">
        <f t="shared" si="2185"/>
        <v>0</v>
      </c>
      <c r="CA335" s="11"/>
      <c r="CB335" s="12" t="e">
        <f t="shared" si="2149"/>
        <v>#DIV/0!</v>
      </c>
      <c r="CC335" s="11"/>
      <c r="CD335" s="12" t="e">
        <f t="shared" si="2150"/>
        <v>#DIV/0!</v>
      </c>
      <c r="CE335" s="13"/>
      <c r="CF335" s="11"/>
      <c r="CG335" s="39"/>
      <c r="CH335" s="43"/>
      <c r="CI335" s="10"/>
      <c r="CJ335" s="11"/>
      <c r="CK335" s="69">
        <f t="shared" si="2186"/>
        <v>0</v>
      </c>
      <c r="CL335" s="69">
        <f t="shared" si="2186"/>
        <v>0</v>
      </c>
      <c r="CM335" s="11"/>
      <c r="CN335" s="12" t="e">
        <f t="shared" si="2151"/>
        <v>#DIV/0!</v>
      </c>
      <c r="CO335" s="11"/>
      <c r="CP335" s="12" t="e">
        <f t="shared" si="2152"/>
        <v>#DIV/0!</v>
      </c>
      <c r="CQ335" s="13"/>
      <c r="CR335" s="11"/>
      <c r="CS335" s="39"/>
      <c r="CT335" s="43"/>
      <c r="CU335" s="10"/>
      <c r="CV335" s="11"/>
      <c r="CW335" s="69">
        <f t="shared" si="2187"/>
        <v>0</v>
      </c>
      <c r="CX335" s="69">
        <f t="shared" si="2187"/>
        <v>0</v>
      </c>
      <c r="CY335" s="11"/>
      <c r="CZ335" s="12" t="e">
        <f t="shared" si="2153"/>
        <v>#DIV/0!</v>
      </c>
      <c r="DA335" s="11"/>
      <c r="DB335" s="12" t="e">
        <f t="shared" si="2154"/>
        <v>#DIV/0!</v>
      </c>
      <c r="DC335" s="13"/>
      <c r="DD335" s="11"/>
      <c r="DE335" s="39"/>
      <c r="DF335" s="43"/>
      <c r="DG335" s="10"/>
      <c r="DH335" s="11"/>
      <c r="DI335" s="69">
        <f t="shared" si="2188"/>
        <v>0</v>
      </c>
      <c r="DJ335" s="69">
        <f t="shared" si="2188"/>
        <v>0</v>
      </c>
      <c r="DK335" s="11"/>
      <c r="DL335" s="12" t="e">
        <f t="shared" si="2155"/>
        <v>#DIV/0!</v>
      </c>
      <c r="DM335" s="11"/>
      <c r="DN335" s="12" t="e">
        <f t="shared" si="2156"/>
        <v>#DIV/0!</v>
      </c>
      <c r="DO335" s="13"/>
      <c r="DP335" s="11"/>
      <c r="DQ335" s="39"/>
      <c r="DR335" s="43"/>
      <c r="DS335" s="10"/>
      <c r="DT335" s="11"/>
      <c r="DU335" s="69">
        <f t="shared" si="2189"/>
        <v>0</v>
      </c>
      <c r="DV335" s="69">
        <f t="shared" si="2189"/>
        <v>0</v>
      </c>
      <c r="DW335" s="11"/>
      <c r="DX335" s="12" t="e">
        <f t="shared" si="2157"/>
        <v>#DIV/0!</v>
      </c>
      <c r="DY335" s="11"/>
      <c r="DZ335" s="12" t="e">
        <f t="shared" si="2158"/>
        <v>#DIV/0!</v>
      </c>
      <c r="EA335" s="13"/>
      <c r="EB335" s="11"/>
      <c r="EC335" s="39"/>
      <c r="ED335" s="43"/>
      <c r="EE335" s="10"/>
      <c r="EF335" s="11"/>
      <c r="EG335" s="69">
        <f t="shared" si="2190"/>
        <v>0</v>
      </c>
      <c r="EH335" s="69">
        <f t="shared" si="2190"/>
        <v>0</v>
      </c>
      <c r="EI335" s="11"/>
      <c r="EJ335" s="12" t="e">
        <f t="shared" si="2159"/>
        <v>#DIV/0!</v>
      </c>
      <c r="EK335" s="11"/>
      <c r="EL335" s="12" t="e">
        <f t="shared" si="2160"/>
        <v>#DIV/0!</v>
      </c>
      <c r="EM335" s="13"/>
      <c r="EN335" s="11"/>
      <c r="EO335" s="39"/>
      <c r="EP335" s="43"/>
      <c r="EQ335" s="10"/>
      <c r="ER335" s="11"/>
      <c r="ES335" s="69">
        <f t="shared" si="2191"/>
        <v>0</v>
      </c>
      <c r="ET335" s="69">
        <f t="shared" si="2191"/>
        <v>0</v>
      </c>
      <c r="EU335" s="11"/>
      <c r="EV335" s="12" t="e">
        <f t="shared" si="2161"/>
        <v>#DIV/0!</v>
      </c>
      <c r="EW335" s="11"/>
      <c r="EX335" s="12" t="e">
        <f t="shared" si="2162"/>
        <v>#DIV/0!</v>
      </c>
      <c r="EY335" s="13"/>
      <c r="EZ335" s="11"/>
      <c r="FA335" s="39"/>
      <c r="FB335" s="43"/>
      <c r="FC335" s="10"/>
      <c r="FD335" s="11"/>
      <c r="FE335" s="69">
        <f t="shared" si="2192"/>
        <v>0</v>
      </c>
      <c r="FF335" s="69">
        <f t="shared" si="2192"/>
        <v>0</v>
      </c>
      <c r="FG335" s="11"/>
      <c r="FH335" s="12" t="e">
        <f t="shared" si="2163"/>
        <v>#DIV/0!</v>
      </c>
      <c r="FI335" s="11"/>
      <c r="FJ335" s="12" t="e">
        <f t="shared" si="2164"/>
        <v>#DIV/0!</v>
      </c>
      <c r="FK335" s="13"/>
      <c r="FL335" s="11"/>
      <c r="FM335" s="39"/>
      <c r="FN335" s="43"/>
      <c r="FO335" s="10"/>
      <c r="FP335" s="11"/>
      <c r="FQ335" s="69">
        <f t="shared" si="2193"/>
        <v>0</v>
      </c>
      <c r="FR335" s="69">
        <f t="shared" si="2193"/>
        <v>0</v>
      </c>
      <c r="FS335" s="11"/>
      <c r="FT335" s="12" t="e">
        <f t="shared" si="2165"/>
        <v>#DIV/0!</v>
      </c>
      <c r="FU335" s="11"/>
      <c r="FV335" s="12" t="e">
        <f t="shared" si="2166"/>
        <v>#DIV/0!</v>
      </c>
      <c r="FW335" s="13"/>
      <c r="FX335" s="11"/>
      <c r="FY335" s="39"/>
      <c r="FZ335" s="43"/>
      <c r="GA335" s="10"/>
      <c r="GB335" s="11"/>
      <c r="GC335" s="69">
        <f t="shared" si="2194"/>
        <v>0</v>
      </c>
      <c r="GD335" s="69">
        <f t="shared" si="2194"/>
        <v>0</v>
      </c>
      <c r="GE335" s="11"/>
      <c r="GF335" s="12" t="e">
        <f t="shared" si="2167"/>
        <v>#DIV/0!</v>
      </c>
      <c r="GG335" s="11"/>
      <c r="GH335" s="12" t="e">
        <f t="shared" si="2168"/>
        <v>#DIV/0!</v>
      </c>
      <c r="GI335" s="13"/>
      <c r="GJ335" s="11"/>
      <c r="GK335" s="39"/>
      <c r="GL335" s="43"/>
      <c r="GM335" s="10"/>
      <c r="GN335" s="11"/>
      <c r="GO335" s="69">
        <f t="shared" si="2195"/>
        <v>0</v>
      </c>
      <c r="GP335" s="69">
        <f t="shared" si="2195"/>
        <v>0</v>
      </c>
      <c r="GQ335" s="11"/>
      <c r="GR335" s="12" t="e">
        <f t="shared" si="2169"/>
        <v>#DIV/0!</v>
      </c>
      <c r="GS335" s="11"/>
      <c r="GT335" s="12" t="e">
        <f t="shared" si="2170"/>
        <v>#DIV/0!</v>
      </c>
      <c r="GU335" s="13"/>
      <c r="GV335" s="11"/>
      <c r="GW335" s="39"/>
      <c r="GX335" s="43"/>
      <c r="GY335" s="10"/>
      <c r="GZ335" s="11"/>
      <c r="HA335" s="69">
        <f t="shared" si="2196"/>
        <v>0</v>
      </c>
      <c r="HB335" s="69">
        <f t="shared" si="2196"/>
        <v>0</v>
      </c>
      <c r="HC335" s="11"/>
      <c r="HD335" s="12" t="e">
        <f t="shared" si="2171"/>
        <v>#DIV/0!</v>
      </c>
      <c r="HE335" s="11"/>
      <c r="HF335" s="12" t="e">
        <f t="shared" si="2172"/>
        <v>#DIV/0!</v>
      </c>
      <c r="HG335" s="13"/>
      <c r="HH335" s="11"/>
      <c r="HI335" s="39"/>
      <c r="HJ335" s="43"/>
      <c r="HK335" s="10">
        <f t="shared" si="2173"/>
        <v>6</v>
      </c>
      <c r="HL335" s="11">
        <f t="shared" si="2173"/>
        <v>0</v>
      </c>
      <c r="HM335" s="11">
        <f t="shared" si="2173"/>
        <v>3262</v>
      </c>
      <c r="HN335" s="11">
        <f t="shared" si="2173"/>
        <v>240</v>
      </c>
      <c r="HO335" s="11">
        <f t="shared" si="2174"/>
        <v>812</v>
      </c>
      <c r="HP335" s="95">
        <f t="shared" si="2175"/>
        <v>0.24892703862660945</v>
      </c>
      <c r="HQ335" s="15">
        <f t="shared" si="2176"/>
        <v>97</v>
      </c>
      <c r="HR335" s="12">
        <f t="shared" si="2197"/>
        <v>0.11945812807881774</v>
      </c>
      <c r="HS335" s="16">
        <v>73.2</v>
      </c>
      <c r="HT335" s="17">
        <v>672</v>
      </c>
      <c r="HU335" s="16">
        <f t="shared" si="2177"/>
        <v>82.758620689655174</v>
      </c>
      <c r="HV335" s="23"/>
      <c r="HW335" s="22">
        <v>87.5</v>
      </c>
    </row>
    <row r="336" spans="1:231" ht="19.5" thickBot="1" x14ac:dyDescent="0.3">
      <c r="A336" s="374"/>
      <c r="B336" s="42"/>
      <c r="C336" s="26">
        <f>SUM(C329:C335)</f>
        <v>5</v>
      </c>
      <c r="D336" s="27">
        <f>SUM(D329:D335)</f>
        <v>0</v>
      </c>
      <c r="E336" s="27"/>
      <c r="F336" s="27"/>
      <c r="G336" s="27">
        <f>SUM(G329:G335)</f>
        <v>1033</v>
      </c>
      <c r="H336" s="28">
        <f>((G336+I336)/7)/E335</f>
        <v>0.2852199703410776</v>
      </c>
      <c r="I336" s="27">
        <f>SUM(I329:I335)</f>
        <v>121</v>
      </c>
      <c r="J336" s="28">
        <f>(I336/(I336+G336))</f>
        <v>0.1048526863084922</v>
      </c>
      <c r="K336" s="27"/>
      <c r="L336" s="27"/>
      <c r="M336" s="29" t="e">
        <f>M334/M333*100-100</f>
        <v>#DIV/0!</v>
      </c>
      <c r="N336" s="67">
        <f>N334/N333*100-100</f>
        <v>7.3428278688524529</v>
      </c>
      <c r="O336" s="26">
        <f>SUM(O329:O335)</f>
        <v>1</v>
      </c>
      <c r="P336" s="27">
        <f>SUM(P329:P335)</f>
        <v>0</v>
      </c>
      <c r="Q336" s="27"/>
      <c r="R336" s="27"/>
      <c r="S336" s="27">
        <f>SUM(S329:S335)</f>
        <v>981</v>
      </c>
      <c r="T336" s="28">
        <f>((S336+U336)/7)/Q335</f>
        <v>0.26278957528957531</v>
      </c>
      <c r="U336" s="27">
        <f>SUM(U329:U335)</f>
        <v>108</v>
      </c>
      <c r="V336" s="28">
        <f>(U336/(U336+S336))</f>
        <v>9.9173553719008267E-2</v>
      </c>
      <c r="W336" s="27"/>
      <c r="X336" s="27"/>
      <c r="Y336" s="29" t="e">
        <f>Y334/Y333*100-100</f>
        <v>#DIV/0!</v>
      </c>
      <c r="Z336" s="67">
        <f>Z334/Z333*100-100</f>
        <v>9.8174180327868896</v>
      </c>
      <c r="AA336" s="26">
        <f>SUM(AA329:AA335)</f>
        <v>4</v>
      </c>
      <c r="AB336" s="27">
        <f>SUM(AB329:AB335)</f>
        <v>1</v>
      </c>
      <c r="AC336" s="27"/>
      <c r="AD336" s="27"/>
      <c r="AE336" s="27">
        <f>SUM(AE329:AE335)</f>
        <v>228</v>
      </c>
      <c r="AF336" s="28">
        <f>((AE336+AG336)/7)/AC335</f>
        <v>0.3093270365997639</v>
      </c>
      <c r="AG336" s="27">
        <f>SUM(AG329:AG335)</f>
        <v>34</v>
      </c>
      <c r="AH336" s="28">
        <f>(AG336/(AG336+AE336))</f>
        <v>0.12977099236641221</v>
      </c>
      <c r="AI336" s="27"/>
      <c r="AJ336" s="27"/>
      <c r="AK336" s="29" t="e">
        <f>AK334/AK333*100-100</f>
        <v>#DIV/0!</v>
      </c>
      <c r="AL336" s="67">
        <f>AL334/AL333*100-100</f>
        <v>-3.8252049180327816</v>
      </c>
      <c r="AM336" s="26">
        <f>SUM(AM329:AM335)</f>
        <v>3</v>
      </c>
      <c r="AN336" s="27">
        <f>SUM(AN329:AN335)</f>
        <v>0</v>
      </c>
      <c r="AO336" s="27"/>
      <c r="AP336" s="27"/>
      <c r="AQ336" s="27">
        <f>SUM(AQ329:AQ335)</f>
        <v>1021</v>
      </c>
      <c r="AR336" s="28">
        <f>((AQ336+AS336)/7)/AO335</f>
        <v>0.24092193955207653</v>
      </c>
      <c r="AS336" s="27">
        <f>SUM(AS329:AS335)</f>
        <v>87</v>
      </c>
      <c r="AT336" s="28">
        <f>(AS336/(AS336+AQ336))</f>
        <v>7.8519855595667876E-2</v>
      </c>
      <c r="AU336" s="27"/>
      <c r="AV336" s="27"/>
      <c r="AW336" s="29" t="e">
        <f>AW334/AW333*100-100</f>
        <v>#DIV/0!</v>
      </c>
      <c r="AX336" s="67">
        <f>AX334/AX333*100-100</f>
        <v>16.002254098360652</v>
      </c>
      <c r="AY336" s="26">
        <f>SUM(AY329:AY335)</f>
        <v>2</v>
      </c>
      <c r="AZ336" s="27">
        <f>SUM(AZ329:AZ335)</f>
        <v>0</v>
      </c>
      <c r="BA336" s="27"/>
      <c r="BB336" s="27"/>
      <c r="BC336" s="27">
        <f>SUM(BC329:BC335)</f>
        <v>1021</v>
      </c>
      <c r="BD336" s="28">
        <f>((BC336+BE336)/7)/BA335</f>
        <v>0.24858879722101609</v>
      </c>
      <c r="BE336" s="27">
        <f>SUM(BE329:BE335)</f>
        <v>124</v>
      </c>
      <c r="BF336" s="28">
        <f>(BE336/(BE336+BC336))</f>
        <v>0.10829694323144105</v>
      </c>
      <c r="BG336" s="27"/>
      <c r="BH336" s="27"/>
      <c r="BI336" s="29" t="e">
        <f>BI334/BI333*100-100</f>
        <v>#DIV/0!</v>
      </c>
      <c r="BJ336" s="67">
        <f>BJ334/BJ333*100-100</f>
        <v>13.615573770491778</v>
      </c>
      <c r="BK336" s="26">
        <f>SUM(BK329:BK335)</f>
        <v>3</v>
      </c>
      <c r="BL336" s="27">
        <f>SUM(BL329:BL335)</f>
        <v>0</v>
      </c>
      <c r="BM336" s="27"/>
      <c r="BN336" s="27"/>
      <c r="BO336" s="27">
        <f>SUM(BO329:BO335)</f>
        <v>1028</v>
      </c>
      <c r="BP336" s="28">
        <f>((BO336+BQ336)/7)/BM335</f>
        <v>0.23998257839721251</v>
      </c>
      <c r="BQ336" s="27">
        <f>SUM(BQ329:BQ335)</f>
        <v>74</v>
      </c>
      <c r="BR336" s="28">
        <f>(BQ336/(BQ336+BO336))</f>
        <v>6.7150635208711437E-2</v>
      </c>
      <c r="BS336" s="27"/>
      <c r="BT336" s="27"/>
      <c r="BU336" s="29" t="e">
        <f>BU334/BU333*100-100</f>
        <v>#DIV/0!</v>
      </c>
      <c r="BV336" s="67">
        <f>BV334/BV333*100-100</f>
        <v>18.668032786885249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7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7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7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7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7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7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7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7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7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7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7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7" t="e">
        <f>HJ334/HJ333*100-100</f>
        <v>#DIV/0!</v>
      </c>
      <c r="HK336" s="26">
        <f t="shared" si="2173"/>
        <v>18</v>
      </c>
      <c r="HL336" s="27">
        <f t="shared" si="2173"/>
        <v>1</v>
      </c>
      <c r="HM336" s="27">
        <f t="shared" si="2173"/>
        <v>0</v>
      </c>
      <c r="HN336" s="27">
        <f t="shared" si="2173"/>
        <v>0</v>
      </c>
      <c r="HO336" s="27">
        <f t="shared" si="2174"/>
        <v>5860</v>
      </c>
      <c r="HP336" s="96">
        <f>+((HO336)/HM335)/7</f>
        <v>0.25663484277831305</v>
      </c>
      <c r="HQ336" s="62">
        <f t="shared" si="2176"/>
        <v>548</v>
      </c>
      <c r="HR336" s="52">
        <f t="shared" si="2197"/>
        <v>9.3515358361774742E-2</v>
      </c>
      <c r="HS336" s="53">
        <f>SUM(HS329:HS335)/7</f>
        <v>73.128571428571419</v>
      </c>
      <c r="HT336" s="54">
        <f>SUM(HT329:HT335)</f>
        <v>4995</v>
      </c>
      <c r="HU336" s="53">
        <f>AVERAGE(HU329:HU335)</f>
        <v>85.291377446985251</v>
      </c>
      <c r="HV336" s="63" t="e">
        <f>HV334/HV333*100-100</f>
        <v>#DIV/0!</v>
      </c>
      <c r="HW336" s="67">
        <f>HW334/HW333*100-100</f>
        <v>11.962090163934434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5.4878048780487802E-3</v>
      </c>
      <c r="HL337" s="66">
        <f>HL336/HN326</f>
        <v>4.1493775933609959E-3</v>
      </c>
      <c r="HM337" s="45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373">
        <v>62</v>
      </c>
      <c r="B338" s="68">
        <f>B335+1</f>
        <v>45200</v>
      </c>
      <c r="C338" s="33">
        <v>1</v>
      </c>
      <c r="D338" s="34"/>
      <c r="E338" s="34">
        <f>E335-C338</f>
        <v>577</v>
      </c>
      <c r="F338" s="34">
        <f>F335-D338</f>
        <v>42</v>
      </c>
      <c r="G338" s="34">
        <v>131</v>
      </c>
      <c r="H338" s="35">
        <f t="shared" ref="H338:H344" si="2198">((G338+I338)/E338)</f>
        <v>0.27729636048526862</v>
      </c>
      <c r="I338" s="34">
        <v>29</v>
      </c>
      <c r="J338" s="35">
        <f>I338/(G338+I338)</f>
        <v>0.18124999999999999</v>
      </c>
      <c r="K338" s="36"/>
      <c r="L338" s="34"/>
      <c r="M338" s="34"/>
      <c r="N338" s="37"/>
      <c r="O338" s="33">
        <v>2</v>
      </c>
      <c r="P338" s="34"/>
      <c r="Q338" s="34">
        <f>Q335-O338</f>
        <v>590</v>
      </c>
      <c r="R338" s="34">
        <f>R335-P338</f>
        <v>44</v>
      </c>
      <c r="S338" s="34">
        <v>142</v>
      </c>
      <c r="T338" s="35">
        <f t="shared" ref="T338:T344" si="2199">((S338+U338)/Q338)</f>
        <v>0.27288135593220336</v>
      </c>
      <c r="U338" s="34">
        <v>19</v>
      </c>
      <c r="V338" s="35">
        <f t="shared" ref="V338:V344" si="2200">U338/(S338+U338)</f>
        <v>0.11801242236024845</v>
      </c>
      <c r="W338" s="36"/>
      <c r="X338" s="34"/>
      <c r="Y338" s="34"/>
      <c r="Z338" s="37"/>
      <c r="AA338" s="33"/>
      <c r="AB338" s="34"/>
      <c r="AC338" s="34">
        <f>AC335-AA338</f>
        <v>121</v>
      </c>
      <c r="AD338" s="34">
        <f>AD335-AB338</f>
        <v>8</v>
      </c>
      <c r="AE338" s="34">
        <v>27</v>
      </c>
      <c r="AF338" s="35">
        <f t="shared" ref="AF338:AF344" si="2201">((AE338+AG338)/AC338)</f>
        <v>0.24793388429752067</v>
      </c>
      <c r="AG338" s="34">
        <v>3</v>
      </c>
      <c r="AH338" s="35">
        <f t="shared" ref="AH338:AH344" si="2202">AG338/(AE338+AG338)</f>
        <v>0.1</v>
      </c>
      <c r="AI338" s="36"/>
      <c r="AJ338" s="34"/>
      <c r="AK338" s="34"/>
      <c r="AL338" s="37"/>
      <c r="AM338" s="33"/>
      <c r="AN338" s="34"/>
      <c r="AO338" s="34">
        <f>AO335-AM338</f>
        <v>657</v>
      </c>
      <c r="AP338" s="34">
        <f>AP335-AN338</f>
        <v>49</v>
      </c>
      <c r="AQ338" s="34">
        <v>141</v>
      </c>
      <c r="AR338" s="35">
        <f t="shared" ref="AR338:AR344" si="2203">((AQ338+AS338)/AO338)</f>
        <v>0.22678843226788431</v>
      </c>
      <c r="AS338" s="34">
        <v>8</v>
      </c>
      <c r="AT338" s="35">
        <f t="shared" ref="AT338:AT344" si="2204">AS338/(AQ338+AS338)</f>
        <v>5.3691275167785234E-2</v>
      </c>
      <c r="AU338" s="36"/>
      <c r="AV338" s="34"/>
      <c r="AW338" s="34"/>
      <c r="AX338" s="37"/>
      <c r="AY338" s="33">
        <v>1</v>
      </c>
      <c r="AZ338" s="34"/>
      <c r="BA338" s="34">
        <f>BA335-AY338</f>
        <v>657</v>
      </c>
      <c r="BB338" s="34">
        <f>BB335-AZ338</f>
        <v>48</v>
      </c>
      <c r="BC338" s="34">
        <v>130</v>
      </c>
      <c r="BD338" s="35">
        <f t="shared" ref="BD338:BD344" si="2205">((BC338+BE338)/BA338)</f>
        <v>0.22222222222222221</v>
      </c>
      <c r="BE338" s="34">
        <v>16</v>
      </c>
      <c r="BF338" s="35">
        <f t="shared" ref="BF338:BF344" si="2206">BE338/(BC338+BE338)</f>
        <v>0.1095890410958904</v>
      </c>
      <c r="BG338" s="36"/>
      <c r="BH338" s="34"/>
      <c r="BI338" s="34"/>
      <c r="BJ338" s="37"/>
      <c r="BK338" s="33"/>
      <c r="BL338" s="34"/>
      <c r="BM338" s="34">
        <f>BM335-BK338</f>
        <v>656</v>
      </c>
      <c r="BN338" s="34">
        <f>BN335-BL338</f>
        <v>49</v>
      </c>
      <c r="BO338" s="34">
        <v>127</v>
      </c>
      <c r="BP338" s="35">
        <f t="shared" ref="BP338:BP344" si="2207">((BO338+BQ338)/BM338)</f>
        <v>0.21798780487804878</v>
      </c>
      <c r="BQ338" s="34">
        <v>16</v>
      </c>
      <c r="BR338" s="35">
        <f t="shared" ref="BR338:BR344" si="2208">BQ338/(BO338+BQ338)</f>
        <v>0.11188811188811189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209">((CA338+CC338)/BY338)</f>
        <v>#DIV/0!</v>
      </c>
      <c r="CC338" s="34"/>
      <c r="CD338" s="35" t="e">
        <f t="shared" ref="CD338:CD344" si="2210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211">((CM338+CO338)/CK338)</f>
        <v>#DIV/0!</v>
      </c>
      <c r="CO338" s="34"/>
      <c r="CP338" s="35" t="e">
        <f t="shared" ref="CP338:CP344" si="2212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213">((CY338+DA338)/CW338)</f>
        <v>#DIV/0!</v>
      </c>
      <c r="DA338" s="34"/>
      <c r="DB338" s="35" t="e">
        <f t="shared" ref="DB338:DB344" si="2214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215">((DK338+DM338)/DI338)</f>
        <v>#DIV/0!</v>
      </c>
      <c r="DM338" s="34"/>
      <c r="DN338" s="35" t="e">
        <f t="shared" ref="DN338:DN344" si="2216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217">((DW338+DY338)/DU338)</f>
        <v>#DIV/0!</v>
      </c>
      <c r="DY338" s="34"/>
      <c r="DZ338" s="35" t="e">
        <f t="shared" ref="DZ338:DZ344" si="2218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219">((EI338+EK338)/EG338)</f>
        <v>#DIV/0!</v>
      </c>
      <c r="EK338" s="34"/>
      <c r="EL338" s="35" t="e">
        <f t="shared" ref="EL338:EL344" si="2220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221">((EU338+EW338)/ES338)</f>
        <v>#DIV/0!</v>
      </c>
      <c r="EW338" s="34"/>
      <c r="EX338" s="35" t="e">
        <f t="shared" ref="EX338:EX344" si="2222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223">((FG338+FI338)/FE338)</f>
        <v>#DIV/0!</v>
      </c>
      <c r="FI338" s="34"/>
      <c r="FJ338" s="35" t="e">
        <f t="shared" ref="FJ338:FJ344" si="2224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225">((FS338+FU338)/FQ338)</f>
        <v>#DIV/0!</v>
      </c>
      <c r="FU338" s="34"/>
      <c r="FV338" s="35" t="e">
        <f t="shared" ref="FV338:FV344" si="2226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227">((GE338+GG338)/GC338)</f>
        <v>#DIV/0!</v>
      </c>
      <c r="GG338" s="34"/>
      <c r="GH338" s="35" t="e">
        <f t="shared" ref="GH338:GH344" si="2228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229">((GQ338+GS338)/GO338)</f>
        <v>#DIV/0!</v>
      </c>
      <c r="GS338" s="34"/>
      <c r="GT338" s="35" t="e">
        <f t="shared" ref="GT338:GT344" si="2230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231">((HC338+HE338)/HA338)</f>
        <v>#DIV/0!</v>
      </c>
      <c r="HE338" s="34"/>
      <c r="HF338" s="35" t="e">
        <f t="shared" ref="HF338:HF344" si="2232">HE338/(HC338+HE338)</f>
        <v>#DIV/0!</v>
      </c>
      <c r="HG338" s="36"/>
      <c r="HH338" s="34"/>
      <c r="HI338" s="34"/>
      <c r="HJ338" s="37"/>
      <c r="HK338" s="33">
        <f t="shared" ref="HK338:HN345" si="2233">+C338+O338+AA338+AM338+AY338+BK338+BW338+CI338+CU338+DG338+DS338+EE338+EQ338+FC338+FO338+GA338+GM338+GY338</f>
        <v>4</v>
      </c>
      <c r="HL338" s="34">
        <f t="shared" si="2233"/>
        <v>0</v>
      </c>
      <c r="HM338" s="34">
        <f t="shared" si="2233"/>
        <v>3258</v>
      </c>
      <c r="HN338" s="34">
        <f t="shared" si="2233"/>
        <v>240</v>
      </c>
      <c r="HO338" s="34">
        <f t="shared" ref="HO338:HO345" si="2234">+G338+S338+AE338+AQ338+BC338+BO338+CA338+CM338+CY338+DK338+DW338+EI338+EU338+FG338+FS338+GE338+GQ338+HC338+I338+U338+AG338+AS338+BE338+BQ338+CC338+CO338+DA338+DM338+DY338+EK338+EW338+FI338+FU338+GG338+GS338+HE338</f>
        <v>789</v>
      </c>
      <c r="HP338" s="94">
        <f t="shared" ref="HP338:HP344" si="2235">+(HO338)/HM338</f>
        <v>0.24217311233885819</v>
      </c>
      <c r="HQ338" s="48">
        <f t="shared" ref="HQ338:HQ345" si="2236">+I338+U338+AG338+AS338+BE338+BQ338+CC338+CO338+DA338+DM338+DY338+EK338+EW338+FI338+FU338+GG338+GS338+HE338</f>
        <v>91</v>
      </c>
      <c r="HR338" s="35">
        <f>+(HQ338/(HO338))</f>
        <v>0.11533586818757921</v>
      </c>
      <c r="HS338" s="49">
        <v>73.3</v>
      </c>
      <c r="HT338" s="50">
        <v>668</v>
      </c>
      <c r="HU338" s="49">
        <f t="shared" ref="HU338:HU344" si="2237">+HT338/HO338*100</f>
        <v>84.664131812420777</v>
      </c>
      <c r="HV338" s="48"/>
      <c r="HW338" s="37"/>
    </row>
    <row r="339" spans="1:231" ht="18.75" x14ac:dyDescent="0.25">
      <c r="A339" s="374"/>
      <c r="B339" s="41">
        <f t="shared" si="2077"/>
        <v>45201</v>
      </c>
      <c r="C339" s="10">
        <v>1</v>
      </c>
      <c r="D339" s="11"/>
      <c r="E339" s="69">
        <f t="shared" ref="E339:F343" si="2238">E338-C339</f>
        <v>576</v>
      </c>
      <c r="F339" s="69">
        <f t="shared" si="2238"/>
        <v>42</v>
      </c>
      <c r="G339" s="11">
        <v>129</v>
      </c>
      <c r="H339" s="12">
        <f t="shared" si="2198"/>
        <v>0.2638888888888889</v>
      </c>
      <c r="I339" s="11">
        <v>23</v>
      </c>
      <c r="J339" s="12">
        <f t="shared" ref="J339:J344" si="2239">I339/(G339+I339)</f>
        <v>0.15131578947368421</v>
      </c>
      <c r="K339" s="13"/>
      <c r="L339" s="11"/>
      <c r="M339" s="11"/>
      <c r="N339" s="14"/>
      <c r="O339" s="10"/>
      <c r="P339" s="11"/>
      <c r="Q339" s="69">
        <f t="shared" ref="Q339:R344" si="2240">Q338-O339</f>
        <v>590</v>
      </c>
      <c r="R339" s="69">
        <f t="shared" si="2240"/>
        <v>44</v>
      </c>
      <c r="S339" s="11">
        <v>139</v>
      </c>
      <c r="T339" s="12">
        <f t="shared" si="2199"/>
        <v>0.26271186440677968</v>
      </c>
      <c r="U339" s="11">
        <v>16</v>
      </c>
      <c r="V339" s="12">
        <f t="shared" si="2200"/>
        <v>0.1032258064516129</v>
      </c>
      <c r="W339" s="13"/>
      <c r="X339" s="11"/>
      <c r="Y339" s="11"/>
      <c r="Z339" s="14"/>
      <c r="AA339" s="10">
        <v>1</v>
      </c>
      <c r="AB339" s="11"/>
      <c r="AC339" s="69">
        <f t="shared" ref="AC339:AD344" si="2241">AC338-AA339</f>
        <v>120</v>
      </c>
      <c r="AD339" s="69">
        <f t="shared" si="2241"/>
        <v>8</v>
      </c>
      <c r="AE339" s="11">
        <v>35</v>
      </c>
      <c r="AF339" s="12">
        <f t="shared" si="2201"/>
        <v>0.34166666666666667</v>
      </c>
      <c r="AG339" s="11">
        <v>6</v>
      </c>
      <c r="AH339" s="12">
        <f t="shared" si="2202"/>
        <v>0.14634146341463414</v>
      </c>
      <c r="AI339" s="13"/>
      <c r="AJ339" s="11"/>
      <c r="AK339" s="11"/>
      <c r="AL339" s="14"/>
      <c r="AM339" s="10"/>
      <c r="AN339" s="11"/>
      <c r="AO339" s="69">
        <f t="shared" ref="AO339:AP344" si="2242">AO338-AM339</f>
        <v>657</v>
      </c>
      <c r="AP339" s="69">
        <f t="shared" si="2242"/>
        <v>49</v>
      </c>
      <c r="AQ339" s="11">
        <v>132</v>
      </c>
      <c r="AR339" s="12">
        <f t="shared" si="2203"/>
        <v>0.21613394216133941</v>
      </c>
      <c r="AS339" s="11">
        <v>10</v>
      </c>
      <c r="AT339" s="12">
        <f t="shared" si="2204"/>
        <v>7.0422535211267609E-2</v>
      </c>
      <c r="AU339" s="13"/>
      <c r="AV339" s="11"/>
      <c r="AW339" s="11"/>
      <c r="AX339" s="14"/>
      <c r="AY339" s="10"/>
      <c r="AZ339" s="11"/>
      <c r="BA339" s="69">
        <f t="shared" ref="BA339:BB344" si="2243">BA338-AY339</f>
        <v>657</v>
      </c>
      <c r="BB339" s="69">
        <f t="shared" si="2243"/>
        <v>48</v>
      </c>
      <c r="BC339" s="11">
        <v>128</v>
      </c>
      <c r="BD339" s="12">
        <f t="shared" si="2205"/>
        <v>0.21917808219178081</v>
      </c>
      <c r="BE339" s="11">
        <v>16</v>
      </c>
      <c r="BF339" s="12">
        <f t="shared" si="2206"/>
        <v>0.1111111111111111</v>
      </c>
      <c r="BG339" s="13"/>
      <c r="BH339" s="11"/>
      <c r="BI339" s="11"/>
      <c r="BJ339" s="14"/>
      <c r="BK339" s="10"/>
      <c r="BL339" s="11"/>
      <c r="BM339" s="69">
        <f t="shared" ref="BM339:BN344" si="2244">BM338-BK339</f>
        <v>656</v>
      </c>
      <c r="BN339" s="69">
        <f t="shared" si="2244"/>
        <v>49</v>
      </c>
      <c r="BO339" s="11">
        <v>170</v>
      </c>
      <c r="BP339" s="12">
        <f t="shared" si="2207"/>
        <v>0.27743902439024393</v>
      </c>
      <c r="BQ339" s="11">
        <v>12</v>
      </c>
      <c r="BR339" s="12">
        <f t="shared" si="2208"/>
        <v>6.5934065934065936E-2</v>
      </c>
      <c r="BS339" s="13"/>
      <c r="BT339" s="11"/>
      <c r="BU339" s="11"/>
      <c r="BV339" s="14"/>
      <c r="BW339" s="10"/>
      <c r="BX339" s="11"/>
      <c r="BY339" s="69">
        <f t="shared" ref="BY339:BZ344" si="2245">BY338-BW339</f>
        <v>0</v>
      </c>
      <c r="BZ339" s="69">
        <f t="shared" si="2245"/>
        <v>0</v>
      </c>
      <c r="CA339" s="11"/>
      <c r="CB339" s="12" t="e">
        <f t="shared" si="2209"/>
        <v>#DIV/0!</v>
      </c>
      <c r="CC339" s="11"/>
      <c r="CD339" s="12" t="e">
        <f t="shared" si="2210"/>
        <v>#DIV/0!</v>
      </c>
      <c r="CE339" s="13"/>
      <c r="CF339" s="11"/>
      <c r="CG339" s="11"/>
      <c r="CH339" s="14"/>
      <c r="CI339" s="10"/>
      <c r="CJ339" s="11"/>
      <c r="CK339" s="69">
        <f t="shared" ref="CK339:CL344" si="2246">CK338-CI339</f>
        <v>0</v>
      </c>
      <c r="CL339" s="69">
        <f t="shared" si="2246"/>
        <v>0</v>
      </c>
      <c r="CM339" s="11"/>
      <c r="CN339" s="12" t="e">
        <f t="shared" si="2211"/>
        <v>#DIV/0!</v>
      </c>
      <c r="CO339" s="11"/>
      <c r="CP339" s="12" t="e">
        <f t="shared" si="2212"/>
        <v>#DIV/0!</v>
      </c>
      <c r="CQ339" s="13"/>
      <c r="CR339" s="11"/>
      <c r="CS339" s="11"/>
      <c r="CT339" s="14"/>
      <c r="CU339" s="10"/>
      <c r="CV339" s="11"/>
      <c r="CW339" s="69">
        <f t="shared" ref="CW339:CX344" si="2247">CW338-CU339</f>
        <v>0</v>
      </c>
      <c r="CX339" s="69">
        <f t="shared" si="2247"/>
        <v>0</v>
      </c>
      <c r="CY339" s="11"/>
      <c r="CZ339" s="12" t="e">
        <f t="shared" si="2213"/>
        <v>#DIV/0!</v>
      </c>
      <c r="DA339" s="11"/>
      <c r="DB339" s="12" t="e">
        <f t="shared" si="2214"/>
        <v>#DIV/0!</v>
      </c>
      <c r="DC339" s="13"/>
      <c r="DD339" s="11"/>
      <c r="DE339" s="11"/>
      <c r="DF339" s="14"/>
      <c r="DG339" s="10"/>
      <c r="DH339" s="11"/>
      <c r="DI339" s="69">
        <f t="shared" ref="DI339:DJ344" si="2248">DI338-DG339</f>
        <v>0</v>
      </c>
      <c r="DJ339" s="69">
        <f t="shared" si="2248"/>
        <v>0</v>
      </c>
      <c r="DK339" s="11"/>
      <c r="DL339" s="12" t="e">
        <f t="shared" si="2215"/>
        <v>#DIV/0!</v>
      </c>
      <c r="DM339" s="11"/>
      <c r="DN339" s="12" t="e">
        <f t="shared" si="2216"/>
        <v>#DIV/0!</v>
      </c>
      <c r="DO339" s="13"/>
      <c r="DP339" s="11"/>
      <c r="DQ339" s="11"/>
      <c r="DR339" s="14"/>
      <c r="DS339" s="10"/>
      <c r="DT339" s="11"/>
      <c r="DU339" s="69">
        <f t="shared" ref="DU339:DV344" si="2249">DU338-DS339</f>
        <v>0</v>
      </c>
      <c r="DV339" s="69">
        <f t="shared" si="2249"/>
        <v>0</v>
      </c>
      <c r="DW339" s="11"/>
      <c r="DX339" s="12" t="e">
        <f t="shared" si="2217"/>
        <v>#DIV/0!</v>
      </c>
      <c r="DY339" s="11"/>
      <c r="DZ339" s="12" t="e">
        <f t="shared" si="2218"/>
        <v>#DIV/0!</v>
      </c>
      <c r="EA339" s="13"/>
      <c r="EB339" s="11"/>
      <c r="EC339" s="11"/>
      <c r="ED339" s="14"/>
      <c r="EE339" s="10"/>
      <c r="EF339" s="11"/>
      <c r="EG339" s="69">
        <f t="shared" ref="EG339:EH344" si="2250">EG338-EE339</f>
        <v>0</v>
      </c>
      <c r="EH339" s="69">
        <f t="shared" si="2250"/>
        <v>0</v>
      </c>
      <c r="EI339" s="11"/>
      <c r="EJ339" s="12" t="e">
        <f t="shared" si="2219"/>
        <v>#DIV/0!</v>
      </c>
      <c r="EK339" s="11"/>
      <c r="EL339" s="12" t="e">
        <f t="shared" si="2220"/>
        <v>#DIV/0!</v>
      </c>
      <c r="EM339" s="13"/>
      <c r="EN339" s="11"/>
      <c r="EO339" s="11"/>
      <c r="EP339" s="14"/>
      <c r="EQ339" s="10"/>
      <c r="ER339" s="11"/>
      <c r="ES339" s="69">
        <f t="shared" ref="ES339:ET344" si="2251">ES338-EQ339</f>
        <v>0</v>
      </c>
      <c r="ET339" s="69">
        <f t="shared" si="2251"/>
        <v>0</v>
      </c>
      <c r="EU339" s="11"/>
      <c r="EV339" s="12" t="e">
        <f t="shared" si="2221"/>
        <v>#DIV/0!</v>
      </c>
      <c r="EW339" s="11"/>
      <c r="EX339" s="12" t="e">
        <f t="shared" si="2222"/>
        <v>#DIV/0!</v>
      </c>
      <c r="EY339" s="13"/>
      <c r="EZ339" s="11"/>
      <c r="FA339" s="11"/>
      <c r="FB339" s="14"/>
      <c r="FC339" s="10"/>
      <c r="FD339" s="11"/>
      <c r="FE339" s="69">
        <f t="shared" ref="FE339:FF344" si="2252">FE338-FC339</f>
        <v>0</v>
      </c>
      <c r="FF339" s="69">
        <f t="shared" si="2252"/>
        <v>0</v>
      </c>
      <c r="FG339" s="11"/>
      <c r="FH339" s="12" t="e">
        <f t="shared" si="2223"/>
        <v>#DIV/0!</v>
      </c>
      <c r="FI339" s="11"/>
      <c r="FJ339" s="12" t="e">
        <f t="shared" si="2224"/>
        <v>#DIV/0!</v>
      </c>
      <c r="FK339" s="13"/>
      <c r="FL339" s="11"/>
      <c r="FM339" s="11"/>
      <c r="FN339" s="14"/>
      <c r="FO339" s="10"/>
      <c r="FP339" s="11"/>
      <c r="FQ339" s="69">
        <f t="shared" ref="FQ339:FR344" si="2253">FQ338-FO339</f>
        <v>0</v>
      </c>
      <c r="FR339" s="69">
        <f t="shared" si="2253"/>
        <v>0</v>
      </c>
      <c r="FS339" s="11"/>
      <c r="FT339" s="12" t="e">
        <f t="shared" si="2225"/>
        <v>#DIV/0!</v>
      </c>
      <c r="FU339" s="11"/>
      <c r="FV339" s="12" t="e">
        <f t="shared" si="2226"/>
        <v>#DIV/0!</v>
      </c>
      <c r="FW339" s="13"/>
      <c r="FX339" s="11"/>
      <c r="FY339" s="11"/>
      <c r="FZ339" s="14"/>
      <c r="GA339" s="10"/>
      <c r="GB339" s="11"/>
      <c r="GC339" s="69">
        <f t="shared" ref="GC339:GD344" si="2254">GC338-GA339</f>
        <v>0</v>
      </c>
      <c r="GD339" s="69">
        <f t="shared" si="2254"/>
        <v>0</v>
      </c>
      <c r="GE339" s="11"/>
      <c r="GF339" s="12" t="e">
        <f t="shared" si="2227"/>
        <v>#DIV/0!</v>
      </c>
      <c r="GG339" s="11"/>
      <c r="GH339" s="12" t="e">
        <f t="shared" si="2228"/>
        <v>#DIV/0!</v>
      </c>
      <c r="GI339" s="13"/>
      <c r="GJ339" s="11"/>
      <c r="GK339" s="11"/>
      <c r="GL339" s="14"/>
      <c r="GM339" s="10"/>
      <c r="GN339" s="11"/>
      <c r="GO339" s="69">
        <f t="shared" ref="GO339:GP344" si="2255">GO338-GM339</f>
        <v>0</v>
      </c>
      <c r="GP339" s="69">
        <f t="shared" si="2255"/>
        <v>0</v>
      </c>
      <c r="GQ339" s="11"/>
      <c r="GR339" s="12" t="e">
        <f t="shared" si="2229"/>
        <v>#DIV/0!</v>
      </c>
      <c r="GS339" s="11"/>
      <c r="GT339" s="12" t="e">
        <f t="shared" si="2230"/>
        <v>#DIV/0!</v>
      </c>
      <c r="GU339" s="13"/>
      <c r="GV339" s="11"/>
      <c r="GW339" s="11"/>
      <c r="GX339" s="14"/>
      <c r="GY339" s="10"/>
      <c r="GZ339" s="11"/>
      <c r="HA339" s="69">
        <f t="shared" ref="HA339:HB344" si="2256">HA338-GY339</f>
        <v>0</v>
      </c>
      <c r="HB339" s="69">
        <f t="shared" si="2256"/>
        <v>0</v>
      </c>
      <c r="HC339" s="11"/>
      <c r="HD339" s="12" t="e">
        <f t="shared" si="2231"/>
        <v>#DIV/0!</v>
      </c>
      <c r="HE339" s="11"/>
      <c r="HF339" s="12" t="e">
        <f t="shared" si="2232"/>
        <v>#DIV/0!</v>
      </c>
      <c r="HG339" s="13"/>
      <c r="HH339" s="11"/>
      <c r="HI339" s="11"/>
      <c r="HJ339" s="14"/>
      <c r="HK339" s="10">
        <f t="shared" si="2233"/>
        <v>2</v>
      </c>
      <c r="HL339" s="11">
        <f t="shared" si="2233"/>
        <v>0</v>
      </c>
      <c r="HM339" s="11">
        <f t="shared" si="2233"/>
        <v>3256</v>
      </c>
      <c r="HN339" s="11">
        <f t="shared" si="2233"/>
        <v>240</v>
      </c>
      <c r="HO339" s="11">
        <f t="shared" si="2234"/>
        <v>816</v>
      </c>
      <c r="HP339" s="95">
        <f t="shared" si="2235"/>
        <v>0.25061425061425063</v>
      </c>
      <c r="HQ339" s="15">
        <f t="shared" si="2236"/>
        <v>83</v>
      </c>
      <c r="HR339" s="12">
        <f t="shared" ref="HR339:HR345" si="2257">+(HQ339/(HO339))</f>
        <v>0.1017156862745098</v>
      </c>
      <c r="HS339" s="16">
        <v>73.400000000000006</v>
      </c>
      <c r="HT339" s="17">
        <v>696</v>
      </c>
      <c r="HU339" s="16">
        <f t="shared" si="2237"/>
        <v>85.294117647058826</v>
      </c>
      <c r="HV339" s="15"/>
      <c r="HW339" s="14"/>
    </row>
    <row r="340" spans="1:231" ht="18.75" x14ac:dyDescent="0.25">
      <c r="A340" s="374"/>
      <c r="B340" s="41">
        <f t="shared" si="2077"/>
        <v>45202</v>
      </c>
      <c r="C340" s="10"/>
      <c r="D340" s="11"/>
      <c r="E340" s="69">
        <v>1166</v>
      </c>
      <c r="F340" s="69">
        <v>86</v>
      </c>
      <c r="G340" s="11">
        <v>294</v>
      </c>
      <c r="H340" s="12">
        <f t="shared" si="2198"/>
        <v>0.28730703259005147</v>
      </c>
      <c r="I340" s="11">
        <v>41</v>
      </c>
      <c r="J340" s="12">
        <f t="shared" si="2239"/>
        <v>0.12238805970149254</v>
      </c>
      <c r="K340" s="13"/>
      <c r="L340" s="11"/>
      <c r="M340" s="11"/>
      <c r="N340" s="14"/>
      <c r="O340" s="10">
        <v>1</v>
      </c>
      <c r="P340" s="11"/>
      <c r="Q340" s="69">
        <v>119</v>
      </c>
      <c r="R340" s="69">
        <v>8</v>
      </c>
      <c r="S340" s="11">
        <v>35</v>
      </c>
      <c r="T340" s="12">
        <f t="shared" si="2199"/>
        <v>0.31932773109243695</v>
      </c>
      <c r="U340" s="11">
        <v>3</v>
      </c>
      <c r="V340" s="12">
        <f t="shared" si="2200"/>
        <v>7.8947368421052627E-2</v>
      </c>
      <c r="W340" s="13"/>
      <c r="X340" s="11"/>
      <c r="Y340" s="11"/>
      <c r="Z340" s="14"/>
      <c r="AA340" s="10">
        <v>1</v>
      </c>
      <c r="AB340" s="11"/>
      <c r="AC340" s="69">
        <v>1969</v>
      </c>
      <c r="AD340" s="69">
        <v>146</v>
      </c>
      <c r="AE340" s="11">
        <v>387</v>
      </c>
      <c r="AF340" s="12">
        <f t="shared" si="2201"/>
        <v>0.22194007110208228</v>
      </c>
      <c r="AG340" s="11">
        <v>50</v>
      </c>
      <c r="AH340" s="12">
        <f t="shared" si="2202"/>
        <v>0.11441647597254005</v>
      </c>
      <c r="AI340" s="13"/>
      <c r="AJ340" s="11"/>
      <c r="AK340" s="11"/>
      <c r="AL340" s="14"/>
      <c r="AM340" s="10"/>
      <c r="AN340" s="11"/>
      <c r="AO340" s="69">
        <v>0</v>
      </c>
      <c r="AP340" s="69">
        <v>0</v>
      </c>
      <c r="AQ340" s="11"/>
      <c r="AR340" s="12" t="e">
        <f t="shared" si="2203"/>
        <v>#DIV/0!</v>
      </c>
      <c r="AS340" s="11"/>
      <c r="AT340" s="12" t="e">
        <f t="shared" si="2204"/>
        <v>#DIV/0!</v>
      </c>
      <c r="AU340" s="13"/>
      <c r="AV340" s="11"/>
      <c r="AW340" s="11"/>
      <c r="AX340" s="14"/>
      <c r="AY340" s="10"/>
      <c r="AZ340" s="11"/>
      <c r="BA340" s="69">
        <v>0</v>
      </c>
      <c r="BB340" s="69">
        <v>0</v>
      </c>
      <c r="BC340" s="11"/>
      <c r="BD340" s="12" t="e">
        <f t="shared" si="2205"/>
        <v>#DIV/0!</v>
      </c>
      <c r="BE340" s="11"/>
      <c r="BF340" s="12" t="e">
        <f t="shared" si="2206"/>
        <v>#DIV/0!</v>
      </c>
      <c r="BG340" s="13"/>
      <c r="BH340" s="11"/>
      <c r="BI340" s="11"/>
      <c r="BJ340" s="14"/>
      <c r="BK340" s="10"/>
      <c r="BL340" s="11"/>
      <c r="BM340" s="69">
        <v>0</v>
      </c>
      <c r="BN340" s="69">
        <v>0</v>
      </c>
      <c r="BO340" s="11"/>
      <c r="BP340" s="12" t="e">
        <f t="shared" si="2207"/>
        <v>#DIV/0!</v>
      </c>
      <c r="BQ340" s="11"/>
      <c r="BR340" s="12" t="e">
        <f t="shared" si="2208"/>
        <v>#DIV/0!</v>
      </c>
      <c r="BS340" s="13"/>
      <c r="BT340" s="11"/>
      <c r="BU340" s="11"/>
      <c r="BV340" s="14"/>
      <c r="BW340" s="10"/>
      <c r="BX340" s="11"/>
      <c r="BY340" s="69">
        <f t="shared" si="2245"/>
        <v>0</v>
      </c>
      <c r="BZ340" s="69">
        <f t="shared" si="2245"/>
        <v>0</v>
      </c>
      <c r="CA340" s="11"/>
      <c r="CB340" s="12" t="e">
        <f t="shared" si="2209"/>
        <v>#DIV/0!</v>
      </c>
      <c r="CC340" s="11"/>
      <c r="CD340" s="12" t="e">
        <f t="shared" si="2210"/>
        <v>#DIV/0!</v>
      </c>
      <c r="CE340" s="13"/>
      <c r="CF340" s="11"/>
      <c r="CG340" s="11"/>
      <c r="CH340" s="14"/>
      <c r="CI340" s="10"/>
      <c r="CJ340" s="11"/>
      <c r="CK340" s="69">
        <f t="shared" si="2246"/>
        <v>0</v>
      </c>
      <c r="CL340" s="69">
        <f t="shared" si="2246"/>
        <v>0</v>
      </c>
      <c r="CM340" s="11"/>
      <c r="CN340" s="12" t="e">
        <f t="shared" si="2211"/>
        <v>#DIV/0!</v>
      </c>
      <c r="CO340" s="11"/>
      <c r="CP340" s="12" t="e">
        <f t="shared" si="2212"/>
        <v>#DIV/0!</v>
      </c>
      <c r="CQ340" s="13"/>
      <c r="CR340" s="11"/>
      <c r="CS340" s="11"/>
      <c r="CT340" s="14"/>
      <c r="CU340" s="10"/>
      <c r="CV340" s="11"/>
      <c r="CW340" s="69">
        <f t="shared" si="2247"/>
        <v>0</v>
      </c>
      <c r="CX340" s="69">
        <f t="shared" si="2247"/>
        <v>0</v>
      </c>
      <c r="CY340" s="11"/>
      <c r="CZ340" s="12" t="e">
        <f t="shared" si="2213"/>
        <v>#DIV/0!</v>
      </c>
      <c r="DA340" s="11"/>
      <c r="DB340" s="12" t="e">
        <f t="shared" si="2214"/>
        <v>#DIV/0!</v>
      </c>
      <c r="DC340" s="13"/>
      <c r="DD340" s="11"/>
      <c r="DE340" s="11"/>
      <c r="DF340" s="14"/>
      <c r="DG340" s="10"/>
      <c r="DH340" s="11"/>
      <c r="DI340" s="69">
        <f t="shared" si="2248"/>
        <v>0</v>
      </c>
      <c r="DJ340" s="69">
        <f t="shared" si="2248"/>
        <v>0</v>
      </c>
      <c r="DK340" s="11"/>
      <c r="DL340" s="12" t="e">
        <f t="shared" si="2215"/>
        <v>#DIV/0!</v>
      </c>
      <c r="DM340" s="11"/>
      <c r="DN340" s="12" t="e">
        <f t="shared" si="2216"/>
        <v>#DIV/0!</v>
      </c>
      <c r="DO340" s="13"/>
      <c r="DP340" s="11"/>
      <c r="DQ340" s="11"/>
      <c r="DR340" s="14"/>
      <c r="DS340" s="10"/>
      <c r="DT340" s="11"/>
      <c r="DU340" s="69">
        <f t="shared" si="2249"/>
        <v>0</v>
      </c>
      <c r="DV340" s="69">
        <f t="shared" si="2249"/>
        <v>0</v>
      </c>
      <c r="DW340" s="11"/>
      <c r="DX340" s="12" t="e">
        <f t="shared" si="2217"/>
        <v>#DIV/0!</v>
      </c>
      <c r="DY340" s="11"/>
      <c r="DZ340" s="12" t="e">
        <f t="shared" si="2218"/>
        <v>#DIV/0!</v>
      </c>
      <c r="EA340" s="13"/>
      <c r="EB340" s="11"/>
      <c r="EC340" s="11"/>
      <c r="ED340" s="14"/>
      <c r="EE340" s="10"/>
      <c r="EF340" s="11"/>
      <c r="EG340" s="69">
        <f t="shared" si="2250"/>
        <v>0</v>
      </c>
      <c r="EH340" s="69">
        <f t="shared" si="2250"/>
        <v>0</v>
      </c>
      <c r="EI340" s="11"/>
      <c r="EJ340" s="12" t="e">
        <f t="shared" si="2219"/>
        <v>#DIV/0!</v>
      </c>
      <c r="EK340" s="11"/>
      <c r="EL340" s="12" t="e">
        <f t="shared" si="2220"/>
        <v>#DIV/0!</v>
      </c>
      <c r="EM340" s="13"/>
      <c r="EN340" s="11"/>
      <c r="EO340" s="11"/>
      <c r="EP340" s="14"/>
      <c r="EQ340" s="10"/>
      <c r="ER340" s="11"/>
      <c r="ES340" s="69">
        <f t="shared" si="2251"/>
        <v>0</v>
      </c>
      <c r="ET340" s="69">
        <f t="shared" si="2251"/>
        <v>0</v>
      </c>
      <c r="EU340" s="11"/>
      <c r="EV340" s="12" t="e">
        <f t="shared" si="2221"/>
        <v>#DIV/0!</v>
      </c>
      <c r="EW340" s="11"/>
      <c r="EX340" s="12" t="e">
        <f t="shared" si="2222"/>
        <v>#DIV/0!</v>
      </c>
      <c r="EY340" s="13"/>
      <c r="EZ340" s="11"/>
      <c r="FA340" s="11"/>
      <c r="FB340" s="14"/>
      <c r="FC340" s="10"/>
      <c r="FD340" s="11"/>
      <c r="FE340" s="69">
        <f t="shared" si="2252"/>
        <v>0</v>
      </c>
      <c r="FF340" s="69">
        <f t="shared" si="2252"/>
        <v>0</v>
      </c>
      <c r="FG340" s="11"/>
      <c r="FH340" s="12" t="e">
        <f t="shared" si="2223"/>
        <v>#DIV/0!</v>
      </c>
      <c r="FI340" s="11"/>
      <c r="FJ340" s="12" t="e">
        <f t="shared" si="2224"/>
        <v>#DIV/0!</v>
      </c>
      <c r="FK340" s="13"/>
      <c r="FL340" s="11"/>
      <c r="FM340" s="11"/>
      <c r="FN340" s="14"/>
      <c r="FO340" s="10"/>
      <c r="FP340" s="11"/>
      <c r="FQ340" s="69">
        <f t="shared" si="2253"/>
        <v>0</v>
      </c>
      <c r="FR340" s="69">
        <f t="shared" si="2253"/>
        <v>0</v>
      </c>
      <c r="FS340" s="11"/>
      <c r="FT340" s="12" t="e">
        <f t="shared" si="2225"/>
        <v>#DIV/0!</v>
      </c>
      <c r="FU340" s="11"/>
      <c r="FV340" s="12" t="e">
        <f t="shared" si="2226"/>
        <v>#DIV/0!</v>
      </c>
      <c r="FW340" s="13"/>
      <c r="FX340" s="11"/>
      <c r="FY340" s="11"/>
      <c r="FZ340" s="14"/>
      <c r="GA340" s="10"/>
      <c r="GB340" s="11"/>
      <c r="GC340" s="69">
        <f t="shared" si="2254"/>
        <v>0</v>
      </c>
      <c r="GD340" s="69">
        <f t="shared" si="2254"/>
        <v>0</v>
      </c>
      <c r="GE340" s="11"/>
      <c r="GF340" s="12" t="e">
        <f t="shared" si="2227"/>
        <v>#DIV/0!</v>
      </c>
      <c r="GG340" s="11"/>
      <c r="GH340" s="12" t="e">
        <f t="shared" si="2228"/>
        <v>#DIV/0!</v>
      </c>
      <c r="GI340" s="13"/>
      <c r="GJ340" s="11"/>
      <c r="GK340" s="11"/>
      <c r="GL340" s="14"/>
      <c r="GM340" s="10"/>
      <c r="GN340" s="11"/>
      <c r="GO340" s="69">
        <f t="shared" si="2255"/>
        <v>0</v>
      </c>
      <c r="GP340" s="69">
        <f t="shared" si="2255"/>
        <v>0</v>
      </c>
      <c r="GQ340" s="11"/>
      <c r="GR340" s="12" t="e">
        <f t="shared" si="2229"/>
        <v>#DIV/0!</v>
      </c>
      <c r="GS340" s="11"/>
      <c r="GT340" s="12" t="e">
        <f t="shared" si="2230"/>
        <v>#DIV/0!</v>
      </c>
      <c r="GU340" s="13"/>
      <c r="GV340" s="11"/>
      <c r="GW340" s="11"/>
      <c r="GX340" s="14"/>
      <c r="GY340" s="10"/>
      <c r="GZ340" s="11"/>
      <c r="HA340" s="69">
        <f t="shared" si="2256"/>
        <v>0</v>
      </c>
      <c r="HB340" s="69">
        <f t="shared" si="2256"/>
        <v>0</v>
      </c>
      <c r="HC340" s="11"/>
      <c r="HD340" s="12" t="e">
        <f t="shared" si="2231"/>
        <v>#DIV/0!</v>
      </c>
      <c r="HE340" s="11"/>
      <c r="HF340" s="12" t="e">
        <f t="shared" si="2232"/>
        <v>#DIV/0!</v>
      </c>
      <c r="HG340" s="13"/>
      <c r="HH340" s="11"/>
      <c r="HI340" s="11"/>
      <c r="HJ340" s="14"/>
      <c r="HK340" s="10">
        <f t="shared" si="2233"/>
        <v>2</v>
      </c>
      <c r="HL340" s="11">
        <f t="shared" si="2233"/>
        <v>0</v>
      </c>
      <c r="HM340" s="11">
        <f t="shared" si="2233"/>
        <v>3254</v>
      </c>
      <c r="HN340" s="11">
        <f t="shared" si="2233"/>
        <v>240</v>
      </c>
      <c r="HO340" s="11">
        <f t="shared" si="2234"/>
        <v>810</v>
      </c>
      <c r="HP340" s="95">
        <f t="shared" si="2235"/>
        <v>0.24892440073755379</v>
      </c>
      <c r="HQ340" s="15">
        <f t="shared" si="2236"/>
        <v>94</v>
      </c>
      <c r="HR340" s="12">
        <f t="shared" si="2257"/>
        <v>0.11604938271604938</v>
      </c>
      <c r="HS340" s="16">
        <v>73.5</v>
      </c>
      <c r="HT340" s="17">
        <v>674</v>
      </c>
      <c r="HU340" s="16">
        <f t="shared" si="2237"/>
        <v>83.209876543209887</v>
      </c>
      <c r="HV340" s="15"/>
      <c r="HW340" s="14"/>
    </row>
    <row r="341" spans="1:231" ht="18.75" x14ac:dyDescent="0.25">
      <c r="A341" s="374"/>
      <c r="B341" s="41">
        <f t="shared" si="2077"/>
        <v>45203</v>
      </c>
      <c r="C341" s="10"/>
      <c r="D341" s="11"/>
      <c r="E341" s="69">
        <f t="shared" si="2238"/>
        <v>1166</v>
      </c>
      <c r="F341" s="69">
        <f t="shared" si="2238"/>
        <v>86</v>
      </c>
      <c r="G341" s="11">
        <v>256</v>
      </c>
      <c r="H341" s="12">
        <f t="shared" si="2198"/>
        <v>0.24785591766723841</v>
      </c>
      <c r="I341" s="11">
        <v>33</v>
      </c>
      <c r="J341" s="12">
        <f t="shared" si="2239"/>
        <v>0.11418685121107267</v>
      </c>
      <c r="K341" s="11"/>
      <c r="L341" s="11"/>
      <c r="M341" s="18"/>
      <c r="N341" s="20"/>
      <c r="O341" s="10"/>
      <c r="P341" s="11"/>
      <c r="Q341" s="69">
        <f t="shared" si="2240"/>
        <v>119</v>
      </c>
      <c r="R341" s="69">
        <f t="shared" si="2240"/>
        <v>8</v>
      </c>
      <c r="S341" s="11">
        <v>30</v>
      </c>
      <c r="T341" s="12">
        <f t="shared" si="2199"/>
        <v>0.2857142857142857</v>
      </c>
      <c r="U341" s="11">
        <v>4</v>
      </c>
      <c r="V341" s="12">
        <f t="shared" si="2200"/>
        <v>0.11764705882352941</v>
      </c>
      <c r="W341" s="11"/>
      <c r="X341" s="11"/>
      <c r="Y341" s="18"/>
      <c r="Z341" s="20"/>
      <c r="AA341" s="10"/>
      <c r="AB341" s="11"/>
      <c r="AC341" s="69">
        <f t="shared" si="2241"/>
        <v>1969</v>
      </c>
      <c r="AD341" s="69">
        <f t="shared" si="2241"/>
        <v>146</v>
      </c>
      <c r="AE341" s="11">
        <v>412</v>
      </c>
      <c r="AF341" s="12">
        <f t="shared" si="2201"/>
        <v>0.22803453529710513</v>
      </c>
      <c r="AG341" s="11">
        <v>37</v>
      </c>
      <c r="AH341" s="12">
        <f t="shared" si="2202"/>
        <v>8.2405345211581285E-2</v>
      </c>
      <c r="AI341" s="11"/>
      <c r="AJ341" s="11"/>
      <c r="AK341" s="18"/>
      <c r="AL341" s="20"/>
      <c r="AM341" s="10"/>
      <c r="AN341" s="11"/>
      <c r="AO341" s="69">
        <f t="shared" si="2242"/>
        <v>0</v>
      </c>
      <c r="AP341" s="69">
        <f t="shared" si="2242"/>
        <v>0</v>
      </c>
      <c r="AQ341" s="11"/>
      <c r="AR341" s="12" t="e">
        <f t="shared" si="2203"/>
        <v>#DIV/0!</v>
      </c>
      <c r="AS341" s="11"/>
      <c r="AT341" s="12" t="e">
        <f t="shared" si="2204"/>
        <v>#DIV/0!</v>
      </c>
      <c r="AU341" s="11"/>
      <c r="AV341" s="11"/>
      <c r="AW341" s="18"/>
      <c r="AX341" s="20"/>
      <c r="AY341" s="10"/>
      <c r="AZ341" s="11"/>
      <c r="BA341" s="69">
        <f t="shared" si="2243"/>
        <v>0</v>
      </c>
      <c r="BB341" s="69">
        <f t="shared" si="2243"/>
        <v>0</v>
      </c>
      <c r="BC341" s="11"/>
      <c r="BD341" s="12" t="e">
        <f t="shared" si="2205"/>
        <v>#DIV/0!</v>
      </c>
      <c r="BE341" s="11"/>
      <c r="BF341" s="12" t="e">
        <f t="shared" si="2206"/>
        <v>#DIV/0!</v>
      </c>
      <c r="BG341" s="11"/>
      <c r="BH341" s="11"/>
      <c r="BI341" s="18"/>
      <c r="BJ341" s="20"/>
      <c r="BK341" s="10"/>
      <c r="BL341" s="11"/>
      <c r="BM341" s="69">
        <f t="shared" si="2244"/>
        <v>0</v>
      </c>
      <c r="BN341" s="69">
        <f t="shared" si="2244"/>
        <v>0</v>
      </c>
      <c r="BO341" s="11"/>
      <c r="BP341" s="12" t="e">
        <f t="shared" si="2207"/>
        <v>#DIV/0!</v>
      </c>
      <c r="BQ341" s="11"/>
      <c r="BR341" s="12" t="e">
        <f t="shared" si="2208"/>
        <v>#DIV/0!</v>
      </c>
      <c r="BS341" s="11"/>
      <c r="BT341" s="11"/>
      <c r="BU341" s="18"/>
      <c r="BV341" s="20"/>
      <c r="BW341" s="10"/>
      <c r="BX341" s="11"/>
      <c r="BY341" s="69">
        <f t="shared" si="2245"/>
        <v>0</v>
      </c>
      <c r="BZ341" s="69">
        <f t="shared" si="2245"/>
        <v>0</v>
      </c>
      <c r="CA341" s="11"/>
      <c r="CB341" s="12" t="e">
        <f t="shared" si="2209"/>
        <v>#DIV/0!</v>
      </c>
      <c r="CC341" s="11"/>
      <c r="CD341" s="12" t="e">
        <f t="shared" si="2210"/>
        <v>#DIV/0!</v>
      </c>
      <c r="CE341" s="11"/>
      <c r="CF341" s="11"/>
      <c r="CG341" s="18"/>
      <c r="CH341" s="20"/>
      <c r="CI341" s="10"/>
      <c r="CJ341" s="11"/>
      <c r="CK341" s="69">
        <f t="shared" si="2246"/>
        <v>0</v>
      </c>
      <c r="CL341" s="69">
        <f t="shared" si="2246"/>
        <v>0</v>
      </c>
      <c r="CM341" s="11"/>
      <c r="CN341" s="12" t="e">
        <f t="shared" si="2211"/>
        <v>#DIV/0!</v>
      </c>
      <c r="CO341" s="11"/>
      <c r="CP341" s="12" t="e">
        <f t="shared" si="2212"/>
        <v>#DIV/0!</v>
      </c>
      <c r="CQ341" s="11"/>
      <c r="CR341" s="11"/>
      <c r="CS341" s="18"/>
      <c r="CT341" s="20"/>
      <c r="CU341" s="10"/>
      <c r="CV341" s="11"/>
      <c r="CW341" s="69">
        <f t="shared" si="2247"/>
        <v>0</v>
      </c>
      <c r="CX341" s="69">
        <f t="shared" si="2247"/>
        <v>0</v>
      </c>
      <c r="CY341" s="11"/>
      <c r="CZ341" s="12" t="e">
        <f t="shared" si="2213"/>
        <v>#DIV/0!</v>
      </c>
      <c r="DA341" s="11"/>
      <c r="DB341" s="12" t="e">
        <f t="shared" si="2214"/>
        <v>#DIV/0!</v>
      </c>
      <c r="DC341" s="11"/>
      <c r="DD341" s="11"/>
      <c r="DE341" s="18"/>
      <c r="DF341" s="20"/>
      <c r="DG341" s="10"/>
      <c r="DH341" s="11"/>
      <c r="DI341" s="69">
        <f t="shared" si="2248"/>
        <v>0</v>
      </c>
      <c r="DJ341" s="69">
        <f t="shared" si="2248"/>
        <v>0</v>
      </c>
      <c r="DK341" s="11"/>
      <c r="DL341" s="12" t="e">
        <f t="shared" si="2215"/>
        <v>#DIV/0!</v>
      </c>
      <c r="DM341" s="11"/>
      <c r="DN341" s="12" t="e">
        <f t="shared" si="2216"/>
        <v>#DIV/0!</v>
      </c>
      <c r="DO341" s="11"/>
      <c r="DP341" s="11"/>
      <c r="DQ341" s="18"/>
      <c r="DR341" s="20"/>
      <c r="DS341" s="10"/>
      <c r="DT341" s="11"/>
      <c r="DU341" s="69">
        <f t="shared" si="2249"/>
        <v>0</v>
      </c>
      <c r="DV341" s="69">
        <f t="shared" si="2249"/>
        <v>0</v>
      </c>
      <c r="DW341" s="11"/>
      <c r="DX341" s="12" t="e">
        <f t="shared" si="2217"/>
        <v>#DIV/0!</v>
      </c>
      <c r="DY341" s="11"/>
      <c r="DZ341" s="12" t="e">
        <f t="shared" si="2218"/>
        <v>#DIV/0!</v>
      </c>
      <c r="EA341" s="11"/>
      <c r="EB341" s="11"/>
      <c r="EC341" s="18"/>
      <c r="ED341" s="20"/>
      <c r="EE341" s="10"/>
      <c r="EF341" s="11"/>
      <c r="EG341" s="69">
        <f t="shared" si="2250"/>
        <v>0</v>
      </c>
      <c r="EH341" s="69">
        <f t="shared" si="2250"/>
        <v>0</v>
      </c>
      <c r="EI341" s="11"/>
      <c r="EJ341" s="12" t="e">
        <f t="shared" si="2219"/>
        <v>#DIV/0!</v>
      </c>
      <c r="EK341" s="11"/>
      <c r="EL341" s="12" t="e">
        <f t="shared" si="2220"/>
        <v>#DIV/0!</v>
      </c>
      <c r="EM341" s="11"/>
      <c r="EN341" s="11"/>
      <c r="EO341" s="18"/>
      <c r="EP341" s="20"/>
      <c r="EQ341" s="10"/>
      <c r="ER341" s="11"/>
      <c r="ES341" s="69">
        <f t="shared" si="2251"/>
        <v>0</v>
      </c>
      <c r="ET341" s="69">
        <f t="shared" si="2251"/>
        <v>0</v>
      </c>
      <c r="EU341" s="11"/>
      <c r="EV341" s="12" t="e">
        <f t="shared" si="2221"/>
        <v>#DIV/0!</v>
      </c>
      <c r="EW341" s="11"/>
      <c r="EX341" s="12" t="e">
        <f t="shared" si="2222"/>
        <v>#DIV/0!</v>
      </c>
      <c r="EY341" s="11"/>
      <c r="EZ341" s="11"/>
      <c r="FA341" s="18"/>
      <c r="FB341" s="20"/>
      <c r="FC341" s="10"/>
      <c r="FD341" s="11"/>
      <c r="FE341" s="69">
        <f t="shared" si="2252"/>
        <v>0</v>
      </c>
      <c r="FF341" s="69">
        <f t="shared" si="2252"/>
        <v>0</v>
      </c>
      <c r="FG341" s="11"/>
      <c r="FH341" s="12" t="e">
        <f t="shared" si="2223"/>
        <v>#DIV/0!</v>
      </c>
      <c r="FI341" s="11"/>
      <c r="FJ341" s="12" t="e">
        <f t="shared" si="2224"/>
        <v>#DIV/0!</v>
      </c>
      <c r="FK341" s="11"/>
      <c r="FL341" s="11"/>
      <c r="FM341" s="18"/>
      <c r="FN341" s="20"/>
      <c r="FO341" s="10"/>
      <c r="FP341" s="11"/>
      <c r="FQ341" s="69">
        <f t="shared" si="2253"/>
        <v>0</v>
      </c>
      <c r="FR341" s="69">
        <f t="shared" si="2253"/>
        <v>0</v>
      </c>
      <c r="FS341" s="11"/>
      <c r="FT341" s="12" t="e">
        <f t="shared" si="2225"/>
        <v>#DIV/0!</v>
      </c>
      <c r="FU341" s="11"/>
      <c r="FV341" s="12" t="e">
        <f t="shared" si="2226"/>
        <v>#DIV/0!</v>
      </c>
      <c r="FW341" s="11"/>
      <c r="FX341" s="11"/>
      <c r="FY341" s="18"/>
      <c r="FZ341" s="20"/>
      <c r="GA341" s="10"/>
      <c r="GB341" s="11"/>
      <c r="GC341" s="69">
        <f t="shared" si="2254"/>
        <v>0</v>
      </c>
      <c r="GD341" s="69">
        <f t="shared" si="2254"/>
        <v>0</v>
      </c>
      <c r="GE341" s="11"/>
      <c r="GF341" s="12" t="e">
        <f t="shared" si="2227"/>
        <v>#DIV/0!</v>
      </c>
      <c r="GG341" s="11"/>
      <c r="GH341" s="12" t="e">
        <f t="shared" si="2228"/>
        <v>#DIV/0!</v>
      </c>
      <c r="GI341" s="11"/>
      <c r="GJ341" s="11"/>
      <c r="GK341" s="18"/>
      <c r="GL341" s="20"/>
      <c r="GM341" s="10"/>
      <c r="GN341" s="11"/>
      <c r="GO341" s="69">
        <f t="shared" si="2255"/>
        <v>0</v>
      </c>
      <c r="GP341" s="69">
        <f t="shared" si="2255"/>
        <v>0</v>
      </c>
      <c r="GQ341" s="11"/>
      <c r="GR341" s="12" t="e">
        <f t="shared" si="2229"/>
        <v>#DIV/0!</v>
      </c>
      <c r="GS341" s="11"/>
      <c r="GT341" s="12" t="e">
        <f t="shared" si="2230"/>
        <v>#DIV/0!</v>
      </c>
      <c r="GU341" s="11"/>
      <c r="GV341" s="11"/>
      <c r="GW341" s="18"/>
      <c r="GX341" s="20"/>
      <c r="GY341" s="10"/>
      <c r="GZ341" s="11"/>
      <c r="HA341" s="69">
        <f t="shared" si="2256"/>
        <v>0</v>
      </c>
      <c r="HB341" s="69">
        <f t="shared" si="2256"/>
        <v>0</v>
      </c>
      <c r="HC341" s="11"/>
      <c r="HD341" s="12" t="e">
        <f t="shared" si="2231"/>
        <v>#DIV/0!</v>
      </c>
      <c r="HE341" s="11"/>
      <c r="HF341" s="12" t="e">
        <f t="shared" si="2232"/>
        <v>#DIV/0!</v>
      </c>
      <c r="HG341" s="11"/>
      <c r="HH341" s="11"/>
      <c r="HI341" s="18"/>
      <c r="HJ341" s="20"/>
      <c r="HK341" s="10">
        <f t="shared" si="2233"/>
        <v>0</v>
      </c>
      <c r="HL341" s="11">
        <f t="shared" si="2233"/>
        <v>0</v>
      </c>
      <c r="HM341" s="11">
        <f t="shared" si="2233"/>
        <v>3254</v>
      </c>
      <c r="HN341" s="11">
        <f t="shared" si="2233"/>
        <v>240</v>
      </c>
      <c r="HO341" s="11">
        <f t="shared" si="2234"/>
        <v>772</v>
      </c>
      <c r="HP341" s="95">
        <f t="shared" si="2235"/>
        <v>0.23724646588813766</v>
      </c>
      <c r="HQ341" s="15">
        <f t="shared" si="2236"/>
        <v>74</v>
      </c>
      <c r="HR341" s="12">
        <f t="shared" si="2257"/>
        <v>9.585492227979274E-2</v>
      </c>
      <c r="HS341" s="16">
        <v>73.8</v>
      </c>
      <c r="HT341" s="17">
        <v>670</v>
      </c>
      <c r="HU341" s="16">
        <f t="shared" si="2237"/>
        <v>86.787564766839381</v>
      </c>
      <c r="HV341" s="18"/>
      <c r="HW341" s="20"/>
    </row>
    <row r="342" spans="1:231" ht="18.75" x14ac:dyDescent="0.25">
      <c r="A342" s="374"/>
      <c r="B342" s="41">
        <f t="shared" si="2077"/>
        <v>45204</v>
      </c>
      <c r="C342" s="10">
        <v>2</v>
      </c>
      <c r="D342" s="11"/>
      <c r="E342" s="69">
        <f t="shared" si="2238"/>
        <v>1164</v>
      </c>
      <c r="F342" s="69">
        <f t="shared" si="2238"/>
        <v>86</v>
      </c>
      <c r="G342" s="11">
        <v>261</v>
      </c>
      <c r="H342" s="12">
        <f t="shared" si="2198"/>
        <v>0.25429553264604809</v>
      </c>
      <c r="I342" s="11">
        <v>35</v>
      </c>
      <c r="J342" s="12">
        <f t="shared" si="2239"/>
        <v>0.11824324324324324</v>
      </c>
      <c r="K342" s="13"/>
      <c r="L342" s="13"/>
      <c r="M342" s="25">
        <v>4505</v>
      </c>
      <c r="N342" s="38">
        <v>4900</v>
      </c>
      <c r="O342" s="10">
        <v>1</v>
      </c>
      <c r="P342" s="11"/>
      <c r="Q342" s="69">
        <f t="shared" si="2240"/>
        <v>118</v>
      </c>
      <c r="R342" s="69">
        <f t="shared" si="2240"/>
        <v>8</v>
      </c>
      <c r="S342" s="11">
        <v>33</v>
      </c>
      <c r="T342" s="12">
        <f t="shared" si="2199"/>
        <v>0.3559322033898305</v>
      </c>
      <c r="U342" s="11">
        <v>9</v>
      </c>
      <c r="V342" s="12">
        <f t="shared" si="2200"/>
        <v>0.21428571428571427</v>
      </c>
      <c r="W342" s="13"/>
      <c r="X342" s="13"/>
      <c r="Y342" s="25">
        <v>4505</v>
      </c>
      <c r="Z342" s="38">
        <v>4900</v>
      </c>
      <c r="AA342" s="10">
        <v>1</v>
      </c>
      <c r="AB342" s="11"/>
      <c r="AC342" s="69">
        <f t="shared" si="2241"/>
        <v>1968</v>
      </c>
      <c r="AD342" s="69">
        <f t="shared" si="2241"/>
        <v>146</v>
      </c>
      <c r="AE342" s="11">
        <v>377</v>
      </c>
      <c r="AF342" s="12">
        <f t="shared" si="2201"/>
        <v>0.20376016260162602</v>
      </c>
      <c r="AG342" s="11">
        <v>24</v>
      </c>
      <c r="AH342" s="12">
        <f t="shared" si="2202"/>
        <v>5.9850374064837904E-2</v>
      </c>
      <c r="AI342" s="13"/>
      <c r="AJ342" s="13"/>
      <c r="AK342" s="25">
        <v>4505</v>
      </c>
      <c r="AL342" s="38">
        <v>4900</v>
      </c>
      <c r="AM342" s="10"/>
      <c r="AN342" s="11"/>
      <c r="AO342" s="69">
        <f t="shared" si="2242"/>
        <v>0</v>
      </c>
      <c r="AP342" s="69">
        <f t="shared" si="2242"/>
        <v>0</v>
      </c>
      <c r="AQ342" s="11"/>
      <c r="AR342" s="12" t="e">
        <f t="shared" si="2203"/>
        <v>#DIV/0!</v>
      </c>
      <c r="AS342" s="11"/>
      <c r="AT342" s="12" t="e">
        <f t="shared" si="2204"/>
        <v>#DIV/0!</v>
      </c>
      <c r="AU342" s="13"/>
      <c r="AV342" s="13"/>
      <c r="AW342" s="25"/>
      <c r="AX342" s="38"/>
      <c r="AY342" s="10"/>
      <c r="AZ342" s="11"/>
      <c r="BA342" s="69">
        <f t="shared" si="2243"/>
        <v>0</v>
      </c>
      <c r="BB342" s="69">
        <f t="shared" si="2243"/>
        <v>0</v>
      </c>
      <c r="BC342" s="11"/>
      <c r="BD342" s="12" t="e">
        <f t="shared" si="2205"/>
        <v>#DIV/0!</v>
      </c>
      <c r="BE342" s="11"/>
      <c r="BF342" s="12" t="e">
        <f t="shared" si="2206"/>
        <v>#DIV/0!</v>
      </c>
      <c r="BG342" s="13"/>
      <c r="BH342" s="13"/>
      <c r="BI342" s="25"/>
      <c r="BJ342" s="38"/>
      <c r="BK342" s="10"/>
      <c r="BL342" s="11"/>
      <c r="BM342" s="69">
        <f t="shared" si="2244"/>
        <v>0</v>
      </c>
      <c r="BN342" s="69">
        <f t="shared" si="2244"/>
        <v>0</v>
      </c>
      <c r="BO342" s="11"/>
      <c r="BP342" s="12" t="e">
        <f t="shared" si="2207"/>
        <v>#DIV/0!</v>
      </c>
      <c r="BQ342" s="11"/>
      <c r="BR342" s="12" t="e">
        <f t="shared" si="2208"/>
        <v>#DIV/0!</v>
      </c>
      <c r="BS342" s="13"/>
      <c r="BT342" s="13"/>
      <c r="BU342" s="25"/>
      <c r="BV342" s="38"/>
      <c r="BW342" s="10"/>
      <c r="BX342" s="11"/>
      <c r="BY342" s="69">
        <f t="shared" si="2245"/>
        <v>0</v>
      </c>
      <c r="BZ342" s="69">
        <f t="shared" si="2245"/>
        <v>0</v>
      </c>
      <c r="CA342" s="11"/>
      <c r="CB342" s="12" t="e">
        <f t="shared" si="2209"/>
        <v>#DIV/0!</v>
      </c>
      <c r="CC342" s="11"/>
      <c r="CD342" s="12" t="e">
        <f t="shared" si="2210"/>
        <v>#DIV/0!</v>
      </c>
      <c r="CE342" s="13"/>
      <c r="CF342" s="13"/>
      <c r="CG342" s="25"/>
      <c r="CH342" s="38"/>
      <c r="CI342" s="10"/>
      <c r="CJ342" s="11"/>
      <c r="CK342" s="69">
        <f t="shared" si="2246"/>
        <v>0</v>
      </c>
      <c r="CL342" s="69">
        <f t="shared" si="2246"/>
        <v>0</v>
      </c>
      <c r="CM342" s="11"/>
      <c r="CN342" s="12" t="e">
        <f t="shared" si="2211"/>
        <v>#DIV/0!</v>
      </c>
      <c r="CO342" s="11"/>
      <c r="CP342" s="12" t="e">
        <f t="shared" si="2212"/>
        <v>#DIV/0!</v>
      </c>
      <c r="CQ342" s="13"/>
      <c r="CR342" s="13"/>
      <c r="CS342" s="25"/>
      <c r="CT342" s="38"/>
      <c r="CU342" s="10"/>
      <c r="CV342" s="11"/>
      <c r="CW342" s="69">
        <f t="shared" si="2247"/>
        <v>0</v>
      </c>
      <c r="CX342" s="69">
        <f t="shared" si="2247"/>
        <v>0</v>
      </c>
      <c r="CY342" s="11"/>
      <c r="CZ342" s="12" t="e">
        <f t="shared" si="2213"/>
        <v>#DIV/0!</v>
      </c>
      <c r="DA342" s="11"/>
      <c r="DB342" s="12" t="e">
        <f t="shared" si="2214"/>
        <v>#DIV/0!</v>
      </c>
      <c r="DC342" s="13"/>
      <c r="DD342" s="13"/>
      <c r="DE342" s="25"/>
      <c r="DF342" s="38"/>
      <c r="DG342" s="10"/>
      <c r="DH342" s="11"/>
      <c r="DI342" s="69">
        <f t="shared" si="2248"/>
        <v>0</v>
      </c>
      <c r="DJ342" s="69">
        <f t="shared" si="2248"/>
        <v>0</v>
      </c>
      <c r="DK342" s="11"/>
      <c r="DL342" s="12" t="e">
        <f t="shared" si="2215"/>
        <v>#DIV/0!</v>
      </c>
      <c r="DM342" s="11"/>
      <c r="DN342" s="12" t="e">
        <f t="shared" si="2216"/>
        <v>#DIV/0!</v>
      </c>
      <c r="DO342" s="13"/>
      <c r="DP342" s="13"/>
      <c r="DQ342" s="25"/>
      <c r="DR342" s="38"/>
      <c r="DS342" s="10"/>
      <c r="DT342" s="11"/>
      <c r="DU342" s="69">
        <f t="shared" si="2249"/>
        <v>0</v>
      </c>
      <c r="DV342" s="69">
        <f t="shared" si="2249"/>
        <v>0</v>
      </c>
      <c r="DW342" s="11"/>
      <c r="DX342" s="12" t="e">
        <f t="shared" si="2217"/>
        <v>#DIV/0!</v>
      </c>
      <c r="DY342" s="11"/>
      <c r="DZ342" s="12" t="e">
        <f t="shared" si="2218"/>
        <v>#DIV/0!</v>
      </c>
      <c r="EA342" s="13"/>
      <c r="EB342" s="13"/>
      <c r="EC342" s="25"/>
      <c r="ED342" s="38"/>
      <c r="EE342" s="10"/>
      <c r="EF342" s="11"/>
      <c r="EG342" s="69">
        <f t="shared" si="2250"/>
        <v>0</v>
      </c>
      <c r="EH342" s="69">
        <f t="shared" si="2250"/>
        <v>0</v>
      </c>
      <c r="EI342" s="11"/>
      <c r="EJ342" s="12" t="e">
        <f t="shared" si="2219"/>
        <v>#DIV/0!</v>
      </c>
      <c r="EK342" s="11"/>
      <c r="EL342" s="12" t="e">
        <f t="shared" si="2220"/>
        <v>#DIV/0!</v>
      </c>
      <c r="EM342" s="13"/>
      <c r="EN342" s="13"/>
      <c r="EO342" s="25"/>
      <c r="EP342" s="38"/>
      <c r="EQ342" s="10"/>
      <c r="ER342" s="11"/>
      <c r="ES342" s="69">
        <f t="shared" si="2251"/>
        <v>0</v>
      </c>
      <c r="ET342" s="69">
        <f t="shared" si="2251"/>
        <v>0</v>
      </c>
      <c r="EU342" s="11"/>
      <c r="EV342" s="12" t="e">
        <f t="shared" si="2221"/>
        <v>#DIV/0!</v>
      </c>
      <c r="EW342" s="11"/>
      <c r="EX342" s="12" t="e">
        <f t="shared" si="2222"/>
        <v>#DIV/0!</v>
      </c>
      <c r="EY342" s="13"/>
      <c r="EZ342" s="13"/>
      <c r="FA342" s="25"/>
      <c r="FB342" s="38"/>
      <c r="FC342" s="10"/>
      <c r="FD342" s="11"/>
      <c r="FE342" s="69">
        <f t="shared" si="2252"/>
        <v>0</v>
      </c>
      <c r="FF342" s="69">
        <f t="shared" si="2252"/>
        <v>0</v>
      </c>
      <c r="FG342" s="11"/>
      <c r="FH342" s="12" t="e">
        <f t="shared" si="2223"/>
        <v>#DIV/0!</v>
      </c>
      <c r="FI342" s="11"/>
      <c r="FJ342" s="12" t="e">
        <f t="shared" si="2224"/>
        <v>#DIV/0!</v>
      </c>
      <c r="FK342" s="13"/>
      <c r="FL342" s="13"/>
      <c r="FM342" s="25"/>
      <c r="FN342" s="38"/>
      <c r="FO342" s="10"/>
      <c r="FP342" s="11"/>
      <c r="FQ342" s="69">
        <f t="shared" si="2253"/>
        <v>0</v>
      </c>
      <c r="FR342" s="69">
        <f t="shared" si="2253"/>
        <v>0</v>
      </c>
      <c r="FS342" s="11"/>
      <c r="FT342" s="12" t="e">
        <f t="shared" si="2225"/>
        <v>#DIV/0!</v>
      </c>
      <c r="FU342" s="11"/>
      <c r="FV342" s="12" t="e">
        <f t="shared" si="2226"/>
        <v>#DIV/0!</v>
      </c>
      <c r="FW342" s="13"/>
      <c r="FX342" s="13"/>
      <c r="FY342" s="25"/>
      <c r="FZ342" s="38"/>
      <c r="GA342" s="10"/>
      <c r="GB342" s="11"/>
      <c r="GC342" s="69">
        <f t="shared" si="2254"/>
        <v>0</v>
      </c>
      <c r="GD342" s="69">
        <f t="shared" si="2254"/>
        <v>0</v>
      </c>
      <c r="GE342" s="11"/>
      <c r="GF342" s="12" t="e">
        <f t="shared" si="2227"/>
        <v>#DIV/0!</v>
      </c>
      <c r="GG342" s="11"/>
      <c r="GH342" s="12" t="e">
        <f t="shared" si="2228"/>
        <v>#DIV/0!</v>
      </c>
      <c r="GI342" s="13"/>
      <c r="GJ342" s="13"/>
      <c r="GK342" s="25"/>
      <c r="GL342" s="38"/>
      <c r="GM342" s="10"/>
      <c r="GN342" s="11"/>
      <c r="GO342" s="69">
        <f t="shared" si="2255"/>
        <v>0</v>
      </c>
      <c r="GP342" s="69">
        <f t="shared" si="2255"/>
        <v>0</v>
      </c>
      <c r="GQ342" s="11"/>
      <c r="GR342" s="12" t="e">
        <f t="shared" si="2229"/>
        <v>#DIV/0!</v>
      </c>
      <c r="GS342" s="11"/>
      <c r="GT342" s="12" t="e">
        <f t="shared" si="2230"/>
        <v>#DIV/0!</v>
      </c>
      <c r="GU342" s="13"/>
      <c r="GV342" s="13"/>
      <c r="GW342" s="25"/>
      <c r="GX342" s="38"/>
      <c r="GY342" s="10"/>
      <c r="GZ342" s="11"/>
      <c r="HA342" s="69">
        <f t="shared" si="2256"/>
        <v>0</v>
      </c>
      <c r="HB342" s="69">
        <f t="shared" si="2256"/>
        <v>0</v>
      </c>
      <c r="HC342" s="11"/>
      <c r="HD342" s="12" t="e">
        <f t="shared" si="2231"/>
        <v>#DIV/0!</v>
      </c>
      <c r="HE342" s="11"/>
      <c r="HF342" s="12" t="e">
        <f t="shared" si="2232"/>
        <v>#DIV/0!</v>
      </c>
      <c r="HG342" s="13"/>
      <c r="HH342" s="13"/>
      <c r="HI342" s="25"/>
      <c r="HJ342" s="38"/>
      <c r="HK342" s="10">
        <f t="shared" si="2233"/>
        <v>4</v>
      </c>
      <c r="HL342" s="11">
        <f t="shared" si="2233"/>
        <v>0</v>
      </c>
      <c r="HM342" s="11">
        <f t="shared" si="2233"/>
        <v>3250</v>
      </c>
      <c r="HN342" s="11">
        <f t="shared" si="2233"/>
        <v>240</v>
      </c>
      <c r="HO342" s="11">
        <f t="shared" si="2234"/>
        <v>739</v>
      </c>
      <c r="HP342" s="95">
        <f t="shared" si="2235"/>
        <v>0.22738461538461538</v>
      </c>
      <c r="HQ342" s="15">
        <f t="shared" si="2236"/>
        <v>68</v>
      </c>
      <c r="HR342" s="12">
        <f t="shared" si="2257"/>
        <v>9.2016238159675232E-2</v>
      </c>
      <c r="HS342" s="16">
        <v>73.599999999999994</v>
      </c>
      <c r="HT342" s="17">
        <v>639</v>
      </c>
      <c r="HU342" s="16">
        <f t="shared" si="2237"/>
        <v>86.468200270636004</v>
      </c>
      <c r="HV342" s="23">
        <v>4505</v>
      </c>
      <c r="HW342" s="22">
        <v>4900</v>
      </c>
    </row>
    <row r="343" spans="1:231" ht="18.75" x14ac:dyDescent="0.25">
      <c r="A343" s="374"/>
      <c r="B343" s="41">
        <f t="shared" si="2077"/>
        <v>45205</v>
      </c>
      <c r="C343" s="10">
        <v>2</v>
      </c>
      <c r="D343" s="11"/>
      <c r="E343" s="69">
        <f t="shared" si="2238"/>
        <v>1162</v>
      </c>
      <c r="F343" s="69">
        <f t="shared" si="2238"/>
        <v>86</v>
      </c>
      <c r="G343" s="11">
        <v>267</v>
      </c>
      <c r="H343" s="12">
        <f t="shared" si="2198"/>
        <v>0.25645438898450945</v>
      </c>
      <c r="I343" s="11">
        <v>31</v>
      </c>
      <c r="J343" s="12">
        <f t="shared" si="2239"/>
        <v>0.1040268456375839</v>
      </c>
      <c r="K343" s="13"/>
      <c r="L343" s="11"/>
      <c r="M343" s="25">
        <v>5131.5</v>
      </c>
      <c r="N343" s="38">
        <v>5464.55</v>
      </c>
      <c r="O343" s="10">
        <v>1</v>
      </c>
      <c r="P343" s="11"/>
      <c r="Q343" s="69">
        <f t="shared" si="2240"/>
        <v>117</v>
      </c>
      <c r="R343" s="69">
        <f t="shared" si="2240"/>
        <v>8</v>
      </c>
      <c r="S343" s="11">
        <v>34</v>
      </c>
      <c r="T343" s="12">
        <f t="shared" si="2199"/>
        <v>0.31623931623931623</v>
      </c>
      <c r="U343" s="11">
        <v>3</v>
      </c>
      <c r="V343" s="12">
        <f t="shared" si="2200"/>
        <v>8.1081081081081086E-2</v>
      </c>
      <c r="W343" s="13"/>
      <c r="X343" s="11"/>
      <c r="Y343" s="25">
        <v>5080</v>
      </c>
      <c r="Z343" s="38">
        <v>5890</v>
      </c>
      <c r="AA343" s="10">
        <v>1</v>
      </c>
      <c r="AB343" s="11"/>
      <c r="AC343" s="69">
        <f t="shared" si="2241"/>
        <v>1967</v>
      </c>
      <c r="AD343" s="69">
        <f t="shared" si="2241"/>
        <v>146</v>
      </c>
      <c r="AE343" s="11">
        <v>426</v>
      </c>
      <c r="AF343" s="12">
        <f t="shared" si="2201"/>
        <v>0.24046771733604475</v>
      </c>
      <c r="AG343" s="11">
        <v>47</v>
      </c>
      <c r="AH343" s="12">
        <f t="shared" si="2202"/>
        <v>9.9365750528541227E-2</v>
      </c>
      <c r="AI343" s="13"/>
      <c r="AJ343" s="11"/>
      <c r="AK343" s="25">
        <v>5235.95</v>
      </c>
      <c r="AL343" s="38">
        <v>5719.06</v>
      </c>
      <c r="AM343" s="10"/>
      <c r="AN343" s="11"/>
      <c r="AO343" s="69">
        <f t="shared" si="2242"/>
        <v>0</v>
      </c>
      <c r="AP343" s="69">
        <f t="shared" si="2242"/>
        <v>0</v>
      </c>
      <c r="AQ343" s="11"/>
      <c r="AR343" s="12" t="e">
        <f t="shared" si="2203"/>
        <v>#DIV/0!</v>
      </c>
      <c r="AS343" s="11"/>
      <c r="AT343" s="12" t="e">
        <f t="shared" si="2204"/>
        <v>#DIV/0!</v>
      </c>
      <c r="AU343" s="13"/>
      <c r="AV343" s="11"/>
      <c r="AW343" s="25"/>
      <c r="AX343" s="38"/>
      <c r="AY343" s="10"/>
      <c r="AZ343" s="11"/>
      <c r="BA343" s="69">
        <f t="shared" si="2243"/>
        <v>0</v>
      </c>
      <c r="BB343" s="69">
        <f t="shared" si="2243"/>
        <v>0</v>
      </c>
      <c r="BC343" s="11"/>
      <c r="BD343" s="12" t="e">
        <f t="shared" si="2205"/>
        <v>#DIV/0!</v>
      </c>
      <c r="BE343" s="11"/>
      <c r="BF343" s="12" t="e">
        <f t="shared" si="2206"/>
        <v>#DIV/0!</v>
      </c>
      <c r="BG343" s="13"/>
      <c r="BH343" s="11"/>
      <c r="BI343" s="25"/>
      <c r="BJ343" s="38"/>
      <c r="BK343" s="10"/>
      <c r="BL343" s="11"/>
      <c r="BM343" s="69">
        <f t="shared" si="2244"/>
        <v>0</v>
      </c>
      <c r="BN343" s="69">
        <f t="shared" si="2244"/>
        <v>0</v>
      </c>
      <c r="BO343" s="11"/>
      <c r="BP343" s="12" t="e">
        <f t="shared" si="2207"/>
        <v>#DIV/0!</v>
      </c>
      <c r="BQ343" s="11"/>
      <c r="BR343" s="12" t="e">
        <f t="shared" si="2208"/>
        <v>#DIV/0!</v>
      </c>
      <c r="BS343" s="13"/>
      <c r="BT343" s="11"/>
      <c r="BU343" s="25"/>
      <c r="BV343" s="38"/>
      <c r="BW343" s="10"/>
      <c r="BX343" s="11"/>
      <c r="BY343" s="69">
        <f t="shared" si="2245"/>
        <v>0</v>
      </c>
      <c r="BZ343" s="69">
        <f t="shared" si="2245"/>
        <v>0</v>
      </c>
      <c r="CA343" s="11"/>
      <c r="CB343" s="12" t="e">
        <f t="shared" si="2209"/>
        <v>#DIV/0!</v>
      </c>
      <c r="CC343" s="11"/>
      <c r="CD343" s="12" t="e">
        <f t="shared" si="2210"/>
        <v>#DIV/0!</v>
      </c>
      <c r="CE343" s="13"/>
      <c r="CF343" s="11"/>
      <c r="CG343" s="25"/>
      <c r="CH343" s="38"/>
      <c r="CI343" s="10"/>
      <c r="CJ343" s="11"/>
      <c r="CK343" s="69">
        <f t="shared" si="2246"/>
        <v>0</v>
      </c>
      <c r="CL343" s="69">
        <f t="shared" si="2246"/>
        <v>0</v>
      </c>
      <c r="CM343" s="11"/>
      <c r="CN343" s="12" t="e">
        <f t="shared" si="2211"/>
        <v>#DIV/0!</v>
      </c>
      <c r="CO343" s="11"/>
      <c r="CP343" s="12" t="e">
        <f t="shared" si="2212"/>
        <v>#DIV/0!</v>
      </c>
      <c r="CQ343" s="13"/>
      <c r="CR343" s="11"/>
      <c r="CS343" s="25"/>
      <c r="CT343" s="38"/>
      <c r="CU343" s="10"/>
      <c r="CV343" s="11"/>
      <c r="CW343" s="69">
        <f t="shared" si="2247"/>
        <v>0</v>
      </c>
      <c r="CX343" s="69">
        <f t="shared" si="2247"/>
        <v>0</v>
      </c>
      <c r="CY343" s="11"/>
      <c r="CZ343" s="12" t="e">
        <f t="shared" si="2213"/>
        <v>#DIV/0!</v>
      </c>
      <c r="DA343" s="11"/>
      <c r="DB343" s="12" t="e">
        <f t="shared" si="2214"/>
        <v>#DIV/0!</v>
      </c>
      <c r="DC343" s="13"/>
      <c r="DD343" s="11"/>
      <c r="DE343" s="25"/>
      <c r="DF343" s="38"/>
      <c r="DG343" s="10"/>
      <c r="DH343" s="11"/>
      <c r="DI343" s="69">
        <f t="shared" si="2248"/>
        <v>0</v>
      </c>
      <c r="DJ343" s="69">
        <f t="shared" si="2248"/>
        <v>0</v>
      </c>
      <c r="DK343" s="11"/>
      <c r="DL343" s="12" t="e">
        <f t="shared" si="2215"/>
        <v>#DIV/0!</v>
      </c>
      <c r="DM343" s="11"/>
      <c r="DN343" s="12" t="e">
        <f t="shared" si="2216"/>
        <v>#DIV/0!</v>
      </c>
      <c r="DO343" s="13"/>
      <c r="DP343" s="11"/>
      <c r="DQ343" s="25"/>
      <c r="DR343" s="38"/>
      <c r="DS343" s="10"/>
      <c r="DT343" s="11"/>
      <c r="DU343" s="69">
        <f t="shared" si="2249"/>
        <v>0</v>
      </c>
      <c r="DV343" s="69">
        <f t="shared" si="2249"/>
        <v>0</v>
      </c>
      <c r="DW343" s="11"/>
      <c r="DX343" s="12" t="e">
        <f t="shared" si="2217"/>
        <v>#DIV/0!</v>
      </c>
      <c r="DY343" s="11"/>
      <c r="DZ343" s="12" t="e">
        <f t="shared" si="2218"/>
        <v>#DIV/0!</v>
      </c>
      <c r="EA343" s="13"/>
      <c r="EB343" s="11"/>
      <c r="EC343" s="25"/>
      <c r="ED343" s="38"/>
      <c r="EE343" s="10"/>
      <c r="EF343" s="11"/>
      <c r="EG343" s="69">
        <f t="shared" si="2250"/>
        <v>0</v>
      </c>
      <c r="EH343" s="69">
        <f t="shared" si="2250"/>
        <v>0</v>
      </c>
      <c r="EI343" s="11"/>
      <c r="EJ343" s="12" t="e">
        <f t="shared" si="2219"/>
        <v>#DIV/0!</v>
      </c>
      <c r="EK343" s="11"/>
      <c r="EL343" s="12" t="e">
        <f t="shared" si="2220"/>
        <v>#DIV/0!</v>
      </c>
      <c r="EM343" s="13"/>
      <c r="EN343" s="11"/>
      <c r="EO343" s="25"/>
      <c r="EP343" s="38"/>
      <c r="EQ343" s="10"/>
      <c r="ER343" s="11"/>
      <c r="ES343" s="69">
        <f t="shared" si="2251"/>
        <v>0</v>
      </c>
      <c r="ET343" s="69">
        <f t="shared" si="2251"/>
        <v>0</v>
      </c>
      <c r="EU343" s="11"/>
      <c r="EV343" s="12" t="e">
        <f t="shared" si="2221"/>
        <v>#DIV/0!</v>
      </c>
      <c r="EW343" s="11"/>
      <c r="EX343" s="12" t="e">
        <f t="shared" si="2222"/>
        <v>#DIV/0!</v>
      </c>
      <c r="EY343" s="13"/>
      <c r="EZ343" s="11"/>
      <c r="FA343" s="25"/>
      <c r="FB343" s="38"/>
      <c r="FC343" s="10"/>
      <c r="FD343" s="11"/>
      <c r="FE343" s="69">
        <f t="shared" si="2252"/>
        <v>0</v>
      </c>
      <c r="FF343" s="69">
        <f t="shared" si="2252"/>
        <v>0</v>
      </c>
      <c r="FG343" s="11"/>
      <c r="FH343" s="12" t="e">
        <f t="shared" si="2223"/>
        <v>#DIV/0!</v>
      </c>
      <c r="FI343" s="11"/>
      <c r="FJ343" s="12" t="e">
        <f t="shared" si="2224"/>
        <v>#DIV/0!</v>
      </c>
      <c r="FK343" s="13"/>
      <c r="FL343" s="11"/>
      <c r="FM343" s="25"/>
      <c r="FN343" s="38"/>
      <c r="FO343" s="10"/>
      <c r="FP343" s="11"/>
      <c r="FQ343" s="69">
        <f t="shared" si="2253"/>
        <v>0</v>
      </c>
      <c r="FR343" s="69">
        <f t="shared" si="2253"/>
        <v>0</v>
      </c>
      <c r="FS343" s="11"/>
      <c r="FT343" s="12" t="e">
        <f t="shared" si="2225"/>
        <v>#DIV/0!</v>
      </c>
      <c r="FU343" s="11"/>
      <c r="FV343" s="12" t="e">
        <f t="shared" si="2226"/>
        <v>#DIV/0!</v>
      </c>
      <c r="FW343" s="13"/>
      <c r="FX343" s="11"/>
      <c r="FY343" s="25"/>
      <c r="FZ343" s="38"/>
      <c r="GA343" s="10"/>
      <c r="GB343" s="11"/>
      <c r="GC343" s="69">
        <f t="shared" si="2254"/>
        <v>0</v>
      </c>
      <c r="GD343" s="69">
        <f t="shared" si="2254"/>
        <v>0</v>
      </c>
      <c r="GE343" s="11"/>
      <c r="GF343" s="12" t="e">
        <f t="shared" si="2227"/>
        <v>#DIV/0!</v>
      </c>
      <c r="GG343" s="11"/>
      <c r="GH343" s="12" t="e">
        <f t="shared" si="2228"/>
        <v>#DIV/0!</v>
      </c>
      <c r="GI343" s="13"/>
      <c r="GJ343" s="11"/>
      <c r="GK343" s="25"/>
      <c r="GL343" s="38"/>
      <c r="GM343" s="10"/>
      <c r="GN343" s="11"/>
      <c r="GO343" s="69">
        <f t="shared" si="2255"/>
        <v>0</v>
      </c>
      <c r="GP343" s="69">
        <f t="shared" si="2255"/>
        <v>0</v>
      </c>
      <c r="GQ343" s="11"/>
      <c r="GR343" s="12" t="e">
        <f t="shared" si="2229"/>
        <v>#DIV/0!</v>
      </c>
      <c r="GS343" s="11"/>
      <c r="GT343" s="12" t="e">
        <f t="shared" si="2230"/>
        <v>#DIV/0!</v>
      </c>
      <c r="GU343" s="13"/>
      <c r="GV343" s="11"/>
      <c r="GW343" s="25"/>
      <c r="GX343" s="38"/>
      <c r="GY343" s="10"/>
      <c r="GZ343" s="11"/>
      <c r="HA343" s="69">
        <f t="shared" si="2256"/>
        <v>0</v>
      </c>
      <c r="HB343" s="69">
        <f t="shared" si="2256"/>
        <v>0</v>
      </c>
      <c r="HC343" s="11"/>
      <c r="HD343" s="12" t="e">
        <f t="shared" si="2231"/>
        <v>#DIV/0!</v>
      </c>
      <c r="HE343" s="11"/>
      <c r="HF343" s="12" t="e">
        <f t="shared" si="2232"/>
        <v>#DIV/0!</v>
      </c>
      <c r="HG343" s="13"/>
      <c r="HH343" s="11"/>
      <c r="HI343" s="25"/>
      <c r="HJ343" s="38"/>
      <c r="HK343" s="10">
        <f t="shared" si="2233"/>
        <v>4</v>
      </c>
      <c r="HL343" s="11">
        <f t="shared" si="2233"/>
        <v>0</v>
      </c>
      <c r="HM343" s="11">
        <f t="shared" si="2233"/>
        <v>3246</v>
      </c>
      <c r="HN343" s="11">
        <f t="shared" si="2233"/>
        <v>240</v>
      </c>
      <c r="HO343" s="11">
        <f t="shared" si="2234"/>
        <v>808</v>
      </c>
      <c r="HP343" s="95">
        <f t="shared" si="2235"/>
        <v>0.24892174984596427</v>
      </c>
      <c r="HQ343" s="15">
        <f t="shared" si="2236"/>
        <v>81</v>
      </c>
      <c r="HR343" s="12">
        <f t="shared" si="2257"/>
        <v>0.10024752475247525</v>
      </c>
      <c r="HS343" s="16">
        <v>74.599999999999994</v>
      </c>
      <c r="HT343" s="17">
        <v>698</v>
      </c>
      <c r="HU343" s="16">
        <f t="shared" si="2237"/>
        <v>86.386138613861391</v>
      </c>
      <c r="HV343" s="23">
        <v>5182.3100000000004</v>
      </c>
      <c r="HW343" s="22">
        <v>5629.82</v>
      </c>
    </row>
    <row r="344" spans="1:231" ht="18.75" x14ac:dyDescent="0.25">
      <c r="A344" s="374"/>
      <c r="B344" s="41">
        <f t="shared" si="2077"/>
        <v>45206</v>
      </c>
      <c r="C344" s="10"/>
      <c r="D344" s="11"/>
      <c r="E344" s="69">
        <f>E343-C344</f>
        <v>1162</v>
      </c>
      <c r="F344" s="69">
        <f>F343-D344</f>
        <v>86</v>
      </c>
      <c r="G344" s="11">
        <v>269</v>
      </c>
      <c r="H344" s="12">
        <f t="shared" si="2198"/>
        <v>0.25817555938037867</v>
      </c>
      <c r="I344" s="11">
        <v>31</v>
      </c>
      <c r="J344" s="12">
        <f t="shared" si="2239"/>
        <v>0.10333333333333333</v>
      </c>
      <c r="K344" s="13"/>
      <c r="L344" s="11"/>
      <c r="M344" s="39">
        <v>61.7</v>
      </c>
      <c r="N344" s="43">
        <v>95.5</v>
      </c>
      <c r="O344" s="10">
        <v>2</v>
      </c>
      <c r="P344" s="11"/>
      <c r="Q344" s="69">
        <f t="shared" si="2240"/>
        <v>115</v>
      </c>
      <c r="R344" s="69">
        <f t="shared" si="2240"/>
        <v>8</v>
      </c>
      <c r="S344" s="11">
        <v>31</v>
      </c>
      <c r="T344" s="12">
        <f t="shared" si="2199"/>
        <v>0.29565217391304349</v>
      </c>
      <c r="U344" s="11">
        <v>3</v>
      </c>
      <c r="V344" s="12">
        <f t="shared" si="2200"/>
        <v>8.8235294117647065E-2</v>
      </c>
      <c r="W344" s="13"/>
      <c r="X344" s="11"/>
      <c r="Y344" s="39">
        <v>100</v>
      </c>
      <c r="Z344" s="43">
        <v>100</v>
      </c>
      <c r="AA344" s="10">
        <v>2</v>
      </c>
      <c r="AB344" s="11"/>
      <c r="AC344" s="69">
        <f t="shared" si="2241"/>
        <v>1965</v>
      </c>
      <c r="AD344" s="69">
        <f t="shared" si="2241"/>
        <v>146</v>
      </c>
      <c r="AE344" s="11">
        <v>374</v>
      </c>
      <c r="AF344" s="12">
        <f t="shared" si="2201"/>
        <v>0.20661577608142492</v>
      </c>
      <c r="AG344" s="11">
        <v>32</v>
      </c>
      <c r="AH344" s="12">
        <f t="shared" si="2202"/>
        <v>7.8817733990147784E-2</v>
      </c>
      <c r="AI344" s="13"/>
      <c r="AJ344" s="11"/>
      <c r="AK344" s="39">
        <v>60.8</v>
      </c>
      <c r="AL344" s="43">
        <v>96.9</v>
      </c>
      <c r="AM344" s="10"/>
      <c r="AN344" s="11"/>
      <c r="AO344" s="69">
        <f t="shared" si="2242"/>
        <v>0</v>
      </c>
      <c r="AP344" s="69">
        <f t="shared" si="2242"/>
        <v>0</v>
      </c>
      <c r="AQ344" s="11"/>
      <c r="AR344" s="12" t="e">
        <f t="shared" si="2203"/>
        <v>#DIV/0!</v>
      </c>
      <c r="AS344" s="11"/>
      <c r="AT344" s="12" t="e">
        <f t="shared" si="2204"/>
        <v>#DIV/0!</v>
      </c>
      <c r="AU344" s="13"/>
      <c r="AV344" s="11"/>
      <c r="AW344" s="39"/>
      <c r="AX344" s="43"/>
      <c r="AY344" s="10"/>
      <c r="AZ344" s="11"/>
      <c r="BA344" s="69">
        <f t="shared" si="2243"/>
        <v>0</v>
      </c>
      <c r="BB344" s="69">
        <f t="shared" si="2243"/>
        <v>0</v>
      </c>
      <c r="BC344" s="11"/>
      <c r="BD344" s="12" t="e">
        <f t="shared" si="2205"/>
        <v>#DIV/0!</v>
      </c>
      <c r="BE344" s="11"/>
      <c r="BF344" s="12" t="e">
        <f t="shared" si="2206"/>
        <v>#DIV/0!</v>
      </c>
      <c r="BG344" s="13"/>
      <c r="BH344" s="11"/>
      <c r="BI344" s="39"/>
      <c r="BJ344" s="43"/>
      <c r="BK344" s="10"/>
      <c r="BL344" s="11"/>
      <c r="BM344" s="69">
        <f t="shared" si="2244"/>
        <v>0</v>
      </c>
      <c r="BN344" s="69">
        <f t="shared" si="2244"/>
        <v>0</v>
      </c>
      <c r="BO344" s="11"/>
      <c r="BP344" s="12" t="e">
        <f t="shared" si="2207"/>
        <v>#DIV/0!</v>
      </c>
      <c r="BQ344" s="11"/>
      <c r="BR344" s="12" t="e">
        <f t="shared" si="2208"/>
        <v>#DIV/0!</v>
      </c>
      <c r="BS344" s="13"/>
      <c r="BT344" s="11"/>
      <c r="BU344" s="39"/>
      <c r="BV344" s="43"/>
      <c r="BW344" s="10"/>
      <c r="BX344" s="11"/>
      <c r="BY344" s="69">
        <f t="shared" si="2245"/>
        <v>0</v>
      </c>
      <c r="BZ344" s="69">
        <f t="shared" si="2245"/>
        <v>0</v>
      </c>
      <c r="CA344" s="11"/>
      <c r="CB344" s="12" t="e">
        <f t="shared" si="2209"/>
        <v>#DIV/0!</v>
      </c>
      <c r="CC344" s="11"/>
      <c r="CD344" s="12" t="e">
        <f t="shared" si="2210"/>
        <v>#DIV/0!</v>
      </c>
      <c r="CE344" s="13"/>
      <c r="CF344" s="11"/>
      <c r="CG344" s="39"/>
      <c r="CH344" s="43"/>
      <c r="CI344" s="10"/>
      <c r="CJ344" s="11"/>
      <c r="CK344" s="69">
        <f t="shared" si="2246"/>
        <v>0</v>
      </c>
      <c r="CL344" s="69">
        <f t="shared" si="2246"/>
        <v>0</v>
      </c>
      <c r="CM344" s="11"/>
      <c r="CN344" s="12" t="e">
        <f t="shared" si="2211"/>
        <v>#DIV/0!</v>
      </c>
      <c r="CO344" s="11"/>
      <c r="CP344" s="12" t="e">
        <f t="shared" si="2212"/>
        <v>#DIV/0!</v>
      </c>
      <c r="CQ344" s="13"/>
      <c r="CR344" s="11"/>
      <c r="CS344" s="39"/>
      <c r="CT344" s="43"/>
      <c r="CU344" s="10"/>
      <c r="CV344" s="11"/>
      <c r="CW344" s="69">
        <f t="shared" si="2247"/>
        <v>0</v>
      </c>
      <c r="CX344" s="69">
        <f t="shared" si="2247"/>
        <v>0</v>
      </c>
      <c r="CY344" s="11"/>
      <c r="CZ344" s="12" t="e">
        <f t="shared" si="2213"/>
        <v>#DIV/0!</v>
      </c>
      <c r="DA344" s="11"/>
      <c r="DB344" s="12" t="e">
        <f t="shared" si="2214"/>
        <v>#DIV/0!</v>
      </c>
      <c r="DC344" s="13"/>
      <c r="DD344" s="11"/>
      <c r="DE344" s="39"/>
      <c r="DF344" s="43"/>
      <c r="DG344" s="10"/>
      <c r="DH344" s="11"/>
      <c r="DI344" s="69">
        <f t="shared" si="2248"/>
        <v>0</v>
      </c>
      <c r="DJ344" s="69">
        <f t="shared" si="2248"/>
        <v>0</v>
      </c>
      <c r="DK344" s="11"/>
      <c r="DL344" s="12" t="e">
        <f t="shared" si="2215"/>
        <v>#DIV/0!</v>
      </c>
      <c r="DM344" s="11"/>
      <c r="DN344" s="12" t="e">
        <f t="shared" si="2216"/>
        <v>#DIV/0!</v>
      </c>
      <c r="DO344" s="13"/>
      <c r="DP344" s="11"/>
      <c r="DQ344" s="39"/>
      <c r="DR344" s="43"/>
      <c r="DS344" s="10"/>
      <c r="DT344" s="11"/>
      <c r="DU344" s="69">
        <f t="shared" si="2249"/>
        <v>0</v>
      </c>
      <c r="DV344" s="69">
        <f t="shared" si="2249"/>
        <v>0</v>
      </c>
      <c r="DW344" s="11"/>
      <c r="DX344" s="12" t="e">
        <f t="shared" si="2217"/>
        <v>#DIV/0!</v>
      </c>
      <c r="DY344" s="11"/>
      <c r="DZ344" s="12" t="e">
        <f t="shared" si="2218"/>
        <v>#DIV/0!</v>
      </c>
      <c r="EA344" s="13"/>
      <c r="EB344" s="11"/>
      <c r="EC344" s="39"/>
      <c r="ED344" s="43"/>
      <c r="EE344" s="10"/>
      <c r="EF344" s="11"/>
      <c r="EG344" s="69">
        <f t="shared" si="2250"/>
        <v>0</v>
      </c>
      <c r="EH344" s="69">
        <f t="shared" si="2250"/>
        <v>0</v>
      </c>
      <c r="EI344" s="11"/>
      <c r="EJ344" s="12" t="e">
        <f t="shared" si="2219"/>
        <v>#DIV/0!</v>
      </c>
      <c r="EK344" s="11"/>
      <c r="EL344" s="12" t="e">
        <f t="shared" si="2220"/>
        <v>#DIV/0!</v>
      </c>
      <c r="EM344" s="13"/>
      <c r="EN344" s="11"/>
      <c r="EO344" s="39"/>
      <c r="EP344" s="43"/>
      <c r="EQ344" s="10"/>
      <c r="ER344" s="11"/>
      <c r="ES344" s="69">
        <f t="shared" si="2251"/>
        <v>0</v>
      </c>
      <c r="ET344" s="69">
        <f t="shared" si="2251"/>
        <v>0</v>
      </c>
      <c r="EU344" s="11"/>
      <c r="EV344" s="12" t="e">
        <f t="shared" si="2221"/>
        <v>#DIV/0!</v>
      </c>
      <c r="EW344" s="11"/>
      <c r="EX344" s="12" t="e">
        <f t="shared" si="2222"/>
        <v>#DIV/0!</v>
      </c>
      <c r="EY344" s="13"/>
      <c r="EZ344" s="11"/>
      <c r="FA344" s="39"/>
      <c r="FB344" s="43"/>
      <c r="FC344" s="10"/>
      <c r="FD344" s="11"/>
      <c r="FE344" s="69">
        <f t="shared" si="2252"/>
        <v>0</v>
      </c>
      <c r="FF344" s="69">
        <f t="shared" si="2252"/>
        <v>0</v>
      </c>
      <c r="FG344" s="11"/>
      <c r="FH344" s="12" t="e">
        <f t="shared" si="2223"/>
        <v>#DIV/0!</v>
      </c>
      <c r="FI344" s="11"/>
      <c r="FJ344" s="12" t="e">
        <f t="shared" si="2224"/>
        <v>#DIV/0!</v>
      </c>
      <c r="FK344" s="13"/>
      <c r="FL344" s="11"/>
      <c r="FM344" s="39"/>
      <c r="FN344" s="43"/>
      <c r="FO344" s="10"/>
      <c r="FP344" s="11"/>
      <c r="FQ344" s="69">
        <f t="shared" si="2253"/>
        <v>0</v>
      </c>
      <c r="FR344" s="69">
        <f t="shared" si="2253"/>
        <v>0</v>
      </c>
      <c r="FS344" s="11"/>
      <c r="FT344" s="12" t="e">
        <f t="shared" si="2225"/>
        <v>#DIV/0!</v>
      </c>
      <c r="FU344" s="11"/>
      <c r="FV344" s="12" t="e">
        <f t="shared" si="2226"/>
        <v>#DIV/0!</v>
      </c>
      <c r="FW344" s="13"/>
      <c r="FX344" s="11"/>
      <c r="FY344" s="39"/>
      <c r="FZ344" s="43"/>
      <c r="GA344" s="10"/>
      <c r="GB344" s="11"/>
      <c r="GC344" s="69">
        <f t="shared" si="2254"/>
        <v>0</v>
      </c>
      <c r="GD344" s="69">
        <f t="shared" si="2254"/>
        <v>0</v>
      </c>
      <c r="GE344" s="11"/>
      <c r="GF344" s="12" t="e">
        <f t="shared" si="2227"/>
        <v>#DIV/0!</v>
      </c>
      <c r="GG344" s="11"/>
      <c r="GH344" s="12" t="e">
        <f t="shared" si="2228"/>
        <v>#DIV/0!</v>
      </c>
      <c r="GI344" s="13"/>
      <c r="GJ344" s="11"/>
      <c r="GK344" s="39"/>
      <c r="GL344" s="43"/>
      <c r="GM344" s="10"/>
      <c r="GN344" s="11"/>
      <c r="GO344" s="69">
        <f t="shared" si="2255"/>
        <v>0</v>
      </c>
      <c r="GP344" s="69">
        <f t="shared" si="2255"/>
        <v>0</v>
      </c>
      <c r="GQ344" s="11"/>
      <c r="GR344" s="12" t="e">
        <f t="shared" si="2229"/>
        <v>#DIV/0!</v>
      </c>
      <c r="GS344" s="11"/>
      <c r="GT344" s="12" t="e">
        <f t="shared" si="2230"/>
        <v>#DIV/0!</v>
      </c>
      <c r="GU344" s="13"/>
      <c r="GV344" s="11"/>
      <c r="GW344" s="39"/>
      <c r="GX344" s="43"/>
      <c r="GY344" s="10"/>
      <c r="GZ344" s="11"/>
      <c r="HA344" s="69">
        <f t="shared" si="2256"/>
        <v>0</v>
      </c>
      <c r="HB344" s="69">
        <f t="shared" si="2256"/>
        <v>0</v>
      </c>
      <c r="HC344" s="11"/>
      <c r="HD344" s="12" t="e">
        <f t="shared" si="2231"/>
        <v>#DIV/0!</v>
      </c>
      <c r="HE344" s="11"/>
      <c r="HF344" s="12" t="e">
        <f t="shared" si="2232"/>
        <v>#DIV/0!</v>
      </c>
      <c r="HG344" s="13"/>
      <c r="HH344" s="11"/>
      <c r="HI344" s="39"/>
      <c r="HJ344" s="43"/>
      <c r="HK344" s="10">
        <f t="shared" si="2233"/>
        <v>4</v>
      </c>
      <c r="HL344" s="11">
        <f t="shared" si="2233"/>
        <v>0</v>
      </c>
      <c r="HM344" s="11">
        <f t="shared" si="2233"/>
        <v>3242</v>
      </c>
      <c r="HN344" s="11">
        <f t="shared" si="2233"/>
        <v>240</v>
      </c>
      <c r="HO344" s="11">
        <f t="shared" si="2234"/>
        <v>740</v>
      </c>
      <c r="HP344" s="95">
        <f t="shared" si="2235"/>
        <v>0.22825416409623689</v>
      </c>
      <c r="HQ344" s="15">
        <f t="shared" si="2236"/>
        <v>66</v>
      </c>
      <c r="HR344" s="12">
        <f t="shared" si="2257"/>
        <v>8.9189189189189194E-2</v>
      </c>
      <c r="HS344" s="16">
        <v>74.5</v>
      </c>
      <c r="HT344" s="17">
        <v>642</v>
      </c>
      <c r="HU344" s="16">
        <f t="shared" si="2237"/>
        <v>86.756756756756758</v>
      </c>
      <c r="HV344" s="23">
        <v>64.34</v>
      </c>
      <c r="HW344" s="22">
        <v>94.74</v>
      </c>
    </row>
    <row r="345" spans="1:231" ht="19.5" thickBot="1" x14ac:dyDescent="0.3">
      <c r="A345" s="374"/>
      <c r="B345" s="42"/>
      <c r="C345" s="26">
        <f>SUM(C338:C344)</f>
        <v>6</v>
      </c>
      <c r="D345" s="27">
        <f>SUM(D338:D344)</f>
        <v>0</v>
      </c>
      <c r="E345" s="27"/>
      <c r="F345" s="27"/>
      <c r="G345" s="27">
        <f>SUM(G338:G344)</f>
        <v>1607</v>
      </c>
      <c r="H345" s="28">
        <f>((G345+I345)/7)/E344</f>
        <v>0.22498155888861571</v>
      </c>
      <c r="I345" s="27">
        <f>SUM(I338:I344)</f>
        <v>223</v>
      </c>
      <c r="J345" s="28">
        <f>(I345/(I345+G345))</f>
        <v>0.12185792349726776</v>
      </c>
      <c r="K345" s="27"/>
      <c r="L345" s="27"/>
      <c r="M345" s="29">
        <f>M343/M342*100-100</f>
        <v>13.906770255271923</v>
      </c>
      <c r="N345" s="67">
        <f>N343/N342*100-100</f>
        <v>11.521428571428572</v>
      </c>
      <c r="O345" s="26">
        <f>SUM(O338:O344)</f>
        <v>7</v>
      </c>
      <c r="P345" s="27">
        <f>SUM(P338:P344)</f>
        <v>0</v>
      </c>
      <c r="Q345" s="27"/>
      <c r="R345" s="27"/>
      <c r="S345" s="27">
        <f>SUM(S338:S344)</f>
        <v>444</v>
      </c>
      <c r="T345" s="28">
        <f>((S345+U345)/7)/Q344</f>
        <v>0.62236024844720494</v>
      </c>
      <c r="U345" s="27">
        <f>SUM(U338:U344)</f>
        <v>57</v>
      </c>
      <c r="V345" s="28">
        <f>(U345/(U345+S345))</f>
        <v>0.11377245508982035</v>
      </c>
      <c r="W345" s="27"/>
      <c r="X345" s="27"/>
      <c r="Y345" s="29">
        <f>Y343/Y342*100-100</f>
        <v>12.763596004439506</v>
      </c>
      <c r="Z345" s="67">
        <f>Z343/Z342*100-100</f>
        <v>20.204081632653057</v>
      </c>
      <c r="AA345" s="26">
        <f>SUM(AA338:AA344)</f>
        <v>6</v>
      </c>
      <c r="AB345" s="27">
        <f>SUM(AB338:AB344)</f>
        <v>0</v>
      </c>
      <c r="AC345" s="27"/>
      <c r="AD345" s="27"/>
      <c r="AE345" s="27">
        <f>SUM(AE338:AE344)</f>
        <v>2038</v>
      </c>
      <c r="AF345" s="28">
        <f>((AE345+AG345)/7)/AC344</f>
        <v>0.16263177026535805</v>
      </c>
      <c r="AG345" s="27">
        <f>SUM(AG338:AG344)</f>
        <v>199</v>
      </c>
      <c r="AH345" s="28">
        <f>(AG345/(AG345+AE345))</f>
        <v>8.8958426464014306E-2</v>
      </c>
      <c r="AI345" s="27"/>
      <c r="AJ345" s="27"/>
      <c r="AK345" s="29">
        <f>AK343/AK342*100-100</f>
        <v>16.225305216426193</v>
      </c>
      <c r="AL345" s="67">
        <f>AL343/AL342*100-100</f>
        <v>16.715510204081639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273</v>
      </c>
      <c r="AR345" s="28" t="e">
        <f>((AQ345+AS345)/7)/AO344</f>
        <v>#DIV/0!</v>
      </c>
      <c r="AS345" s="27">
        <f>SUM(AS338:AS344)</f>
        <v>18</v>
      </c>
      <c r="AT345" s="28">
        <f>(AS345/(AS345+AQ345))</f>
        <v>6.1855670103092786E-2</v>
      </c>
      <c r="AU345" s="27"/>
      <c r="AV345" s="27"/>
      <c r="AW345" s="29" t="e">
        <f>AW343/AW342*100-100</f>
        <v>#DIV/0!</v>
      </c>
      <c r="AX345" s="67" t="e">
        <f>AX343/AX342*100-100</f>
        <v>#DIV/0!</v>
      </c>
      <c r="AY345" s="26">
        <f>SUM(AY338:AY344)</f>
        <v>1</v>
      </c>
      <c r="AZ345" s="27">
        <f>SUM(AZ338:AZ344)</f>
        <v>0</v>
      </c>
      <c r="BA345" s="27"/>
      <c r="BB345" s="27"/>
      <c r="BC345" s="27">
        <f>SUM(BC338:BC344)</f>
        <v>258</v>
      </c>
      <c r="BD345" s="28" t="e">
        <f>((BC345+BE345)/7)/BA344</f>
        <v>#DIV/0!</v>
      </c>
      <c r="BE345" s="27">
        <f>SUM(BE338:BE344)</f>
        <v>32</v>
      </c>
      <c r="BF345" s="28">
        <f>(BE345/(BE345+BC345))</f>
        <v>0.1103448275862069</v>
      </c>
      <c r="BG345" s="27"/>
      <c r="BH345" s="27"/>
      <c r="BI345" s="29" t="e">
        <f>BI343/BI342*100-100</f>
        <v>#DIV/0!</v>
      </c>
      <c r="BJ345" s="67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297</v>
      </c>
      <c r="BP345" s="28" t="e">
        <f>((BO345+BQ345)/7)/BM344</f>
        <v>#DIV/0!</v>
      </c>
      <c r="BQ345" s="27">
        <f>SUM(BQ338:BQ344)</f>
        <v>28</v>
      </c>
      <c r="BR345" s="28">
        <f>(BQ345/(BQ345+BO345))</f>
        <v>8.615384615384615E-2</v>
      </c>
      <c r="BS345" s="27"/>
      <c r="BT345" s="27"/>
      <c r="BU345" s="29" t="e">
        <f>BU343/BU342*100-100</f>
        <v>#DIV/0!</v>
      </c>
      <c r="BV345" s="67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7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7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7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7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7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7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7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7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7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7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7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7" t="e">
        <f>HJ343/HJ342*100-100</f>
        <v>#DIV/0!</v>
      </c>
      <c r="HK345" s="26">
        <f t="shared" si="2233"/>
        <v>20</v>
      </c>
      <c r="HL345" s="27">
        <f t="shared" si="2233"/>
        <v>0</v>
      </c>
      <c r="HM345" s="27">
        <f t="shared" si="2233"/>
        <v>0</v>
      </c>
      <c r="HN345" s="27">
        <f t="shared" si="2233"/>
        <v>0</v>
      </c>
      <c r="HO345" s="27">
        <f t="shared" si="2234"/>
        <v>5474</v>
      </c>
      <c r="HP345" s="96">
        <f>+((HO345)/HM344)/7</f>
        <v>0.24120913016656384</v>
      </c>
      <c r="HQ345" s="62">
        <f t="shared" si="2236"/>
        <v>557</v>
      </c>
      <c r="HR345" s="52">
        <f t="shared" si="2257"/>
        <v>0.10175374497625136</v>
      </c>
      <c r="HS345" s="53">
        <f>SUM(HS338:HS344)/7</f>
        <v>73.814285714285717</v>
      </c>
      <c r="HT345" s="54">
        <f>SUM(HT338:HT344)</f>
        <v>4687</v>
      </c>
      <c r="HU345" s="53">
        <f>AVERAGE(HU338:HU344)</f>
        <v>85.652398058683275</v>
      </c>
      <c r="HV345" s="63">
        <f>HV343/HV342*100-100</f>
        <v>15.034628190898999</v>
      </c>
      <c r="HW345" s="67">
        <f>HW343/HW342*100-100</f>
        <v>14.894285714285701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6.1312078479460455E-3</v>
      </c>
      <c r="HL346" s="66">
        <f>HL345/HN335</f>
        <v>0</v>
      </c>
      <c r="HM346" s="45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373">
        <v>63</v>
      </c>
      <c r="B347" s="40">
        <f>B344+1</f>
        <v>45207</v>
      </c>
      <c r="C347" s="33">
        <v>1</v>
      </c>
      <c r="D347" s="34"/>
      <c r="E347" s="34">
        <f>E344-C347</f>
        <v>1161</v>
      </c>
      <c r="F347" s="34">
        <f>F344-D347</f>
        <v>86</v>
      </c>
      <c r="G347" s="34">
        <v>263</v>
      </c>
      <c r="H347" s="35">
        <f t="shared" ref="H347:H353" si="2258">((G347+I347)/E347)</f>
        <v>0.26098191214470284</v>
      </c>
      <c r="I347" s="34">
        <v>40</v>
      </c>
      <c r="J347" s="35">
        <f>I347/(G347+I347)</f>
        <v>0.132013201320132</v>
      </c>
      <c r="K347" s="36"/>
      <c r="L347" s="34"/>
      <c r="M347" s="34"/>
      <c r="N347" s="37"/>
      <c r="O347" s="33">
        <v>1</v>
      </c>
      <c r="P347" s="34"/>
      <c r="Q347" s="34">
        <f>Q344-O347</f>
        <v>114</v>
      </c>
      <c r="R347" s="34">
        <f>R344-P347</f>
        <v>8</v>
      </c>
      <c r="S347" s="34">
        <v>25</v>
      </c>
      <c r="T347" s="35">
        <f t="shared" ref="T347:T353" si="2259">((S347+U347)/Q347)</f>
        <v>0.26315789473684209</v>
      </c>
      <c r="U347" s="34">
        <v>5</v>
      </c>
      <c r="V347" s="35">
        <f t="shared" ref="V347:V353" si="2260">U347/(S347+U347)</f>
        <v>0.16666666666666666</v>
      </c>
      <c r="W347" s="36"/>
      <c r="X347" s="34"/>
      <c r="Y347" s="34"/>
      <c r="Z347" s="37"/>
      <c r="AA347" s="33"/>
      <c r="AB347" s="34"/>
      <c r="AC347" s="34">
        <f>AC344-AA347</f>
        <v>1965</v>
      </c>
      <c r="AD347" s="34">
        <f>AD344-AB347</f>
        <v>146</v>
      </c>
      <c r="AE347" s="34">
        <v>427</v>
      </c>
      <c r="AF347" s="35">
        <f t="shared" ref="AF347:AF353" si="2261">((AE347+AG347)/AC347)</f>
        <v>0.23765903307888039</v>
      </c>
      <c r="AG347" s="34">
        <v>40</v>
      </c>
      <c r="AH347" s="35">
        <f t="shared" ref="AH347:AH353" si="2262">AG347/(AE347+AG347)</f>
        <v>8.5653104925053528E-2</v>
      </c>
      <c r="AI347" s="36"/>
      <c r="AJ347" s="34"/>
      <c r="AK347" s="34"/>
      <c r="AL347" s="37"/>
      <c r="AM347" s="33"/>
      <c r="AN347" s="34"/>
      <c r="AO347" s="34">
        <f>AO344-AM347</f>
        <v>0</v>
      </c>
      <c r="AP347" s="34">
        <f>AP344-AN347</f>
        <v>0</v>
      </c>
      <c r="AQ347" s="34"/>
      <c r="AR347" s="35" t="e">
        <f t="shared" ref="AR347:AR353" si="2263">((AQ347+AS347)/AO347)</f>
        <v>#DIV/0!</v>
      </c>
      <c r="AS347" s="34"/>
      <c r="AT347" s="35" t="e">
        <f t="shared" ref="AT347:AT353" si="226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0</v>
      </c>
      <c r="BB347" s="34">
        <f>BB344-AZ347</f>
        <v>0</v>
      </c>
      <c r="BC347" s="34"/>
      <c r="BD347" s="35" t="e">
        <f t="shared" ref="BD347:BD353" si="2265">((BC347+BE347)/BA347)</f>
        <v>#DIV/0!</v>
      </c>
      <c r="BE347" s="34"/>
      <c r="BF347" s="35" t="e">
        <f t="shared" ref="BF347:BF353" si="226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0</v>
      </c>
      <c r="BN347" s="34">
        <f>BN344-BL347</f>
        <v>0</v>
      </c>
      <c r="BO347" s="34"/>
      <c r="BP347" s="35" t="e">
        <f t="shared" ref="BP347:BP353" si="2267">((BO347+BQ347)/BM347)</f>
        <v>#DIV/0!</v>
      </c>
      <c r="BQ347" s="34"/>
      <c r="BR347" s="35" t="e">
        <f t="shared" ref="BR347:BR353" si="226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269">((CA347+CC347)/BY347)</f>
        <v>#DIV/0!</v>
      </c>
      <c r="CC347" s="34"/>
      <c r="CD347" s="35" t="e">
        <f t="shared" ref="CD347:CD353" si="227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271">((CM347+CO347)/CK347)</f>
        <v>#DIV/0!</v>
      </c>
      <c r="CO347" s="34"/>
      <c r="CP347" s="35" t="e">
        <f t="shared" ref="CP347:CP353" si="227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273">((CY347+DA347)/CW347)</f>
        <v>#DIV/0!</v>
      </c>
      <c r="DA347" s="34"/>
      <c r="DB347" s="35" t="e">
        <f t="shared" ref="DB347:DB353" si="227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275">((DK347+DM347)/DI347)</f>
        <v>#DIV/0!</v>
      </c>
      <c r="DM347" s="34"/>
      <c r="DN347" s="35" t="e">
        <f t="shared" ref="DN347:DN353" si="227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277">((DW347+DY347)/DU347)</f>
        <v>#DIV/0!</v>
      </c>
      <c r="DY347" s="34"/>
      <c r="DZ347" s="35" t="e">
        <f t="shared" ref="DZ347:DZ353" si="227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279">((EI347+EK347)/EG347)</f>
        <v>#DIV/0!</v>
      </c>
      <c r="EK347" s="34"/>
      <c r="EL347" s="35" t="e">
        <f t="shared" ref="EL347:EL353" si="228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281">((EU347+EW347)/ES347)</f>
        <v>#DIV/0!</v>
      </c>
      <c r="EW347" s="34"/>
      <c r="EX347" s="35" t="e">
        <f t="shared" ref="EX347:EX353" si="228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283">((FG347+FI347)/FE347)</f>
        <v>#DIV/0!</v>
      </c>
      <c r="FI347" s="34"/>
      <c r="FJ347" s="35" t="e">
        <f t="shared" ref="FJ347:FJ353" si="228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285">((FS347+FU347)/FQ347)</f>
        <v>#DIV/0!</v>
      </c>
      <c r="FU347" s="34"/>
      <c r="FV347" s="35" t="e">
        <f t="shared" ref="FV347:FV353" si="228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287">((GE347+GG347)/GC347)</f>
        <v>#DIV/0!</v>
      </c>
      <c r="GG347" s="34"/>
      <c r="GH347" s="35" t="e">
        <f t="shared" ref="GH347:GH353" si="228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289">((GQ347+GS347)/GO347)</f>
        <v>#DIV/0!</v>
      </c>
      <c r="GS347" s="34"/>
      <c r="GT347" s="35" t="e">
        <f t="shared" ref="GT347:GT353" si="229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291">((HC347+HE347)/HA347)</f>
        <v>#DIV/0!</v>
      </c>
      <c r="HE347" s="34"/>
      <c r="HF347" s="35" t="e">
        <f t="shared" ref="HF347:HF353" si="2292">HE347/(HC347+HE347)</f>
        <v>#DIV/0!</v>
      </c>
      <c r="HG347" s="36"/>
      <c r="HH347" s="34"/>
      <c r="HI347" s="34"/>
      <c r="HJ347" s="37"/>
      <c r="HK347" s="33">
        <f t="shared" ref="HK347:HN354" si="2293">+C347+O347+AA347+AM347+AY347+BK347+BW347+CI347+CU347+DG347+DS347+EE347+EQ347+FC347+FO347+GA347+GM347+GY347</f>
        <v>2</v>
      </c>
      <c r="HL347" s="34">
        <f t="shared" si="2293"/>
        <v>0</v>
      </c>
      <c r="HM347" s="34">
        <f t="shared" si="2293"/>
        <v>3240</v>
      </c>
      <c r="HN347" s="34">
        <f t="shared" si="2293"/>
        <v>240</v>
      </c>
      <c r="HO347" s="34">
        <f t="shared" ref="HO347:HO354" si="2294">+G347+S347+AE347+AQ347+BC347+BO347+CA347+CM347+CY347+DK347+DW347+EI347+EU347+FG347+FS347+GE347+GQ347+HC347+I347+U347+AG347+AS347+BE347+BQ347+CC347+CO347+DA347+DM347+DY347+EK347+EW347+FI347+FU347+GG347+GS347+HE347</f>
        <v>800</v>
      </c>
      <c r="HP347" s="94">
        <f t="shared" ref="HP347:HP353" si="2295">+(HO347)/HM347</f>
        <v>0.24691358024691357</v>
      </c>
      <c r="HQ347" s="48">
        <f t="shared" ref="HQ347:HQ354" si="2296">+I347+U347+AG347+AS347+BE347+BQ347+CC347+CO347+DA347+DM347+DY347+EK347+EW347+FI347+FU347+GG347+GS347+HE347</f>
        <v>85</v>
      </c>
      <c r="HR347" s="35">
        <f>+(HQ347/(HO347))</f>
        <v>0.10625</v>
      </c>
      <c r="HS347" s="49">
        <v>74.599999999999994</v>
      </c>
      <c r="HT347" s="50">
        <v>673</v>
      </c>
      <c r="HU347" s="49">
        <f t="shared" ref="HU347:HU353" si="2297">+HT347/HO347*100</f>
        <v>84.125</v>
      </c>
      <c r="HV347" s="48"/>
      <c r="HW347" s="37"/>
    </row>
    <row r="348" spans="1:231" ht="18.75" x14ac:dyDescent="0.25">
      <c r="A348" s="374"/>
      <c r="B348" s="41">
        <f t="shared" si="2077"/>
        <v>45208</v>
      </c>
      <c r="C348" s="10"/>
      <c r="D348" s="11"/>
      <c r="E348" s="69">
        <f t="shared" ref="E348:F352" si="2298">E347-C348</f>
        <v>1161</v>
      </c>
      <c r="F348" s="69">
        <f t="shared" si="2298"/>
        <v>86</v>
      </c>
      <c r="G348" s="11">
        <v>256</v>
      </c>
      <c r="H348" s="12">
        <f t="shared" si="2258"/>
        <v>0.26098191214470284</v>
      </c>
      <c r="I348" s="11">
        <v>47</v>
      </c>
      <c r="J348" s="12">
        <f t="shared" ref="J348:J353" si="2299">I348/(G348+I348)</f>
        <v>0.15511551155115511</v>
      </c>
      <c r="K348" s="13"/>
      <c r="L348" s="11"/>
      <c r="M348" s="11"/>
      <c r="N348" s="14"/>
      <c r="O348" s="10"/>
      <c r="P348" s="11"/>
      <c r="Q348" s="69">
        <f t="shared" ref="Q348:R353" si="2300">Q347-O348</f>
        <v>114</v>
      </c>
      <c r="R348" s="69">
        <f t="shared" si="2300"/>
        <v>8</v>
      </c>
      <c r="S348" s="11">
        <v>40</v>
      </c>
      <c r="T348" s="12">
        <f t="shared" si="2259"/>
        <v>0.37719298245614036</v>
      </c>
      <c r="U348" s="11">
        <v>3</v>
      </c>
      <c r="V348" s="12">
        <f t="shared" si="2260"/>
        <v>6.9767441860465115E-2</v>
      </c>
      <c r="W348" s="13"/>
      <c r="X348" s="11"/>
      <c r="Y348" s="11"/>
      <c r="Z348" s="14"/>
      <c r="AA348" s="10"/>
      <c r="AB348" s="11"/>
      <c r="AC348" s="69">
        <f t="shared" ref="AC348:AD353" si="2301">AC347-AA348</f>
        <v>1965</v>
      </c>
      <c r="AD348" s="69">
        <f t="shared" si="2301"/>
        <v>146</v>
      </c>
      <c r="AE348" s="11">
        <v>387</v>
      </c>
      <c r="AF348" s="12">
        <f t="shared" si="2261"/>
        <v>0.21475826972010179</v>
      </c>
      <c r="AG348" s="11">
        <v>35</v>
      </c>
      <c r="AH348" s="12">
        <f t="shared" si="2262"/>
        <v>8.2938388625592413E-2</v>
      </c>
      <c r="AI348" s="13"/>
      <c r="AJ348" s="11"/>
      <c r="AK348" s="11"/>
      <c r="AL348" s="14"/>
      <c r="AM348" s="10"/>
      <c r="AN348" s="11"/>
      <c r="AO348" s="69">
        <f t="shared" ref="AO348:AP353" si="2302">AO347-AM348</f>
        <v>0</v>
      </c>
      <c r="AP348" s="69">
        <f t="shared" si="2302"/>
        <v>0</v>
      </c>
      <c r="AQ348" s="11"/>
      <c r="AR348" s="12" t="e">
        <f t="shared" si="2263"/>
        <v>#DIV/0!</v>
      </c>
      <c r="AS348" s="11"/>
      <c r="AT348" s="12" t="e">
        <f t="shared" si="2264"/>
        <v>#DIV/0!</v>
      </c>
      <c r="AU348" s="13"/>
      <c r="AV348" s="11"/>
      <c r="AW348" s="11"/>
      <c r="AX348" s="14"/>
      <c r="AY348" s="10"/>
      <c r="AZ348" s="11"/>
      <c r="BA348" s="69">
        <f t="shared" ref="BA348:BB353" si="2303">BA347-AY348</f>
        <v>0</v>
      </c>
      <c r="BB348" s="69">
        <f t="shared" si="2303"/>
        <v>0</v>
      </c>
      <c r="BC348" s="11"/>
      <c r="BD348" s="12" t="e">
        <f t="shared" si="2265"/>
        <v>#DIV/0!</v>
      </c>
      <c r="BE348" s="11"/>
      <c r="BF348" s="12" t="e">
        <f t="shared" si="2266"/>
        <v>#DIV/0!</v>
      </c>
      <c r="BG348" s="13"/>
      <c r="BH348" s="11"/>
      <c r="BI348" s="11"/>
      <c r="BJ348" s="14"/>
      <c r="BK348" s="10"/>
      <c r="BL348" s="11"/>
      <c r="BM348" s="69">
        <f t="shared" ref="BM348:BN353" si="2304">BM347-BK348</f>
        <v>0</v>
      </c>
      <c r="BN348" s="69">
        <f t="shared" si="2304"/>
        <v>0</v>
      </c>
      <c r="BO348" s="11"/>
      <c r="BP348" s="12" t="e">
        <f t="shared" si="2267"/>
        <v>#DIV/0!</v>
      </c>
      <c r="BQ348" s="11"/>
      <c r="BR348" s="12" t="e">
        <f t="shared" si="2268"/>
        <v>#DIV/0!</v>
      </c>
      <c r="BS348" s="13"/>
      <c r="BT348" s="11"/>
      <c r="BU348" s="11"/>
      <c r="BV348" s="14"/>
      <c r="BW348" s="10"/>
      <c r="BX348" s="11"/>
      <c r="BY348" s="69">
        <f t="shared" ref="BY348:BZ353" si="2305">BY347-BW348</f>
        <v>0</v>
      </c>
      <c r="BZ348" s="69">
        <f t="shared" si="2305"/>
        <v>0</v>
      </c>
      <c r="CA348" s="11"/>
      <c r="CB348" s="12" t="e">
        <f t="shared" si="2269"/>
        <v>#DIV/0!</v>
      </c>
      <c r="CC348" s="11"/>
      <c r="CD348" s="12" t="e">
        <f t="shared" si="2270"/>
        <v>#DIV/0!</v>
      </c>
      <c r="CE348" s="13"/>
      <c r="CF348" s="11"/>
      <c r="CG348" s="11"/>
      <c r="CH348" s="14"/>
      <c r="CI348" s="10"/>
      <c r="CJ348" s="11"/>
      <c r="CK348" s="69">
        <f t="shared" ref="CK348:CL353" si="2306">CK347-CI348</f>
        <v>0</v>
      </c>
      <c r="CL348" s="69">
        <f t="shared" si="2306"/>
        <v>0</v>
      </c>
      <c r="CM348" s="11"/>
      <c r="CN348" s="12" t="e">
        <f t="shared" si="2271"/>
        <v>#DIV/0!</v>
      </c>
      <c r="CO348" s="11"/>
      <c r="CP348" s="12" t="e">
        <f t="shared" si="2272"/>
        <v>#DIV/0!</v>
      </c>
      <c r="CQ348" s="13"/>
      <c r="CR348" s="11"/>
      <c r="CS348" s="11"/>
      <c r="CT348" s="14"/>
      <c r="CU348" s="10"/>
      <c r="CV348" s="11"/>
      <c r="CW348" s="69">
        <f t="shared" ref="CW348:CX353" si="2307">CW347-CU348</f>
        <v>0</v>
      </c>
      <c r="CX348" s="69">
        <f t="shared" si="2307"/>
        <v>0</v>
      </c>
      <c r="CY348" s="11"/>
      <c r="CZ348" s="12" t="e">
        <f t="shared" si="2273"/>
        <v>#DIV/0!</v>
      </c>
      <c r="DA348" s="11"/>
      <c r="DB348" s="12" t="e">
        <f t="shared" si="2274"/>
        <v>#DIV/0!</v>
      </c>
      <c r="DC348" s="13"/>
      <c r="DD348" s="11"/>
      <c r="DE348" s="11"/>
      <c r="DF348" s="14"/>
      <c r="DG348" s="10"/>
      <c r="DH348" s="11"/>
      <c r="DI348" s="69">
        <f t="shared" ref="DI348:DJ353" si="2308">DI347-DG348</f>
        <v>0</v>
      </c>
      <c r="DJ348" s="69">
        <f t="shared" si="2308"/>
        <v>0</v>
      </c>
      <c r="DK348" s="11"/>
      <c r="DL348" s="12" t="e">
        <f t="shared" si="2275"/>
        <v>#DIV/0!</v>
      </c>
      <c r="DM348" s="11"/>
      <c r="DN348" s="12" t="e">
        <f t="shared" si="2276"/>
        <v>#DIV/0!</v>
      </c>
      <c r="DO348" s="13"/>
      <c r="DP348" s="11"/>
      <c r="DQ348" s="11"/>
      <c r="DR348" s="14"/>
      <c r="DS348" s="10"/>
      <c r="DT348" s="11"/>
      <c r="DU348" s="69">
        <f t="shared" ref="DU348:DV353" si="2309">DU347-DS348</f>
        <v>0</v>
      </c>
      <c r="DV348" s="69">
        <f t="shared" si="2309"/>
        <v>0</v>
      </c>
      <c r="DW348" s="11"/>
      <c r="DX348" s="12" t="e">
        <f t="shared" si="2277"/>
        <v>#DIV/0!</v>
      </c>
      <c r="DY348" s="11"/>
      <c r="DZ348" s="12" t="e">
        <f t="shared" si="2278"/>
        <v>#DIV/0!</v>
      </c>
      <c r="EA348" s="13"/>
      <c r="EB348" s="11"/>
      <c r="EC348" s="11"/>
      <c r="ED348" s="14"/>
      <c r="EE348" s="10"/>
      <c r="EF348" s="11"/>
      <c r="EG348" s="69">
        <f t="shared" ref="EG348:EH353" si="2310">EG347-EE348</f>
        <v>0</v>
      </c>
      <c r="EH348" s="69">
        <f t="shared" si="2310"/>
        <v>0</v>
      </c>
      <c r="EI348" s="11"/>
      <c r="EJ348" s="12" t="e">
        <f t="shared" si="2279"/>
        <v>#DIV/0!</v>
      </c>
      <c r="EK348" s="11"/>
      <c r="EL348" s="12" t="e">
        <f t="shared" si="2280"/>
        <v>#DIV/0!</v>
      </c>
      <c r="EM348" s="13"/>
      <c r="EN348" s="11"/>
      <c r="EO348" s="11"/>
      <c r="EP348" s="14"/>
      <c r="EQ348" s="10"/>
      <c r="ER348" s="11"/>
      <c r="ES348" s="69">
        <f t="shared" ref="ES348:ET353" si="2311">ES347-EQ348</f>
        <v>0</v>
      </c>
      <c r="ET348" s="69">
        <f t="shared" si="2311"/>
        <v>0</v>
      </c>
      <c r="EU348" s="11"/>
      <c r="EV348" s="12" t="e">
        <f t="shared" si="2281"/>
        <v>#DIV/0!</v>
      </c>
      <c r="EW348" s="11"/>
      <c r="EX348" s="12" t="e">
        <f t="shared" si="2282"/>
        <v>#DIV/0!</v>
      </c>
      <c r="EY348" s="13"/>
      <c r="EZ348" s="11"/>
      <c r="FA348" s="11"/>
      <c r="FB348" s="14"/>
      <c r="FC348" s="10"/>
      <c r="FD348" s="11"/>
      <c r="FE348" s="69">
        <f t="shared" ref="FE348:FF353" si="2312">FE347-FC348</f>
        <v>0</v>
      </c>
      <c r="FF348" s="69">
        <f t="shared" si="2312"/>
        <v>0</v>
      </c>
      <c r="FG348" s="11"/>
      <c r="FH348" s="12" t="e">
        <f t="shared" si="2283"/>
        <v>#DIV/0!</v>
      </c>
      <c r="FI348" s="11"/>
      <c r="FJ348" s="12" t="e">
        <f t="shared" si="2284"/>
        <v>#DIV/0!</v>
      </c>
      <c r="FK348" s="13"/>
      <c r="FL348" s="11"/>
      <c r="FM348" s="11"/>
      <c r="FN348" s="14"/>
      <c r="FO348" s="10"/>
      <c r="FP348" s="11"/>
      <c r="FQ348" s="69">
        <f t="shared" ref="FQ348:FR353" si="2313">FQ347-FO348</f>
        <v>0</v>
      </c>
      <c r="FR348" s="69">
        <f t="shared" si="2313"/>
        <v>0</v>
      </c>
      <c r="FS348" s="11"/>
      <c r="FT348" s="12" t="e">
        <f t="shared" si="2285"/>
        <v>#DIV/0!</v>
      </c>
      <c r="FU348" s="11"/>
      <c r="FV348" s="12" t="e">
        <f t="shared" si="2286"/>
        <v>#DIV/0!</v>
      </c>
      <c r="FW348" s="13"/>
      <c r="FX348" s="11"/>
      <c r="FY348" s="11"/>
      <c r="FZ348" s="14"/>
      <c r="GA348" s="10"/>
      <c r="GB348" s="11"/>
      <c r="GC348" s="69">
        <f t="shared" ref="GC348:GD353" si="2314">GC347-GA348</f>
        <v>0</v>
      </c>
      <c r="GD348" s="69">
        <f t="shared" si="2314"/>
        <v>0</v>
      </c>
      <c r="GE348" s="11"/>
      <c r="GF348" s="12" t="e">
        <f t="shared" si="2287"/>
        <v>#DIV/0!</v>
      </c>
      <c r="GG348" s="11"/>
      <c r="GH348" s="12" t="e">
        <f t="shared" si="2288"/>
        <v>#DIV/0!</v>
      </c>
      <c r="GI348" s="13"/>
      <c r="GJ348" s="11"/>
      <c r="GK348" s="11"/>
      <c r="GL348" s="14"/>
      <c r="GM348" s="10"/>
      <c r="GN348" s="11"/>
      <c r="GO348" s="69">
        <f t="shared" ref="GO348:GP353" si="2315">GO347-GM348</f>
        <v>0</v>
      </c>
      <c r="GP348" s="69">
        <f t="shared" si="2315"/>
        <v>0</v>
      </c>
      <c r="GQ348" s="11"/>
      <c r="GR348" s="12" t="e">
        <f t="shared" si="2289"/>
        <v>#DIV/0!</v>
      </c>
      <c r="GS348" s="11"/>
      <c r="GT348" s="12" t="e">
        <f t="shared" si="2290"/>
        <v>#DIV/0!</v>
      </c>
      <c r="GU348" s="13"/>
      <c r="GV348" s="11"/>
      <c r="GW348" s="11"/>
      <c r="GX348" s="14"/>
      <c r="GY348" s="10"/>
      <c r="GZ348" s="11"/>
      <c r="HA348" s="69">
        <f t="shared" ref="HA348:HB353" si="2316">HA347-GY348</f>
        <v>0</v>
      </c>
      <c r="HB348" s="69">
        <f t="shared" si="2316"/>
        <v>0</v>
      </c>
      <c r="HC348" s="11"/>
      <c r="HD348" s="12" t="e">
        <f t="shared" si="2291"/>
        <v>#DIV/0!</v>
      </c>
      <c r="HE348" s="11"/>
      <c r="HF348" s="12" t="e">
        <f t="shared" si="2292"/>
        <v>#DIV/0!</v>
      </c>
      <c r="HG348" s="13"/>
      <c r="HH348" s="11"/>
      <c r="HI348" s="11"/>
      <c r="HJ348" s="14"/>
      <c r="HK348" s="10">
        <f t="shared" si="2293"/>
        <v>0</v>
      </c>
      <c r="HL348" s="11">
        <f t="shared" si="2293"/>
        <v>0</v>
      </c>
      <c r="HM348" s="11">
        <f t="shared" si="2293"/>
        <v>3240</v>
      </c>
      <c r="HN348" s="11">
        <f t="shared" si="2293"/>
        <v>240</v>
      </c>
      <c r="HO348" s="11">
        <f t="shared" si="2294"/>
        <v>768</v>
      </c>
      <c r="HP348" s="95">
        <f t="shared" si="2295"/>
        <v>0.23703703703703705</v>
      </c>
      <c r="HQ348" s="15">
        <f t="shared" si="2296"/>
        <v>85</v>
      </c>
      <c r="HR348" s="12">
        <f t="shared" ref="HR348:HR354" si="2317">+(HQ348/(HO348))</f>
        <v>0.11067708333333333</v>
      </c>
      <c r="HS348" s="16">
        <v>74.5</v>
      </c>
      <c r="HT348" s="17">
        <v>638</v>
      </c>
      <c r="HU348" s="16">
        <f t="shared" si="2297"/>
        <v>83.072916666666657</v>
      </c>
      <c r="HV348" s="15"/>
      <c r="HW348" s="14"/>
    </row>
    <row r="349" spans="1:231" ht="18.75" x14ac:dyDescent="0.25">
      <c r="A349" s="374"/>
      <c r="B349" s="41">
        <f t="shared" si="2077"/>
        <v>45209</v>
      </c>
      <c r="C349" s="10"/>
      <c r="D349" s="11"/>
      <c r="E349" s="69">
        <f t="shared" si="2298"/>
        <v>1161</v>
      </c>
      <c r="F349" s="69">
        <f t="shared" si="2298"/>
        <v>86</v>
      </c>
      <c r="G349" s="11">
        <v>268</v>
      </c>
      <c r="H349" s="12">
        <f t="shared" si="2258"/>
        <v>0.25839793281653745</v>
      </c>
      <c r="I349" s="11">
        <v>32</v>
      </c>
      <c r="J349" s="12">
        <f t="shared" si="2299"/>
        <v>0.10666666666666667</v>
      </c>
      <c r="K349" s="13"/>
      <c r="L349" s="11"/>
      <c r="M349" s="11"/>
      <c r="N349" s="14"/>
      <c r="O349" s="10">
        <v>1</v>
      </c>
      <c r="P349" s="11"/>
      <c r="Q349" s="69">
        <f t="shared" si="2300"/>
        <v>113</v>
      </c>
      <c r="R349" s="69">
        <f t="shared" si="2300"/>
        <v>8</v>
      </c>
      <c r="S349" s="11">
        <v>30</v>
      </c>
      <c r="T349" s="12">
        <f t="shared" si="2259"/>
        <v>0.30973451327433627</v>
      </c>
      <c r="U349" s="11">
        <v>5</v>
      </c>
      <c r="V349" s="12">
        <f t="shared" si="2260"/>
        <v>0.14285714285714285</v>
      </c>
      <c r="W349" s="13"/>
      <c r="X349" s="11"/>
      <c r="Y349" s="11"/>
      <c r="Z349" s="14"/>
      <c r="AA349" s="10">
        <v>3</v>
      </c>
      <c r="AB349" s="11"/>
      <c r="AC349" s="69">
        <f t="shared" si="2301"/>
        <v>1962</v>
      </c>
      <c r="AD349" s="69">
        <f t="shared" si="2301"/>
        <v>146</v>
      </c>
      <c r="AE349" s="11">
        <v>445</v>
      </c>
      <c r="AF349" s="12">
        <f t="shared" si="2261"/>
        <v>0.24668705402650357</v>
      </c>
      <c r="AG349" s="11">
        <v>39</v>
      </c>
      <c r="AH349" s="12">
        <f t="shared" si="2262"/>
        <v>8.057851239669421E-2</v>
      </c>
      <c r="AI349" s="13"/>
      <c r="AJ349" s="11"/>
      <c r="AK349" s="11"/>
      <c r="AL349" s="14"/>
      <c r="AM349" s="10"/>
      <c r="AN349" s="11"/>
      <c r="AO349" s="69">
        <f t="shared" si="2302"/>
        <v>0</v>
      </c>
      <c r="AP349" s="69">
        <f t="shared" si="2302"/>
        <v>0</v>
      </c>
      <c r="AQ349" s="11"/>
      <c r="AR349" s="12" t="e">
        <f t="shared" si="2263"/>
        <v>#DIV/0!</v>
      </c>
      <c r="AS349" s="11"/>
      <c r="AT349" s="12" t="e">
        <f t="shared" si="2264"/>
        <v>#DIV/0!</v>
      </c>
      <c r="AU349" s="13"/>
      <c r="AV349" s="11"/>
      <c r="AW349" s="11"/>
      <c r="AX349" s="14"/>
      <c r="AY349" s="10"/>
      <c r="AZ349" s="11"/>
      <c r="BA349" s="69">
        <f t="shared" si="2303"/>
        <v>0</v>
      </c>
      <c r="BB349" s="69">
        <f t="shared" si="2303"/>
        <v>0</v>
      </c>
      <c r="BC349" s="11"/>
      <c r="BD349" s="12" t="e">
        <f t="shared" si="2265"/>
        <v>#DIV/0!</v>
      </c>
      <c r="BE349" s="11"/>
      <c r="BF349" s="12" t="e">
        <f t="shared" si="2266"/>
        <v>#DIV/0!</v>
      </c>
      <c r="BG349" s="13"/>
      <c r="BH349" s="11"/>
      <c r="BI349" s="11"/>
      <c r="BJ349" s="14"/>
      <c r="BK349" s="10"/>
      <c r="BL349" s="11"/>
      <c r="BM349" s="69">
        <f t="shared" si="2304"/>
        <v>0</v>
      </c>
      <c r="BN349" s="69">
        <f t="shared" si="2304"/>
        <v>0</v>
      </c>
      <c r="BO349" s="11"/>
      <c r="BP349" s="12" t="e">
        <f t="shared" si="2267"/>
        <v>#DIV/0!</v>
      </c>
      <c r="BQ349" s="11"/>
      <c r="BR349" s="12" t="e">
        <f t="shared" si="2268"/>
        <v>#DIV/0!</v>
      </c>
      <c r="BS349" s="13"/>
      <c r="BT349" s="11"/>
      <c r="BU349" s="11"/>
      <c r="BV349" s="14"/>
      <c r="BW349" s="10"/>
      <c r="BX349" s="11"/>
      <c r="BY349" s="69">
        <f t="shared" si="2305"/>
        <v>0</v>
      </c>
      <c r="BZ349" s="69">
        <f t="shared" si="2305"/>
        <v>0</v>
      </c>
      <c r="CA349" s="11"/>
      <c r="CB349" s="12" t="e">
        <f t="shared" si="2269"/>
        <v>#DIV/0!</v>
      </c>
      <c r="CC349" s="11"/>
      <c r="CD349" s="12" t="e">
        <f t="shared" si="2270"/>
        <v>#DIV/0!</v>
      </c>
      <c r="CE349" s="13"/>
      <c r="CF349" s="11"/>
      <c r="CG349" s="11"/>
      <c r="CH349" s="14"/>
      <c r="CI349" s="10"/>
      <c r="CJ349" s="11"/>
      <c r="CK349" s="69">
        <f t="shared" si="2306"/>
        <v>0</v>
      </c>
      <c r="CL349" s="69">
        <f t="shared" si="2306"/>
        <v>0</v>
      </c>
      <c r="CM349" s="11"/>
      <c r="CN349" s="12" t="e">
        <f t="shared" si="2271"/>
        <v>#DIV/0!</v>
      </c>
      <c r="CO349" s="11"/>
      <c r="CP349" s="12" t="e">
        <f t="shared" si="2272"/>
        <v>#DIV/0!</v>
      </c>
      <c r="CQ349" s="13"/>
      <c r="CR349" s="11"/>
      <c r="CS349" s="11"/>
      <c r="CT349" s="14"/>
      <c r="CU349" s="10"/>
      <c r="CV349" s="11"/>
      <c r="CW349" s="69">
        <f t="shared" si="2307"/>
        <v>0</v>
      </c>
      <c r="CX349" s="69">
        <f t="shared" si="2307"/>
        <v>0</v>
      </c>
      <c r="CY349" s="11"/>
      <c r="CZ349" s="12" t="e">
        <f t="shared" si="2273"/>
        <v>#DIV/0!</v>
      </c>
      <c r="DA349" s="11"/>
      <c r="DB349" s="12" t="e">
        <f t="shared" si="2274"/>
        <v>#DIV/0!</v>
      </c>
      <c r="DC349" s="13"/>
      <c r="DD349" s="11"/>
      <c r="DE349" s="11"/>
      <c r="DF349" s="14"/>
      <c r="DG349" s="10"/>
      <c r="DH349" s="11"/>
      <c r="DI349" s="69">
        <f t="shared" si="2308"/>
        <v>0</v>
      </c>
      <c r="DJ349" s="69">
        <f t="shared" si="2308"/>
        <v>0</v>
      </c>
      <c r="DK349" s="11"/>
      <c r="DL349" s="12" t="e">
        <f t="shared" si="2275"/>
        <v>#DIV/0!</v>
      </c>
      <c r="DM349" s="11"/>
      <c r="DN349" s="12" t="e">
        <f t="shared" si="2276"/>
        <v>#DIV/0!</v>
      </c>
      <c r="DO349" s="13"/>
      <c r="DP349" s="11"/>
      <c r="DQ349" s="11"/>
      <c r="DR349" s="14"/>
      <c r="DS349" s="10"/>
      <c r="DT349" s="11"/>
      <c r="DU349" s="69">
        <f t="shared" si="2309"/>
        <v>0</v>
      </c>
      <c r="DV349" s="69">
        <f t="shared" si="2309"/>
        <v>0</v>
      </c>
      <c r="DW349" s="11"/>
      <c r="DX349" s="12" t="e">
        <f t="shared" si="2277"/>
        <v>#DIV/0!</v>
      </c>
      <c r="DY349" s="11"/>
      <c r="DZ349" s="12" t="e">
        <f t="shared" si="2278"/>
        <v>#DIV/0!</v>
      </c>
      <c r="EA349" s="13"/>
      <c r="EB349" s="11"/>
      <c r="EC349" s="11"/>
      <c r="ED349" s="14"/>
      <c r="EE349" s="10"/>
      <c r="EF349" s="11"/>
      <c r="EG349" s="69">
        <f t="shared" si="2310"/>
        <v>0</v>
      </c>
      <c r="EH349" s="69">
        <f t="shared" si="2310"/>
        <v>0</v>
      </c>
      <c r="EI349" s="11"/>
      <c r="EJ349" s="12" t="e">
        <f t="shared" si="2279"/>
        <v>#DIV/0!</v>
      </c>
      <c r="EK349" s="11"/>
      <c r="EL349" s="12" t="e">
        <f t="shared" si="2280"/>
        <v>#DIV/0!</v>
      </c>
      <c r="EM349" s="13"/>
      <c r="EN349" s="11"/>
      <c r="EO349" s="11"/>
      <c r="EP349" s="14"/>
      <c r="EQ349" s="10"/>
      <c r="ER349" s="11"/>
      <c r="ES349" s="69">
        <f t="shared" si="2311"/>
        <v>0</v>
      </c>
      <c r="ET349" s="69">
        <f t="shared" si="2311"/>
        <v>0</v>
      </c>
      <c r="EU349" s="11"/>
      <c r="EV349" s="12" t="e">
        <f t="shared" si="2281"/>
        <v>#DIV/0!</v>
      </c>
      <c r="EW349" s="11"/>
      <c r="EX349" s="12" t="e">
        <f t="shared" si="2282"/>
        <v>#DIV/0!</v>
      </c>
      <c r="EY349" s="13"/>
      <c r="EZ349" s="11"/>
      <c r="FA349" s="11"/>
      <c r="FB349" s="14"/>
      <c r="FC349" s="10"/>
      <c r="FD349" s="11"/>
      <c r="FE349" s="69">
        <f t="shared" si="2312"/>
        <v>0</v>
      </c>
      <c r="FF349" s="69">
        <f t="shared" si="2312"/>
        <v>0</v>
      </c>
      <c r="FG349" s="11"/>
      <c r="FH349" s="12" t="e">
        <f t="shared" si="2283"/>
        <v>#DIV/0!</v>
      </c>
      <c r="FI349" s="11"/>
      <c r="FJ349" s="12" t="e">
        <f t="shared" si="2284"/>
        <v>#DIV/0!</v>
      </c>
      <c r="FK349" s="13"/>
      <c r="FL349" s="11"/>
      <c r="FM349" s="11"/>
      <c r="FN349" s="14"/>
      <c r="FO349" s="10"/>
      <c r="FP349" s="11"/>
      <c r="FQ349" s="69">
        <f t="shared" si="2313"/>
        <v>0</v>
      </c>
      <c r="FR349" s="69">
        <f t="shared" si="2313"/>
        <v>0</v>
      </c>
      <c r="FS349" s="11"/>
      <c r="FT349" s="12" t="e">
        <f t="shared" si="2285"/>
        <v>#DIV/0!</v>
      </c>
      <c r="FU349" s="11"/>
      <c r="FV349" s="12" t="e">
        <f t="shared" si="2286"/>
        <v>#DIV/0!</v>
      </c>
      <c r="FW349" s="13"/>
      <c r="FX349" s="11"/>
      <c r="FY349" s="11"/>
      <c r="FZ349" s="14"/>
      <c r="GA349" s="10"/>
      <c r="GB349" s="11"/>
      <c r="GC349" s="69">
        <f t="shared" si="2314"/>
        <v>0</v>
      </c>
      <c r="GD349" s="69">
        <f t="shared" si="2314"/>
        <v>0</v>
      </c>
      <c r="GE349" s="11"/>
      <c r="GF349" s="12" t="e">
        <f t="shared" si="2287"/>
        <v>#DIV/0!</v>
      </c>
      <c r="GG349" s="11"/>
      <c r="GH349" s="12" t="e">
        <f t="shared" si="2288"/>
        <v>#DIV/0!</v>
      </c>
      <c r="GI349" s="13"/>
      <c r="GJ349" s="11"/>
      <c r="GK349" s="11"/>
      <c r="GL349" s="14"/>
      <c r="GM349" s="10"/>
      <c r="GN349" s="11"/>
      <c r="GO349" s="69">
        <f t="shared" si="2315"/>
        <v>0</v>
      </c>
      <c r="GP349" s="69">
        <f t="shared" si="2315"/>
        <v>0</v>
      </c>
      <c r="GQ349" s="11"/>
      <c r="GR349" s="12" t="e">
        <f t="shared" si="2289"/>
        <v>#DIV/0!</v>
      </c>
      <c r="GS349" s="11"/>
      <c r="GT349" s="12" t="e">
        <f t="shared" si="2290"/>
        <v>#DIV/0!</v>
      </c>
      <c r="GU349" s="13"/>
      <c r="GV349" s="11"/>
      <c r="GW349" s="11"/>
      <c r="GX349" s="14"/>
      <c r="GY349" s="10"/>
      <c r="GZ349" s="11"/>
      <c r="HA349" s="69">
        <f t="shared" si="2316"/>
        <v>0</v>
      </c>
      <c r="HB349" s="69">
        <f t="shared" si="2316"/>
        <v>0</v>
      </c>
      <c r="HC349" s="11"/>
      <c r="HD349" s="12" t="e">
        <f t="shared" si="2291"/>
        <v>#DIV/0!</v>
      </c>
      <c r="HE349" s="11"/>
      <c r="HF349" s="12" t="e">
        <f t="shared" si="2292"/>
        <v>#DIV/0!</v>
      </c>
      <c r="HG349" s="13"/>
      <c r="HH349" s="11"/>
      <c r="HI349" s="11"/>
      <c r="HJ349" s="14"/>
      <c r="HK349" s="10">
        <f t="shared" si="2293"/>
        <v>4</v>
      </c>
      <c r="HL349" s="11">
        <f t="shared" si="2293"/>
        <v>0</v>
      </c>
      <c r="HM349" s="11">
        <f t="shared" si="2293"/>
        <v>3236</v>
      </c>
      <c r="HN349" s="11">
        <f t="shared" si="2293"/>
        <v>240</v>
      </c>
      <c r="HO349" s="11">
        <f t="shared" si="2294"/>
        <v>819</v>
      </c>
      <c r="HP349" s="95">
        <f t="shared" si="2295"/>
        <v>0.25309023485784921</v>
      </c>
      <c r="HQ349" s="15">
        <f t="shared" si="2296"/>
        <v>76</v>
      </c>
      <c r="HR349" s="12">
        <f t="shared" si="2317"/>
        <v>9.2796092796092799E-2</v>
      </c>
      <c r="HS349" s="16">
        <v>74.5</v>
      </c>
      <c r="HT349" s="17">
        <v>707</v>
      </c>
      <c r="HU349" s="16">
        <f t="shared" si="2297"/>
        <v>86.324786324786331</v>
      </c>
      <c r="HV349" s="15"/>
      <c r="HW349" s="14"/>
    </row>
    <row r="350" spans="1:231" ht="18.75" x14ac:dyDescent="0.25">
      <c r="A350" s="374"/>
      <c r="B350" s="41">
        <f t="shared" si="2077"/>
        <v>45210</v>
      </c>
      <c r="C350" s="10"/>
      <c r="D350" s="11"/>
      <c r="E350" s="69">
        <f t="shared" si="2298"/>
        <v>1161</v>
      </c>
      <c r="F350" s="69">
        <f t="shared" si="2298"/>
        <v>86</v>
      </c>
      <c r="G350" s="11">
        <v>267</v>
      </c>
      <c r="H350" s="12">
        <f t="shared" si="2258"/>
        <v>0.26270456503014644</v>
      </c>
      <c r="I350" s="11">
        <v>38</v>
      </c>
      <c r="J350" s="12">
        <f t="shared" si="2299"/>
        <v>0.12459016393442623</v>
      </c>
      <c r="K350" s="11"/>
      <c r="L350" s="11"/>
      <c r="M350" s="18"/>
      <c r="N350" s="20"/>
      <c r="O350" s="10"/>
      <c r="P350" s="11"/>
      <c r="Q350" s="69">
        <f t="shared" si="2300"/>
        <v>113</v>
      </c>
      <c r="R350" s="69">
        <f t="shared" si="2300"/>
        <v>8</v>
      </c>
      <c r="S350" s="11">
        <v>30</v>
      </c>
      <c r="T350" s="12">
        <f t="shared" si="2259"/>
        <v>0.31858407079646017</v>
      </c>
      <c r="U350" s="11">
        <v>6</v>
      </c>
      <c r="V350" s="12">
        <f t="shared" si="2260"/>
        <v>0.16666666666666666</v>
      </c>
      <c r="W350" s="11"/>
      <c r="X350" s="11"/>
      <c r="Y350" s="18"/>
      <c r="Z350" s="20"/>
      <c r="AA350" s="10"/>
      <c r="AB350" s="11"/>
      <c r="AC350" s="69">
        <f t="shared" si="2301"/>
        <v>1962</v>
      </c>
      <c r="AD350" s="69">
        <f t="shared" si="2301"/>
        <v>146</v>
      </c>
      <c r="AE350" s="11">
        <v>369</v>
      </c>
      <c r="AF350" s="12">
        <f t="shared" si="2261"/>
        <v>0.20183486238532111</v>
      </c>
      <c r="AG350" s="11">
        <v>27</v>
      </c>
      <c r="AH350" s="12">
        <f t="shared" si="2262"/>
        <v>6.8181818181818177E-2</v>
      </c>
      <c r="AI350" s="11"/>
      <c r="AJ350" s="11"/>
      <c r="AK350" s="18"/>
      <c r="AL350" s="20"/>
      <c r="AM350" s="10"/>
      <c r="AN350" s="11"/>
      <c r="AO350" s="69">
        <f t="shared" si="2302"/>
        <v>0</v>
      </c>
      <c r="AP350" s="69">
        <f t="shared" si="2302"/>
        <v>0</v>
      </c>
      <c r="AQ350" s="11"/>
      <c r="AR350" s="12" t="e">
        <f t="shared" si="2263"/>
        <v>#DIV/0!</v>
      </c>
      <c r="AS350" s="11"/>
      <c r="AT350" s="12" t="e">
        <f t="shared" si="2264"/>
        <v>#DIV/0!</v>
      </c>
      <c r="AU350" s="11"/>
      <c r="AV350" s="11"/>
      <c r="AW350" s="18"/>
      <c r="AX350" s="20"/>
      <c r="AY350" s="10"/>
      <c r="AZ350" s="11"/>
      <c r="BA350" s="69">
        <f t="shared" si="2303"/>
        <v>0</v>
      </c>
      <c r="BB350" s="69">
        <f t="shared" si="2303"/>
        <v>0</v>
      </c>
      <c r="BC350" s="11"/>
      <c r="BD350" s="12" t="e">
        <f t="shared" si="2265"/>
        <v>#DIV/0!</v>
      </c>
      <c r="BE350" s="11"/>
      <c r="BF350" s="12" t="e">
        <f t="shared" si="2266"/>
        <v>#DIV/0!</v>
      </c>
      <c r="BG350" s="11"/>
      <c r="BH350" s="11"/>
      <c r="BI350" s="18"/>
      <c r="BJ350" s="20"/>
      <c r="BK350" s="10"/>
      <c r="BL350" s="11"/>
      <c r="BM350" s="69">
        <f t="shared" si="2304"/>
        <v>0</v>
      </c>
      <c r="BN350" s="69">
        <f t="shared" si="2304"/>
        <v>0</v>
      </c>
      <c r="BO350" s="11"/>
      <c r="BP350" s="12" t="e">
        <f t="shared" si="2267"/>
        <v>#DIV/0!</v>
      </c>
      <c r="BQ350" s="11"/>
      <c r="BR350" s="12" t="e">
        <f t="shared" si="2268"/>
        <v>#DIV/0!</v>
      </c>
      <c r="BS350" s="11"/>
      <c r="BT350" s="11"/>
      <c r="BU350" s="18"/>
      <c r="BV350" s="20"/>
      <c r="BW350" s="10"/>
      <c r="BX350" s="11"/>
      <c r="BY350" s="69">
        <f t="shared" si="2305"/>
        <v>0</v>
      </c>
      <c r="BZ350" s="69">
        <f t="shared" si="2305"/>
        <v>0</v>
      </c>
      <c r="CA350" s="11"/>
      <c r="CB350" s="12" t="e">
        <f t="shared" si="2269"/>
        <v>#DIV/0!</v>
      </c>
      <c r="CC350" s="11"/>
      <c r="CD350" s="12" t="e">
        <f t="shared" si="2270"/>
        <v>#DIV/0!</v>
      </c>
      <c r="CE350" s="11"/>
      <c r="CF350" s="11"/>
      <c r="CG350" s="18"/>
      <c r="CH350" s="20"/>
      <c r="CI350" s="10"/>
      <c r="CJ350" s="11"/>
      <c r="CK350" s="69">
        <f t="shared" si="2306"/>
        <v>0</v>
      </c>
      <c r="CL350" s="69">
        <f t="shared" si="2306"/>
        <v>0</v>
      </c>
      <c r="CM350" s="11"/>
      <c r="CN350" s="12" t="e">
        <f t="shared" si="2271"/>
        <v>#DIV/0!</v>
      </c>
      <c r="CO350" s="11"/>
      <c r="CP350" s="12" t="e">
        <f t="shared" si="2272"/>
        <v>#DIV/0!</v>
      </c>
      <c r="CQ350" s="11"/>
      <c r="CR350" s="11"/>
      <c r="CS350" s="18"/>
      <c r="CT350" s="20"/>
      <c r="CU350" s="10"/>
      <c r="CV350" s="11"/>
      <c r="CW350" s="69">
        <f t="shared" si="2307"/>
        <v>0</v>
      </c>
      <c r="CX350" s="69">
        <f t="shared" si="2307"/>
        <v>0</v>
      </c>
      <c r="CY350" s="11"/>
      <c r="CZ350" s="12" t="e">
        <f t="shared" si="2273"/>
        <v>#DIV/0!</v>
      </c>
      <c r="DA350" s="11"/>
      <c r="DB350" s="12" t="e">
        <f t="shared" si="2274"/>
        <v>#DIV/0!</v>
      </c>
      <c r="DC350" s="11"/>
      <c r="DD350" s="11"/>
      <c r="DE350" s="18"/>
      <c r="DF350" s="20"/>
      <c r="DG350" s="10"/>
      <c r="DH350" s="11"/>
      <c r="DI350" s="69">
        <f t="shared" si="2308"/>
        <v>0</v>
      </c>
      <c r="DJ350" s="69">
        <f t="shared" si="2308"/>
        <v>0</v>
      </c>
      <c r="DK350" s="11"/>
      <c r="DL350" s="12" t="e">
        <f t="shared" si="2275"/>
        <v>#DIV/0!</v>
      </c>
      <c r="DM350" s="11"/>
      <c r="DN350" s="12" t="e">
        <f t="shared" si="2276"/>
        <v>#DIV/0!</v>
      </c>
      <c r="DO350" s="11"/>
      <c r="DP350" s="11"/>
      <c r="DQ350" s="18"/>
      <c r="DR350" s="20"/>
      <c r="DS350" s="10"/>
      <c r="DT350" s="11"/>
      <c r="DU350" s="69">
        <f t="shared" si="2309"/>
        <v>0</v>
      </c>
      <c r="DV350" s="69">
        <f t="shared" si="2309"/>
        <v>0</v>
      </c>
      <c r="DW350" s="11"/>
      <c r="DX350" s="12" t="e">
        <f t="shared" si="2277"/>
        <v>#DIV/0!</v>
      </c>
      <c r="DY350" s="11"/>
      <c r="DZ350" s="12" t="e">
        <f t="shared" si="2278"/>
        <v>#DIV/0!</v>
      </c>
      <c r="EA350" s="11"/>
      <c r="EB350" s="11"/>
      <c r="EC350" s="18"/>
      <c r="ED350" s="20"/>
      <c r="EE350" s="10"/>
      <c r="EF350" s="11"/>
      <c r="EG350" s="69">
        <f t="shared" si="2310"/>
        <v>0</v>
      </c>
      <c r="EH350" s="69">
        <f t="shared" si="2310"/>
        <v>0</v>
      </c>
      <c r="EI350" s="11"/>
      <c r="EJ350" s="12" t="e">
        <f t="shared" si="2279"/>
        <v>#DIV/0!</v>
      </c>
      <c r="EK350" s="11"/>
      <c r="EL350" s="12" t="e">
        <f t="shared" si="2280"/>
        <v>#DIV/0!</v>
      </c>
      <c r="EM350" s="11"/>
      <c r="EN350" s="11"/>
      <c r="EO350" s="18"/>
      <c r="EP350" s="20"/>
      <c r="EQ350" s="10"/>
      <c r="ER350" s="11"/>
      <c r="ES350" s="69">
        <f t="shared" si="2311"/>
        <v>0</v>
      </c>
      <c r="ET350" s="69">
        <f t="shared" si="2311"/>
        <v>0</v>
      </c>
      <c r="EU350" s="11"/>
      <c r="EV350" s="12" t="e">
        <f t="shared" si="2281"/>
        <v>#DIV/0!</v>
      </c>
      <c r="EW350" s="11"/>
      <c r="EX350" s="12" t="e">
        <f t="shared" si="2282"/>
        <v>#DIV/0!</v>
      </c>
      <c r="EY350" s="11"/>
      <c r="EZ350" s="11"/>
      <c r="FA350" s="18"/>
      <c r="FB350" s="20"/>
      <c r="FC350" s="10"/>
      <c r="FD350" s="11"/>
      <c r="FE350" s="69">
        <f t="shared" si="2312"/>
        <v>0</v>
      </c>
      <c r="FF350" s="69">
        <f t="shared" si="2312"/>
        <v>0</v>
      </c>
      <c r="FG350" s="11"/>
      <c r="FH350" s="12" t="e">
        <f t="shared" si="2283"/>
        <v>#DIV/0!</v>
      </c>
      <c r="FI350" s="11"/>
      <c r="FJ350" s="12" t="e">
        <f t="shared" si="2284"/>
        <v>#DIV/0!</v>
      </c>
      <c r="FK350" s="11"/>
      <c r="FL350" s="11"/>
      <c r="FM350" s="18"/>
      <c r="FN350" s="20"/>
      <c r="FO350" s="10"/>
      <c r="FP350" s="11"/>
      <c r="FQ350" s="69">
        <f t="shared" si="2313"/>
        <v>0</v>
      </c>
      <c r="FR350" s="69">
        <f t="shared" si="2313"/>
        <v>0</v>
      </c>
      <c r="FS350" s="11"/>
      <c r="FT350" s="12" t="e">
        <f t="shared" si="2285"/>
        <v>#DIV/0!</v>
      </c>
      <c r="FU350" s="11"/>
      <c r="FV350" s="12" t="e">
        <f t="shared" si="2286"/>
        <v>#DIV/0!</v>
      </c>
      <c r="FW350" s="11"/>
      <c r="FX350" s="11"/>
      <c r="FY350" s="18"/>
      <c r="FZ350" s="20"/>
      <c r="GA350" s="10"/>
      <c r="GB350" s="11"/>
      <c r="GC350" s="69">
        <f t="shared" si="2314"/>
        <v>0</v>
      </c>
      <c r="GD350" s="69">
        <f t="shared" si="2314"/>
        <v>0</v>
      </c>
      <c r="GE350" s="11"/>
      <c r="GF350" s="12" t="e">
        <f t="shared" si="2287"/>
        <v>#DIV/0!</v>
      </c>
      <c r="GG350" s="11"/>
      <c r="GH350" s="12" t="e">
        <f t="shared" si="2288"/>
        <v>#DIV/0!</v>
      </c>
      <c r="GI350" s="11"/>
      <c r="GJ350" s="11"/>
      <c r="GK350" s="18"/>
      <c r="GL350" s="20"/>
      <c r="GM350" s="10"/>
      <c r="GN350" s="11"/>
      <c r="GO350" s="69">
        <f t="shared" si="2315"/>
        <v>0</v>
      </c>
      <c r="GP350" s="69">
        <f t="shared" si="2315"/>
        <v>0</v>
      </c>
      <c r="GQ350" s="11"/>
      <c r="GR350" s="12" t="e">
        <f t="shared" si="2289"/>
        <v>#DIV/0!</v>
      </c>
      <c r="GS350" s="11"/>
      <c r="GT350" s="12" t="e">
        <f t="shared" si="2290"/>
        <v>#DIV/0!</v>
      </c>
      <c r="GU350" s="11"/>
      <c r="GV350" s="11"/>
      <c r="GW350" s="18"/>
      <c r="GX350" s="20"/>
      <c r="GY350" s="10"/>
      <c r="GZ350" s="11"/>
      <c r="HA350" s="69">
        <f t="shared" si="2316"/>
        <v>0</v>
      </c>
      <c r="HB350" s="69">
        <f t="shared" si="2316"/>
        <v>0</v>
      </c>
      <c r="HC350" s="11"/>
      <c r="HD350" s="12" t="e">
        <f t="shared" si="2291"/>
        <v>#DIV/0!</v>
      </c>
      <c r="HE350" s="11"/>
      <c r="HF350" s="12" t="e">
        <f t="shared" si="2292"/>
        <v>#DIV/0!</v>
      </c>
      <c r="HG350" s="11"/>
      <c r="HH350" s="11"/>
      <c r="HI350" s="18"/>
      <c r="HJ350" s="20"/>
      <c r="HK350" s="10">
        <f t="shared" si="2293"/>
        <v>0</v>
      </c>
      <c r="HL350" s="11">
        <f t="shared" si="2293"/>
        <v>0</v>
      </c>
      <c r="HM350" s="11">
        <f t="shared" si="2293"/>
        <v>3236</v>
      </c>
      <c r="HN350" s="11">
        <f t="shared" si="2293"/>
        <v>240</v>
      </c>
      <c r="HO350" s="11">
        <f t="shared" si="2294"/>
        <v>737</v>
      </c>
      <c r="HP350" s="95">
        <f t="shared" si="2295"/>
        <v>0.22775030902348578</v>
      </c>
      <c r="HQ350" s="15">
        <f t="shared" si="2296"/>
        <v>71</v>
      </c>
      <c r="HR350" s="12">
        <f t="shared" si="2317"/>
        <v>9.6336499321573954E-2</v>
      </c>
      <c r="HS350" s="16">
        <v>74.599999999999994</v>
      </c>
      <c r="HT350" s="17">
        <v>635</v>
      </c>
      <c r="HU350" s="16">
        <f t="shared" si="2297"/>
        <v>86.160108548168239</v>
      </c>
      <c r="HV350" s="18"/>
      <c r="HW350" s="20"/>
    </row>
    <row r="351" spans="1:231" ht="18.75" x14ac:dyDescent="0.25">
      <c r="A351" s="374"/>
      <c r="B351" s="41">
        <f t="shared" si="2077"/>
        <v>45211</v>
      </c>
      <c r="C351" s="10">
        <v>2</v>
      </c>
      <c r="D351" s="11"/>
      <c r="E351" s="69">
        <f t="shared" si="2298"/>
        <v>1159</v>
      </c>
      <c r="F351" s="69">
        <f t="shared" si="2298"/>
        <v>86</v>
      </c>
      <c r="G351" s="11">
        <v>267</v>
      </c>
      <c r="H351" s="12">
        <f t="shared" si="2258"/>
        <v>0.24590163934426229</v>
      </c>
      <c r="I351" s="11">
        <v>18</v>
      </c>
      <c r="J351" s="12">
        <f t="shared" si="2299"/>
        <v>6.3157894736842107E-2</v>
      </c>
      <c r="K351" s="13"/>
      <c r="L351" s="13"/>
      <c r="M351" s="25"/>
      <c r="N351" s="38"/>
      <c r="O351" s="10"/>
      <c r="P351" s="11"/>
      <c r="Q351" s="69">
        <f t="shared" si="2300"/>
        <v>113</v>
      </c>
      <c r="R351" s="69">
        <f t="shared" si="2300"/>
        <v>8</v>
      </c>
      <c r="S351" s="11">
        <v>35</v>
      </c>
      <c r="T351" s="12">
        <f t="shared" si="2259"/>
        <v>0.35398230088495575</v>
      </c>
      <c r="U351" s="11">
        <v>5</v>
      </c>
      <c r="V351" s="12">
        <f t="shared" si="2260"/>
        <v>0.125</v>
      </c>
      <c r="W351" s="13"/>
      <c r="X351" s="13"/>
      <c r="Y351" s="25"/>
      <c r="Z351" s="38"/>
      <c r="AA351" s="10">
        <v>1</v>
      </c>
      <c r="AB351" s="11"/>
      <c r="AC351" s="69">
        <f t="shared" si="2301"/>
        <v>1961</v>
      </c>
      <c r="AD351" s="69">
        <f t="shared" si="2301"/>
        <v>146</v>
      </c>
      <c r="AE351" s="11">
        <v>395</v>
      </c>
      <c r="AF351" s="12">
        <f t="shared" si="2261"/>
        <v>0.21468638449770525</v>
      </c>
      <c r="AG351" s="11">
        <v>26</v>
      </c>
      <c r="AH351" s="12">
        <f t="shared" si="2262"/>
        <v>6.1757719714964368E-2</v>
      </c>
      <c r="AI351" s="13"/>
      <c r="AJ351" s="13"/>
      <c r="AK351" s="25"/>
      <c r="AL351" s="38"/>
      <c r="AM351" s="10"/>
      <c r="AN351" s="11"/>
      <c r="AO351" s="69">
        <f t="shared" si="2302"/>
        <v>0</v>
      </c>
      <c r="AP351" s="69">
        <f t="shared" si="2302"/>
        <v>0</v>
      </c>
      <c r="AQ351" s="11"/>
      <c r="AR351" s="12" t="e">
        <f t="shared" si="2263"/>
        <v>#DIV/0!</v>
      </c>
      <c r="AS351" s="11"/>
      <c r="AT351" s="12" t="e">
        <f t="shared" si="2264"/>
        <v>#DIV/0!</v>
      </c>
      <c r="AU351" s="13"/>
      <c r="AV351" s="13"/>
      <c r="AW351" s="25"/>
      <c r="AX351" s="38"/>
      <c r="AY351" s="10"/>
      <c r="AZ351" s="11"/>
      <c r="BA351" s="69">
        <f t="shared" si="2303"/>
        <v>0</v>
      </c>
      <c r="BB351" s="69">
        <f t="shared" si="2303"/>
        <v>0</v>
      </c>
      <c r="BC351" s="11"/>
      <c r="BD351" s="12" t="e">
        <f t="shared" si="2265"/>
        <v>#DIV/0!</v>
      </c>
      <c r="BE351" s="11"/>
      <c r="BF351" s="12" t="e">
        <f t="shared" si="2266"/>
        <v>#DIV/0!</v>
      </c>
      <c r="BG351" s="13"/>
      <c r="BH351" s="13"/>
      <c r="BI351" s="25"/>
      <c r="BJ351" s="38"/>
      <c r="BK351" s="10"/>
      <c r="BL351" s="11"/>
      <c r="BM351" s="69">
        <f t="shared" si="2304"/>
        <v>0</v>
      </c>
      <c r="BN351" s="69">
        <f t="shared" si="2304"/>
        <v>0</v>
      </c>
      <c r="BO351" s="11"/>
      <c r="BP351" s="12" t="e">
        <f t="shared" si="2267"/>
        <v>#DIV/0!</v>
      </c>
      <c r="BQ351" s="11"/>
      <c r="BR351" s="12" t="e">
        <f t="shared" si="2268"/>
        <v>#DIV/0!</v>
      </c>
      <c r="BS351" s="13"/>
      <c r="BT351" s="13"/>
      <c r="BU351" s="25"/>
      <c r="BV351" s="38"/>
      <c r="BW351" s="10"/>
      <c r="BX351" s="11"/>
      <c r="BY351" s="69">
        <f t="shared" si="2305"/>
        <v>0</v>
      </c>
      <c r="BZ351" s="69">
        <f t="shared" si="2305"/>
        <v>0</v>
      </c>
      <c r="CA351" s="11"/>
      <c r="CB351" s="12" t="e">
        <f t="shared" si="2269"/>
        <v>#DIV/0!</v>
      </c>
      <c r="CC351" s="11"/>
      <c r="CD351" s="12" t="e">
        <f t="shared" si="2270"/>
        <v>#DIV/0!</v>
      </c>
      <c r="CE351" s="13"/>
      <c r="CF351" s="13"/>
      <c r="CG351" s="25"/>
      <c r="CH351" s="38"/>
      <c r="CI351" s="10"/>
      <c r="CJ351" s="11"/>
      <c r="CK351" s="69">
        <f t="shared" si="2306"/>
        <v>0</v>
      </c>
      <c r="CL351" s="69">
        <f t="shared" si="2306"/>
        <v>0</v>
      </c>
      <c r="CM351" s="11"/>
      <c r="CN351" s="12" t="e">
        <f t="shared" si="2271"/>
        <v>#DIV/0!</v>
      </c>
      <c r="CO351" s="11"/>
      <c r="CP351" s="12" t="e">
        <f t="shared" si="2272"/>
        <v>#DIV/0!</v>
      </c>
      <c r="CQ351" s="13"/>
      <c r="CR351" s="13"/>
      <c r="CS351" s="25"/>
      <c r="CT351" s="38"/>
      <c r="CU351" s="10"/>
      <c r="CV351" s="11"/>
      <c r="CW351" s="69">
        <f t="shared" si="2307"/>
        <v>0</v>
      </c>
      <c r="CX351" s="69">
        <f t="shared" si="2307"/>
        <v>0</v>
      </c>
      <c r="CY351" s="11"/>
      <c r="CZ351" s="12" t="e">
        <f t="shared" si="2273"/>
        <v>#DIV/0!</v>
      </c>
      <c r="DA351" s="11"/>
      <c r="DB351" s="12" t="e">
        <f t="shared" si="2274"/>
        <v>#DIV/0!</v>
      </c>
      <c r="DC351" s="13"/>
      <c r="DD351" s="13"/>
      <c r="DE351" s="25"/>
      <c r="DF351" s="38"/>
      <c r="DG351" s="10"/>
      <c r="DH351" s="11"/>
      <c r="DI351" s="69">
        <f t="shared" si="2308"/>
        <v>0</v>
      </c>
      <c r="DJ351" s="69">
        <f t="shared" si="2308"/>
        <v>0</v>
      </c>
      <c r="DK351" s="11"/>
      <c r="DL351" s="12" t="e">
        <f t="shared" si="2275"/>
        <v>#DIV/0!</v>
      </c>
      <c r="DM351" s="11"/>
      <c r="DN351" s="12" t="e">
        <f t="shared" si="2276"/>
        <v>#DIV/0!</v>
      </c>
      <c r="DO351" s="13"/>
      <c r="DP351" s="13"/>
      <c r="DQ351" s="25"/>
      <c r="DR351" s="38"/>
      <c r="DS351" s="10"/>
      <c r="DT351" s="11"/>
      <c r="DU351" s="69">
        <f t="shared" si="2309"/>
        <v>0</v>
      </c>
      <c r="DV351" s="69">
        <f t="shared" si="2309"/>
        <v>0</v>
      </c>
      <c r="DW351" s="11"/>
      <c r="DX351" s="12" t="e">
        <f t="shared" si="2277"/>
        <v>#DIV/0!</v>
      </c>
      <c r="DY351" s="11"/>
      <c r="DZ351" s="12" t="e">
        <f t="shared" si="2278"/>
        <v>#DIV/0!</v>
      </c>
      <c r="EA351" s="13"/>
      <c r="EB351" s="13"/>
      <c r="EC351" s="25"/>
      <c r="ED351" s="38"/>
      <c r="EE351" s="10"/>
      <c r="EF351" s="11"/>
      <c r="EG351" s="69">
        <f t="shared" si="2310"/>
        <v>0</v>
      </c>
      <c r="EH351" s="69">
        <f t="shared" si="2310"/>
        <v>0</v>
      </c>
      <c r="EI351" s="11"/>
      <c r="EJ351" s="12" t="e">
        <f t="shared" si="2279"/>
        <v>#DIV/0!</v>
      </c>
      <c r="EK351" s="11"/>
      <c r="EL351" s="12" t="e">
        <f t="shared" si="2280"/>
        <v>#DIV/0!</v>
      </c>
      <c r="EM351" s="13"/>
      <c r="EN351" s="13"/>
      <c r="EO351" s="25"/>
      <c r="EP351" s="38"/>
      <c r="EQ351" s="10"/>
      <c r="ER351" s="11"/>
      <c r="ES351" s="69">
        <f t="shared" si="2311"/>
        <v>0</v>
      </c>
      <c r="ET351" s="69">
        <f t="shared" si="2311"/>
        <v>0</v>
      </c>
      <c r="EU351" s="11"/>
      <c r="EV351" s="12" t="e">
        <f t="shared" si="2281"/>
        <v>#DIV/0!</v>
      </c>
      <c r="EW351" s="11"/>
      <c r="EX351" s="12" t="e">
        <f t="shared" si="2282"/>
        <v>#DIV/0!</v>
      </c>
      <c r="EY351" s="13"/>
      <c r="EZ351" s="13"/>
      <c r="FA351" s="25"/>
      <c r="FB351" s="38"/>
      <c r="FC351" s="10"/>
      <c r="FD351" s="11"/>
      <c r="FE351" s="69">
        <f t="shared" si="2312"/>
        <v>0</v>
      </c>
      <c r="FF351" s="69">
        <f t="shared" si="2312"/>
        <v>0</v>
      </c>
      <c r="FG351" s="11"/>
      <c r="FH351" s="12" t="e">
        <f t="shared" si="2283"/>
        <v>#DIV/0!</v>
      </c>
      <c r="FI351" s="11"/>
      <c r="FJ351" s="12" t="e">
        <f t="shared" si="2284"/>
        <v>#DIV/0!</v>
      </c>
      <c r="FK351" s="13"/>
      <c r="FL351" s="13"/>
      <c r="FM351" s="25"/>
      <c r="FN351" s="38"/>
      <c r="FO351" s="10"/>
      <c r="FP351" s="11"/>
      <c r="FQ351" s="69">
        <f t="shared" si="2313"/>
        <v>0</v>
      </c>
      <c r="FR351" s="69">
        <f t="shared" si="2313"/>
        <v>0</v>
      </c>
      <c r="FS351" s="11"/>
      <c r="FT351" s="12" t="e">
        <f t="shared" si="2285"/>
        <v>#DIV/0!</v>
      </c>
      <c r="FU351" s="11"/>
      <c r="FV351" s="12" t="e">
        <f t="shared" si="2286"/>
        <v>#DIV/0!</v>
      </c>
      <c r="FW351" s="13"/>
      <c r="FX351" s="13"/>
      <c r="FY351" s="25"/>
      <c r="FZ351" s="38"/>
      <c r="GA351" s="10"/>
      <c r="GB351" s="11"/>
      <c r="GC351" s="69">
        <f t="shared" si="2314"/>
        <v>0</v>
      </c>
      <c r="GD351" s="69">
        <f t="shared" si="2314"/>
        <v>0</v>
      </c>
      <c r="GE351" s="11"/>
      <c r="GF351" s="12" t="e">
        <f t="shared" si="2287"/>
        <v>#DIV/0!</v>
      </c>
      <c r="GG351" s="11"/>
      <c r="GH351" s="12" t="e">
        <f t="shared" si="2288"/>
        <v>#DIV/0!</v>
      </c>
      <c r="GI351" s="13"/>
      <c r="GJ351" s="13"/>
      <c r="GK351" s="25"/>
      <c r="GL351" s="38"/>
      <c r="GM351" s="10"/>
      <c r="GN351" s="11"/>
      <c r="GO351" s="69">
        <f t="shared" si="2315"/>
        <v>0</v>
      </c>
      <c r="GP351" s="69">
        <f t="shared" si="2315"/>
        <v>0</v>
      </c>
      <c r="GQ351" s="11"/>
      <c r="GR351" s="12" t="e">
        <f t="shared" si="2289"/>
        <v>#DIV/0!</v>
      </c>
      <c r="GS351" s="11"/>
      <c r="GT351" s="12" t="e">
        <f t="shared" si="2290"/>
        <v>#DIV/0!</v>
      </c>
      <c r="GU351" s="13"/>
      <c r="GV351" s="13"/>
      <c r="GW351" s="25"/>
      <c r="GX351" s="38"/>
      <c r="GY351" s="10"/>
      <c r="GZ351" s="11"/>
      <c r="HA351" s="69">
        <f t="shared" si="2316"/>
        <v>0</v>
      </c>
      <c r="HB351" s="69">
        <f t="shared" si="2316"/>
        <v>0</v>
      </c>
      <c r="HC351" s="11"/>
      <c r="HD351" s="12" t="e">
        <f t="shared" si="2291"/>
        <v>#DIV/0!</v>
      </c>
      <c r="HE351" s="11"/>
      <c r="HF351" s="12" t="e">
        <f t="shared" si="2292"/>
        <v>#DIV/0!</v>
      </c>
      <c r="HG351" s="13"/>
      <c r="HH351" s="13"/>
      <c r="HI351" s="25"/>
      <c r="HJ351" s="38"/>
      <c r="HK351" s="10">
        <f t="shared" si="2293"/>
        <v>3</v>
      </c>
      <c r="HL351" s="11">
        <f t="shared" si="2293"/>
        <v>0</v>
      </c>
      <c r="HM351" s="11">
        <f t="shared" si="2293"/>
        <v>3233</v>
      </c>
      <c r="HN351" s="11">
        <f t="shared" si="2293"/>
        <v>240</v>
      </c>
      <c r="HO351" s="11">
        <f t="shared" si="2294"/>
        <v>746</v>
      </c>
      <c r="HP351" s="95">
        <f t="shared" si="2295"/>
        <v>0.230745437673987</v>
      </c>
      <c r="HQ351" s="15">
        <f t="shared" si="2296"/>
        <v>49</v>
      </c>
      <c r="HR351" s="12">
        <f t="shared" si="2317"/>
        <v>6.5683646112600538E-2</v>
      </c>
      <c r="HS351" s="16">
        <v>74.3</v>
      </c>
      <c r="HT351" s="17">
        <v>681</v>
      </c>
      <c r="HU351" s="16">
        <f t="shared" si="2297"/>
        <v>91.286863270777488</v>
      </c>
      <c r="HV351" s="23"/>
      <c r="HW351" s="22"/>
    </row>
    <row r="352" spans="1:231" ht="18.75" x14ac:dyDescent="0.25">
      <c r="A352" s="374"/>
      <c r="B352" s="41">
        <f t="shared" si="2077"/>
        <v>45212</v>
      </c>
      <c r="C352" s="10"/>
      <c r="D352" s="11"/>
      <c r="E352" s="69">
        <f t="shared" si="2298"/>
        <v>1159</v>
      </c>
      <c r="F352" s="69">
        <f t="shared" si="2298"/>
        <v>86</v>
      </c>
      <c r="G352" s="11">
        <v>233</v>
      </c>
      <c r="H352" s="12">
        <f t="shared" si="2258"/>
        <v>0.22433132010353754</v>
      </c>
      <c r="I352" s="11">
        <v>27</v>
      </c>
      <c r="J352" s="12">
        <f t="shared" si="2299"/>
        <v>0.10384615384615385</v>
      </c>
      <c r="K352" s="13"/>
      <c r="L352" s="11"/>
      <c r="M352" s="25"/>
      <c r="N352" s="38"/>
      <c r="O352" s="10">
        <v>1</v>
      </c>
      <c r="P352" s="11"/>
      <c r="Q352" s="69">
        <f t="shared" si="2300"/>
        <v>112</v>
      </c>
      <c r="R352" s="69">
        <f t="shared" si="2300"/>
        <v>8</v>
      </c>
      <c r="S352" s="11">
        <v>29</v>
      </c>
      <c r="T352" s="12">
        <f t="shared" si="2259"/>
        <v>0.2857142857142857</v>
      </c>
      <c r="U352" s="11">
        <v>3</v>
      </c>
      <c r="V352" s="12">
        <f t="shared" si="2260"/>
        <v>9.375E-2</v>
      </c>
      <c r="W352" s="13"/>
      <c r="X352" s="11"/>
      <c r="Y352" s="25"/>
      <c r="Z352" s="38"/>
      <c r="AA352" s="10">
        <v>1</v>
      </c>
      <c r="AB352" s="11"/>
      <c r="AC352" s="69">
        <f t="shared" si="2301"/>
        <v>1960</v>
      </c>
      <c r="AD352" s="69">
        <f t="shared" si="2301"/>
        <v>146</v>
      </c>
      <c r="AE352" s="11">
        <v>317</v>
      </c>
      <c r="AF352" s="12">
        <f t="shared" si="2261"/>
        <v>0.1816326530612245</v>
      </c>
      <c r="AG352" s="11">
        <v>39</v>
      </c>
      <c r="AH352" s="12">
        <f t="shared" si="2262"/>
        <v>0.10955056179775281</v>
      </c>
      <c r="AI352" s="13"/>
      <c r="AJ352" s="11"/>
      <c r="AK352" s="25"/>
      <c r="AL352" s="38"/>
      <c r="AM352" s="10"/>
      <c r="AN352" s="11"/>
      <c r="AO352" s="69">
        <f t="shared" si="2302"/>
        <v>0</v>
      </c>
      <c r="AP352" s="69">
        <f t="shared" si="2302"/>
        <v>0</v>
      </c>
      <c r="AQ352" s="11"/>
      <c r="AR352" s="12" t="e">
        <f t="shared" si="2263"/>
        <v>#DIV/0!</v>
      </c>
      <c r="AS352" s="11"/>
      <c r="AT352" s="12" t="e">
        <f t="shared" si="2264"/>
        <v>#DIV/0!</v>
      </c>
      <c r="AU352" s="13"/>
      <c r="AV352" s="11"/>
      <c r="AW352" s="25"/>
      <c r="AX352" s="38"/>
      <c r="AY352" s="10"/>
      <c r="AZ352" s="11"/>
      <c r="BA352" s="69">
        <f t="shared" si="2303"/>
        <v>0</v>
      </c>
      <c r="BB352" s="69">
        <f t="shared" si="2303"/>
        <v>0</v>
      </c>
      <c r="BC352" s="11"/>
      <c r="BD352" s="12" t="e">
        <f t="shared" si="2265"/>
        <v>#DIV/0!</v>
      </c>
      <c r="BE352" s="11"/>
      <c r="BF352" s="12" t="e">
        <f t="shared" si="2266"/>
        <v>#DIV/0!</v>
      </c>
      <c r="BG352" s="13"/>
      <c r="BH352" s="11"/>
      <c r="BI352" s="25"/>
      <c r="BJ352" s="38"/>
      <c r="BK352" s="10"/>
      <c r="BL352" s="11"/>
      <c r="BM352" s="69">
        <f t="shared" si="2304"/>
        <v>0</v>
      </c>
      <c r="BN352" s="69">
        <f t="shared" si="2304"/>
        <v>0</v>
      </c>
      <c r="BO352" s="11"/>
      <c r="BP352" s="12" t="e">
        <f t="shared" si="2267"/>
        <v>#DIV/0!</v>
      </c>
      <c r="BQ352" s="11"/>
      <c r="BR352" s="12" t="e">
        <f t="shared" si="2268"/>
        <v>#DIV/0!</v>
      </c>
      <c r="BS352" s="13"/>
      <c r="BT352" s="11"/>
      <c r="BU352" s="25"/>
      <c r="BV352" s="38"/>
      <c r="BW352" s="10"/>
      <c r="BX352" s="11"/>
      <c r="BY352" s="69">
        <f t="shared" si="2305"/>
        <v>0</v>
      </c>
      <c r="BZ352" s="69">
        <f t="shared" si="2305"/>
        <v>0</v>
      </c>
      <c r="CA352" s="11"/>
      <c r="CB352" s="12" t="e">
        <f t="shared" si="2269"/>
        <v>#DIV/0!</v>
      </c>
      <c r="CC352" s="11"/>
      <c r="CD352" s="12" t="e">
        <f t="shared" si="2270"/>
        <v>#DIV/0!</v>
      </c>
      <c r="CE352" s="13"/>
      <c r="CF352" s="11"/>
      <c r="CG352" s="25"/>
      <c r="CH352" s="38"/>
      <c r="CI352" s="10"/>
      <c r="CJ352" s="11"/>
      <c r="CK352" s="69">
        <f t="shared" si="2306"/>
        <v>0</v>
      </c>
      <c r="CL352" s="69">
        <f t="shared" si="2306"/>
        <v>0</v>
      </c>
      <c r="CM352" s="11"/>
      <c r="CN352" s="12" t="e">
        <f t="shared" si="2271"/>
        <v>#DIV/0!</v>
      </c>
      <c r="CO352" s="11"/>
      <c r="CP352" s="12" t="e">
        <f t="shared" si="2272"/>
        <v>#DIV/0!</v>
      </c>
      <c r="CQ352" s="13"/>
      <c r="CR352" s="11"/>
      <c r="CS352" s="25"/>
      <c r="CT352" s="38"/>
      <c r="CU352" s="10"/>
      <c r="CV352" s="11"/>
      <c r="CW352" s="69">
        <f t="shared" si="2307"/>
        <v>0</v>
      </c>
      <c r="CX352" s="69">
        <f t="shared" si="2307"/>
        <v>0</v>
      </c>
      <c r="CY352" s="11"/>
      <c r="CZ352" s="12" t="e">
        <f t="shared" si="2273"/>
        <v>#DIV/0!</v>
      </c>
      <c r="DA352" s="11"/>
      <c r="DB352" s="12" t="e">
        <f t="shared" si="2274"/>
        <v>#DIV/0!</v>
      </c>
      <c r="DC352" s="13"/>
      <c r="DD352" s="11"/>
      <c r="DE352" s="25"/>
      <c r="DF352" s="38"/>
      <c r="DG352" s="10"/>
      <c r="DH352" s="11"/>
      <c r="DI352" s="69">
        <f t="shared" si="2308"/>
        <v>0</v>
      </c>
      <c r="DJ352" s="69">
        <f t="shared" si="2308"/>
        <v>0</v>
      </c>
      <c r="DK352" s="11"/>
      <c r="DL352" s="12" t="e">
        <f t="shared" si="2275"/>
        <v>#DIV/0!</v>
      </c>
      <c r="DM352" s="11"/>
      <c r="DN352" s="12" t="e">
        <f t="shared" si="2276"/>
        <v>#DIV/0!</v>
      </c>
      <c r="DO352" s="13"/>
      <c r="DP352" s="11"/>
      <c r="DQ352" s="25"/>
      <c r="DR352" s="38"/>
      <c r="DS352" s="10"/>
      <c r="DT352" s="11"/>
      <c r="DU352" s="69">
        <f t="shared" si="2309"/>
        <v>0</v>
      </c>
      <c r="DV352" s="69">
        <f t="shared" si="2309"/>
        <v>0</v>
      </c>
      <c r="DW352" s="11"/>
      <c r="DX352" s="12" t="e">
        <f t="shared" si="2277"/>
        <v>#DIV/0!</v>
      </c>
      <c r="DY352" s="11"/>
      <c r="DZ352" s="12" t="e">
        <f t="shared" si="2278"/>
        <v>#DIV/0!</v>
      </c>
      <c r="EA352" s="13"/>
      <c r="EB352" s="11"/>
      <c r="EC352" s="25"/>
      <c r="ED352" s="38"/>
      <c r="EE352" s="10"/>
      <c r="EF352" s="11"/>
      <c r="EG352" s="69">
        <f t="shared" si="2310"/>
        <v>0</v>
      </c>
      <c r="EH352" s="69">
        <f t="shared" si="2310"/>
        <v>0</v>
      </c>
      <c r="EI352" s="11"/>
      <c r="EJ352" s="12" t="e">
        <f t="shared" si="2279"/>
        <v>#DIV/0!</v>
      </c>
      <c r="EK352" s="11"/>
      <c r="EL352" s="12" t="e">
        <f t="shared" si="2280"/>
        <v>#DIV/0!</v>
      </c>
      <c r="EM352" s="13"/>
      <c r="EN352" s="11"/>
      <c r="EO352" s="25"/>
      <c r="EP352" s="38"/>
      <c r="EQ352" s="10"/>
      <c r="ER352" s="11"/>
      <c r="ES352" s="69">
        <f t="shared" si="2311"/>
        <v>0</v>
      </c>
      <c r="ET352" s="69">
        <f t="shared" si="2311"/>
        <v>0</v>
      </c>
      <c r="EU352" s="11"/>
      <c r="EV352" s="12" t="e">
        <f t="shared" si="2281"/>
        <v>#DIV/0!</v>
      </c>
      <c r="EW352" s="11"/>
      <c r="EX352" s="12" t="e">
        <f t="shared" si="2282"/>
        <v>#DIV/0!</v>
      </c>
      <c r="EY352" s="13"/>
      <c r="EZ352" s="11"/>
      <c r="FA352" s="25"/>
      <c r="FB352" s="38"/>
      <c r="FC352" s="10"/>
      <c r="FD352" s="11"/>
      <c r="FE352" s="69">
        <f t="shared" si="2312"/>
        <v>0</v>
      </c>
      <c r="FF352" s="69">
        <f t="shared" si="2312"/>
        <v>0</v>
      </c>
      <c r="FG352" s="11"/>
      <c r="FH352" s="12" t="e">
        <f t="shared" si="2283"/>
        <v>#DIV/0!</v>
      </c>
      <c r="FI352" s="11"/>
      <c r="FJ352" s="12" t="e">
        <f t="shared" si="2284"/>
        <v>#DIV/0!</v>
      </c>
      <c r="FK352" s="13"/>
      <c r="FL352" s="11"/>
      <c r="FM352" s="25"/>
      <c r="FN352" s="38"/>
      <c r="FO352" s="10"/>
      <c r="FP352" s="11"/>
      <c r="FQ352" s="69">
        <f t="shared" si="2313"/>
        <v>0</v>
      </c>
      <c r="FR352" s="69">
        <f t="shared" si="2313"/>
        <v>0</v>
      </c>
      <c r="FS352" s="11"/>
      <c r="FT352" s="12" t="e">
        <f t="shared" si="2285"/>
        <v>#DIV/0!</v>
      </c>
      <c r="FU352" s="11"/>
      <c r="FV352" s="12" t="e">
        <f t="shared" si="2286"/>
        <v>#DIV/0!</v>
      </c>
      <c r="FW352" s="13"/>
      <c r="FX352" s="11"/>
      <c r="FY352" s="25"/>
      <c r="FZ352" s="38"/>
      <c r="GA352" s="10"/>
      <c r="GB352" s="11"/>
      <c r="GC352" s="69">
        <f t="shared" si="2314"/>
        <v>0</v>
      </c>
      <c r="GD352" s="69">
        <f t="shared" si="2314"/>
        <v>0</v>
      </c>
      <c r="GE352" s="11"/>
      <c r="GF352" s="12" t="e">
        <f t="shared" si="2287"/>
        <v>#DIV/0!</v>
      </c>
      <c r="GG352" s="11"/>
      <c r="GH352" s="12" t="e">
        <f t="shared" si="2288"/>
        <v>#DIV/0!</v>
      </c>
      <c r="GI352" s="13"/>
      <c r="GJ352" s="11"/>
      <c r="GK352" s="25"/>
      <c r="GL352" s="38"/>
      <c r="GM352" s="10"/>
      <c r="GN352" s="11"/>
      <c r="GO352" s="69">
        <f t="shared" si="2315"/>
        <v>0</v>
      </c>
      <c r="GP352" s="69">
        <f t="shared" si="2315"/>
        <v>0</v>
      </c>
      <c r="GQ352" s="11"/>
      <c r="GR352" s="12" t="e">
        <f t="shared" si="2289"/>
        <v>#DIV/0!</v>
      </c>
      <c r="GS352" s="11"/>
      <c r="GT352" s="12" t="e">
        <f t="shared" si="2290"/>
        <v>#DIV/0!</v>
      </c>
      <c r="GU352" s="13"/>
      <c r="GV352" s="11"/>
      <c r="GW352" s="25"/>
      <c r="GX352" s="38"/>
      <c r="GY352" s="10"/>
      <c r="GZ352" s="11"/>
      <c r="HA352" s="69">
        <f t="shared" si="2316"/>
        <v>0</v>
      </c>
      <c r="HB352" s="69">
        <f t="shared" si="2316"/>
        <v>0</v>
      </c>
      <c r="HC352" s="11"/>
      <c r="HD352" s="12" t="e">
        <f t="shared" si="2291"/>
        <v>#DIV/0!</v>
      </c>
      <c r="HE352" s="11"/>
      <c r="HF352" s="12" t="e">
        <f t="shared" si="2292"/>
        <v>#DIV/0!</v>
      </c>
      <c r="HG352" s="13"/>
      <c r="HH352" s="11"/>
      <c r="HI352" s="25"/>
      <c r="HJ352" s="38"/>
      <c r="HK352" s="10">
        <f t="shared" si="2293"/>
        <v>2</v>
      </c>
      <c r="HL352" s="11">
        <f t="shared" si="2293"/>
        <v>0</v>
      </c>
      <c r="HM352" s="11">
        <f t="shared" si="2293"/>
        <v>3231</v>
      </c>
      <c r="HN352" s="11">
        <f t="shared" si="2293"/>
        <v>240</v>
      </c>
      <c r="HO352" s="11">
        <f t="shared" si="2294"/>
        <v>648</v>
      </c>
      <c r="HP352" s="95">
        <f t="shared" si="2295"/>
        <v>0.20055710306406685</v>
      </c>
      <c r="HQ352" s="15">
        <f t="shared" si="2296"/>
        <v>69</v>
      </c>
      <c r="HR352" s="12">
        <f t="shared" si="2317"/>
        <v>0.10648148148148148</v>
      </c>
      <c r="HS352" s="16">
        <v>74.400000000000006</v>
      </c>
      <c r="HT352" s="17">
        <v>545</v>
      </c>
      <c r="HU352" s="16">
        <f t="shared" si="2297"/>
        <v>84.104938271604937</v>
      </c>
      <c r="HV352" s="23"/>
      <c r="HW352" s="22"/>
    </row>
    <row r="353" spans="1:231" ht="18.75" x14ac:dyDescent="0.25">
      <c r="A353" s="374"/>
      <c r="B353" s="41">
        <f>+B352+1</f>
        <v>45213</v>
      </c>
      <c r="C353" s="10"/>
      <c r="D353" s="11"/>
      <c r="E353" s="69">
        <f>E352-C353</f>
        <v>1159</v>
      </c>
      <c r="F353" s="69">
        <f>F352-D353</f>
        <v>86</v>
      </c>
      <c r="G353" s="11">
        <v>244</v>
      </c>
      <c r="H353" s="12">
        <f t="shared" si="2258"/>
        <v>0.23382226056945643</v>
      </c>
      <c r="I353" s="11">
        <v>27</v>
      </c>
      <c r="J353" s="12">
        <f t="shared" si="2299"/>
        <v>9.9630996309963096E-2</v>
      </c>
      <c r="K353" s="13"/>
      <c r="L353" s="11"/>
      <c r="M353" s="39"/>
      <c r="N353" s="43"/>
      <c r="O353" s="10"/>
      <c r="P353" s="11"/>
      <c r="Q353" s="69">
        <f t="shared" si="2300"/>
        <v>112</v>
      </c>
      <c r="R353" s="69">
        <f t="shared" si="2300"/>
        <v>8</v>
      </c>
      <c r="S353" s="11">
        <v>24</v>
      </c>
      <c r="T353" s="12">
        <f t="shared" si="2259"/>
        <v>0.25892857142857145</v>
      </c>
      <c r="U353" s="11">
        <v>5</v>
      </c>
      <c r="V353" s="12">
        <f t="shared" si="2260"/>
        <v>0.17241379310344829</v>
      </c>
      <c r="W353" s="13"/>
      <c r="X353" s="11"/>
      <c r="Y353" s="39"/>
      <c r="Z353" s="43"/>
      <c r="AA353" s="10"/>
      <c r="AB353" s="11"/>
      <c r="AC353" s="69">
        <f t="shared" si="2301"/>
        <v>1960</v>
      </c>
      <c r="AD353" s="69">
        <f t="shared" si="2301"/>
        <v>146</v>
      </c>
      <c r="AE353" s="11">
        <v>402</v>
      </c>
      <c r="AF353" s="12">
        <f t="shared" si="2261"/>
        <v>0.22193877551020408</v>
      </c>
      <c r="AG353" s="11">
        <v>33</v>
      </c>
      <c r="AH353" s="12">
        <f t="shared" si="2262"/>
        <v>7.586206896551724E-2</v>
      </c>
      <c r="AI353" s="13"/>
      <c r="AJ353" s="11"/>
      <c r="AK353" s="39"/>
      <c r="AL353" s="43"/>
      <c r="AM353" s="10"/>
      <c r="AN353" s="11"/>
      <c r="AO353" s="69">
        <f t="shared" si="2302"/>
        <v>0</v>
      </c>
      <c r="AP353" s="69">
        <f t="shared" si="2302"/>
        <v>0</v>
      </c>
      <c r="AQ353" s="11"/>
      <c r="AR353" s="12" t="e">
        <f t="shared" si="2263"/>
        <v>#DIV/0!</v>
      </c>
      <c r="AS353" s="11"/>
      <c r="AT353" s="12" t="e">
        <f t="shared" si="2264"/>
        <v>#DIV/0!</v>
      </c>
      <c r="AU353" s="13"/>
      <c r="AV353" s="11"/>
      <c r="AW353" s="39"/>
      <c r="AX353" s="43"/>
      <c r="AY353" s="10"/>
      <c r="AZ353" s="11"/>
      <c r="BA353" s="69">
        <f t="shared" si="2303"/>
        <v>0</v>
      </c>
      <c r="BB353" s="69">
        <f t="shared" si="2303"/>
        <v>0</v>
      </c>
      <c r="BC353" s="11"/>
      <c r="BD353" s="12" t="e">
        <f t="shared" si="2265"/>
        <v>#DIV/0!</v>
      </c>
      <c r="BE353" s="11"/>
      <c r="BF353" s="12" t="e">
        <f t="shared" si="2266"/>
        <v>#DIV/0!</v>
      </c>
      <c r="BG353" s="13"/>
      <c r="BH353" s="11"/>
      <c r="BI353" s="39"/>
      <c r="BJ353" s="43"/>
      <c r="BK353" s="10"/>
      <c r="BL353" s="11"/>
      <c r="BM353" s="69">
        <f t="shared" si="2304"/>
        <v>0</v>
      </c>
      <c r="BN353" s="69">
        <f t="shared" si="2304"/>
        <v>0</v>
      </c>
      <c r="BO353" s="11"/>
      <c r="BP353" s="12" t="e">
        <f t="shared" si="2267"/>
        <v>#DIV/0!</v>
      </c>
      <c r="BQ353" s="11"/>
      <c r="BR353" s="12" t="e">
        <f t="shared" si="2268"/>
        <v>#DIV/0!</v>
      </c>
      <c r="BS353" s="13"/>
      <c r="BT353" s="11"/>
      <c r="BU353" s="39"/>
      <c r="BV353" s="43"/>
      <c r="BW353" s="10"/>
      <c r="BX353" s="11"/>
      <c r="BY353" s="69">
        <f t="shared" si="2305"/>
        <v>0</v>
      </c>
      <c r="BZ353" s="69">
        <f t="shared" si="2305"/>
        <v>0</v>
      </c>
      <c r="CA353" s="11"/>
      <c r="CB353" s="12" t="e">
        <f t="shared" si="2269"/>
        <v>#DIV/0!</v>
      </c>
      <c r="CC353" s="11"/>
      <c r="CD353" s="12" t="e">
        <f t="shared" si="2270"/>
        <v>#DIV/0!</v>
      </c>
      <c r="CE353" s="13"/>
      <c r="CF353" s="11"/>
      <c r="CG353" s="39"/>
      <c r="CH353" s="43"/>
      <c r="CI353" s="10"/>
      <c r="CJ353" s="11"/>
      <c r="CK353" s="69">
        <f t="shared" si="2306"/>
        <v>0</v>
      </c>
      <c r="CL353" s="69">
        <f t="shared" si="2306"/>
        <v>0</v>
      </c>
      <c r="CM353" s="11"/>
      <c r="CN353" s="12" t="e">
        <f t="shared" si="2271"/>
        <v>#DIV/0!</v>
      </c>
      <c r="CO353" s="11"/>
      <c r="CP353" s="12" t="e">
        <f t="shared" si="2272"/>
        <v>#DIV/0!</v>
      </c>
      <c r="CQ353" s="13"/>
      <c r="CR353" s="11"/>
      <c r="CS353" s="39"/>
      <c r="CT353" s="43"/>
      <c r="CU353" s="10"/>
      <c r="CV353" s="11"/>
      <c r="CW353" s="69">
        <f t="shared" si="2307"/>
        <v>0</v>
      </c>
      <c r="CX353" s="69">
        <f t="shared" si="2307"/>
        <v>0</v>
      </c>
      <c r="CY353" s="11"/>
      <c r="CZ353" s="12" t="e">
        <f t="shared" si="2273"/>
        <v>#DIV/0!</v>
      </c>
      <c r="DA353" s="11"/>
      <c r="DB353" s="12" t="e">
        <f t="shared" si="2274"/>
        <v>#DIV/0!</v>
      </c>
      <c r="DC353" s="13"/>
      <c r="DD353" s="11"/>
      <c r="DE353" s="39"/>
      <c r="DF353" s="43"/>
      <c r="DG353" s="10"/>
      <c r="DH353" s="11"/>
      <c r="DI353" s="69">
        <f t="shared" si="2308"/>
        <v>0</v>
      </c>
      <c r="DJ353" s="69">
        <f t="shared" si="2308"/>
        <v>0</v>
      </c>
      <c r="DK353" s="11"/>
      <c r="DL353" s="12" t="e">
        <f t="shared" si="2275"/>
        <v>#DIV/0!</v>
      </c>
      <c r="DM353" s="11"/>
      <c r="DN353" s="12" t="e">
        <f t="shared" si="2276"/>
        <v>#DIV/0!</v>
      </c>
      <c r="DO353" s="13"/>
      <c r="DP353" s="11"/>
      <c r="DQ353" s="39"/>
      <c r="DR353" s="43"/>
      <c r="DS353" s="10"/>
      <c r="DT353" s="11"/>
      <c r="DU353" s="69">
        <f t="shared" si="2309"/>
        <v>0</v>
      </c>
      <c r="DV353" s="69">
        <f t="shared" si="2309"/>
        <v>0</v>
      </c>
      <c r="DW353" s="11"/>
      <c r="DX353" s="12" t="e">
        <f t="shared" si="2277"/>
        <v>#DIV/0!</v>
      </c>
      <c r="DY353" s="11"/>
      <c r="DZ353" s="12" t="e">
        <f t="shared" si="2278"/>
        <v>#DIV/0!</v>
      </c>
      <c r="EA353" s="13"/>
      <c r="EB353" s="11"/>
      <c r="EC353" s="39"/>
      <c r="ED353" s="43"/>
      <c r="EE353" s="10"/>
      <c r="EF353" s="11"/>
      <c r="EG353" s="69">
        <f t="shared" si="2310"/>
        <v>0</v>
      </c>
      <c r="EH353" s="69">
        <f t="shared" si="2310"/>
        <v>0</v>
      </c>
      <c r="EI353" s="11"/>
      <c r="EJ353" s="12" t="e">
        <f t="shared" si="2279"/>
        <v>#DIV/0!</v>
      </c>
      <c r="EK353" s="11"/>
      <c r="EL353" s="12" t="e">
        <f t="shared" si="2280"/>
        <v>#DIV/0!</v>
      </c>
      <c r="EM353" s="13"/>
      <c r="EN353" s="11"/>
      <c r="EO353" s="39"/>
      <c r="EP353" s="43"/>
      <c r="EQ353" s="10"/>
      <c r="ER353" s="11"/>
      <c r="ES353" s="69">
        <f t="shared" si="2311"/>
        <v>0</v>
      </c>
      <c r="ET353" s="69">
        <f t="shared" si="2311"/>
        <v>0</v>
      </c>
      <c r="EU353" s="11"/>
      <c r="EV353" s="12" t="e">
        <f t="shared" si="2281"/>
        <v>#DIV/0!</v>
      </c>
      <c r="EW353" s="11"/>
      <c r="EX353" s="12" t="e">
        <f t="shared" si="2282"/>
        <v>#DIV/0!</v>
      </c>
      <c r="EY353" s="13"/>
      <c r="EZ353" s="11"/>
      <c r="FA353" s="39"/>
      <c r="FB353" s="43"/>
      <c r="FC353" s="10"/>
      <c r="FD353" s="11"/>
      <c r="FE353" s="69">
        <f t="shared" si="2312"/>
        <v>0</v>
      </c>
      <c r="FF353" s="69">
        <f t="shared" si="2312"/>
        <v>0</v>
      </c>
      <c r="FG353" s="11"/>
      <c r="FH353" s="12" t="e">
        <f t="shared" si="2283"/>
        <v>#DIV/0!</v>
      </c>
      <c r="FI353" s="11"/>
      <c r="FJ353" s="12" t="e">
        <f t="shared" si="2284"/>
        <v>#DIV/0!</v>
      </c>
      <c r="FK353" s="13"/>
      <c r="FL353" s="11"/>
      <c r="FM353" s="39"/>
      <c r="FN353" s="43"/>
      <c r="FO353" s="10"/>
      <c r="FP353" s="11"/>
      <c r="FQ353" s="69">
        <f t="shared" si="2313"/>
        <v>0</v>
      </c>
      <c r="FR353" s="69">
        <f t="shared" si="2313"/>
        <v>0</v>
      </c>
      <c r="FS353" s="11"/>
      <c r="FT353" s="12" t="e">
        <f t="shared" si="2285"/>
        <v>#DIV/0!</v>
      </c>
      <c r="FU353" s="11"/>
      <c r="FV353" s="12" t="e">
        <f t="shared" si="2286"/>
        <v>#DIV/0!</v>
      </c>
      <c r="FW353" s="13"/>
      <c r="FX353" s="11"/>
      <c r="FY353" s="39"/>
      <c r="FZ353" s="43"/>
      <c r="GA353" s="10"/>
      <c r="GB353" s="11"/>
      <c r="GC353" s="69">
        <f t="shared" si="2314"/>
        <v>0</v>
      </c>
      <c r="GD353" s="69">
        <f t="shared" si="2314"/>
        <v>0</v>
      </c>
      <c r="GE353" s="11"/>
      <c r="GF353" s="12" t="e">
        <f t="shared" si="2287"/>
        <v>#DIV/0!</v>
      </c>
      <c r="GG353" s="11"/>
      <c r="GH353" s="12" t="e">
        <f t="shared" si="2288"/>
        <v>#DIV/0!</v>
      </c>
      <c r="GI353" s="13"/>
      <c r="GJ353" s="11"/>
      <c r="GK353" s="39"/>
      <c r="GL353" s="43"/>
      <c r="GM353" s="10"/>
      <c r="GN353" s="11"/>
      <c r="GO353" s="69">
        <f t="shared" si="2315"/>
        <v>0</v>
      </c>
      <c r="GP353" s="69">
        <f t="shared" si="2315"/>
        <v>0</v>
      </c>
      <c r="GQ353" s="11"/>
      <c r="GR353" s="12" t="e">
        <f t="shared" si="2289"/>
        <v>#DIV/0!</v>
      </c>
      <c r="GS353" s="11"/>
      <c r="GT353" s="12" t="e">
        <f t="shared" si="2290"/>
        <v>#DIV/0!</v>
      </c>
      <c r="GU353" s="13"/>
      <c r="GV353" s="11"/>
      <c r="GW353" s="39"/>
      <c r="GX353" s="43"/>
      <c r="GY353" s="10"/>
      <c r="GZ353" s="11"/>
      <c r="HA353" s="69">
        <f t="shared" si="2316"/>
        <v>0</v>
      </c>
      <c r="HB353" s="69">
        <f t="shared" si="2316"/>
        <v>0</v>
      </c>
      <c r="HC353" s="11"/>
      <c r="HD353" s="12" t="e">
        <f t="shared" si="2291"/>
        <v>#DIV/0!</v>
      </c>
      <c r="HE353" s="11"/>
      <c r="HF353" s="12" t="e">
        <f t="shared" si="2292"/>
        <v>#DIV/0!</v>
      </c>
      <c r="HG353" s="13"/>
      <c r="HH353" s="11"/>
      <c r="HI353" s="39"/>
      <c r="HJ353" s="43"/>
      <c r="HK353" s="10">
        <f t="shared" si="2293"/>
        <v>0</v>
      </c>
      <c r="HL353" s="11">
        <f t="shared" si="2293"/>
        <v>0</v>
      </c>
      <c r="HM353" s="11">
        <f t="shared" si="2293"/>
        <v>3231</v>
      </c>
      <c r="HN353" s="11">
        <f t="shared" si="2293"/>
        <v>240</v>
      </c>
      <c r="HO353" s="11">
        <f t="shared" si="2294"/>
        <v>735</v>
      </c>
      <c r="HP353" s="95">
        <f t="shared" si="2295"/>
        <v>0.22748375116063138</v>
      </c>
      <c r="HQ353" s="15">
        <f t="shared" si="2296"/>
        <v>65</v>
      </c>
      <c r="HR353" s="12">
        <f t="shared" si="2317"/>
        <v>8.8435374149659865E-2</v>
      </c>
      <c r="HS353" s="16">
        <v>74.5</v>
      </c>
      <c r="HT353" s="17">
        <v>642</v>
      </c>
      <c r="HU353" s="16">
        <f t="shared" si="2297"/>
        <v>87.34693877551021</v>
      </c>
      <c r="HV353" s="23"/>
      <c r="HW353" s="22"/>
    </row>
    <row r="354" spans="1:231" ht="19.5" thickBot="1" x14ac:dyDescent="0.3">
      <c r="A354" s="374"/>
      <c r="B354" s="42"/>
      <c r="C354" s="26">
        <f>SUM(C347:C353)</f>
        <v>3</v>
      </c>
      <c r="D354" s="27">
        <f>SUM(D347:D353)</f>
        <v>0</v>
      </c>
      <c r="E354" s="27"/>
      <c r="F354" s="27"/>
      <c r="G354" s="27">
        <f>SUM(G347:G353)</f>
        <v>1798</v>
      </c>
      <c r="H354" s="28">
        <f>((G354+I354)/7)/E353</f>
        <v>0.24984592629113767</v>
      </c>
      <c r="I354" s="27">
        <f>SUM(I347:I353)</f>
        <v>229</v>
      </c>
      <c r="J354" s="28">
        <f>(I354/(I354+G354))</f>
        <v>0.11297483966452886</v>
      </c>
      <c r="K354" s="27"/>
      <c r="L354" s="27"/>
      <c r="M354" s="29" t="e">
        <f>M352/M351*100-100</f>
        <v>#DIV/0!</v>
      </c>
      <c r="N354" s="67" t="e">
        <f>N352/N351*100-100</f>
        <v>#DIV/0!</v>
      </c>
      <c r="O354" s="26">
        <f>SUM(O347:O353)</f>
        <v>3</v>
      </c>
      <c r="P354" s="27">
        <f>SUM(P347:P353)</f>
        <v>0</v>
      </c>
      <c r="Q354" s="27"/>
      <c r="R354" s="27"/>
      <c r="S354" s="27">
        <f>SUM(S347:S353)</f>
        <v>213</v>
      </c>
      <c r="T354" s="28">
        <f>((S354+U354)/7)/Q353</f>
        <v>0.3125</v>
      </c>
      <c r="U354" s="27">
        <f>SUM(U347:U353)</f>
        <v>32</v>
      </c>
      <c r="V354" s="28">
        <f>(U354/(U354+S354))</f>
        <v>0.1306122448979592</v>
      </c>
      <c r="W354" s="27"/>
      <c r="X354" s="27"/>
      <c r="Y354" s="29" t="e">
        <f>Y352/Y351*100-100</f>
        <v>#DIV/0!</v>
      </c>
      <c r="Z354" s="67" t="e">
        <f>Z352/Z351*100-100</f>
        <v>#DIV/0!</v>
      </c>
      <c r="AA354" s="26">
        <f>SUM(AA347:AA353)</f>
        <v>5</v>
      </c>
      <c r="AB354" s="27">
        <f>SUM(AB347:AB353)</f>
        <v>0</v>
      </c>
      <c r="AC354" s="27"/>
      <c r="AD354" s="27"/>
      <c r="AE354" s="27">
        <f>SUM(AE347:AE353)</f>
        <v>2742</v>
      </c>
      <c r="AF354" s="28">
        <f>((AE354+AG354)/7)/AC353</f>
        <v>0.21727405247813411</v>
      </c>
      <c r="AG354" s="27">
        <f>SUM(AG347:AG353)</f>
        <v>239</v>
      </c>
      <c r="AH354" s="28">
        <f>(AG354/(AG354+AE354))</f>
        <v>8.0174438108017443E-2</v>
      </c>
      <c r="AI354" s="27"/>
      <c r="AJ354" s="27"/>
      <c r="AK354" s="29" t="e">
        <f>AK352/AK351*100-100</f>
        <v>#DIV/0!</v>
      </c>
      <c r="AL354" s="67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 t="e">
        <f>((AQ354+AS354)/7)/AO353</f>
        <v>#DIV/0!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7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 t="e">
        <f>((BC354+BE354)/7)/BA353</f>
        <v>#DIV/0!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7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 t="e">
        <f>((BO354+BQ354)/7)/BM353</f>
        <v>#DIV/0!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7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7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7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7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7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7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7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7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7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7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7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7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7" t="e">
        <f>HJ352/HJ351*100-100</f>
        <v>#DIV/0!</v>
      </c>
      <c r="HK354" s="26">
        <f t="shared" si="2293"/>
        <v>11</v>
      </c>
      <c r="HL354" s="27">
        <f t="shared" si="2293"/>
        <v>0</v>
      </c>
      <c r="HM354" s="27">
        <f t="shared" si="2293"/>
        <v>0</v>
      </c>
      <c r="HN354" s="27">
        <f t="shared" si="2293"/>
        <v>0</v>
      </c>
      <c r="HO354" s="27">
        <f t="shared" si="2294"/>
        <v>5253</v>
      </c>
      <c r="HP354" s="96">
        <f>+((HO354)/HM353)/7</f>
        <v>0.2322589202812044</v>
      </c>
      <c r="HQ354" s="62">
        <f t="shared" si="2296"/>
        <v>500</v>
      </c>
      <c r="HR354" s="52">
        <f t="shared" si="2317"/>
        <v>9.5183704549781076E-2</v>
      </c>
      <c r="HS354" s="53">
        <f>SUM(HS347:HS353)/7</f>
        <v>74.48571428571428</v>
      </c>
      <c r="HT354" s="54">
        <f>SUM(HT347:HT353)</f>
        <v>4521</v>
      </c>
      <c r="HU354" s="53">
        <f>AVERAGE(HU347:HU353)</f>
        <v>86.060221693930558</v>
      </c>
      <c r="HV354" s="63" t="e">
        <f>HV352/HV351*100-100</f>
        <v>#DIV/0!</v>
      </c>
      <c r="HW354" s="67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5">
        <f>HK354/HM344</f>
        <v>3.3929673041332509E-3</v>
      </c>
      <c r="HL355" s="76">
        <f>HL354/HN344</f>
        <v>0</v>
      </c>
      <c r="HM355" s="74"/>
      <c r="HN355" s="45"/>
      <c r="HO355" s="45"/>
      <c r="HP355" s="98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373">
        <v>64</v>
      </c>
      <c r="B356" s="40">
        <f>B353+1</f>
        <v>45214</v>
      </c>
      <c r="C356" s="33"/>
      <c r="D356" s="34"/>
      <c r="E356" s="34">
        <f>E353-C356</f>
        <v>1159</v>
      </c>
      <c r="F356" s="34">
        <f>F353-D356</f>
        <v>86</v>
      </c>
      <c r="G356" s="34">
        <v>268</v>
      </c>
      <c r="H356" s="35">
        <f t="shared" ref="H356:H362" si="2318">((G356+I356)/E356)</f>
        <v>0.27092320966350303</v>
      </c>
      <c r="I356" s="34">
        <v>46</v>
      </c>
      <c r="J356" s="35">
        <f>I356/(G356+I356)</f>
        <v>0.1464968152866242</v>
      </c>
      <c r="K356" s="36"/>
      <c r="L356" s="34"/>
      <c r="M356" s="34"/>
      <c r="N356" s="37"/>
      <c r="O356" s="33"/>
      <c r="P356" s="34"/>
      <c r="Q356" s="34">
        <f>Q353-O356</f>
        <v>112</v>
      </c>
      <c r="R356" s="34">
        <f>R353-P356</f>
        <v>8</v>
      </c>
      <c r="S356" s="34">
        <v>33</v>
      </c>
      <c r="T356" s="35">
        <f t="shared" ref="T356:T362" si="2319">((S356+U356)/Q356)</f>
        <v>0.3482142857142857</v>
      </c>
      <c r="U356" s="34">
        <v>6</v>
      </c>
      <c r="V356" s="35">
        <f t="shared" ref="V356:V362" si="2320">U356/(S356+U356)</f>
        <v>0.15384615384615385</v>
      </c>
      <c r="W356" s="36"/>
      <c r="X356" s="34"/>
      <c r="Y356" s="34"/>
      <c r="Z356" s="37"/>
      <c r="AA356" s="33">
        <v>1</v>
      </c>
      <c r="AB356" s="34"/>
      <c r="AC356" s="34">
        <f>AC353-AA356</f>
        <v>1959</v>
      </c>
      <c r="AD356" s="34">
        <f>AD353-AB356</f>
        <v>146</v>
      </c>
      <c r="AE356" s="34">
        <v>380</v>
      </c>
      <c r="AF356" s="35">
        <f t="shared" ref="AF356:AF362" si="2321">((AE356+AG356)/AC356)</f>
        <v>0.2113323124042879</v>
      </c>
      <c r="AG356" s="34">
        <v>34</v>
      </c>
      <c r="AH356" s="35">
        <f t="shared" ref="AH356:AH362" si="2322">AG356/(AE356+AG356)</f>
        <v>8.2125603864734303E-2</v>
      </c>
      <c r="AI356" s="36"/>
      <c r="AJ356" s="34"/>
      <c r="AK356" s="34"/>
      <c r="AL356" s="37"/>
      <c r="AM356" s="33"/>
      <c r="AN356" s="34"/>
      <c r="AO356" s="34">
        <f>AO353-AM356</f>
        <v>0</v>
      </c>
      <c r="AP356" s="34">
        <f>AP353-AN356</f>
        <v>0</v>
      </c>
      <c r="AQ356" s="34"/>
      <c r="AR356" s="35" t="e">
        <f t="shared" ref="AR356:AR362" si="2323">((AQ356+AS356)/AO356)</f>
        <v>#DIV/0!</v>
      </c>
      <c r="AS356" s="34"/>
      <c r="AT356" s="35" t="e">
        <f t="shared" ref="AT356:AT362" si="2324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0</v>
      </c>
      <c r="BB356" s="34">
        <f>BB353-AZ356</f>
        <v>0</v>
      </c>
      <c r="BC356" s="34"/>
      <c r="BD356" s="35" t="e">
        <f t="shared" ref="BD356:BD362" si="2325">((BC356+BE356)/BA356)</f>
        <v>#DIV/0!</v>
      </c>
      <c r="BE356" s="34"/>
      <c r="BF356" s="35" t="e">
        <f t="shared" ref="BF356:BF362" si="2326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0</v>
      </c>
      <c r="BN356" s="34">
        <f>BN353-BL356</f>
        <v>0</v>
      </c>
      <c r="BO356" s="34"/>
      <c r="BP356" s="35" t="e">
        <f t="shared" ref="BP356:BP362" si="2327">((BO356+BQ356)/BM356)</f>
        <v>#DIV/0!</v>
      </c>
      <c r="BQ356" s="34"/>
      <c r="BR356" s="35" t="e">
        <f t="shared" ref="BR356:BR362" si="2328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329">((CA356+CC356)/BY356)</f>
        <v>#DIV/0!</v>
      </c>
      <c r="CC356" s="34"/>
      <c r="CD356" s="35" t="e">
        <f t="shared" ref="CD356:CD362" si="2330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331">((CM356+CO356)/CK356)</f>
        <v>#DIV/0!</v>
      </c>
      <c r="CO356" s="34"/>
      <c r="CP356" s="35" t="e">
        <f t="shared" ref="CP356:CP362" si="2332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333">((CY356+DA356)/CW356)</f>
        <v>#DIV/0!</v>
      </c>
      <c r="DA356" s="34"/>
      <c r="DB356" s="35" t="e">
        <f t="shared" ref="DB356:DB362" si="2334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335">((DK356+DM356)/DI356)</f>
        <v>#DIV/0!</v>
      </c>
      <c r="DM356" s="34"/>
      <c r="DN356" s="35" t="e">
        <f t="shared" ref="DN356:DN362" si="2336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337">((DW356+DY356)/DU356)</f>
        <v>#DIV/0!</v>
      </c>
      <c r="DY356" s="34"/>
      <c r="DZ356" s="35" t="e">
        <f t="shared" ref="DZ356:DZ362" si="2338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339">((EI356+EK356)/EG356)</f>
        <v>#DIV/0!</v>
      </c>
      <c r="EK356" s="34"/>
      <c r="EL356" s="35" t="e">
        <f t="shared" ref="EL356:EL362" si="2340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341">((EU356+EW356)/ES356)</f>
        <v>#DIV/0!</v>
      </c>
      <c r="EW356" s="34"/>
      <c r="EX356" s="35" t="e">
        <f t="shared" ref="EX356:EX362" si="2342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343">((FG356+FI356)/FE356)</f>
        <v>#DIV/0!</v>
      </c>
      <c r="FI356" s="34"/>
      <c r="FJ356" s="35" t="e">
        <f t="shared" ref="FJ356:FJ362" si="2344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345">((FS356+FU356)/FQ356)</f>
        <v>#DIV/0!</v>
      </c>
      <c r="FU356" s="34"/>
      <c r="FV356" s="35" t="e">
        <f t="shared" ref="FV356:FV362" si="2346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347">((GE356+GG356)/GC356)</f>
        <v>#DIV/0!</v>
      </c>
      <c r="GG356" s="34"/>
      <c r="GH356" s="35" t="e">
        <f t="shared" ref="GH356:GH362" si="2348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349">((GQ356+GS356)/GO356)</f>
        <v>#DIV/0!</v>
      </c>
      <c r="GS356" s="34"/>
      <c r="GT356" s="35" t="e">
        <f t="shared" ref="GT356:GT362" si="2350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351">((HC356+HE356)/HA356)</f>
        <v>#DIV/0!</v>
      </c>
      <c r="HE356" s="34"/>
      <c r="HF356" s="35" t="e">
        <f t="shared" ref="HF356:HF362" si="2352">HE356/(HC356+HE356)</f>
        <v>#DIV/0!</v>
      </c>
      <c r="HG356" s="36"/>
      <c r="HH356" s="34"/>
      <c r="HI356" s="34"/>
      <c r="HJ356" s="37"/>
      <c r="HK356" s="33">
        <f t="shared" ref="HK356:HK363" si="2353">+C356+O356+AA356+AM356+AY356+BK356+BW356+CI356+CU356+DG356+DS356+EE356+EQ356+FC356+FO356+GA356+GM356+GY356</f>
        <v>1</v>
      </c>
      <c r="HL356" s="34">
        <f t="shared" ref="HL356:HL363" si="2354">+D356+P356+AB356+AN356+AZ356+BL356+BX356+CJ356+CV356+DH356+DT356+EF356+ER356+FD356+FP356+GB356+GN356+GZ356</f>
        <v>0</v>
      </c>
      <c r="HM356" s="34">
        <f t="shared" ref="HM356:HM363" si="2355">+E356+Q356+AC356+AO356+BA356+BM356+BY356+CK356+CW356+DI356+DU356+EG356+ES356+FE356+FQ356+GC356+GO356+HA356</f>
        <v>3230</v>
      </c>
      <c r="HN356" s="34">
        <f t="shared" ref="HN356:HN363" si="2356">+F356+R356+AD356+AP356+BB356+BN356+BZ356+CL356+CX356+DJ356+DV356+EH356+ET356+FF356+FR356+GD356+GP356+HB356</f>
        <v>240</v>
      </c>
      <c r="HO356" s="34">
        <f t="shared" ref="HO356:HO363" si="2357">+G356+S356+AE356+AQ356+BC356+BO356+CA356+CM356+CY356+DK356+DW356+EI356+EU356+FG356+FS356+GE356+GQ356+HC356+I356+U356+AG356+AS356+BE356+BQ356+CC356+CO356+DA356+DM356+DY356+EK356+EW356+FI356+FU356+GG356+GS356+HE356</f>
        <v>767</v>
      </c>
      <c r="HP356" s="94">
        <f t="shared" ref="HP356:HP362" si="2358">+(HO356)/HM356</f>
        <v>0.23746130030959753</v>
      </c>
      <c r="HQ356" s="48">
        <f t="shared" ref="HQ356:HQ363" si="2359">+I356+U356+AG356+AS356+BE356+BQ356+CC356+CO356+DA356+DM356+DY356+EK356+EW356+FI356+FU356+GG356+GS356+HE356</f>
        <v>86</v>
      </c>
      <c r="HR356" s="35">
        <f>+(HQ356/(HO356))</f>
        <v>0.1121251629726206</v>
      </c>
      <c r="HS356" s="49">
        <v>74.599999999999994</v>
      </c>
      <c r="HT356" s="50">
        <v>628</v>
      </c>
      <c r="HU356" s="49">
        <f t="shared" ref="HU356:HU362" si="2360">+HT356/HO356*100</f>
        <v>81.877444589309007</v>
      </c>
      <c r="HV356" s="48"/>
      <c r="HW356" s="37"/>
    </row>
    <row r="357" spans="1:231" ht="18.75" x14ac:dyDescent="0.25">
      <c r="A357" s="374"/>
      <c r="B357" s="41">
        <f t="shared" ref="B357:B361" si="2361">+B356+1</f>
        <v>45215</v>
      </c>
      <c r="C357" s="10"/>
      <c r="D357" s="11"/>
      <c r="E357" s="69">
        <f t="shared" ref="E357:E361" si="2362">E356-C357</f>
        <v>1159</v>
      </c>
      <c r="F357" s="69">
        <f t="shared" ref="F357:F361" si="2363">F356-D357</f>
        <v>86</v>
      </c>
      <c r="G357" s="11">
        <v>254</v>
      </c>
      <c r="H357" s="12">
        <f t="shared" si="2318"/>
        <v>0.24676445211389128</v>
      </c>
      <c r="I357" s="11">
        <v>32</v>
      </c>
      <c r="J357" s="12">
        <f t="shared" ref="J357:J362" si="2364">I357/(G357+I357)</f>
        <v>0.11188811188811189</v>
      </c>
      <c r="K357" s="13"/>
      <c r="L357" s="11"/>
      <c r="M357" s="11"/>
      <c r="N357" s="14"/>
      <c r="O357" s="10"/>
      <c r="P357" s="11"/>
      <c r="Q357" s="69">
        <f t="shared" ref="Q357:Q362" si="2365">Q356-O357</f>
        <v>112</v>
      </c>
      <c r="R357" s="69">
        <f t="shared" ref="R357:R362" si="2366">R356-P357</f>
        <v>8</v>
      </c>
      <c r="S357" s="11">
        <v>30</v>
      </c>
      <c r="T357" s="12">
        <f t="shared" si="2319"/>
        <v>0.29464285714285715</v>
      </c>
      <c r="U357" s="11">
        <v>3</v>
      </c>
      <c r="V357" s="12">
        <f t="shared" si="2320"/>
        <v>9.0909090909090912E-2</v>
      </c>
      <c r="W357" s="13"/>
      <c r="X357" s="11"/>
      <c r="Y357" s="11"/>
      <c r="Z357" s="14"/>
      <c r="AA357" s="10"/>
      <c r="AB357" s="11"/>
      <c r="AC357" s="69">
        <f t="shared" ref="AC357:AC362" si="2367">AC356-AA357</f>
        <v>1959</v>
      </c>
      <c r="AD357" s="69">
        <f t="shared" ref="AD357:AD362" si="2368">AD356-AB357</f>
        <v>146</v>
      </c>
      <c r="AE357" s="11">
        <v>386</v>
      </c>
      <c r="AF357" s="12">
        <f t="shared" si="2321"/>
        <v>0.21796835119959163</v>
      </c>
      <c r="AG357" s="11">
        <v>41</v>
      </c>
      <c r="AH357" s="12">
        <f t="shared" si="2322"/>
        <v>9.6018735362997654E-2</v>
      </c>
      <c r="AI357" s="13"/>
      <c r="AJ357" s="11"/>
      <c r="AK357" s="11"/>
      <c r="AL357" s="14"/>
      <c r="AM357" s="10"/>
      <c r="AN357" s="11"/>
      <c r="AO357" s="69">
        <f t="shared" ref="AO357:AO362" si="2369">AO356-AM357</f>
        <v>0</v>
      </c>
      <c r="AP357" s="69">
        <f t="shared" ref="AP357:AP362" si="2370">AP356-AN357</f>
        <v>0</v>
      </c>
      <c r="AQ357" s="11"/>
      <c r="AR357" s="12" t="e">
        <f t="shared" si="2323"/>
        <v>#DIV/0!</v>
      </c>
      <c r="AS357" s="11"/>
      <c r="AT357" s="12" t="e">
        <f t="shared" si="2324"/>
        <v>#DIV/0!</v>
      </c>
      <c r="AU357" s="13"/>
      <c r="AV357" s="11"/>
      <c r="AW357" s="11"/>
      <c r="AX357" s="14"/>
      <c r="AY357" s="10"/>
      <c r="AZ357" s="11"/>
      <c r="BA357" s="69">
        <f t="shared" ref="BA357:BA362" si="2371">BA356-AY357</f>
        <v>0</v>
      </c>
      <c r="BB357" s="69">
        <f t="shared" ref="BB357:BB362" si="2372">BB356-AZ357</f>
        <v>0</v>
      </c>
      <c r="BC357" s="11"/>
      <c r="BD357" s="12" t="e">
        <f t="shared" si="2325"/>
        <v>#DIV/0!</v>
      </c>
      <c r="BE357" s="11"/>
      <c r="BF357" s="12" t="e">
        <f t="shared" si="2326"/>
        <v>#DIV/0!</v>
      </c>
      <c r="BG357" s="13"/>
      <c r="BH357" s="11"/>
      <c r="BI357" s="11"/>
      <c r="BJ357" s="14"/>
      <c r="BK357" s="10"/>
      <c r="BL357" s="11"/>
      <c r="BM357" s="69">
        <f t="shared" ref="BM357:BM362" si="2373">BM356-BK357</f>
        <v>0</v>
      </c>
      <c r="BN357" s="69">
        <f t="shared" ref="BN357:BN362" si="2374">BN356-BL357</f>
        <v>0</v>
      </c>
      <c r="BO357" s="11"/>
      <c r="BP357" s="12" t="e">
        <f t="shared" si="2327"/>
        <v>#DIV/0!</v>
      </c>
      <c r="BQ357" s="11"/>
      <c r="BR357" s="12" t="e">
        <f t="shared" si="2328"/>
        <v>#DIV/0!</v>
      </c>
      <c r="BS357" s="13"/>
      <c r="BT357" s="11"/>
      <c r="BU357" s="11"/>
      <c r="BV357" s="14"/>
      <c r="BW357" s="10"/>
      <c r="BX357" s="11"/>
      <c r="BY357" s="69">
        <f t="shared" ref="BY357:BY362" si="2375">BY356-BW357</f>
        <v>0</v>
      </c>
      <c r="BZ357" s="69">
        <f t="shared" ref="BZ357:BZ362" si="2376">BZ356-BX357</f>
        <v>0</v>
      </c>
      <c r="CA357" s="11"/>
      <c r="CB357" s="12" t="e">
        <f t="shared" si="2329"/>
        <v>#DIV/0!</v>
      </c>
      <c r="CC357" s="11"/>
      <c r="CD357" s="12" t="e">
        <f t="shared" si="2330"/>
        <v>#DIV/0!</v>
      </c>
      <c r="CE357" s="13"/>
      <c r="CF357" s="11"/>
      <c r="CG357" s="11"/>
      <c r="CH357" s="14"/>
      <c r="CI357" s="10"/>
      <c r="CJ357" s="11"/>
      <c r="CK357" s="69">
        <f t="shared" ref="CK357:CK362" si="2377">CK356-CI357</f>
        <v>0</v>
      </c>
      <c r="CL357" s="69">
        <f t="shared" ref="CL357:CL362" si="2378">CL356-CJ357</f>
        <v>0</v>
      </c>
      <c r="CM357" s="11"/>
      <c r="CN357" s="12" t="e">
        <f t="shared" si="2331"/>
        <v>#DIV/0!</v>
      </c>
      <c r="CO357" s="11"/>
      <c r="CP357" s="12" t="e">
        <f t="shared" si="2332"/>
        <v>#DIV/0!</v>
      </c>
      <c r="CQ357" s="13"/>
      <c r="CR357" s="11"/>
      <c r="CS357" s="11"/>
      <c r="CT357" s="14"/>
      <c r="CU357" s="10"/>
      <c r="CV357" s="11"/>
      <c r="CW357" s="69">
        <f t="shared" ref="CW357:CW362" si="2379">CW356-CU357</f>
        <v>0</v>
      </c>
      <c r="CX357" s="69">
        <f t="shared" ref="CX357:CX362" si="2380">CX356-CV357</f>
        <v>0</v>
      </c>
      <c r="CY357" s="11"/>
      <c r="CZ357" s="12" t="e">
        <f t="shared" si="2333"/>
        <v>#DIV/0!</v>
      </c>
      <c r="DA357" s="11"/>
      <c r="DB357" s="12" t="e">
        <f t="shared" si="2334"/>
        <v>#DIV/0!</v>
      </c>
      <c r="DC357" s="13"/>
      <c r="DD357" s="11"/>
      <c r="DE357" s="11"/>
      <c r="DF357" s="14"/>
      <c r="DG357" s="10"/>
      <c r="DH357" s="11"/>
      <c r="DI357" s="69">
        <f t="shared" ref="DI357:DI362" si="2381">DI356-DG357</f>
        <v>0</v>
      </c>
      <c r="DJ357" s="69">
        <f t="shared" ref="DJ357:DJ362" si="2382">DJ356-DH357</f>
        <v>0</v>
      </c>
      <c r="DK357" s="11"/>
      <c r="DL357" s="12" t="e">
        <f t="shared" si="2335"/>
        <v>#DIV/0!</v>
      </c>
      <c r="DM357" s="11"/>
      <c r="DN357" s="12" t="e">
        <f t="shared" si="2336"/>
        <v>#DIV/0!</v>
      </c>
      <c r="DO357" s="13"/>
      <c r="DP357" s="11"/>
      <c r="DQ357" s="11"/>
      <c r="DR357" s="14"/>
      <c r="DS357" s="10"/>
      <c r="DT357" s="11"/>
      <c r="DU357" s="69">
        <f t="shared" ref="DU357:DU362" si="2383">DU356-DS357</f>
        <v>0</v>
      </c>
      <c r="DV357" s="69">
        <f t="shared" ref="DV357:DV362" si="2384">DV356-DT357</f>
        <v>0</v>
      </c>
      <c r="DW357" s="11"/>
      <c r="DX357" s="12" t="e">
        <f t="shared" si="2337"/>
        <v>#DIV/0!</v>
      </c>
      <c r="DY357" s="11"/>
      <c r="DZ357" s="12" t="e">
        <f t="shared" si="2338"/>
        <v>#DIV/0!</v>
      </c>
      <c r="EA357" s="13"/>
      <c r="EB357" s="11"/>
      <c r="EC357" s="11"/>
      <c r="ED357" s="14"/>
      <c r="EE357" s="10"/>
      <c r="EF357" s="11"/>
      <c r="EG357" s="69">
        <f t="shared" ref="EG357:EG362" si="2385">EG356-EE357</f>
        <v>0</v>
      </c>
      <c r="EH357" s="69">
        <f t="shared" ref="EH357:EH362" si="2386">EH356-EF357</f>
        <v>0</v>
      </c>
      <c r="EI357" s="11"/>
      <c r="EJ357" s="12" t="e">
        <f t="shared" si="2339"/>
        <v>#DIV/0!</v>
      </c>
      <c r="EK357" s="11"/>
      <c r="EL357" s="12" t="e">
        <f t="shared" si="2340"/>
        <v>#DIV/0!</v>
      </c>
      <c r="EM357" s="13"/>
      <c r="EN357" s="11"/>
      <c r="EO357" s="11"/>
      <c r="EP357" s="14"/>
      <c r="EQ357" s="10"/>
      <c r="ER357" s="11"/>
      <c r="ES357" s="69">
        <f t="shared" ref="ES357:ES362" si="2387">ES356-EQ357</f>
        <v>0</v>
      </c>
      <c r="ET357" s="69">
        <f t="shared" ref="ET357:ET362" si="2388">ET356-ER357</f>
        <v>0</v>
      </c>
      <c r="EU357" s="11"/>
      <c r="EV357" s="12" t="e">
        <f t="shared" si="2341"/>
        <v>#DIV/0!</v>
      </c>
      <c r="EW357" s="11"/>
      <c r="EX357" s="12" t="e">
        <f t="shared" si="2342"/>
        <v>#DIV/0!</v>
      </c>
      <c r="EY357" s="13"/>
      <c r="EZ357" s="11"/>
      <c r="FA357" s="11"/>
      <c r="FB357" s="14"/>
      <c r="FC357" s="10"/>
      <c r="FD357" s="11"/>
      <c r="FE357" s="69">
        <f t="shared" ref="FE357:FE362" si="2389">FE356-FC357</f>
        <v>0</v>
      </c>
      <c r="FF357" s="69">
        <f t="shared" ref="FF357:FF362" si="2390">FF356-FD357</f>
        <v>0</v>
      </c>
      <c r="FG357" s="11"/>
      <c r="FH357" s="12" t="e">
        <f t="shared" si="2343"/>
        <v>#DIV/0!</v>
      </c>
      <c r="FI357" s="11"/>
      <c r="FJ357" s="12" t="e">
        <f t="shared" si="2344"/>
        <v>#DIV/0!</v>
      </c>
      <c r="FK357" s="13"/>
      <c r="FL357" s="11"/>
      <c r="FM357" s="11"/>
      <c r="FN357" s="14"/>
      <c r="FO357" s="10"/>
      <c r="FP357" s="11"/>
      <c r="FQ357" s="69">
        <f t="shared" ref="FQ357:FQ362" si="2391">FQ356-FO357</f>
        <v>0</v>
      </c>
      <c r="FR357" s="69">
        <f t="shared" ref="FR357:FR362" si="2392">FR356-FP357</f>
        <v>0</v>
      </c>
      <c r="FS357" s="11"/>
      <c r="FT357" s="12" t="e">
        <f t="shared" si="2345"/>
        <v>#DIV/0!</v>
      </c>
      <c r="FU357" s="11"/>
      <c r="FV357" s="12" t="e">
        <f t="shared" si="2346"/>
        <v>#DIV/0!</v>
      </c>
      <c r="FW357" s="13"/>
      <c r="FX357" s="11"/>
      <c r="FY357" s="11"/>
      <c r="FZ357" s="14"/>
      <c r="GA357" s="10"/>
      <c r="GB357" s="11"/>
      <c r="GC357" s="69">
        <f t="shared" ref="GC357:GC362" si="2393">GC356-GA357</f>
        <v>0</v>
      </c>
      <c r="GD357" s="69">
        <f t="shared" ref="GD357:GD362" si="2394">GD356-GB357</f>
        <v>0</v>
      </c>
      <c r="GE357" s="11"/>
      <c r="GF357" s="12" t="e">
        <f t="shared" si="2347"/>
        <v>#DIV/0!</v>
      </c>
      <c r="GG357" s="11"/>
      <c r="GH357" s="12" t="e">
        <f t="shared" si="2348"/>
        <v>#DIV/0!</v>
      </c>
      <c r="GI357" s="13"/>
      <c r="GJ357" s="11"/>
      <c r="GK357" s="11"/>
      <c r="GL357" s="14"/>
      <c r="GM357" s="10"/>
      <c r="GN357" s="11"/>
      <c r="GO357" s="69">
        <f t="shared" ref="GO357:GO362" si="2395">GO356-GM357</f>
        <v>0</v>
      </c>
      <c r="GP357" s="69">
        <f t="shared" ref="GP357:GP362" si="2396">GP356-GN357</f>
        <v>0</v>
      </c>
      <c r="GQ357" s="11"/>
      <c r="GR357" s="12" t="e">
        <f t="shared" si="2349"/>
        <v>#DIV/0!</v>
      </c>
      <c r="GS357" s="11"/>
      <c r="GT357" s="12" t="e">
        <f t="shared" si="2350"/>
        <v>#DIV/0!</v>
      </c>
      <c r="GU357" s="13"/>
      <c r="GV357" s="11"/>
      <c r="GW357" s="11"/>
      <c r="GX357" s="14"/>
      <c r="GY357" s="10"/>
      <c r="GZ357" s="11"/>
      <c r="HA357" s="69">
        <f t="shared" ref="HA357:HA362" si="2397">HA356-GY357</f>
        <v>0</v>
      </c>
      <c r="HB357" s="69">
        <f t="shared" ref="HB357:HB362" si="2398">HB356-GZ357</f>
        <v>0</v>
      </c>
      <c r="HC357" s="11"/>
      <c r="HD357" s="12" t="e">
        <f t="shared" si="2351"/>
        <v>#DIV/0!</v>
      </c>
      <c r="HE357" s="11"/>
      <c r="HF357" s="12" t="e">
        <f t="shared" si="2352"/>
        <v>#DIV/0!</v>
      </c>
      <c r="HG357" s="13"/>
      <c r="HH357" s="11"/>
      <c r="HI357" s="11"/>
      <c r="HJ357" s="14"/>
      <c r="HK357" s="10">
        <f t="shared" si="2353"/>
        <v>0</v>
      </c>
      <c r="HL357" s="11">
        <f t="shared" si="2354"/>
        <v>0</v>
      </c>
      <c r="HM357" s="11">
        <f t="shared" si="2355"/>
        <v>3230</v>
      </c>
      <c r="HN357" s="11">
        <f t="shared" si="2356"/>
        <v>240</v>
      </c>
      <c r="HO357" s="11">
        <f t="shared" si="2357"/>
        <v>746</v>
      </c>
      <c r="HP357" s="95">
        <f t="shared" si="2358"/>
        <v>0.23095975232198143</v>
      </c>
      <c r="HQ357" s="15">
        <f t="shared" si="2359"/>
        <v>76</v>
      </c>
      <c r="HR357" s="12">
        <f t="shared" ref="HR357:HR363" si="2399">+(HQ357/(HO357))</f>
        <v>0.10187667560321716</v>
      </c>
      <c r="HS357" s="16">
        <v>74.599999999999994</v>
      </c>
      <c r="HT357" s="17">
        <v>650</v>
      </c>
      <c r="HU357" s="16">
        <f t="shared" si="2360"/>
        <v>87.131367292225207</v>
      </c>
      <c r="HV357" s="15"/>
      <c r="HW357" s="14"/>
    </row>
    <row r="358" spans="1:231" ht="18.75" x14ac:dyDescent="0.25">
      <c r="A358" s="374"/>
      <c r="B358" s="41">
        <f t="shared" si="2361"/>
        <v>45216</v>
      </c>
      <c r="C358" s="10"/>
      <c r="D358" s="11"/>
      <c r="E358" s="69">
        <f t="shared" si="2362"/>
        <v>1159</v>
      </c>
      <c r="F358" s="69">
        <f t="shared" si="2363"/>
        <v>86</v>
      </c>
      <c r="G358" s="11">
        <v>246</v>
      </c>
      <c r="H358" s="12">
        <f t="shared" si="2318"/>
        <v>0.24935289042277825</v>
      </c>
      <c r="I358" s="11">
        <v>43</v>
      </c>
      <c r="J358" s="12">
        <f t="shared" si="2364"/>
        <v>0.14878892733564014</v>
      </c>
      <c r="K358" s="13"/>
      <c r="L358" s="11"/>
      <c r="M358" s="11"/>
      <c r="N358" s="14"/>
      <c r="O358" s="10">
        <v>1</v>
      </c>
      <c r="P358" s="11"/>
      <c r="Q358" s="69">
        <f t="shared" si="2365"/>
        <v>111</v>
      </c>
      <c r="R358" s="69">
        <f t="shared" si="2366"/>
        <v>8</v>
      </c>
      <c r="S358" s="11">
        <v>39</v>
      </c>
      <c r="T358" s="12">
        <f t="shared" si="2319"/>
        <v>0.38738738738738737</v>
      </c>
      <c r="U358" s="11">
        <v>4</v>
      </c>
      <c r="V358" s="12">
        <f t="shared" si="2320"/>
        <v>9.3023255813953487E-2</v>
      </c>
      <c r="W358" s="13"/>
      <c r="X358" s="11"/>
      <c r="Y358" s="11"/>
      <c r="Z358" s="14"/>
      <c r="AA358" s="10">
        <v>2</v>
      </c>
      <c r="AB358" s="11"/>
      <c r="AC358" s="69">
        <f t="shared" si="2367"/>
        <v>1957</v>
      </c>
      <c r="AD358" s="69">
        <f t="shared" si="2368"/>
        <v>146</v>
      </c>
      <c r="AE358" s="11">
        <v>381</v>
      </c>
      <c r="AF358" s="12">
        <f t="shared" si="2321"/>
        <v>0.2110373019928462</v>
      </c>
      <c r="AG358" s="11">
        <v>32</v>
      </c>
      <c r="AH358" s="12">
        <f t="shared" si="2322"/>
        <v>7.7481840193704604E-2</v>
      </c>
      <c r="AI358" s="13"/>
      <c r="AJ358" s="11"/>
      <c r="AK358" s="11"/>
      <c r="AL358" s="14"/>
      <c r="AM358" s="10"/>
      <c r="AN358" s="11"/>
      <c r="AO358" s="69">
        <f t="shared" si="2369"/>
        <v>0</v>
      </c>
      <c r="AP358" s="69">
        <f t="shared" si="2370"/>
        <v>0</v>
      </c>
      <c r="AQ358" s="11"/>
      <c r="AR358" s="12" t="e">
        <f t="shared" si="2323"/>
        <v>#DIV/0!</v>
      </c>
      <c r="AS358" s="11"/>
      <c r="AT358" s="12" t="e">
        <f t="shared" si="2324"/>
        <v>#DIV/0!</v>
      </c>
      <c r="AU358" s="13"/>
      <c r="AV358" s="11"/>
      <c r="AW358" s="11"/>
      <c r="AX358" s="14"/>
      <c r="AY358" s="10"/>
      <c r="AZ358" s="11"/>
      <c r="BA358" s="69">
        <f t="shared" si="2371"/>
        <v>0</v>
      </c>
      <c r="BB358" s="69">
        <f t="shared" si="2372"/>
        <v>0</v>
      </c>
      <c r="BC358" s="11"/>
      <c r="BD358" s="12" t="e">
        <f t="shared" si="2325"/>
        <v>#DIV/0!</v>
      </c>
      <c r="BE358" s="11"/>
      <c r="BF358" s="12" t="e">
        <f t="shared" si="2326"/>
        <v>#DIV/0!</v>
      </c>
      <c r="BG358" s="13"/>
      <c r="BH358" s="11"/>
      <c r="BI358" s="11"/>
      <c r="BJ358" s="14"/>
      <c r="BK358" s="10"/>
      <c r="BL358" s="11"/>
      <c r="BM358" s="69">
        <f t="shared" si="2373"/>
        <v>0</v>
      </c>
      <c r="BN358" s="69">
        <f t="shared" si="2374"/>
        <v>0</v>
      </c>
      <c r="BO358" s="11"/>
      <c r="BP358" s="12" t="e">
        <f t="shared" si="2327"/>
        <v>#DIV/0!</v>
      </c>
      <c r="BQ358" s="11"/>
      <c r="BR358" s="12" t="e">
        <f t="shared" si="2328"/>
        <v>#DIV/0!</v>
      </c>
      <c r="BS358" s="13"/>
      <c r="BT358" s="11"/>
      <c r="BU358" s="11"/>
      <c r="BV358" s="14"/>
      <c r="BW358" s="10"/>
      <c r="BX358" s="11"/>
      <c r="BY358" s="69">
        <f t="shared" si="2375"/>
        <v>0</v>
      </c>
      <c r="BZ358" s="69">
        <f t="shared" si="2376"/>
        <v>0</v>
      </c>
      <c r="CA358" s="11"/>
      <c r="CB358" s="12" t="e">
        <f t="shared" si="2329"/>
        <v>#DIV/0!</v>
      </c>
      <c r="CC358" s="11"/>
      <c r="CD358" s="12" t="e">
        <f t="shared" si="2330"/>
        <v>#DIV/0!</v>
      </c>
      <c r="CE358" s="13"/>
      <c r="CF358" s="11"/>
      <c r="CG358" s="11"/>
      <c r="CH358" s="14"/>
      <c r="CI358" s="10"/>
      <c r="CJ358" s="11"/>
      <c r="CK358" s="69">
        <f t="shared" si="2377"/>
        <v>0</v>
      </c>
      <c r="CL358" s="69">
        <f t="shared" si="2378"/>
        <v>0</v>
      </c>
      <c r="CM358" s="11"/>
      <c r="CN358" s="12" t="e">
        <f t="shared" si="2331"/>
        <v>#DIV/0!</v>
      </c>
      <c r="CO358" s="11"/>
      <c r="CP358" s="12" t="e">
        <f t="shared" si="2332"/>
        <v>#DIV/0!</v>
      </c>
      <c r="CQ358" s="13"/>
      <c r="CR358" s="11"/>
      <c r="CS358" s="11"/>
      <c r="CT358" s="14"/>
      <c r="CU358" s="10"/>
      <c r="CV358" s="11"/>
      <c r="CW358" s="69">
        <f t="shared" si="2379"/>
        <v>0</v>
      </c>
      <c r="CX358" s="69">
        <f t="shared" si="2380"/>
        <v>0</v>
      </c>
      <c r="CY358" s="11"/>
      <c r="CZ358" s="12" t="e">
        <f t="shared" si="2333"/>
        <v>#DIV/0!</v>
      </c>
      <c r="DA358" s="11"/>
      <c r="DB358" s="12" t="e">
        <f t="shared" si="2334"/>
        <v>#DIV/0!</v>
      </c>
      <c r="DC358" s="13"/>
      <c r="DD358" s="11"/>
      <c r="DE358" s="11"/>
      <c r="DF358" s="14"/>
      <c r="DG358" s="10"/>
      <c r="DH358" s="11"/>
      <c r="DI358" s="69">
        <f t="shared" si="2381"/>
        <v>0</v>
      </c>
      <c r="DJ358" s="69">
        <f t="shared" si="2382"/>
        <v>0</v>
      </c>
      <c r="DK358" s="11"/>
      <c r="DL358" s="12" t="e">
        <f t="shared" si="2335"/>
        <v>#DIV/0!</v>
      </c>
      <c r="DM358" s="11"/>
      <c r="DN358" s="12" t="e">
        <f t="shared" si="2336"/>
        <v>#DIV/0!</v>
      </c>
      <c r="DO358" s="13"/>
      <c r="DP358" s="11"/>
      <c r="DQ358" s="11"/>
      <c r="DR358" s="14"/>
      <c r="DS358" s="10"/>
      <c r="DT358" s="11"/>
      <c r="DU358" s="69">
        <f t="shared" si="2383"/>
        <v>0</v>
      </c>
      <c r="DV358" s="69">
        <f t="shared" si="2384"/>
        <v>0</v>
      </c>
      <c r="DW358" s="11"/>
      <c r="DX358" s="12" t="e">
        <f t="shared" si="2337"/>
        <v>#DIV/0!</v>
      </c>
      <c r="DY358" s="11"/>
      <c r="DZ358" s="12" t="e">
        <f t="shared" si="2338"/>
        <v>#DIV/0!</v>
      </c>
      <c r="EA358" s="13"/>
      <c r="EB358" s="11"/>
      <c r="EC358" s="11"/>
      <c r="ED358" s="14"/>
      <c r="EE358" s="10"/>
      <c r="EF358" s="11"/>
      <c r="EG358" s="69">
        <f t="shared" si="2385"/>
        <v>0</v>
      </c>
      <c r="EH358" s="69">
        <f t="shared" si="2386"/>
        <v>0</v>
      </c>
      <c r="EI358" s="11"/>
      <c r="EJ358" s="12" t="e">
        <f t="shared" si="2339"/>
        <v>#DIV/0!</v>
      </c>
      <c r="EK358" s="11"/>
      <c r="EL358" s="12" t="e">
        <f t="shared" si="2340"/>
        <v>#DIV/0!</v>
      </c>
      <c r="EM358" s="13"/>
      <c r="EN358" s="11"/>
      <c r="EO358" s="11"/>
      <c r="EP358" s="14"/>
      <c r="EQ358" s="10"/>
      <c r="ER358" s="11"/>
      <c r="ES358" s="69">
        <f t="shared" si="2387"/>
        <v>0</v>
      </c>
      <c r="ET358" s="69">
        <f t="shared" si="2388"/>
        <v>0</v>
      </c>
      <c r="EU358" s="11"/>
      <c r="EV358" s="12" t="e">
        <f t="shared" si="2341"/>
        <v>#DIV/0!</v>
      </c>
      <c r="EW358" s="11"/>
      <c r="EX358" s="12" t="e">
        <f t="shared" si="2342"/>
        <v>#DIV/0!</v>
      </c>
      <c r="EY358" s="13"/>
      <c r="EZ358" s="11"/>
      <c r="FA358" s="11"/>
      <c r="FB358" s="14"/>
      <c r="FC358" s="10"/>
      <c r="FD358" s="11"/>
      <c r="FE358" s="69">
        <f t="shared" si="2389"/>
        <v>0</v>
      </c>
      <c r="FF358" s="69">
        <f t="shared" si="2390"/>
        <v>0</v>
      </c>
      <c r="FG358" s="11"/>
      <c r="FH358" s="12" t="e">
        <f t="shared" si="2343"/>
        <v>#DIV/0!</v>
      </c>
      <c r="FI358" s="11"/>
      <c r="FJ358" s="12" t="e">
        <f t="shared" si="2344"/>
        <v>#DIV/0!</v>
      </c>
      <c r="FK358" s="13"/>
      <c r="FL358" s="11"/>
      <c r="FM358" s="11"/>
      <c r="FN358" s="14"/>
      <c r="FO358" s="10"/>
      <c r="FP358" s="11"/>
      <c r="FQ358" s="69">
        <f t="shared" si="2391"/>
        <v>0</v>
      </c>
      <c r="FR358" s="69">
        <f t="shared" si="2392"/>
        <v>0</v>
      </c>
      <c r="FS358" s="11"/>
      <c r="FT358" s="12" t="e">
        <f t="shared" si="2345"/>
        <v>#DIV/0!</v>
      </c>
      <c r="FU358" s="11"/>
      <c r="FV358" s="12" t="e">
        <f t="shared" si="2346"/>
        <v>#DIV/0!</v>
      </c>
      <c r="FW358" s="13"/>
      <c r="FX358" s="11"/>
      <c r="FY358" s="11"/>
      <c r="FZ358" s="14"/>
      <c r="GA358" s="10"/>
      <c r="GB358" s="11"/>
      <c r="GC358" s="69">
        <f t="shared" si="2393"/>
        <v>0</v>
      </c>
      <c r="GD358" s="69">
        <f t="shared" si="2394"/>
        <v>0</v>
      </c>
      <c r="GE358" s="11"/>
      <c r="GF358" s="12" t="e">
        <f t="shared" si="2347"/>
        <v>#DIV/0!</v>
      </c>
      <c r="GG358" s="11"/>
      <c r="GH358" s="12" t="e">
        <f t="shared" si="2348"/>
        <v>#DIV/0!</v>
      </c>
      <c r="GI358" s="13"/>
      <c r="GJ358" s="11"/>
      <c r="GK358" s="11"/>
      <c r="GL358" s="14"/>
      <c r="GM358" s="10"/>
      <c r="GN358" s="11"/>
      <c r="GO358" s="69">
        <f t="shared" si="2395"/>
        <v>0</v>
      </c>
      <c r="GP358" s="69">
        <f t="shared" si="2396"/>
        <v>0</v>
      </c>
      <c r="GQ358" s="11"/>
      <c r="GR358" s="12" t="e">
        <f t="shared" si="2349"/>
        <v>#DIV/0!</v>
      </c>
      <c r="GS358" s="11"/>
      <c r="GT358" s="12" t="e">
        <f t="shared" si="2350"/>
        <v>#DIV/0!</v>
      </c>
      <c r="GU358" s="13"/>
      <c r="GV358" s="11"/>
      <c r="GW358" s="11"/>
      <c r="GX358" s="14"/>
      <c r="GY358" s="10"/>
      <c r="GZ358" s="11"/>
      <c r="HA358" s="69">
        <f t="shared" si="2397"/>
        <v>0</v>
      </c>
      <c r="HB358" s="69">
        <f t="shared" si="2398"/>
        <v>0</v>
      </c>
      <c r="HC358" s="11"/>
      <c r="HD358" s="12" t="e">
        <f t="shared" si="2351"/>
        <v>#DIV/0!</v>
      </c>
      <c r="HE358" s="11"/>
      <c r="HF358" s="12" t="e">
        <f t="shared" si="2352"/>
        <v>#DIV/0!</v>
      </c>
      <c r="HG358" s="13"/>
      <c r="HH358" s="11"/>
      <c r="HI358" s="11"/>
      <c r="HJ358" s="14"/>
      <c r="HK358" s="10">
        <f t="shared" si="2353"/>
        <v>3</v>
      </c>
      <c r="HL358" s="11">
        <f t="shared" si="2354"/>
        <v>0</v>
      </c>
      <c r="HM358" s="11">
        <f t="shared" si="2355"/>
        <v>3227</v>
      </c>
      <c r="HN358" s="11">
        <f t="shared" si="2356"/>
        <v>240</v>
      </c>
      <c r="HO358" s="11">
        <f t="shared" si="2357"/>
        <v>745</v>
      </c>
      <c r="HP358" s="95">
        <f t="shared" si="2358"/>
        <v>0.23086458010536101</v>
      </c>
      <c r="HQ358" s="15">
        <f t="shared" si="2359"/>
        <v>79</v>
      </c>
      <c r="HR358" s="12">
        <f t="shared" si="2399"/>
        <v>0.10604026845637583</v>
      </c>
      <c r="HS358" s="16">
        <v>74.2</v>
      </c>
      <c r="HT358" s="17">
        <v>642</v>
      </c>
      <c r="HU358" s="16">
        <f t="shared" si="2360"/>
        <v>86.174496644295303</v>
      </c>
      <c r="HV358" s="15"/>
      <c r="HW358" s="14"/>
    </row>
    <row r="359" spans="1:231" ht="18.75" x14ac:dyDescent="0.25">
      <c r="A359" s="374"/>
      <c r="B359" s="41">
        <f t="shared" si="2361"/>
        <v>45217</v>
      </c>
      <c r="C359" s="10"/>
      <c r="D359" s="11"/>
      <c r="E359" s="69">
        <f t="shared" si="2362"/>
        <v>1159</v>
      </c>
      <c r="F359" s="69">
        <f t="shared" si="2363"/>
        <v>86</v>
      </c>
      <c r="G359" s="11">
        <v>258</v>
      </c>
      <c r="H359" s="12">
        <f t="shared" si="2318"/>
        <v>0.24849007765314926</v>
      </c>
      <c r="I359" s="11">
        <v>30</v>
      </c>
      <c r="J359" s="12">
        <f t="shared" si="2364"/>
        <v>0.10416666666666667</v>
      </c>
      <c r="K359" s="11"/>
      <c r="L359" s="11"/>
      <c r="M359" s="18"/>
      <c r="N359" s="20"/>
      <c r="O359" s="10">
        <v>2</v>
      </c>
      <c r="P359" s="11"/>
      <c r="Q359" s="69">
        <f t="shared" si="2365"/>
        <v>109</v>
      </c>
      <c r="R359" s="69">
        <f t="shared" si="2366"/>
        <v>8</v>
      </c>
      <c r="S359" s="11">
        <v>25</v>
      </c>
      <c r="T359" s="12">
        <f t="shared" si="2319"/>
        <v>0.28440366972477066</v>
      </c>
      <c r="U359" s="11">
        <v>6</v>
      </c>
      <c r="V359" s="12">
        <f t="shared" si="2320"/>
        <v>0.19354838709677419</v>
      </c>
      <c r="W359" s="11"/>
      <c r="X359" s="11"/>
      <c r="Y359" s="18"/>
      <c r="Z359" s="20"/>
      <c r="AA359" s="10"/>
      <c r="AB359" s="11"/>
      <c r="AC359" s="69">
        <f t="shared" si="2367"/>
        <v>1957</v>
      </c>
      <c r="AD359" s="69">
        <f t="shared" si="2368"/>
        <v>146</v>
      </c>
      <c r="AE359" s="11">
        <v>374</v>
      </c>
      <c r="AF359" s="12">
        <f t="shared" si="2321"/>
        <v>0.21359223300970873</v>
      </c>
      <c r="AG359" s="11">
        <v>44</v>
      </c>
      <c r="AH359" s="12">
        <f t="shared" si="2322"/>
        <v>0.10526315789473684</v>
      </c>
      <c r="AI359" s="11"/>
      <c r="AJ359" s="11"/>
      <c r="AK359" s="18"/>
      <c r="AL359" s="20"/>
      <c r="AM359" s="10"/>
      <c r="AN359" s="11"/>
      <c r="AO359" s="69">
        <f t="shared" si="2369"/>
        <v>0</v>
      </c>
      <c r="AP359" s="69">
        <f t="shared" si="2370"/>
        <v>0</v>
      </c>
      <c r="AQ359" s="11"/>
      <c r="AR359" s="12" t="e">
        <f t="shared" si="2323"/>
        <v>#DIV/0!</v>
      </c>
      <c r="AS359" s="11"/>
      <c r="AT359" s="12" t="e">
        <f t="shared" si="2324"/>
        <v>#DIV/0!</v>
      </c>
      <c r="AU359" s="11"/>
      <c r="AV359" s="11"/>
      <c r="AW359" s="18"/>
      <c r="AX359" s="20"/>
      <c r="AY359" s="10"/>
      <c r="AZ359" s="11"/>
      <c r="BA359" s="69">
        <f t="shared" si="2371"/>
        <v>0</v>
      </c>
      <c r="BB359" s="69">
        <f t="shared" si="2372"/>
        <v>0</v>
      </c>
      <c r="BC359" s="11"/>
      <c r="BD359" s="12" t="e">
        <f t="shared" si="2325"/>
        <v>#DIV/0!</v>
      </c>
      <c r="BE359" s="11"/>
      <c r="BF359" s="12" t="e">
        <f t="shared" si="2326"/>
        <v>#DIV/0!</v>
      </c>
      <c r="BG359" s="11"/>
      <c r="BH359" s="11"/>
      <c r="BI359" s="18"/>
      <c r="BJ359" s="20"/>
      <c r="BK359" s="10"/>
      <c r="BL359" s="11"/>
      <c r="BM359" s="69">
        <f t="shared" si="2373"/>
        <v>0</v>
      </c>
      <c r="BN359" s="69">
        <f t="shared" si="2374"/>
        <v>0</v>
      </c>
      <c r="BO359" s="11"/>
      <c r="BP359" s="12" t="e">
        <f t="shared" si="2327"/>
        <v>#DIV/0!</v>
      </c>
      <c r="BQ359" s="11"/>
      <c r="BR359" s="12" t="e">
        <f t="shared" si="2328"/>
        <v>#DIV/0!</v>
      </c>
      <c r="BS359" s="11"/>
      <c r="BT359" s="11"/>
      <c r="BU359" s="18"/>
      <c r="BV359" s="20"/>
      <c r="BW359" s="10"/>
      <c r="BX359" s="11"/>
      <c r="BY359" s="69">
        <f t="shared" si="2375"/>
        <v>0</v>
      </c>
      <c r="BZ359" s="69">
        <f t="shared" si="2376"/>
        <v>0</v>
      </c>
      <c r="CA359" s="11"/>
      <c r="CB359" s="12" t="e">
        <f t="shared" si="2329"/>
        <v>#DIV/0!</v>
      </c>
      <c r="CC359" s="11"/>
      <c r="CD359" s="12" t="e">
        <f t="shared" si="2330"/>
        <v>#DIV/0!</v>
      </c>
      <c r="CE359" s="11"/>
      <c r="CF359" s="11"/>
      <c r="CG359" s="18"/>
      <c r="CH359" s="20"/>
      <c r="CI359" s="10"/>
      <c r="CJ359" s="11"/>
      <c r="CK359" s="69">
        <f t="shared" si="2377"/>
        <v>0</v>
      </c>
      <c r="CL359" s="69">
        <f t="shared" si="2378"/>
        <v>0</v>
      </c>
      <c r="CM359" s="11"/>
      <c r="CN359" s="12" t="e">
        <f t="shared" si="2331"/>
        <v>#DIV/0!</v>
      </c>
      <c r="CO359" s="11"/>
      <c r="CP359" s="12" t="e">
        <f t="shared" si="2332"/>
        <v>#DIV/0!</v>
      </c>
      <c r="CQ359" s="11"/>
      <c r="CR359" s="11"/>
      <c r="CS359" s="18"/>
      <c r="CT359" s="20"/>
      <c r="CU359" s="10"/>
      <c r="CV359" s="11"/>
      <c r="CW359" s="69">
        <f t="shared" si="2379"/>
        <v>0</v>
      </c>
      <c r="CX359" s="69">
        <f t="shared" si="2380"/>
        <v>0</v>
      </c>
      <c r="CY359" s="11"/>
      <c r="CZ359" s="12" t="e">
        <f t="shared" si="2333"/>
        <v>#DIV/0!</v>
      </c>
      <c r="DA359" s="11"/>
      <c r="DB359" s="12" t="e">
        <f t="shared" si="2334"/>
        <v>#DIV/0!</v>
      </c>
      <c r="DC359" s="11"/>
      <c r="DD359" s="11"/>
      <c r="DE359" s="18"/>
      <c r="DF359" s="20"/>
      <c r="DG359" s="10"/>
      <c r="DH359" s="11"/>
      <c r="DI359" s="69">
        <f t="shared" si="2381"/>
        <v>0</v>
      </c>
      <c r="DJ359" s="69">
        <f t="shared" si="2382"/>
        <v>0</v>
      </c>
      <c r="DK359" s="11"/>
      <c r="DL359" s="12" t="e">
        <f t="shared" si="2335"/>
        <v>#DIV/0!</v>
      </c>
      <c r="DM359" s="11"/>
      <c r="DN359" s="12" t="e">
        <f t="shared" si="2336"/>
        <v>#DIV/0!</v>
      </c>
      <c r="DO359" s="11"/>
      <c r="DP359" s="11"/>
      <c r="DQ359" s="18"/>
      <c r="DR359" s="20"/>
      <c r="DS359" s="10"/>
      <c r="DT359" s="11"/>
      <c r="DU359" s="69">
        <f t="shared" si="2383"/>
        <v>0</v>
      </c>
      <c r="DV359" s="69">
        <f t="shared" si="2384"/>
        <v>0</v>
      </c>
      <c r="DW359" s="11"/>
      <c r="DX359" s="12" t="e">
        <f t="shared" si="2337"/>
        <v>#DIV/0!</v>
      </c>
      <c r="DY359" s="11"/>
      <c r="DZ359" s="12" t="e">
        <f t="shared" si="2338"/>
        <v>#DIV/0!</v>
      </c>
      <c r="EA359" s="11"/>
      <c r="EB359" s="11"/>
      <c r="EC359" s="18"/>
      <c r="ED359" s="20"/>
      <c r="EE359" s="10"/>
      <c r="EF359" s="11"/>
      <c r="EG359" s="69">
        <f t="shared" si="2385"/>
        <v>0</v>
      </c>
      <c r="EH359" s="69">
        <f t="shared" si="2386"/>
        <v>0</v>
      </c>
      <c r="EI359" s="11"/>
      <c r="EJ359" s="12" t="e">
        <f t="shared" si="2339"/>
        <v>#DIV/0!</v>
      </c>
      <c r="EK359" s="11"/>
      <c r="EL359" s="12" t="e">
        <f t="shared" si="2340"/>
        <v>#DIV/0!</v>
      </c>
      <c r="EM359" s="11"/>
      <c r="EN359" s="11"/>
      <c r="EO359" s="18"/>
      <c r="EP359" s="20"/>
      <c r="EQ359" s="10"/>
      <c r="ER359" s="11"/>
      <c r="ES359" s="69">
        <f t="shared" si="2387"/>
        <v>0</v>
      </c>
      <c r="ET359" s="69">
        <f t="shared" si="2388"/>
        <v>0</v>
      </c>
      <c r="EU359" s="11"/>
      <c r="EV359" s="12" t="e">
        <f t="shared" si="2341"/>
        <v>#DIV/0!</v>
      </c>
      <c r="EW359" s="11"/>
      <c r="EX359" s="12" t="e">
        <f t="shared" si="2342"/>
        <v>#DIV/0!</v>
      </c>
      <c r="EY359" s="11"/>
      <c r="EZ359" s="11"/>
      <c r="FA359" s="18"/>
      <c r="FB359" s="20"/>
      <c r="FC359" s="10"/>
      <c r="FD359" s="11"/>
      <c r="FE359" s="69">
        <f t="shared" si="2389"/>
        <v>0</v>
      </c>
      <c r="FF359" s="69">
        <f t="shared" si="2390"/>
        <v>0</v>
      </c>
      <c r="FG359" s="11"/>
      <c r="FH359" s="12" t="e">
        <f t="shared" si="2343"/>
        <v>#DIV/0!</v>
      </c>
      <c r="FI359" s="11"/>
      <c r="FJ359" s="12" t="e">
        <f t="shared" si="2344"/>
        <v>#DIV/0!</v>
      </c>
      <c r="FK359" s="11"/>
      <c r="FL359" s="11"/>
      <c r="FM359" s="18"/>
      <c r="FN359" s="20"/>
      <c r="FO359" s="10"/>
      <c r="FP359" s="11"/>
      <c r="FQ359" s="69">
        <f t="shared" si="2391"/>
        <v>0</v>
      </c>
      <c r="FR359" s="69">
        <f t="shared" si="2392"/>
        <v>0</v>
      </c>
      <c r="FS359" s="11"/>
      <c r="FT359" s="12" t="e">
        <f t="shared" si="2345"/>
        <v>#DIV/0!</v>
      </c>
      <c r="FU359" s="11"/>
      <c r="FV359" s="12" t="e">
        <f t="shared" si="2346"/>
        <v>#DIV/0!</v>
      </c>
      <c r="FW359" s="11"/>
      <c r="FX359" s="11"/>
      <c r="FY359" s="18"/>
      <c r="FZ359" s="20"/>
      <c r="GA359" s="10"/>
      <c r="GB359" s="11"/>
      <c r="GC359" s="69">
        <f t="shared" si="2393"/>
        <v>0</v>
      </c>
      <c r="GD359" s="69">
        <f t="shared" si="2394"/>
        <v>0</v>
      </c>
      <c r="GE359" s="11"/>
      <c r="GF359" s="12" t="e">
        <f t="shared" si="2347"/>
        <v>#DIV/0!</v>
      </c>
      <c r="GG359" s="11"/>
      <c r="GH359" s="12" t="e">
        <f t="shared" si="2348"/>
        <v>#DIV/0!</v>
      </c>
      <c r="GI359" s="11"/>
      <c r="GJ359" s="11"/>
      <c r="GK359" s="18"/>
      <c r="GL359" s="20"/>
      <c r="GM359" s="10"/>
      <c r="GN359" s="11"/>
      <c r="GO359" s="69">
        <f t="shared" si="2395"/>
        <v>0</v>
      </c>
      <c r="GP359" s="69">
        <f t="shared" si="2396"/>
        <v>0</v>
      </c>
      <c r="GQ359" s="11"/>
      <c r="GR359" s="12" t="e">
        <f t="shared" si="2349"/>
        <v>#DIV/0!</v>
      </c>
      <c r="GS359" s="11"/>
      <c r="GT359" s="12" t="e">
        <f t="shared" si="2350"/>
        <v>#DIV/0!</v>
      </c>
      <c r="GU359" s="11"/>
      <c r="GV359" s="11"/>
      <c r="GW359" s="18"/>
      <c r="GX359" s="20"/>
      <c r="GY359" s="10"/>
      <c r="GZ359" s="11"/>
      <c r="HA359" s="69">
        <f t="shared" si="2397"/>
        <v>0</v>
      </c>
      <c r="HB359" s="69">
        <f t="shared" si="2398"/>
        <v>0</v>
      </c>
      <c r="HC359" s="11"/>
      <c r="HD359" s="12" t="e">
        <f t="shared" si="2351"/>
        <v>#DIV/0!</v>
      </c>
      <c r="HE359" s="11"/>
      <c r="HF359" s="12" t="e">
        <f t="shared" si="2352"/>
        <v>#DIV/0!</v>
      </c>
      <c r="HG359" s="11"/>
      <c r="HH359" s="11"/>
      <c r="HI359" s="18"/>
      <c r="HJ359" s="20"/>
      <c r="HK359" s="10">
        <f t="shared" si="2353"/>
        <v>2</v>
      </c>
      <c r="HL359" s="11">
        <f t="shared" si="2354"/>
        <v>0</v>
      </c>
      <c r="HM359" s="11">
        <f t="shared" si="2355"/>
        <v>3225</v>
      </c>
      <c r="HN359" s="11">
        <f t="shared" si="2356"/>
        <v>240</v>
      </c>
      <c r="HO359" s="11">
        <f t="shared" si="2357"/>
        <v>737</v>
      </c>
      <c r="HP359" s="95">
        <f t="shared" si="2358"/>
        <v>0.22852713178294573</v>
      </c>
      <c r="HQ359" s="15">
        <f t="shared" si="2359"/>
        <v>80</v>
      </c>
      <c r="HR359" s="12">
        <f t="shared" si="2399"/>
        <v>0.10854816824966079</v>
      </c>
      <c r="HS359" s="16">
        <v>74.3</v>
      </c>
      <c r="HT359" s="17">
        <v>618</v>
      </c>
      <c r="HU359" s="16">
        <f t="shared" si="2360"/>
        <v>83.85345997286295</v>
      </c>
      <c r="HV359" s="18"/>
      <c r="HW359" s="20"/>
    </row>
    <row r="360" spans="1:231" ht="18.75" x14ac:dyDescent="0.25">
      <c r="A360" s="374"/>
      <c r="B360" s="41">
        <f t="shared" si="2361"/>
        <v>45218</v>
      </c>
      <c r="C360" s="10"/>
      <c r="D360" s="11"/>
      <c r="E360" s="69">
        <f t="shared" si="2362"/>
        <v>1159</v>
      </c>
      <c r="F360" s="69">
        <f t="shared" si="2363"/>
        <v>86</v>
      </c>
      <c r="G360" s="11">
        <v>232</v>
      </c>
      <c r="H360" s="12">
        <f t="shared" si="2318"/>
        <v>0.2277825711820535</v>
      </c>
      <c r="I360" s="11">
        <v>32</v>
      </c>
      <c r="J360" s="12">
        <f t="shared" si="2364"/>
        <v>0.12121212121212122</v>
      </c>
      <c r="K360" s="13"/>
      <c r="L360" s="13"/>
      <c r="M360" s="25"/>
      <c r="N360" s="38"/>
      <c r="O360" s="10"/>
      <c r="P360" s="11"/>
      <c r="Q360" s="69">
        <f t="shared" si="2365"/>
        <v>109</v>
      </c>
      <c r="R360" s="69">
        <f t="shared" si="2366"/>
        <v>8</v>
      </c>
      <c r="S360" s="11">
        <v>32</v>
      </c>
      <c r="T360" s="12">
        <f t="shared" si="2319"/>
        <v>0.31192660550458717</v>
      </c>
      <c r="U360" s="11">
        <v>2</v>
      </c>
      <c r="V360" s="12">
        <f t="shared" si="2320"/>
        <v>5.8823529411764705E-2</v>
      </c>
      <c r="W360" s="13"/>
      <c r="X360" s="13"/>
      <c r="Y360" s="25"/>
      <c r="Z360" s="38"/>
      <c r="AA360" s="10">
        <v>1</v>
      </c>
      <c r="AB360" s="11"/>
      <c r="AC360" s="69">
        <f t="shared" si="2367"/>
        <v>1956</v>
      </c>
      <c r="AD360" s="69">
        <f t="shared" si="2368"/>
        <v>146</v>
      </c>
      <c r="AE360" s="11">
        <v>342</v>
      </c>
      <c r="AF360" s="12">
        <f t="shared" si="2321"/>
        <v>0.19529652351738241</v>
      </c>
      <c r="AG360" s="11">
        <v>40</v>
      </c>
      <c r="AH360" s="12">
        <f t="shared" si="2322"/>
        <v>0.10471204188481675</v>
      </c>
      <c r="AI360" s="13"/>
      <c r="AJ360" s="13"/>
      <c r="AK360" s="25"/>
      <c r="AL360" s="38"/>
      <c r="AM360" s="10"/>
      <c r="AN360" s="11"/>
      <c r="AO360" s="69">
        <f t="shared" si="2369"/>
        <v>0</v>
      </c>
      <c r="AP360" s="69">
        <f t="shared" si="2370"/>
        <v>0</v>
      </c>
      <c r="AQ360" s="11"/>
      <c r="AR360" s="12" t="e">
        <f t="shared" si="2323"/>
        <v>#DIV/0!</v>
      </c>
      <c r="AS360" s="11"/>
      <c r="AT360" s="12" t="e">
        <f t="shared" si="2324"/>
        <v>#DIV/0!</v>
      </c>
      <c r="AU360" s="13"/>
      <c r="AV360" s="13"/>
      <c r="AW360" s="25"/>
      <c r="AX360" s="38"/>
      <c r="AY360" s="10"/>
      <c r="AZ360" s="11"/>
      <c r="BA360" s="69">
        <f t="shared" si="2371"/>
        <v>0</v>
      </c>
      <c r="BB360" s="69">
        <f t="shared" si="2372"/>
        <v>0</v>
      </c>
      <c r="BC360" s="11"/>
      <c r="BD360" s="12" t="e">
        <f t="shared" si="2325"/>
        <v>#DIV/0!</v>
      </c>
      <c r="BE360" s="11"/>
      <c r="BF360" s="12" t="e">
        <f t="shared" si="2326"/>
        <v>#DIV/0!</v>
      </c>
      <c r="BG360" s="13"/>
      <c r="BH360" s="13"/>
      <c r="BI360" s="25"/>
      <c r="BJ360" s="38"/>
      <c r="BK360" s="10"/>
      <c r="BL360" s="11"/>
      <c r="BM360" s="69">
        <f t="shared" si="2373"/>
        <v>0</v>
      </c>
      <c r="BN360" s="69">
        <f t="shared" si="2374"/>
        <v>0</v>
      </c>
      <c r="BO360" s="11"/>
      <c r="BP360" s="12" t="e">
        <f t="shared" si="2327"/>
        <v>#DIV/0!</v>
      </c>
      <c r="BQ360" s="11"/>
      <c r="BR360" s="12" t="e">
        <f t="shared" si="2328"/>
        <v>#DIV/0!</v>
      </c>
      <c r="BS360" s="13"/>
      <c r="BT360" s="13"/>
      <c r="BU360" s="25"/>
      <c r="BV360" s="38"/>
      <c r="BW360" s="10"/>
      <c r="BX360" s="11"/>
      <c r="BY360" s="69">
        <f t="shared" si="2375"/>
        <v>0</v>
      </c>
      <c r="BZ360" s="69">
        <f t="shared" si="2376"/>
        <v>0</v>
      </c>
      <c r="CA360" s="11"/>
      <c r="CB360" s="12" t="e">
        <f t="shared" si="2329"/>
        <v>#DIV/0!</v>
      </c>
      <c r="CC360" s="11"/>
      <c r="CD360" s="12" t="e">
        <f t="shared" si="2330"/>
        <v>#DIV/0!</v>
      </c>
      <c r="CE360" s="13"/>
      <c r="CF360" s="13"/>
      <c r="CG360" s="25"/>
      <c r="CH360" s="38"/>
      <c r="CI360" s="10"/>
      <c r="CJ360" s="11"/>
      <c r="CK360" s="69">
        <f t="shared" si="2377"/>
        <v>0</v>
      </c>
      <c r="CL360" s="69">
        <f t="shared" si="2378"/>
        <v>0</v>
      </c>
      <c r="CM360" s="11"/>
      <c r="CN360" s="12" t="e">
        <f t="shared" si="2331"/>
        <v>#DIV/0!</v>
      </c>
      <c r="CO360" s="11"/>
      <c r="CP360" s="12" t="e">
        <f t="shared" si="2332"/>
        <v>#DIV/0!</v>
      </c>
      <c r="CQ360" s="13"/>
      <c r="CR360" s="13"/>
      <c r="CS360" s="25"/>
      <c r="CT360" s="38"/>
      <c r="CU360" s="10"/>
      <c r="CV360" s="11"/>
      <c r="CW360" s="69">
        <f t="shared" si="2379"/>
        <v>0</v>
      </c>
      <c r="CX360" s="69">
        <f t="shared" si="2380"/>
        <v>0</v>
      </c>
      <c r="CY360" s="11"/>
      <c r="CZ360" s="12" t="e">
        <f t="shared" si="2333"/>
        <v>#DIV/0!</v>
      </c>
      <c r="DA360" s="11"/>
      <c r="DB360" s="12" t="e">
        <f t="shared" si="2334"/>
        <v>#DIV/0!</v>
      </c>
      <c r="DC360" s="13"/>
      <c r="DD360" s="13"/>
      <c r="DE360" s="25"/>
      <c r="DF360" s="38"/>
      <c r="DG360" s="10"/>
      <c r="DH360" s="11"/>
      <c r="DI360" s="69">
        <f t="shared" si="2381"/>
        <v>0</v>
      </c>
      <c r="DJ360" s="69">
        <f t="shared" si="2382"/>
        <v>0</v>
      </c>
      <c r="DK360" s="11"/>
      <c r="DL360" s="12" t="e">
        <f t="shared" si="2335"/>
        <v>#DIV/0!</v>
      </c>
      <c r="DM360" s="11"/>
      <c r="DN360" s="12" t="e">
        <f t="shared" si="2336"/>
        <v>#DIV/0!</v>
      </c>
      <c r="DO360" s="13"/>
      <c r="DP360" s="13"/>
      <c r="DQ360" s="25"/>
      <c r="DR360" s="38"/>
      <c r="DS360" s="10"/>
      <c r="DT360" s="11"/>
      <c r="DU360" s="69">
        <f t="shared" si="2383"/>
        <v>0</v>
      </c>
      <c r="DV360" s="69">
        <f t="shared" si="2384"/>
        <v>0</v>
      </c>
      <c r="DW360" s="11"/>
      <c r="DX360" s="12" t="e">
        <f t="shared" si="2337"/>
        <v>#DIV/0!</v>
      </c>
      <c r="DY360" s="11"/>
      <c r="DZ360" s="12" t="e">
        <f t="shared" si="2338"/>
        <v>#DIV/0!</v>
      </c>
      <c r="EA360" s="13"/>
      <c r="EB360" s="13"/>
      <c r="EC360" s="25"/>
      <c r="ED360" s="38"/>
      <c r="EE360" s="10"/>
      <c r="EF360" s="11"/>
      <c r="EG360" s="69">
        <f t="shared" si="2385"/>
        <v>0</v>
      </c>
      <c r="EH360" s="69">
        <f t="shared" si="2386"/>
        <v>0</v>
      </c>
      <c r="EI360" s="11"/>
      <c r="EJ360" s="12" t="e">
        <f t="shared" si="2339"/>
        <v>#DIV/0!</v>
      </c>
      <c r="EK360" s="11"/>
      <c r="EL360" s="12" t="e">
        <f t="shared" si="2340"/>
        <v>#DIV/0!</v>
      </c>
      <c r="EM360" s="13"/>
      <c r="EN360" s="13"/>
      <c r="EO360" s="25"/>
      <c r="EP360" s="38"/>
      <c r="EQ360" s="10"/>
      <c r="ER360" s="11"/>
      <c r="ES360" s="69">
        <f t="shared" si="2387"/>
        <v>0</v>
      </c>
      <c r="ET360" s="69">
        <f t="shared" si="2388"/>
        <v>0</v>
      </c>
      <c r="EU360" s="11"/>
      <c r="EV360" s="12" t="e">
        <f t="shared" si="2341"/>
        <v>#DIV/0!</v>
      </c>
      <c r="EW360" s="11"/>
      <c r="EX360" s="12" t="e">
        <f t="shared" si="2342"/>
        <v>#DIV/0!</v>
      </c>
      <c r="EY360" s="13"/>
      <c r="EZ360" s="13"/>
      <c r="FA360" s="25"/>
      <c r="FB360" s="38"/>
      <c r="FC360" s="10"/>
      <c r="FD360" s="11"/>
      <c r="FE360" s="69">
        <f t="shared" si="2389"/>
        <v>0</v>
      </c>
      <c r="FF360" s="69">
        <f t="shared" si="2390"/>
        <v>0</v>
      </c>
      <c r="FG360" s="11"/>
      <c r="FH360" s="12" t="e">
        <f t="shared" si="2343"/>
        <v>#DIV/0!</v>
      </c>
      <c r="FI360" s="11"/>
      <c r="FJ360" s="12" t="e">
        <f t="shared" si="2344"/>
        <v>#DIV/0!</v>
      </c>
      <c r="FK360" s="13"/>
      <c r="FL360" s="13"/>
      <c r="FM360" s="25"/>
      <c r="FN360" s="38"/>
      <c r="FO360" s="10"/>
      <c r="FP360" s="11"/>
      <c r="FQ360" s="69">
        <f t="shared" si="2391"/>
        <v>0</v>
      </c>
      <c r="FR360" s="69">
        <f t="shared" si="2392"/>
        <v>0</v>
      </c>
      <c r="FS360" s="11"/>
      <c r="FT360" s="12" t="e">
        <f t="shared" si="2345"/>
        <v>#DIV/0!</v>
      </c>
      <c r="FU360" s="11"/>
      <c r="FV360" s="12" t="e">
        <f t="shared" si="2346"/>
        <v>#DIV/0!</v>
      </c>
      <c r="FW360" s="13"/>
      <c r="FX360" s="13"/>
      <c r="FY360" s="25"/>
      <c r="FZ360" s="38"/>
      <c r="GA360" s="10"/>
      <c r="GB360" s="11"/>
      <c r="GC360" s="69">
        <f t="shared" si="2393"/>
        <v>0</v>
      </c>
      <c r="GD360" s="69">
        <f t="shared" si="2394"/>
        <v>0</v>
      </c>
      <c r="GE360" s="11"/>
      <c r="GF360" s="12" t="e">
        <f t="shared" si="2347"/>
        <v>#DIV/0!</v>
      </c>
      <c r="GG360" s="11"/>
      <c r="GH360" s="12" t="e">
        <f t="shared" si="2348"/>
        <v>#DIV/0!</v>
      </c>
      <c r="GI360" s="13"/>
      <c r="GJ360" s="13"/>
      <c r="GK360" s="25"/>
      <c r="GL360" s="38"/>
      <c r="GM360" s="10"/>
      <c r="GN360" s="11"/>
      <c r="GO360" s="69">
        <f t="shared" si="2395"/>
        <v>0</v>
      </c>
      <c r="GP360" s="69">
        <f t="shared" si="2396"/>
        <v>0</v>
      </c>
      <c r="GQ360" s="11"/>
      <c r="GR360" s="12" t="e">
        <f t="shared" si="2349"/>
        <v>#DIV/0!</v>
      </c>
      <c r="GS360" s="11"/>
      <c r="GT360" s="12" t="e">
        <f t="shared" si="2350"/>
        <v>#DIV/0!</v>
      </c>
      <c r="GU360" s="13"/>
      <c r="GV360" s="13"/>
      <c r="GW360" s="25"/>
      <c r="GX360" s="38"/>
      <c r="GY360" s="10"/>
      <c r="GZ360" s="11"/>
      <c r="HA360" s="69">
        <f t="shared" si="2397"/>
        <v>0</v>
      </c>
      <c r="HB360" s="69">
        <f t="shared" si="2398"/>
        <v>0</v>
      </c>
      <c r="HC360" s="11"/>
      <c r="HD360" s="12" t="e">
        <f t="shared" si="2351"/>
        <v>#DIV/0!</v>
      </c>
      <c r="HE360" s="11"/>
      <c r="HF360" s="12" t="e">
        <f t="shared" si="2352"/>
        <v>#DIV/0!</v>
      </c>
      <c r="HG360" s="13"/>
      <c r="HH360" s="13"/>
      <c r="HI360" s="25"/>
      <c r="HJ360" s="38"/>
      <c r="HK360" s="10">
        <f t="shared" si="2353"/>
        <v>1</v>
      </c>
      <c r="HL360" s="11">
        <f t="shared" si="2354"/>
        <v>0</v>
      </c>
      <c r="HM360" s="11">
        <f t="shared" si="2355"/>
        <v>3224</v>
      </c>
      <c r="HN360" s="11">
        <f t="shared" si="2356"/>
        <v>240</v>
      </c>
      <c r="HO360" s="11">
        <f t="shared" si="2357"/>
        <v>680</v>
      </c>
      <c r="HP360" s="95">
        <f t="shared" si="2358"/>
        <v>0.21091811414392059</v>
      </c>
      <c r="HQ360" s="15">
        <f t="shared" si="2359"/>
        <v>74</v>
      </c>
      <c r="HR360" s="12">
        <f t="shared" si="2399"/>
        <v>0.10882352941176471</v>
      </c>
      <c r="HS360" s="16">
        <v>74.2</v>
      </c>
      <c r="HT360" s="17">
        <v>571</v>
      </c>
      <c r="HU360" s="16">
        <f t="shared" si="2360"/>
        <v>83.970588235294116</v>
      </c>
      <c r="HV360" s="23"/>
      <c r="HW360" s="22"/>
    </row>
    <row r="361" spans="1:231" ht="18.75" x14ac:dyDescent="0.25">
      <c r="A361" s="374"/>
      <c r="B361" s="41">
        <f t="shared" si="2361"/>
        <v>45219</v>
      </c>
      <c r="C361" s="10">
        <v>1</v>
      </c>
      <c r="D361" s="11"/>
      <c r="E361" s="69">
        <f t="shared" si="2362"/>
        <v>1158</v>
      </c>
      <c r="F361" s="69">
        <f t="shared" si="2363"/>
        <v>86</v>
      </c>
      <c r="G361" s="11">
        <v>256</v>
      </c>
      <c r="H361" s="12">
        <f t="shared" si="2318"/>
        <v>0.25302245250431776</v>
      </c>
      <c r="I361" s="11">
        <v>37</v>
      </c>
      <c r="J361" s="12">
        <f t="shared" si="2364"/>
        <v>0.12627986348122866</v>
      </c>
      <c r="K361" s="13"/>
      <c r="L361" s="11"/>
      <c r="M361" s="25"/>
      <c r="N361" s="38"/>
      <c r="O361" s="10">
        <v>2</v>
      </c>
      <c r="P361" s="11"/>
      <c r="Q361" s="69">
        <f t="shared" si="2365"/>
        <v>107</v>
      </c>
      <c r="R361" s="69">
        <f t="shared" si="2366"/>
        <v>8</v>
      </c>
      <c r="S361" s="11">
        <v>26</v>
      </c>
      <c r="T361" s="12">
        <f t="shared" si="2319"/>
        <v>0.29906542056074764</v>
      </c>
      <c r="U361" s="11">
        <v>6</v>
      </c>
      <c r="V361" s="12">
        <f t="shared" si="2320"/>
        <v>0.1875</v>
      </c>
      <c r="W361" s="13"/>
      <c r="X361" s="11"/>
      <c r="Y361" s="25"/>
      <c r="Z361" s="38"/>
      <c r="AA361" s="10">
        <v>2</v>
      </c>
      <c r="AB361" s="11"/>
      <c r="AC361" s="69">
        <f t="shared" si="2367"/>
        <v>1954</v>
      </c>
      <c r="AD361" s="69">
        <f t="shared" si="2368"/>
        <v>146</v>
      </c>
      <c r="AE361" s="11">
        <v>341</v>
      </c>
      <c r="AF361" s="12">
        <f t="shared" si="2321"/>
        <v>0.19856704196519959</v>
      </c>
      <c r="AG361" s="11">
        <v>47</v>
      </c>
      <c r="AH361" s="12">
        <f t="shared" si="2322"/>
        <v>0.1211340206185567</v>
      </c>
      <c r="AI361" s="13"/>
      <c r="AJ361" s="11"/>
      <c r="AK361" s="25"/>
      <c r="AL361" s="38"/>
      <c r="AM361" s="10"/>
      <c r="AN361" s="11"/>
      <c r="AO361" s="69">
        <f t="shared" si="2369"/>
        <v>0</v>
      </c>
      <c r="AP361" s="69">
        <f t="shared" si="2370"/>
        <v>0</v>
      </c>
      <c r="AQ361" s="11"/>
      <c r="AR361" s="12" t="e">
        <f t="shared" si="2323"/>
        <v>#DIV/0!</v>
      </c>
      <c r="AS361" s="11"/>
      <c r="AT361" s="12" t="e">
        <f t="shared" si="2324"/>
        <v>#DIV/0!</v>
      </c>
      <c r="AU361" s="13"/>
      <c r="AV361" s="11"/>
      <c r="AW361" s="25"/>
      <c r="AX361" s="38"/>
      <c r="AY361" s="10"/>
      <c r="AZ361" s="11"/>
      <c r="BA361" s="69">
        <f t="shared" si="2371"/>
        <v>0</v>
      </c>
      <c r="BB361" s="69">
        <f t="shared" si="2372"/>
        <v>0</v>
      </c>
      <c r="BC361" s="11"/>
      <c r="BD361" s="12" t="e">
        <f t="shared" si="2325"/>
        <v>#DIV/0!</v>
      </c>
      <c r="BE361" s="11"/>
      <c r="BF361" s="12" t="e">
        <f t="shared" si="2326"/>
        <v>#DIV/0!</v>
      </c>
      <c r="BG361" s="13"/>
      <c r="BH361" s="11"/>
      <c r="BI361" s="25"/>
      <c r="BJ361" s="38"/>
      <c r="BK361" s="10"/>
      <c r="BL361" s="11"/>
      <c r="BM361" s="69">
        <f t="shared" si="2373"/>
        <v>0</v>
      </c>
      <c r="BN361" s="69">
        <f t="shared" si="2374"/>
        <v>0</v>
      </c>
      <c r="BO361" s="11"/>
      <c r="BP361" s="12" t="e">
        <f t="shared" si="2327"/>
        <v>#DIV/0!</v>
      </c>
      <c r="BQ361" s="11"/>
      <c r="BR361" s="12" t="e">
        <f t="shared" si="2328"/>
        <v>#DIV/0!</v>
      </c>
      <c r="BS361" s="13"/>
      <c r="BT361" s="11"/>
      <c r="BU361" s="25"/>
      <c r="BV361" s="38"/>
      <c r="BW361" s="10"/>
      <c r="BX361" s="11"/>
      <c r="BY361" s="69">
        <f t="shared" si="2375"/>
        <v>0</v>
      </c>
      <c r="BZ361" s="69">
        <f t="shared" si="2376"/>
        <v>0</v>
      </c>
      <c r="CA361" s="11"/>
      <c r="CB361" s="12" t="e">
        <f t="shared" si="2329"/>
        <v>#DIV/0!</v>
      </c>
      <c r="CC361" s="11"/>
      <c r="CD361" s="12" t="e">
        <f t="shared" si="2330"/>
        <v>#DIV/0!</v>
      </c>
      <c r="CE361" s="13"/>
      <c r="CF361" s="11"/>
      <c r="CG361" s="25"/>
      <c r="CH361" s="38"/>
      <c r="CI361" s="10"/>
      <c r="CJ361" s="11"/>
      <c r="CK361" s="69">
        <f t="shared" si="2377"/>
        <v>0</v>
      </c>
      <c r="CL361" s="69">
        <f t="shared" si="2378"/>
        <v>0</v>
      </c>
      <c r="CM361" s="11"/>
      <c r="CN361" s="12" t="e">
        <f t="shared" si="2331"/>
        <v>#DIV/0!</v>
      </c>
      <c r="CO361" s="11"/>
      <c r="CP361" s="12" t="e">
        <f t="shared" si="2332"/>
        <v>#DIV/0!</v>
      </c>
      <c r="CQ361" s="13"/>
      <c r="CR361" s="11"/>
      <c r="CS361" s="25"/>
      <c r="CT361" s="38"/>
      <c r="CU361" s="10"/>
      <c r="CV361" s="11"/>
      <c r="CW361" s="69">
        <f t="shared" si="2379"/>
        <v>0</v>
      </c>
      <c r="CX361" s="69">
        <f t="shared" si="2380"/>
        <v>0</v>
      </c>
      <c r="CY361" s="11"/>
      <c r="CZ361" s="12" t="e">
        <f t="shared" si="2333"/>
        <v>#DIV/0!</v>
      </c>
      <c r="DA361" s="11"/>
      <c r="DB361" s="12" t="e">
        <f t="shared" si="2334"/>
        <v>#DIV/0!</v>
      </c>
      <c r="DC361" s="13"/>
      <c r="DD361" s="11"/>
      <c r="DE361" s="25"/>
      <c r="DF361" s="38"/>
      <c r="DG361" s="10"/>
      <c r="DH361" s="11"/>
      <c r="DI361" s="69">
        <f t="shared" si="2381"/>
        <v>0</v>
      </c>
      <c r="DJ361" s="69">
        <f t="shared" si="2382"/>
        <v>0</v>
      </c>
      <c r="DK361" s="11"/>
      <c r="DL361" s="12" t="e">
        <f t="shared" si="2335"/>
        <v>#DIV/0!</v>
      </c>
      <c r="DM361" s="11"/>
      <c r="DN361" s="12" t="e">
        <f t="shared" si="2336"/>
        <v>#DIV/0!</v>
      </c>
      <c r="DO361" s="13"/>
      <c r="DP361" s="11"/>
      <c r="DQ361" s="25"/>
      <c r="DR361" s="38"/>
      <c r="DS361" s="10"/>
      <c r="DT361" s="11"/>
      <c r="DU361" s="69">
        <f t="shared" si="2383"/>
        <v>0</v>
      </c>
      <c r="DV361" s="69">
        <f t="shared" si="2384"/>
        <v>0</v>
      </c>
      <c r="DW361" s="11"/>
      <c r="DX361" s="12" t="e">
        <f t="shared" si="2337"/>
        <v>#DIV/0!</v>
      </c>
      <c r="DY361" s="11"/>
      <c r="DZ361" s="12" t="e">
        <f t="shared" si="2338"/>
        <v>#DIV/0!</v>
      </c>
      <c r="EA361" s="13"/>
      <c r="EB361" s="11"/>
      <c r="EC361" s="25"/>
      <c r="ED361" s="38"/>
      <c r="EE361" s="10"/>
      <c r="EF361" s="11"/>
      <c r="EG361" s="69">
        <f t="shared" si="2385"/>
        <v>0</v>
      </c>
      <c r="EH361" s="69">
        <f t="shared" si="2386"/>
        <v>0</v>
      </c>
      <c r="EI361" s="11"/>
      <c r="EJ361" s="12" t="e">
        <f t="shared" si="2339"/>
        <v>#DIV/0!</v>
      </c>
      <c r="EK361" s="11"/>
      <c r="EL361" s="12" t="e">
        <f t="shared" si="2340"/>
        <v>#DIV/0!</v>
      </c>
      <c r="EM361" s="13"/>
      <c r="EN361" s="11"/>
      <c r="EO361" s="25"/>
      <c r="EP361" s="38"/>
      <c r="EQ361" s="10"/>
      <c r="ER361" s="11"/>
      <c r="ES361" s="69">
        <f t="shared" si="2387"/>
        <v>0</v>
      </c>
      <c r="ET361" s="69">
        <f t="shared" si="2388"/>
        <v>0</v>
      </c>
      <c r="EU361" s="11"/>
      <c r="EV361" s="12" t="e">
        <f t="shared" si="2341"/>
        <v>#DIV/0!</v>
      </c>
      <c r="EW361" s="11"/>
      <c r="EX361" s="12" t="e">
        <f t="shared" si="2342"/>
        <v>#DIV/0!</v>
      </c>
      <c r="EY361" s="13"/>
      <c r="EZ361" s="11"/>
      <c r="FA361" s="25"/>
      <c r="FB361" s="38"/>
      <c r="FC361" s="10"/>
      <c r="FD361" s="11"/>
      <c r="FE361" s="69">
        <f t="shared" si="2389"/>
        <v>0</v>
      </c>
      <c r="FF361" s="69">
        <f t="shared" si="2390"/>
        <v>0</v>
      </c>
      <c r="FG361" s="11"/>
      <c r="FH361" s="12" t="e">
        <f t="shared" si="2343"/>
        <v>#DIV/0!</v>
      </c>
      <c r="FI361" s="11"/>
      <c r="FJ361" s="12" t="e">
        <f t="shared" si="2344"/>
        <v>#DIV/0!</v>
      </c>
      <c r="FK361" s="13"/>
      <c r="FL361" s="11"/>
      <c r="FM361" s="25"/>
      <c r="FN361" s="38"/>
      <c r="FO361" s="10"/>
      <c r="FP361" s="11"/>
      <c r="FQ361" s="69">
        <f t="shared" si="2391"/>
        <v>0</v>
      </c>
      <c r="FR361" s="69">
        <f t="shared" si="2392"/>
        <v>0</v>
      </c>
      <c r="FS361" s="11"/>
      <c r="FT361" s="12" t="e">
        <f t="shared" si="2345"/>
        <v>#DIV/0!</v>
      </c>
      <c r="FU361" s="11"/>
      <c r="FV361" s="12" t="e">
        <f t="shared" si="2346"/>
        <v>#DIV/0!</v>
      </c>
      <c r="FW361" s="13"/>
      <c r="FX361" s="11"/>
      <c r="FY361" s="25"/>
      <c r="FZ361" s="38"/>
      <c r="GA361" s="10"/>
      <c r="GB361" s="11"/>
      <c r="GC361" s="69">
        <f t="shared" si="2393"/>
        <v>0</v>
      </c>
      <c r="GD361" s="69">
        <f t="shared" si="2394"/>
        <v>0</v>
      </c>
      <c r="GE361" s="11"/>
      <c r="GF361" s="12" t="e">
        <f t="shared" si="2347"/>
        <v>#DIV/0!</v>
      </c>
      <c r="GG361" s="11"/>
      <c r="GH361" s="12" t="e">
        <f t="shared" si="2348"/>
        <v>#DIV/0!</v>
      </c>
      <c r="GI361" s="13"/>
      <c r="GJ361" s="11"/>
      <c r="GK361" s="25"/>
      <c r="GL361" s="38"/>
      <c r="GM361" s="10"/>
      <c r="GN361" s="11"/>
      <c r="GO361" s="69">
        <f t="shared" si="2395"/>
        <v>0</v>
      </c>
      <c r="GP361" s="69">
        <f t="shared" si="2396"/>
        <v>0</v>
      </c>
      <c r="GQ361" s="11"/>
      <c r="GR361" s="12" t="e">
        <f t="shared" si="2349"/>
        <v>#DIV/0!</v>
      </c>
      <c r="GS361" s="11"/>
      <c r="GT361" s="12" t="e">
        <f t="shared" si="2350"/>
        <v>#DIV/0!</v>
      </c>
      <c r="GU361" s="13"/>
      <c r="GV361" s="11"/>
      <c r="GW361" s="25"/>
      <c r="GX361" s="38"/>
      <c r="GY361" s="10"/>
      <c r="GZ361" s="11"/>
      <c r="HA361" s="69">
        <f t="shared" si="2397"/>
        <v>0</v>
      </c>
      <c r="HB361" s="69">
        <f t="shared" si="2398"/>
        <v>0</v>
      </c>
      <c r="HC361" s="11"/>
      <c r="HD361" s="12" t="e">
        <f t="shared" si="2351"/>
        <v>#DIV/0!</v>
      </c>
      <c r="HE361" s="11"/>
      <c r="HF361" s="12" t="e">
        <f t="shared" si="2352"/>
        <v>#DIV/0!</v>
      </c>
      <c r="HG361" s="13"/>
      <c r="HH361" s="11"/>
      <c r="HI361" s="25"/>
      <c r="HJ361" s="38"/>
      <c r="HK361" s="10">
        <f t="shared" si="2353"/>
        <v>5</v>
      </c>
      <c r="HL361" s="11">
        <f t="shared" si="2354"/>
        <v>0</v>
      </c>
      <c r="HM361" s="11">
        <f t="shared" si="2355"/>
        <v>3219</v>
      </c>
      <c r="HN361" s="11">
        <f t="shared" si="2356"/>
        <v>240</v>
      </c>
      <c r="HO361" s="11">
        <f t="shared" si="2357"/>
        <v>713</v>
      </c>
      <c r="HP361" s="95">
        <f t="shared" si="2358"/>
        <v>0.22149735942839391</v>
      </c>
      <c r="HQ361" s="15">
        <f t="shared" si="2359"/>
        <v>90</v>
      </c>
      <c r="HR361" s="12">
        <f t="shared" si="2399"/>
        <v>0.12622720897615708</v>
      </c>
      <c r="HS361" s="16">
        <v>74.3</v>
      </c>
      <c r="HT361" s="17">
        <v>593</v>
      </c>
      <c r="HU361" s="16">
        <f t="shared" si="2360"/>
        <v>83.169705469845724</v>
      </c>
      <c r="HV361" s="23"/>
      <c r="HW361" s="22"/>
    </row>
    <row r="362" spans="1:231" ht="18.75" x14ac:dyDescent="0.25">
      <c r="A362" s="374"/>
      <c r="B362" s="41">
        <f>+B361+1</f>
        <v>45220</v>
      </c>
      <c r="C362" s="10">
        <v>2</v>
      </c>
      <c r="D362" s="11"/>
      <c r="E362" s="69">
        <f>E361-C362</f>
        <v>1156</v>
      </c>
      <c r="F362" s="69">
        <f>F361-D362</f>
        <v>86</v>
      </c>
      <c r="G362" s="11">
        <v>216</v>
      </c>
      <c r="H362" s="12">
        <f t="shared" si="2318"/>
        <v>0.21453287197231835</v>
      </c>
      <c r="I362" s="11">
        <v>32</v>
      </c>
      <c r="J362" s="12">
        <f t="shared" si="2364"/>
        <v>0.12903225806451613</v>
      </c>
      <c r="K362" s="13"/>
      <c r="L362" s="11"/>
      <c r="M362" s="39"/>
      <c r="N362" s="43"/>
      <c r="O362" s="10"/>
      <c r="P362" s="11"/>
      <c r="Q362" s="69">
        <f t="shared" si="2365"/>
        <v>107</v>
      </c>
      <c r="R362" s="69">
        <f t="shared" si="2366"/>
        <v>8</v>
      </c>
      <c r="S362" s="11">
        <v>28</v>
      </c>
      <c r="T362" s="12">
        <f t="shared" si="2319"/>
        <v>0.30841121495327101</v>
      </c>
      <c r="U362" s="11">
        <v>5</v>
      </c>
      <c r="V362" s="12">
        <f t="shared" si="2320"/>
        <v>0.15151515151515152</v>
      </c>
      <c r="W362" s="13"/>
      <c r="X362" s="11"/>
      <c r="Y362" s="39"/>
      <c r="Z362" s="43"/>
      <c r="AA362" s="10"/>
      <c r="AB362" s="11"/>
      <c r="AC362" s="69">
        <f t="shared" si="2367"/>
        <v>1954</v>
      </c>
      <c r="AD362" s="69">
        <f t="shared" si="2368"/>
        <v>146</v>
      </c>
      <c r="AE362" s="11">
        <v>323</v>
      </c>
      <c r="AF362" s="12">
        <f t="shared" si="2321"/>
        <v>0.18577277379733878</v>
      </c>
      <c r="AG362" s="11">
        <v>40</v>
      </c>
      <c r="AH362" s="12">
        <f t="shared" si="2322"/>
        <v>0.11019283746556474</v>
      </c>
      <c r="AI362" s="13"/>
      <c r="AJ362" s="11"/>
      <c r="AK362" s="39"/>
      <c r="AL362" s="43"/>
      <c r="AM362" s="10"/>
      <c r="AN362" s="11"/>
      <c r="AO362" s="69">
        <f t="shared" si="2369"/>
        <v>0</v>
      </c>
      <c r="AP362" s="69">
        <f t="shared" si="2370"/>
        <v>0</v>
      </c>
      <c r="AQ362" s="11"/>
      <c r="AR362" s="12" t="e">
        <f t="shared" si="2323"/>
        <v>#DIV/0!</v>
      </c>
      <c r="AS362" s="11"/>
      <c r="AT362" s="12" t="e">
        <f t="shared" si="2324"/>
        <v>#DIV/0!</v>
      </c>
      <c r="AU362" s="13"/>
      <c r="AV362" s="11"/>
      <c r="AW362" s="39"/>
      <c r="AX362" s="43"/>
      <c r="AY362" s="10"/>
      <c r="AZ362" s="11"/>
      <c r="BA362" s="69">
        <f t="shared" si="2371"/>
        <v>0</v>
      </c>
      <c r="BB362" s="69">
        <f t="shared" si="2372"/>
        <v>0</v>
      </c>
      <c r="BC362" s="11"/>
      <c r="BD362" s="12" t="e">
        <f t="shared" si="2325"/>
        <v>#DIV/0!</v>
      </c>
      <c r="BE362" s="11"/>
      <c r="BF362" s="12" t="e">
        <f t="shared" si="2326"/>
        <v>#DIV/0!</v>
      </c>
      <c r="BG362" s="13"/>
      <c r="BH362" s="11"/>
      <c r="BI362" s="39"/>
      <c r="BJ362" s="43"/>
      <c r="BK362" s="10"/>
      <c r="BL362" s="11"/>
      <c r="BM362" s="69">
        <f t="shared" si="2373"/>
        <v>0</v>
      </c>
      <c r="BN362" s="69">
        <f t="shared" si="2374"/>
        <v>0</v>
      </c>
      <c r="BO362" s="11"/>
      <c r="BP362" s="12" t="e">
        <f t="shared" si="2327"/>
        <v>#DIV/0!</v>
      </c>
      <c r="BQ362" s="11"/>
      <c r="BR362" s="12" t="e">
        <f t="shared" si="2328"/>
        <v>#DIV/0!</v>
      </c>
      <c r="BS362" s="13"/>
      <c r="BT362" s="11"/>
      <c r="BU362" s="39"/>
      <c r="BV362" s="43"/>
      <c r="BW362" s="10"/>
      <c r="BX362" s="11"/>
      <c r="BY362" s="69">
        <f t="shared" si="2375"/>
        <v>0</v>
      </c>
      <c r="BZ362" s="69">
        <f t="shared" si="2376"/>
        <v>0</v>
      </c>
      <c r="CA362" s="11"/>
      <c r="CB362" s="12" t="e">
        <f t="shared" si="2329"/>
        <v>#DIV/0!</v>
      </c>
      <c r="CC362" s="11"/>
      <c r="CD362" s="12" t="e">
        <f t="shared" si="2330"/>
        <v>#DIV/0!</v>
      </c>
      <c r="CE362" s="13"/>
      <c r="CF362" s="11"/>
      <c r="CG362" s="39"/>
      <c r="CH362" s="43"/>
      <c r="CI362" s="10"/>
      <c r="CJ362" s="11"/>
      <c r="CK362" s="69">
        <f t="shared" si="2377"/>
        <v>0</v>
      </c>
      <c r="CL362" s="69">
        <f t="shared" si="2378"/>
        <v>0</v>
      </c>
      <c r="CM362" s="11"/>
      <c r="CN362" s="12" t="e">
        <f t="shared" si="2331"/>
        <v>#DIV/0!</v>
      </c>
      <c r="CO362" s="11"/>
      <c r="CP362" s="12" t="e">
        <f t="shared" si="2332"/>
        <v>#DIV/0!</v>
      </c>
      <c r="CQ362" s="13"/>
      <c r="CR362" s="11"/>
      <c r="CS362" s="39"/>
      <c r="CT362" s="43"/>
      <c r="CU362" s="10"/>
      <c r="CV362" s="11"/>
      <c r="CW362" s="69">
        <f t="shared" si="2379"/>
        <v>0</v>
      </c>
      <c r="CX362" s="69">
        <f t="shared" si="2380"/>
        <v>0</v>
      </c>
      <c r="CY362" s="11"/>
      <c r="CZ362" s="12" t="e">
        <f t="shared" si="2333"/>
        <v>#DIV/0!</v>
      </c>
      <c r="DA362" s="11"/>
      <c r="DB362" s="12" t="e">
        <f t="shared" si="2334"/>
        <v>#DIV/0!</v>
      </c>
      <c r="DC362" s="13"/>
      <c r="DD362" s="11"/>
      <c r="DE362" s="39"/>
      <c r="DF362" s="43"/>
      <c r="DG362" s="10"/>
      <c r="DH362" s="11"/>
      <c r="DI362" s="69">
        <f t="shared" si="2381"/>
        <v>0</v>
      </c>
      <c r="DJ362" s="69">
        <f t="shared" si="2382"/>
        <v>0</v>
      </c>
      <c r="DK362" s="11"/>
      <c r="DL362" s="12" t="e">
        <f t="shared" si="2335"/>
        <v>#DIV/0!</v>
      </c>
      <c r="DM362" s="11"/>
      <c r="DN362" s="12" t="e">
        <f t="shared" si="2336"/>
        <v>#DIV/0!</v>
      </c>
      <c r="DO362" s="13"/>
      <c r="DP362" s="11"/>
      <c r="DQ362" s="39"/>
      <c r="DR362" s="43"/>
      <c r="DS362" s="10"/>
      <c r="DT362" s="11"/>
      <c r="DU362" s="69">
        <f t="shared" si="2383"/>
        <v>0</v>
      </c>
      <c r="DV362" s="69">
        <f t="shared" si="2384"/>
        <v>0</v>
      </c>
      <c r="DW362" s="11"/>
      <c r="DX362" s="12" t="e">
        <f t="shared" si="2337"/>
        <v>#DIV/0!</v>
      </c>
      <c r="DY362" s="11"/>
      <c r="DZ362" s="12" t="e">
        <f t="shared" si="2338"/>
        <v>#DIV/0!</v>
      </c>
      <c r="EA362" s="13"/>
      <c r="EB362" s="11"/>
      <c r="EC362" s="39"/>
      <c r="ED362" s="43"/>
      <c r="EE362" s="10"/>
      <c r="EF362" s="11"/>
      <c r="EG362" s="69">
        <f t="shared" si="2385"/>
        <v>0</v>
      </c>
      <c r="EH362" s="69">
        <f t="shared" si="2386"/>
        <v>0</v>
      </c>
      <c r="EI362" s="11"/>
      <c r="EJ362" s="12" t="e">
        <f t="shared" si="2339"/>
        <v>#DIV/0!</v>
      </c>
      <c r="EK362" s="11"/>
      <c r="EL362" s="12" t="e">
        <f t="shared" si="2340"/>
        <v>#DIV/0!</v>
      </c>
      <c r="EM362" s="13"/>
      <c r="EN362" s="11"/>
      <c r="EO362" s="39"/>
      <c r="EP362" s="43"/>
      <c r="EQ362" s="10"/>
      <c r="ER362" s="11"/>
      <c r="ES362" s="69">
        <f t="shared" si="2387"/>
        <v>0</v>
      </c>
      <c r="ET362" s="69">
        <f t="shared" si="2388"/>
        <v>0</v>
      </c>
      <c r="EU362" s="11"/>
      <c r="EV362" s="12" t="e">
        <f t="shared" si="2341"/>
        <v>#DIV/0!</v>
      </c>
      <c r="EW362" s="11"/>
      <c r="EX362" s="12" t="e">
        <f t="shared" si="2342"/>
        <v>#DIV/0!</v>
      </c>
      <c r="EY362" s="13"/>
      <c r="EZ362" s="11"/>
      <c r="FA362" s="39"/>
      <c r="FB362" s="43"/>
      <c r="FC362" s="10"/>
      <c r="FD362" s="11"/>
      <c r="FE362" s="69">
        <f t="shared" si="2389"/>
        <v>0</v>
      </c>
      <c r="FF362" s="69">
        <f t="shared" si="2390"/>
        <v>0</v>
      </c>
      <c r="FG362" s="11"/>
      <c r="FH362" s="12" t="e">
        <f t="shared" si="2343"/>
        <v>#DIV/0!</v>
      </c>
      <c r="FI362" s="11"/>
      <c r="FJ362" s="12" t="e">
        <f t="shared" si="2344"/>
        <v>#DIV/0!</v>
      </c>
      <c r="FK362" s="13"/>
      <c r="FL362" s="11"/>
      <c r="FM362" s="39"/>
      <c r="FN362" s="43"/>
      <c r="FO362" s="10"/>
      <c r="FP362" s="11"/>
      <c r="FQ362" s="69">
        <f t="shared" si="2391"/>
        <v>0</v>
      </c>
      <c r="FR362" s="69">
        <f t="shared" si="2392"/>
        <v>0</v>
      </c>
      <c r="FS362" s="11"/>
      <c r="FT362" s="12" t="e">
        <f t="shared" si="2345"/>
        <v>#DIV/0!</v>
      </c>
      <c r="FU362" s="11"/>
      <c r="FV362" s="12" t="e">
        <f t="shared" si="2346"/>
        <v>#DIV/0!</v>
      </c>
      <c r="FW362" s="13"/>
      <c r="FX362" s="11"/>
      <c r="FY362" s="39"/>
      <c r="FZ362" s="43"/>
      <c r="GA362" s="10"/>
      <c r="GB362" s="11"/>
      <c r="GC362" s="69">
        <f t="shared" si="2393"/>
        <v>0</v>
      </c>
      <c r="GD362" s="69">
        <f t="shared" si="2394"/>
        <v>0</v>
      </c>
      <c r="GE362" s="11"/>
      <c r="GF362" s="12" t="e">
        <f t="shared" si="2347"/>
        <v>#DIV/0!</v>
      </c>
      <c r="GG362" s="11"/>
      <c r="GH362" s="12" t="e">
        <f t="shared" si="2348"/>
        <v>#DIV/0!</v>
      </c>
      <c r="GI362" s="13"/>
      <c r="GJ362" s="11"/>
      <c r="GK362" s="39"/>
      <c r="GL362" s="43"/>
      <c r="GM362" s="10"/>
      <c r="GN362" s="11"/>
      <c r="GO362" s="69">
        <f t="shared" si="2395"/>
        <v>0</v>
      </c>
      <c r="GP362" s="69">
        <f t="shared" si="2396"/>
        <v>0</v>
      </c>
      <c r="GQ362" s="11"/>
      <c r="GR362" s="12" t="e">
        <f t="shared" si="2349"/>
        <v>#DIV/0!</v>
      </c>
      <c r="GS362" s="11"/>
      <c r="GT362" s="12" t="e">
        <f t="shared" si="2350"/>
        <v>#DIV/0!</v>
      </c>
      <c r="GU362" s="13"/>
      <c r="GV362" s="11"/>
      <c r="GW362" s="39"/>
      <c r="GX362" s="43"/>
      <c r="GY362" s="10"/>
      <c r="GZ362" s="11"/>
      <c r="HA362" s="69">
        <f t="shared" si="2397"/>
        <v>0</v>
      </c>
      <c r="HB362" s="69">
        <f t="shared" si="2398"/>
        <v>0</v>
      </c>
      <c r="HC362" s="11"/>
      <c r="HD362" s="12" t="e">
        <f t="shared" si="2351"/>
        <v>#DIV/0!</v>
      </c>
      <c r="HE362" s="11"/>
      <c r="HF362" s="12" t="e">
        <f t="shared" si="2352"/>
        <v>#DIV/0!</v>
      </c>
      <c r="HG362" s="13"/>
      <c r="HH362" s="11"/>
      <c r="HI362" s="39"/>
      <c r="HJ362" s="43"/>
      <c r="HK362" s="10">
        <f t="shared" si="2353"/>
        <v>2</v>
      </c>
      <c r="HL362" s="11">
        <f t="shared" si="2354"/>
        <v>0</v>
      </c>
      <c r="HM362" s="11">
        <f t="shared" si="2355"/>
        <v>3217</v>
      </c>
      <c r="HN362" s="11">
        <f t="shared" si="2356"/>
        <v>240</v>
      </c>
      <c r="HO362" s="11">
        <f t="shared" si="2357"/>
        <v>644</v>
      </c>
      <c r="HP362" s="95">
        <f t="shared" si="2358"/>
        <v>0.20018650917003419</v>
      </c>
      <c r="HQ362" s="15">
        <f t="shared" si="2359"/>
        <v>77</v>
      </c>
      <c r="HR362" s="12">
        <f t="shared" si="2399"/>
        <v>0.11956521739130435</v>
      </c>
      <c r="HS362" s="16">
        <v>74.3</v>
      </c>
      <c r="HT362" s="17">
        <v>536</v>
      </c>
      <c r="HU362" s="16">
        <f t="shared" si="2360"/>
        <v>83.229813664596278</v>
      </c>
      <c r="HV362" s="23"/>
      <c r="HW362" s="22"/>
    </row>
    <row r="363" spans="1:231" ht="19.5" thickBot="1" x14ac:dyDescent="0.3">
      <c r="A363" s="374"/>
      <c r="B363" s="42"/>
      <c r="C363" s="26">
        <f>SUM(C356:C362)</f>
        <v>3</v>
      </c>
      <c r="D363" s="27">
        <f>SUM(D356:D362)</f>
        <v>0</v>
      </c>
      <c r="E363" s="27"/>
      <c r="F363" s="27"/>
      <c r="G363" s="27">
        <f>SUM(G356:G362)</f>
        <v>1730</v>
      </c>
      <c r="H363" s="28">
        <f>((G363+I363)/7)/E362</f>
        <v>0.24493326742461694</v>
      </c>
      <c r="I363" s="27">
        <f>SUM(I356:I362)</f>
        <v>252</v>
      </c>
      <c r="J363" s="28">
        <f>(I363/(I363+G363))</f>
        <v>0.12714429868819374</v>
      </c>
      <c r="K363" s="27"/>
      <c r="L363" s="27"/>
      <c r="M363" s="29" t="e">
        <f>M361/M360*100-100</f>
        <v>#DIV/0!</v>
      </c>
      <c r="N363" s="67" t="e">
        <f>N361/N360*100-100</f>
        <v>#DIV/0!</v>
      </c>
      <c r="O363" s="26">
        <f>SUM(O356:O362)</f>
        <v>5</v>
      </c>
      <c r="P363" s="27">
        <f>SUM(P356:P362)</f>
        <v>0</v>
      </c>
      <c r="Q363" s="27"/>
      <c r="R363" s="27"/>
      <c r="S363" s="27">
        <f>SUM(S356:S362)</f>
        <v>213</v>
      </c>
      <c r="T363" s="28">
        <f>((S363+U363)/7)/Q362</f>
        <v>0.32710280373831774</v>
      </c>
      <c r="U363" s="27">
        <f>SUM(U356:U362)</f>
        <v>32</v>
      </c>
      <c r="V363" s="28">
        <f>(U363/(U363+S363))</f>
        <v>0.1306122448979592</v>
      </c>
      <c r="W363" s="27"/>
      <c r="X363" s="27"/>
      <c r="Y363" s="29" t="e">
        <f>Y361/Y360*100-100</f>
        <v>#DIV/0!</v>
      </c>
      <c r="Z363" s="67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2527</v>
      </c>
      <c r="AF363" s="28">
        <f>((AE363+AG363)/7)/AC362</f>
        <v>0.2050738412048545</v>
      </c>
      <c r="AG363" s="27">
        <f>SUM(AG356:AG362)</f>
        <v>278</v>
      </c>
      <c r="AH363" s="28">
        <f>(AG363/(AG363+AE363))</f>
        <v>9.9108734402852047E-2</v>
      </c>
      <c r="AI363" s="27"/>
      <c r="AJ363" s="27"/>
      <c r="AK363" s="29" t="e">
        <f>AK361/AK360*100-100</f>
        <v>#DIV/0!</v>
      </c>
      <c r="AL363" s="67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 t="e">
        <f>((AQ363+AS363)/7)/AO362</f>
        <v>#DIV/0!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7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 t="e">
        <f>((BC363+BE363)/7)/BA362</f>
        <v>#DIV/0!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7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 t="e">
        <f>((BO363+BQ363)/7)/BM362</f>
        <v>#DIV/0!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7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7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7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7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7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7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7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7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7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7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7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7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7" t="e">
        <f>HJ361/HJ360*100-100</f>
        <v>#DIV/0!</v>
      </c>
      <c r="HK363" s="26">
        <f t="shared" si="2353"/>
        <v>14</v>
      </c>
      <c r="HL363" s="27">
        <f t="shared" si="2354"/>
        <v>0</v>
      </c>
      <c r="HM363" s="27">
        <f t="shared" si="2355"/>
        <v>0</v>
      </c>
      <c r="HN363" s="27">
        <f t="shared" si="2356"/>
        <v>0</v>
      </c>
      <c r="HO363" s="27">
        <f t="shared" si="2357"/>
        <v>5032</v>
      </c>
      <c r="HP363" s="96">
        <f>+((HO363)/HM362)/7</f>
        <v>0.22345574847906211</v>
      </c>
      <c r="HQ363" s="62">
        <f t="shared" si="2359"/>
        <v>562</v>
      </c>
      <c r="HR363" s="52">
        <f t="shared" si="2399"/>
        <v>0.1116852146263911</v>
      </c>
      <c r="HS363" s="53">
        <f>SUM(HS356:HS362)/7</f>
        <v>74.357142857142861</v>
      </c>
      <c r="HT363" s="54">
        <f>SUM(HT356:HT362)</f>
        <v>4238</v>
      </c>
      <c r="HU363" s="53">
        <f>AVERAGE(HU356:HU362)</f>
        <v>84.200982266918359</v>
      </c>
      <c r="HV363" s="63" t="e">
        <f>HV361/HV360*100-100</f>
        <v>#DIV/0!</v>
      </c>
      <c r="HW363" s="67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5">
        <f>HK363/HM353</f>
        <v>4.333023831631074E-3</v>
      </c>
      <c r="HL364" s="76">
        <f>HL363/HN353</f>
        <v>0</v>
      </c>
      <c r="HM364" s="74"/>
      <c r="HN364" s="45"/>
      <c r="HO364" s="45"/>
      <c r="HP364" s="98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373">
        <v>65</v>
      </c>
      <c r="B365" s="40">
        <f>B362+1</f>
        <v>45221</v>
      </c>
      <c r="C365" s="33"/>
      <c r="D365" s="34"/>
      <c r="E365" s="34">
        <f>E362-C365</f>
        <v>1156</v>
      </c>
      <c r="F365" s="34">
        <f>F362-D365</f>
        <v>86</v>
      </c>
      <c r="G365" s="34">
        <v>242</v>
      </c>
      <c r="H365" s="35">
        <f t="shared" ref="H365:H371" si="2400">((G365+I365)/E365)</f>
        <v>0.23702422145328719</v>
      </c>
      <c r="I365" s="34">
        <v>32</v>
      </c>
      <c r="J365" s="35">
        <f>I365/(G365+I365)</f>
        <v>0.11678832116788321</v>
      </c>
      <c r="K365" s="36"/>
      <c r="L365" s="34"/>
      <c r="M365" s="34"/>
      <c r="N365" s="37"/>
      <c r="O365" s="33"/>
      <c r="P365" s="34"/>
      <c r="Q365" s="34">
        <f>Q362-O365</f>
        <v>107</v>
      </c>
      <c r="R365" s="34">
        <f>R362-P365</f>
        <v>8</v>
      </c>
      <c r="S365" s="34">
        <v>27</v>
      </c>
      <c r="T365" s="35">
        <f t="shared" ref="T365:T371" si="2401">((S365+U365)/Q365)</f>
        <v>0.28037383177570091</v>
      </c>
      <c r="U365" s="34">
        <v>3</v>
      </c>
      <c r="V365" s="35">
        <f t="shared" ref="V365:V371" si="2402">U365/(S365+U365)</f>
        <v>0.1</v>
      </c>
      <c r="W365" s="36"/>
      <c r="X365" s="34"/>
      <c r="Y365" s="34"/>
      <c r="Z365" s="37"/>
      <c r="AA365" s="33">
        <v>1</v>
      </c>
      <c r="AB365" s="34"/>
      <c r="AC365" s="34">
        <f>AC362-AA365</f>
        <v>1953</v>
      </c>
      <c r="AD365" s="34">
        <f>AD362-AB365</f>
        <v>146</v>
      </c>
      <c r="AE365" s="34">
        <v>323</v>
      </c>
      <c r="AF365" s="35">
        <f t="shared" ref="AF365:AF371" si="2403">((AE365+AG365)/AC365)</f>
        <v>0.18535586277521762</v>
      </c>
      <c r="AG365" s="34">
        <v>39</v>
      </c>
      <c r="AH365" s="35">
        <f t="shared" ref="AH365:AH371" si="2404">AG365/(AE365+AG365)</f>
        <v>0.10773480662983426</v>
      </c>
      <c r="AI365" s="36"/>
      <c r="AJ365" s="34"/>
      <c r="AK365" s="34"/>
      <c r="AL365" s="37"/>
      <c r="AM365" s="33"/>
      <c r="AN365" s="34"/>
      <c r="AO365" s="34">
        <f>AO362-AM365</f>
        <v>0</v>
      </c>
      <c r="AP365" s="34">
        <f>AP362-AN365</f>
        <v>0</v>
      </c>
      <c r="AQ365" s="34"/>
      <c r="AR365" s="35" t="e">
        <f t="shared" ref="AR365:AR371" si="2405">((AQ365+AS365)/AO365)</f>
        <v>#DIV/0!</v>
      </c>
      <c r="AS365" s="34"/>
      <c r="AT365" s="35" t="e">
        <f t="shared" ref="AT365:AT371" si="2406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0</v>
      </c>
      <c r="BB365" s="34">
        <f>BB362-AZ365</f>
        <v>0</v>
      </c>
      <c r="BC365" s="34"/>
      <c r="BD365" s="35" t="e">
        <f t="shared" ref="BD365:BD371" si="2407">((BC365+BE365)/BA365)</f>
        <v>#DIV/0!</v>
      </c>
      <c r="BE365" s="34"/>
      <c r="BF365" s="35" t="e">
        <f t="shared" ref="BF365:BF371" si="2408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0</v>
      </c>
      <c r="BN365" s="34">
        <f>BN362-BL365</f>
        <v>0</v>
      </c>
      <c r="BO365" s="34"/>
      <c r="BP365" s="35" t="e">
        <f t="shared" ref="BP365:BP371" si="2409">((BO365+BQ365)/BM365)</f>
        <v>#DIV/0!</v>
      </c>
      <c r="BQ365" s="34"/>
      <c r="BR365" s="35" t="e">
        <f t="shared" ref="BR365:BR371" si="2410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411">((CA365+CC365)/BY365)</f>
        <v>#DIV/0!</v>
      </c>
      <c r="CC365" s="34"/>
      <c r="CD365" s="35" t="e">
        <f t="shared" ref="CD365:CD371" si="2412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413">((CM365+CO365)/CK365)</f>
        <v>#DIV/0!</v>
      </c>
      <c r="CO365" s="34"/>
      <c r="CP365" s="35" t="e">
        <f t="shared" ref="CP365:CP371" si="2414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415">((CY365+DA365)/CW365)</f>
        <v>#DIV/0!</v>
      </c>
      <c r="DA365" s="34"/>
      <c r="DB365" s="35" t="e">
        <f t="shared" ref="DB365:DB371" si="2416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417">((DK365+DM365)/DI365)</f>
        <v>#DIV/0!</v>
      </c>
      <c r="DM365" s="34"/>
      <c r="DN365" s="35" t="e">
        <f t="shared" ref="DN365:DN371" si="2418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419">((DW365+DY365)/DU365)</f>
        <v>#DIV/0!</v>
      </c>
      <c r="DY365" s="34"/>
      <c r="DZ365" s="35" t="e">
        <f t="shared" ref="DZ365:DZ371" si="2420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421">((EI365+EK365)/EG365)</f>
        <v>#DIV/0!</v>
      </c>
      <c r="EK365" s="34"/>
      <c r="EL365" s="35" t="e">
        <f t="shared" ref="EL365:EL371" si="2422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423">((EU365+EW365)/ES365)</f>
        <v>#DIV/0!</v>
      </c>
      <c r="EW365" s="34"/>
      <c r="EX365" s="35" t="e">
        <f t="shared" ref="EX365:EX371" si="2424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425">((FG365+FI365)/FE365)</f>
        <v>#DIV/0!</v>
      </c>
      <c r="FI365" s="34"/>
      <c r="FJ365" s="35" t="e">
        <f t="shared" ref="FJ365:FJ371" si="2426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427">((FS365+FU365)/FQ365)</f>
        <v>#DIV/0!</v>
      </c>
      <c r="FU365" s="34"/>
      <c r="FV365" s="35" t="e">
        <f t="shared" ref="FV365:FV371" si="2428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429">((GE365+GG365)/GC365)</f>
        <v>#DIV/0!</v>
      </c>
      <c r="GG365" s="34"/>
      <c r="GH365" s="35" t="e">
        <f t="shared" ref="GH365:GH371" si="2430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431">((GQ365+GS365)/GO365)</f>
        <v>#DIV/0!</v>
      </c>
      <c r="GS365" s="34"/>
      <c r="GT365" s="35" t="e">
        <f t="shared" ref="GT365:GT371" si="2432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433">((HC365+HE365)/HA365)</f>
        <v>#DIV/0!</v>
      </c>
      <c r="HE365" s="34"/>
      <c r="HF365" s="35" t="e">
        <f t="shared" ref="HF365:HF371" si="2434">HE365/(HC365+HE365)</f>
        <v>#DIV/0!</v>
      </c>
      <c r="HG365" s="36"/>
      <c r="HH365" s="34"/>
      <c r="HI365" s="34"/>
      <c r="HJ365" s="37"/>
      <c r="HK365" s="33">
        <f t="shared" ref="HK365:HK372" si="2435">+C365+O365+AA365+AM365+AY365+BK365+BW365+CI365+CU365+DG365+DS365+EE365+EQ365+FC365+FO365+GA365+GM365+GY365</f>
        <v>1</v>
      </c>
      <c r="HL365" s="34">
        <f t="shared" ref="HL365:HL372" si="2436">+D365+P365+AB365+AN365+AZ365+BL365+BX365+CJ365+CV365+DH365+DT365+EF365+ER365+FD365+FP365+GB365+GN365+GZ365</f>
        <v>0</v>
      </c>
      <c r="HM365" s="34">
        <f t="shared" ref="HM365:HM372" si="2437">+E365+Q365+AC365+AO365+BA365+BM365+BY365+CK365+CW365+DI365+DU365+EG365+ES365+FE365+FQ365+GC365+GO365+HA365</f>
        <v>3216</v>
      </c>
      <c r="HN365" s="34">
        <f t="shared" ref="HN365:HN372" si="2438">+F365+R365+AD365+AP365+BB365+BN365+BZ365+CL365+CX365+DJ365+DV365+EH365+ET365+FF365+FR365+GD365+GP365+HB365</f>
        <v>240</v>
      </c>
      <c r="HO365" s="34">
        <f t="shared" ref="HO365:HO372" si="2439">+G365+S365+AE365+AQ365+BC365+BO365+CA365+CM365+CY365+DK365+DW365+EI365+EU365+FG365+FS365+GE365+GQ365+HC365+I365+U365+AG365+AS365+BE365+BQ365+CC365+CO365+DA365+DM365+DY365+EK365+EW365+FI365+FU365+GG365+GS365+HE365</f>
        <v>666</v>
      </c>
      <c r="HP365" s="94">
        <f t="shared" ref="HP365:HP371" si="2440">+(HO365)/HM365</f>
        <v>0.20708955223880596</v>
      </c>
      <c r="HQ365" s="48">
        <f t="shared" ref="HQ365:HQ372" si="2441">+I365+U365+AG365+AS365+BE365+BQ365+CC365+CO365+DA365+DM365+DY365+EK365+EW365+FI365+FU365+GG365+GS365+HE365</f>
        <v>74</v>
      </c>
      <c r="HR365" s="35">
        <f>+(HQ365/(HO365))</f>
        <v>0.1111111111111111</v>
      </c>
      <c r="HS365" s="49">
        <v>74.3</v>
      </c>
      <c r="HT365" s="50">
        <v>560</v>
      </c>
      <c r="HU365" s="49">
        <f t="shared" ref="HU365:HU371" si="2442">+HT365/HO365*100</f>
        <v>84.084084084084083</v>
      </c>
      <c r="HV365" s="48"/>
      <c r="HW365" s="37"/>
    </row>
    <row r="366" spans="1:231" ht="18.75" x14ac:dyDescent="0.25">
      <c r="A366" s="374"/>
      <c r="B366" s="41">
        <f t="shared" ref="B366:B370" si="2443">+B365+1</f>
        <v>45222</v>
      </c>
      <c r="C366" s="10">
        <v>2</v>
      </c>
      <c r="D366" s="11"/>
      <c r="E366" s="69">
        <f t="shared" ref="E366:E370" si="2444">E365-C366</f>
        <v>1154</v>
      </c>
      <c r="F366" s="69">
        <f t="shared" ref="F366:F370" si="2445">F365-D366</f>
        <v>86</v>
      </c>
      <c r="G366" s="11">
        <v>233</v>
      </c>
      <c r="H366" s="12">
        <f t="shared" si="2400"/>
        <v>0.23050259965337955</v>
      </c>
      <c r="I366" s="11">
        <v>33</v>
      </c>
      <c r="J366" s="12">
        <f t="shared" ref="J366:J371" si="2446">I366/(G366+I366)</f>
        <v>0.12406015037593984</v>
      </c>
      <c r="K366" s="13"/>
      <c r="L366" s="11"/>
      <c r="M366" s="11"/>
      <c r="N366" s="14"/>
      <c r="O366" s="10"/>
      <c r="P366" s="11"/>
      <c r="Q366" s="69">
        <f t="shared" ref="Q366:Q371" si="2447">Q365-O366</f>
        <v>107</v>
      </c>
      <c r="R366" s="69">
        <f t="shared" ref="R366:R371" si="2448">R365-P366</f>
        <v>8</v>
      </c>
      <c r="S366" s="11">
        <v>32</v>
      </c>
      <c r="T366" s="12">
        <f t="shared" si="2401"/>
        <v>0.3364485981308411</v>
      </c>
      <c r="U366" s="11">
        <v>4</v>
      </c>
      <c r="V366" s="12">
        <f t="shared" si="2402"/>
        <v>0.1111111111111111</v>
      </c>
      <c r="W366" s="13"/>
      <c r="X366" s="11"/>
      <c r="Y366" s="11"/>
      <c r="Z366" s="14"/>
      <c r="AA366" s="10">
        <v>3</v>
      </c>
      <c r="AB366" s="11"/>
      <c r="AC366" s="69">
        <f t="shared" ref="AC366:AC371" si="2449">AC365-AA366</f>
        <v>1950</v>
      </c>
      <c r="AD366" s="69">
        <f t="shared" ref="AD366:AD371" si="2450">AD365-AB366</f>
        <v>146</v>
      </c>
      <c r="AE366" s="11">
        <v>318</v>
      </c>
      <c r="AF366" s="12">
        <f t="shared" si="2403"/>
        <v>0.18974358974358974</v>
      </c>
      <c r="AG366" s="11">
        <v>52</v>
      </c>
      <c r="AH366" s="12">
        <f t="shared" si="2404"/>
        <v>0.14054054054054055</v>
      </c>
      <c r="AI366" s="13"/>
      <c r="AJ366" s="11"/>
      <c r="AK366" s="11"/>
      <c r="AL366" s="14"/>
      <c r="AM366" s="10"/>
      <c r="AN366" s="11"/>
      <c r="AO366" s="69">
        <f t="shared" ref="AO366:AO371" si="2451">AO365-AM366</f>
        <v>0</v>
      </c>
      <c r="AP366" s="69">
        <f t="shared" ref="AP366:AP371" si="2452">AP365-AN366</f>
        <v>0</v>
      </c>
      <c r="AQ366" s="11"/>
      <c r="AR366" s="12" t="e">
        <f t="shared" si="2405"/>
        <v>#DIV/0!</v>
      </c>
      <c r="AS366" s="11"/>
      <c r="AT366" s="12" t="e">
        <f t="shared" si="2406"/>
        <v>#DIV/0!</v>
      </c>
      <c r="AU366" s="13"/>
      <c r="AV366" s="11"/>
      <c r="AW366" s="11"/>
      <c r="AX366" s="14"/>
      <c r="AY366" s="10"/>
      <c r="AZ366" s="11"/>
      <c r="BA366" s="69">
        <f t="shared" ref="BA366:BA371" si="2453">BA365-AY366</f>
        <v>0</v>
      </c>
      <c r="BB366" s="69">
        <f t="shared" ref="BB366:BB371" si="2454">BB365-AZ366</f>
        <v>0</v>
      </c>
      <c r="BC366" s="11"/>
      <c r="BD366" s="12" t="e">
        <f t="shared" si="2407"/>
        <v>#DIV/0!</v>
      </c>
      <c r="BE366" s="11"/>
      <c r="BF366" s="12" t="e">
        <f t="shared" si="2408"/>
        <v>#DIV/0!</v>
      </c>
      <c r="BG366" s="13"/>
      <c r="BH366" s="11"/>
      <c r="BI366" s="11"/>
      <c r="BJ366" s="14"/>
      <c r="BK366" s="10"/>
      <c r="BL366" s="11"/>
      <c r="BM366" s="69">
        <f t="shared" ref="BM366:BM371" si="2455">BM365-BK366</f>
        <v>0</v>
      </c>
      <c r="BN366" s="69">
        <f t="shared" ref="BN366:BN371" si="2456">BN365-BL366</f>
        <v>0</v>
      </c>
      <c r="BO366" s="11"/>
      <c r="BP366" s="12" t="e">
        <f t="shared" si="2409"/>
        <v>#DIV/0!</v>
      </c>
      <c r="BQ366" s="11"/>
      <c r="BR366" s="12" t="e">
        <f t="shared" si="2410"/>
        <v>#DIV/0!</v>
      </c>
      <c r="BS366" s="13"/>
      <c r="BT366" s="11"/>
      <c r="BU366" s="11"/>
      <c r="BV366" s="14"/>
      <c r="BW366" s="10"/>
      <c r="BX366" s="11"/>
      <c r="BY366" s="69">
        <f t="shared" ref="BY366:BY371" si="2457">BY365-BW366</f>
        <v>0</v>
      </c>
      <c r="BZ366" s="69">
        <f t="shared" ref="BZ366:BZ371" si="2458">BZ365-BX366</f>
        <v>0</v>
      </c>
      <c r="CA366" s="11"/>
      <c r="CB366" s="12" t="e">
        <f t="shared" si="2411"/>
        <v>#DIV/0!</v>
      </c>
      <c r="CC366" s="11"/>
      <c r="CD366" s="12" t="e">
        <f t="shared" si="2412"/>
        <v>#DIV/0!</v>
      </c>
      <c r="CE366" s="13"/>
      <c r="CF366" s="11"/>
      <c r="CG366" s="11"/>
      <c r="CH366" s="14"/>
      <c r="CI366" s="10"/>
      <c r="CJ366" s="11"/>
      <c r="CK366" s="69">
        <f t="shared" ref="CK366:CK371" si="2459">CK365-CI366</f>
        <v>0</v>
      </c>
      <c r="CL366" s="69">
        <f t="shared" ref="CL366:CL371" si="2460">CL365-CJ366</f>
        <v>0</v>
      </c>
      <c r="CM366" s="11"/>
      <c r="CN366" s="12" t="e">
        <f t="shared" si="2413"/>
        <v>#DIV/0!</v>
      </c>
      <c r="CO366" s="11"/>
      <c r="CP366" s="12" t="e">
        <f t="shared" si="2414"/>
        <v>#DIV/0!</v>
      </c>
      <c r="CQ366" s="13"/>
      <c r="CR366" s="11"/>
      <c r="CS366" s="11"/>
      <c r="CT366" s="14"/>
      <c r="CU366" s="10"/>
      <c r="CV366" s="11"/>
      <c r="CW366" s="69">
        <f t="shared" ref="CW366:CW371" si="2461">CW365-CU366</f>
        <v>0</v>
      </c>
      <c r="CX366" s="69">
        <f t="shared" ref="CX366:CX371" si="2462">CX365-CV366</f>
        <v>0</v>
      </c>
      <c r="CY366" s="11"/>
      <c r="CZ366" s="12" t="e">
        <f t="shared" si="2415"/>
        <v>#DIV/0!</v>
      </c>
      <c r="DA366" s="11"/>
      <c r="DB366" s="12" t="e">
        <f t="shared" si="2416"/>
        <v>#DIV/0!</v>
      </c>
      <c r="DC366" s="13"/>
      <c r="DD366" s="11"/>
      <c r="DE366" s="11"/>
      <c r="DF366" s="14"/>
      <c r="DG366" s="10"/>
      <c r="DH366" s="11"/>
      <c r="DI366" s="69">
        <f t="shared" ref="DI366:DI371" si="2463">DI365-DG366</f>
        <v>0</v>
      </c>
      <c r="DJ366" s="69">
        <f t="shared" ref="DJ366:DJ371" si="2464">DJ365-DH366</f>
        <v>0</v>
      </c>
      <c r="DK366" s="11"/>
      <c r="DL366" s="12" t="e">
        <f t="shared" si="2417"/>
        <v>#DIV/0!</v>
      </c>
      <c r="DM366" s="11"/>
      <c r="DN366" s="12" t="e">
        <f t="shared" si="2418"/>
        <v>#DIV/0!</v>
      </c>
      <c r="DO366" s="13"/>
      <c r="DP366" s="11"/>
      <c r="DQ366" s="11"/>
      <c r="DR366" s="14"/>
      <c r="DS366" s="10"/>
      <c r="DT366" s="11"/>
      <c r="DU366" s="69">
        <f t="shared" ref="DU366:DU371" si="2465">DU365-DS366</f>
        <v>0</v>
      </c>
      <c r="DV366" s="69">
        <f t="shared" ref="DV366:DV371" si="2466">DV365-DT366</f>
        <v>0</v>
      </c>
      <c r="DW366" s="11"/>
      <c r="DX366" s="12" t="e">
        <f t="shared" si="2419"/>
        <v>#DIV/0!</v>
      </c>
      <c r="DY366" s="11"/>
      <c r="DZ366" s="12" t="e">
        <f t="shared" si="2420"/>
        <v>#DIV/0!</v>
      </c>
      <c r="EA366" s="13"/>
      <c r="EB366" s="11"/>
      <c r="EC366" s="11"/>
      <c r="ED366" s="14"/>
      <c r="EE366" s="10"/>
      <c r="EF366" s="11"/>
      <c r="EG366" s="69">
        <f t="shared" ref="EG366:EG371" si="2467">EG365-EE366</f>
        <v>0</v>
      </c>
      <c r="EH366" s="69">
        <f t="shared" ref="EH366:EH371" si="2468">EH365-EF366</f>
        <v>0</v>
      </c>
      <c r="EI366" s="11"/>
      <c r="EJ366" s="12" t="e">
        <f t="shared" si="2421"/>
        <v>#DIV/0!</v>
      </c>
      <c r="EK366" s="11"/>
      <c r="EL366" s="12" t="e">
        <f t="shared" si="2422"/>
        <v>#DIV/0!</v>
      </c>
      <c r="EM366" s="13"/>
      <c r="EN366" s="11"/>
      <c r="EO366" s="11"/>
      <c r="EP366" s="14"/>
      <c r="EQ366" s="10"/>
      <c r="ER366" s="11"/>
      <c r="ES366" s="69">
        <f t="shared" ref="ES366:ES371" si="2469">ES365-EQ366</f>
        <v>0</v>
      </c>
      <c r="ET366" s="69">
        <f t="shared" ref="ET366:ET371" si="2470">ET365-ER366</f>
        <v>0</v>
      </c>
      <c r="EU366" s="11"/>
      <c r="EV366" s="12" t="e">
        <f t="shared" si="2423"/>
        <v>#DIV/0!</v>
      </c>
      <c r="EW366" s="11"/>
      <c r="EX366" s="12" t="e">
        <f t="shared" si="2424"/>
        <v>#DIV/0!</v>
      </c>
      <c r="EY366" s="13"/>
      <c r="EZ366" s="11"/>
      <c r="FA366" s="11"/>
      <c r="FB366" s="14"/>
      <c r="FC366" s="10"/>
      <c r="FD366" s="11"/>
      <c r="FE366" s="69">
        <f t="shared" ref="FE366:FE371" si="2471">FE365-FC366</f>
        <v>0</v>
      </c>
      <c r="FF366" s="69">
        <f t="shared" ref="FF366:FF371" si="2472">FF365-FD366</f>
        <v>0</v>
      </c>
      <c r="FG366" s="11"/>
      <c r="FH366" s="12" t="e">
        <f t="shared" si="2425"/>
        <v>#DIV/0!</v>
      </c>
      <c r="FI366" s="11"/>
      <c r="FJ366" s="12" t="e">
        <f t="shared" si="2426"/>
        <v>#DIV/0!</v>
      </c>
      <c r="FK366" s="13"/>
      <c r="FL366" s="11"/>
      <c r="FM366" s="11"/>
      <c r="FN366" s="14"/>
      <c r="FO366" s="10"/>
      <c r="FP366" s="11"/>
      <c r="FQ366" s="69">
        <f t="shared" ref="FQ366:FQ371" si="2473">FQ365-FO366</f>
        <v>0</v>
      </c>
      <c r="FR366" s="69">
        <f t="shared" ref="FR366:FR371" si="2474">FR365-FP366</f>
        <v>0</v>
      </c>
      <c r="FS366" s="11"/>
      <c r="FT366" s="12" t="e">
        <f t="shared" si="2427"/>
        <v>#DIV/0!</v>
      </c>
      <c r="FU366" s="11"/>
      <c r="FV366" s="12" t="e">
        <f t="shared" si="2428"/>
        <v>#DIV/0!</v>
      </c>
      <c r="FW366" s="13"/>
      <c r="FX366" s="11"/>
      <c r="FY366" s="11"/>
      <c r="FZ366" s="14"/>
      <c r="GA366" s="10"/>
      <c r="GB366" s="11"/>
      <c r="GC366" s="69">
        <f t="shared" ref="GC366:GC371" si="2475">GC365-GA366</f>
        <v>0</v>
      </c>
      <c r="GD366" s="69">
        <f t="shared" ref="GD366:GD371" si="2476">GD365-GB366</f>
        <v>0</v>
      </c>
      <c r="GE366" s="11"/>
      <c r="GF366" s="12" t="e">
        <f t="shared" si="2429"/>
        <v>#DIV/0!</v>
      </c>
      <c r="GG366" s="11"/>
      <c r="GH366" s="12" t="e">
        <f t="shared" si="2430"/>
        <v>#DIV/0!</v>
      </c>
      <c r="GI366" s="13"/>
      <c r="GJ366" s="11"/>
      <c r="GK366" s="11"/>
      <c r="GL366" s="14"/>
      <c r="GM366" s="10"/>
      <c r="GN366" s="11"/>
      <c r="GO366" s="69">
        <f t="shared" ref="GO366:GO371" si="2477">GO365-GM366</f>
        <v>0</v>
      </c>
      <c r="GP366" s="69">
        <f t="shared" ref="GP366:GP371" si="2478">GP365-GN366</f>
        <v>0</v>
      </c>
      <c r="GQ366" s="11"/>
      <c r="GR366" s="12" t="e">
        <f t="shared" si="2431"/>
        <v>#DIV/0!</v>
      </c>
      <c r="GS366" s="11"/>
      <c r="GT366" s="12" t="e">
        <f t="shared" si="2432"/>
        <v>#DIV/0!</v>
      </c>
      <c r="GU366" s="13"/>
      <c r="GV366" s="11"/>
      <c r="GW366" s="11"/>
      <c r="GX366" s="14"/>
      <c r="GY366" s="10"/>
      <c r="GZ366" s="11"/>
      <c r="HA366" s="69">
        <f t="shared" ref="HA366:HA371" si="2479">HA365-GY366</f>
        <v>0</v>
      </c>
      <c r="HB366" s="69">
        <f t="shared" ref="HB366:HB371" si="2480">HB365-GZ366</f>
        <v>0</v>
      </c>
      <c r="HC366" s="11"/>
      <c r="HD366" s="12" t="e">
        <f t="shared" si="2433"/>
        <v>#DIV/0!</v>
      </c>
      <c r="HE366" s="11"/>
      <c r="HF366" s="12" t="e">
        <f t="shared" si="2434"/>
        <v>#DIV/0!</v>
      </c>
      <c r="HG366" s="13"/>
      <c r="HH366" s="11"/>
      <c r="HI366" s="11"/>
      <c r="HJ366" s="14"/>
      <c r="HK366" s="10">
        <f t="shared" si="2435"/>
        <v>5</v>
      </c>
      <c r="HL366" s="11">
        <f t="shared" si="2436"/>
        <v>0</v>
      </c>
      <c r="HM366" s="11">
        <f t="shared" si="2437"/>
        <v>3211</v>
      </c>
      <c r="HN366" s="11">
        <f t="shared" si="2438"/>
        <v>240</v>
      </c>
      <c r="HO366" s="11">
        <f t="shared" si="2439"/>
        <v>672</v>
      </c>
      <c r="HP366" s="95">
        <f t="shared" si="2440"/>
        <v>0.20928059794456555</v>
      </c>
      <c r="HQ366" s="15">
        <f t="shared" si="2441"/>
        <v>89</v>
      </c>
      <c r="HR366" s="12">
        <f t="shared" ref="HR366:HR372" si="2481">+(HQ366/(HO366))</f>
        <v>0.13244047619047619</v>
      </c>
      <c r="HS366" s="16">
        <v>74.400000000000006</v>
      </c>
      <c r="HT366" s="17">
        <v>548</v>
      </c>
      <c r="HU366" s="16">
        <f t="shared" si="2442"/>
        <v>81.547619047619051</v>
      </c>
      <c r="HV366" s="15"/>
      <c r="HW366" s="14"/>
    </row>
    <row r="367" spans="1:231" ht="18.75" x14ac:dyDescent="0.25">
      <c r="A367" s="374"/>
      <c r="B367" s="41">
        <f t="shared" si="2443"/>
        <v>45223</v>
      </c>
      <c r="C367" s="10">
        <v>1</v>
      </c>
      <c r="D367" s="11"/>
      <c r="E367" s="69">
        <f t="shared" si="2444"/>
        <v>1153</v>
      </c>
      <c r="F367" s="69">
        <f t="shared" si="2445"/>
        <v>86</v>
      </c>
      <c r="G367" s="11">
        <v>224</v>
      </c>
      <c r="H367" s="12">
        <f t="shared" si="2400"/>
        <v>0.21509106678230702</v>
      </c>
      <c r="I367" s="11">
        <v>24</v>
      </c>
      <c r="J367" s="12">
        <f t="shared" si="2446"/>
        <v>9.6774193548387094E-2</v>
      </c>
      <c r="K367" s="13"/>
      <c r="L367" s="11"/>
      <c r="M367" s="11"/>
      <c r="N367" s="14"/>
      <c r="O367" s="10"/>
      <c r="P367" s="11"/>
      <c r="Q367" s="69">
        <f t="shared" si="2447"/>
        <v>107</v>
      </c>
      <c r="R367" s="69">
        <f t="shared" si="2448"/>
        <v>8</v>
      </c>
      <c r="S367" s="11">
        <v>26</v>
      </c>
      <c r="T367" s="12">
        <f t="shared" si="2401"/>
        <v>0.35514018691588783</v>
      </c>
      <c r="U367" s="11">
        <v>12</v>
      </c>
      <c r="V367" s="12">
        <f t="shared" si="2402"/>
        <v>0.31578947368421051</v>
      </c>
      <c r="W367" s="13"/>
      <c r="X367" s="11"/>
      <c r="Y367" s="11"/>
      <c r="Z367" s="14"/>
      <c r="AA367" s="10">
        <v>1</v>
      </c>
      <c r="AB367" s="11"/>
      <c r="AC367" s="69">
        <f t="shared" si="2449"/>
        <v>1949</v>
      </c>
      <c r="AD367" s="69">
        <f t="shared" si="2450"/>
        <v>146</v>
      </c>
      <c r="AE367" s="11">
        <v>341</v>
      </c>
      <c r="AF367" s="12">
        <f t="shared" si="2403"/>
        <v>0.20318111852231913</v>
      </c>
      <c r="AG367" s="11">
        <v>55</v>
      </c>
      <c r="AH367" s="12">
        <f t="shared" si="2404"/>
        <v>0.1388888888888889</v>
      </c>
      <c r="AI367" s="13"/>
      <c r="AJ367" s="11"/>
      <c r="AK367" s="11"/>
      <c r="AL367" s="14"/>
      <c r="AM367" s="10"/>
      <c r="AN367" s="11"/>
      <c r="AO367" s="69">
        <f t="shared" si="2451"/>
        <v>0</v>
      </c>
      <c r="AP367" s="69">
        <f t="shared" si="2452"/>
        <v>0</v>
      </c>
      <c r="AQ367" s="11"/>
      <c r="AR367" s="12" t="e">
        <f t="shared" si="2405"/>
        <v>#DIV/0!</v>
      </c>
      <c r="AS367" s="11"/>
      <c r="AT367" s="12" t="e">
        <f t="shared" si="2406"/>
        <v>#DIV/0!</v>
      </c>
      <c r="AU367" s="13"/>
      <c r="AV367" s="11"/>
      <c r="AW367" s="11"/>
      <c r="AX367" s="14"/>
      <c r="AY367" s="10"/>
      <c r="AZ367" s="11"/>
      <c r="BA367" s="69">
        <f t="shared" si="2453"/>
        <v>0</v>
      </c>
      <c r="BB367" s="69">
        <f t="shared" si="2454"/>
        <v>0</v>
      </c>
      <c r="BC367" s="11"/>
      <c r="BD367" s="12" t="e">
        <f t="shared" si="2407"/>
        <v>#DIV/0!</v>
      </c>
      <c r="BE367" s="11"/>
      <c r="BF367" s="12" t="e">
        <f t="shared" si="2408"/>
        <v>#DIV/0!</v>
      </c>
      <c r="BG367" s="13"/>
      <c r="BH367" s="11"/>
      <c r="BI367" s="11"/>
      <c r="BJ367" s="14"/>
      <c r="BK367" s="10"/>
      <c r="BL367" s="11"/>
      <c r="BM367" s="69">
        <f t="shared" si="2455"/>
        <v>0</v>
      </c>
      <c r="BN367" s="69">
        <f t="shared" si="2456"/>
        <v>0</v>
      </c>
      <c r="BO367" s="11"/>
      <c r="BP367" s="12" t="e">
        <f t="shared" si="2409"/>
        <v>#DIV/0!</v>
      </c>
      <c r="BQ367" s="11"/>
      <c r="BR367" s="12" t="e">
        <f t="shared" si="2410"/>
        <v>#DIV/0!</v>
      </c>
      <c r="BS367" s="13"/>
      <c r="BT367" s="11"/>
      <c r="BU367" s="11"/>
      <c r="BV367" s="14"/>
      <c r="BW367" s="10"/>
      <c r="BX367" s="11"/>
      <c r="BY367" s="69">
        <f t="shared" si="2457"/>
        <v>0</v>
      </c>
      <c r="BZ367" s="69">
        <f t="shared" si="2458"/>
        <v>0</v>
      </c>
      <c r="CA367" s="11"/>
      <c r="CB367" s="12" t="e">
        <f t="shared" si="2411"/>
        <v>#DIV/0!</v>
      </c>
      <c r="CC367" s="11"/>
      <c r="CD367" s="12" t="e">
        <f t="shared" si="2412"/>
        <v>#DIV/0!</v>
      </c>
      <c r="CE367" s="13"/>
      <c r="CF367" s="11"/>
      <c r="CG367" s="11"/>
      <c r="CH367" s="14"/>
      <c r="CI367" s="10"/>
      <c r="CJ367" s="11"/>
      <c r="CK367" s="69">
        <f t="shared" si="2459"/>
        <v>0</v>
      </c>
      <c r="CL367" s="69">
        <f t="shared" si="2460"/>
        <v>0</v>
      </c>
      <c r="CM367" s="11"/>
      <c r="CN367" s="12" t="e">
        <f t="shared" si="2413"/>
        <v>#DIV/0!</v>
      </c>
      <c r="CO367" s="11"/>
      <c r="CP367" s="12" t="e">
        <f t="shared" si="2414"/>
        <v>#DIV/0!</v>
      </c>
      <c r="CQ367" s="13"/>
      <c r="CR367" s="11"/>
      <c r="CS367" s="11"/>
      <c r="CT367" s="14"/>
      <c r="CU367" s="10"/>
      <c r="CV367" s="11"/>
      <c r="CW367" s="69">
        <f t="shared" si="2461"/>
        <v>0</v>
      </c>
      <c r="CX367" s="69">
        <f t="shared" si="2462"/>
        <v>0</v>
      </c>
      <c r="CY367" s="11"/>
      <c r="CZ367" s="12" t="e">
        <f t="shared" si="2415"/>
        <v>#DIV/0!</v>
      </c>
      <c r="DA367" s="11"/>
      <c r="DB367" s="12" t="e">
        <f t="shared" si="2416"/>
        <v>#DIV/0!</v>
      </c>
      <c r="DC367" s="13"/>
      <c r="DD367" s="11"/>
      <c r="DE367" s="11"/>
      <c r="DF367" s="14"/>
      <c r="DG367" s="10"/>
      <c r="DH367" s="11"/>
      <c r="DI367" s="69">
        <f t="shared" si="2463"/>
        <v>0</v>
      </c>
      <c r="DJ367" s="69">
        <f t="shared" si="2464"/>
        <v>0</v>
      </c>
      <c r="DK367" s="11"/>
      <c r="DL367" s="12" t="e">
        <f t="shared" si="2417"/>
        <v>#DIV/0!</v>
      </c>
      <c r="DM367" s="11"/>
      <c r="DN367" s="12" t="e">
        <f t="shared" si="2418"/>
        <v>#DIV/0!</v>
      </c>
      <c r="DO367" s="13"/>
      <c r="DP367" s="11"/>
      <c r="DQ367" s="11"/>
      <c r="DR367" s="14"/>
      <c r="DS367" s="10"/>
      <c r="DT367" s="11"/>
      <c r="DU367" s="69">
        <f t="shared" si="2465"/>
        <v>0</v>
      </c>
      <c r="DV367" s="69">
        <f t="shared" si="2466"/>
        <v>0</v>
      </c>
      <c r="DW367" s="11"/>
      <c r="DX367" s="12" t="e">
        <f t="shared" si="2419"/>
        <v>#DIV/0!</v>
      </c>
      <c r="DY367" s="11"/>
      <c r="DZ367" s="12" t="e">
        <f t="shared" si="2420"/>
        <v>#DIV/0!</v>
      </c>
      <c r="EA367" s="13"/>
      <c r="EB367" s="11"/>
      <c r="EC367" s="11"/>
      <c r="ED367" s="14"/>
      <c r="EE367" s="10"/>
      <c r="EF367" s="11"/>
      <c r="EG367" s="69">
        <f t="shared" si="2467"/>
        <v>0</v>
      </c>
      <c r="EH367" s="69">
        <f t="shared" si="2468"/>
        <v>0</v>
      </c>
      <c r="EI367" s="11"/>
      <c r="EJ367" s="12" t="e">
        <f t="shared" si="2421"/>
        <v>#DIV/0!</v>
      </c>
      <c r="EK367" s="11"/>
      <c r="EL367" s="12" t="e">
        <f t="shared" si="2422"/>
        <v>#DIV/0!</v>
      </c>
      <c r="EM367" s="13"/>
      <c r="EN367" s="11"/>
      <c r="EO367" s="11"/>
      <c r="EP367" s="14"/>
      <c r="EQ367" s="10"/>
      <c r="ER367" s="11"/>
      <c r="ES367" s="69">
        <f t="shared" si="2469"/>
        <v>0</v>
      </c>
      <c r="ET367" s="69">
        <f t="shared" si="2470"/>
        <v>0</v>
      </c>
      <c r="EU367" s="11"/>
      <c r="EV367" s="12" t="e">
        <f t="shared" si="2423"/>
        <v>#DIV/0!</v>
      </c>
      <c r="EW367" s="11"/>
      <c r="EX367" s="12" t="e">
        <f t="shared" si="2424"/>
        <v>#DIV/0!</v>
      </c>
      <c r="EY367" s="13"/>
      <c r="EZ367" s="11"/>
      <c r="FA367" s="11"/>
      <c r="FB367" s="14"/>
      <c r="FC367" s="10"/>
      <c r="FD367" s="11"/>
      <c r="FE367" s="69">
        <f t="shared" si="2471"/>
        <v>0</v>
      </c>
      <c r="FF367" s="69">
        <f t="shared" si="2472"/>
        <v>0</v>
      </c>
      <c r="FG367" s="11"/>
      <c r="FH367" s="12" t="e">
        <f t="shared" si="2425"/>
        <v>#DIV/0!</v>
      </c>
      <c r="FI367" s="11"/>
      <c r="FJ367" s="12" t="e">
        <f t="shared" si="2426"/>
        <v>#DIV/0!</v>
      </c>
      <c r="FK367" s="13"/>
      <c r="FL367" s="11"/>
      <c r="FM367" s="11"/>
      <c r="FN367" s="14"/>
      <c r="FO367" s="10"/>
      <c r="FP367" s="11"/>
      <c r="FQ367" s="69">
        <f t="shared" si="2473"/>
        <v>0</v>
      </c>
      <c r="FR367" s="69">
        <f t="shared" si="2474"/>
        <v>0</v>
      </c>
      <c r="FS367" s="11"/>
      <c r="FT367" s="12" t="e">
        <f t="shared" si="2427"/>
        <v>#DIV/0!</v>
      </c>
      <c r="FU367" s="11"/>
      <c r="FV367" s="12" t="e">
        <f t="shared" si="2428"/>
        <v>#DIV/0!</v>
      </c>
      <c r="FW367" s="13"/>
      <c r="FX367" s="11"/>
      <c r="FY367" s="11"/>
      <c r="FZ367" s="14"/>
      <c r="GA367" s="10"/>
      <c r="GB367" s="11"/>
      <c r="GC367" s="69">
        <f t="shared" si="2475"/>
        <v>0</v>
      </c>
      <c r="GD367" s="69">
        <f t="shared" si="2476"/>
        <v>0</v>
      </c>
      <c r="GE367" s="11"/>
      <c r="GF367" s="12" t="e">
        <f t="shared" si="2429"/>
        <v>#DIV/0!</v>
      </c>
      <c r="GG367" s="11"/>
      <c r="GH367" s="12" t="e">
        <f t="shared" si="2430"/>
        <v>#DIV/0!</v>
      </c>
      <c r="GI367" s="13"/>
      <c r="GJ367" s="11"/>
      <c r="GK367" s="11"/>
      <c r="GL367" s="14"/>
      <c r="GM367" s="10"/>
      <c r="GN367" s="11"/>
      <c r="GO367" s="69">
        <f t="shared" si="2477"/>
        <v>0</v>
      </c>
      <c r="GP367" s="69">
        <f t="shared" si="2478"/>
        <v>0</v>
      </c>
      <c r="GQ367" s="11"/>
      <c r="GR367" s="12" t="e">
        <f t="shared" si="2431"/>
        <v>#DIV/0!</v>
      </c>
      <c r="GS367" s="11"/>
      <c r="GT367" s="12" t="e">
        <f t="shared" si="2432"/>
        <v>#DIV/0!</v>
      </c>
      <c r="GU367" s="13"/>
      <c r="GV367" s="11"/>
      <c r="GW367" s="11"/>
      <c r="GX367" s="14"/>
      <c r="GY367" s="10"/>
      <c r="GZ367" s="11"/>
      <c r="HA367" s="69">
        <f t="shared" si="2479"/>
        <v>0</v>
      </c>
      <c r="HB367" s="69">
        <f t="shared" si="2480"/>
        <v>0</v>
      </c>
      <c r="HC367" s="11"/>
      <c r="HD367" s="12" t="e">
        <f t="shared" si="2433"/>
        <v>#DIV/0!</v>
      </c>
      <c r="HE367" s="11"/>
      <c r="HF367" s="12" t="e">
        <f t="shared" si="2434"/>
        <v>#DIV/0!</v>
      </c>
      <c r="HG367" s="13"/>
      <c r="HH367" s="11"/>
      <c r="HI367" s="11"/>
      <c r="HJ367" s="14"/>
      <c r="HK367" s="10">
        <f t="shared" si="2435"/>
        <v>2</v>
      </c>
      <c r="HL367" s="11">
        <f t="shared" si="2436"/>
        <v>0</v>
      </c>
      <c r="HM367" s="11">
        <f t="shared" si="2437"/>
        <v>3209</v>
      </c>
      <c r="HN367" s="11">
        <f t="shared" si="2438"/>
        <v>240</v>
      </c>
      <c r="HO367" s="11">
        <f t="shared" si="2439"/>
        <v>682</v>
      </c>
      <c r="HP367" s="95">
        <f t="shared" si="2440"/>
        <v>0.21252726706138983</v>
      </c>
      <c r="HQ367" s="15">
        <f t="shared" si="2441"/>
        <v>91</v>
      </c>
      <c r="HR367" s="12">
        <f t="shared" si="2481"/>
        <v>0.13343108504398826</v>
      </c>
      <c r="HS367" s="16">
        <v>74.400000000000006</v>
      </c>
      <c r="HT367" s="17">
        <v>561</v>
      </c>
      <c r="HU367" s="16">
        <f t="shared" si="2442"/>
        <v>82.258064516129039</v>
      </c>
      <c r="HV367" s="15"/>
      <c r="HW367" s="14"/>
    </row>
    <row r="368" spans="1:231" ht="18.75" x14ac:dyDescent="0.25">
      <c r="A368" s="374"/>
      <c r="B368" s="41">
        <f t="shared" si="2443"/>
        <v>45224</v>
      </c>
      <c r="C368" s="10">
        <v>1</v>
      </c>
      <c r="D368" s="11"/>
      <c r="E368" s="69">
        <f t="shared" si="2444"/>
        <v>1152</v>
      </c>
      <c r="F368" s="69">
        <f t="shared" si="2445"/>
        <v>86</v>
      </c>
      <c r="G368" s="11">
        <v>235</v>
      </c>
      <c r="H368" s="12">
        <f t="shared" si="2400"/>
        <v>0.2326388888888889</v>
      </c>
      <c r="I368" s="11">
        <v>33</v>
      </c>
      <c r="J368" s="12">
        <f t="shared" si="2446"/>
        <v>0.12313432835820895</v>
      </c>
      <c r="K368" s="11"/>
      <c r="L368" s="11"/>
      <c r="M368" s="18"/>
      <c r="N368" s="20"/>
      <c r="O368" s="10">
        <v>1</v>
      </c>
      <c r="P368" s="11"/>
      <c r="Q368" s="69">
        <f t="shared" si="2447"/>
        <v>106</v>
      </c>
      <c r="R368" s="69">
        <f t="shared" si="2448"/>
        <v>8</v>
      </c>
      <c r="S368" s="11">
        <v>26</v>
      </c>
      <c r="T368" s="12">
        <f t="shared" si="2401"/>
        <v>0.26415094339622641</v>
      </c>
      <c r="U368" s="11">
        <v>2</v>
      </c>
      <c r="V368" s="12">
        <f t="shared" si="2402"/>
        <v>7.1428571428571425E-2</v>
      </c>
      <c r="W368" s="11"/>
      <c r="X368" s="11"/>
      <c r="Y368" s="18"/>
      <c r="Z368" s="20"/>
      <c r="AA368" s="10"/>
      <c r="AB368" s="11"/>
      <c r="AC368" s="69">
        <f t="shared" si="2449"/>
        <v>1949</v>
      </c>
      <c r="AD368" s="69">
        <f t="shared" si="2450"/>
        <v>146</v>
      </c>
      <c r="AE368" s="11">
        <v>333</v>
      </c>
      <c r="AF368" s="12">
        <f t="shared" si="2403"/>
        <v>0.19035402770651616</v>
      </c>
      <c r="AG368" s="11">
        <v>38</v>
      </c>
      <c r="AH368" s="12">
        <f t="shared" si="2404"/>
        <v>0.10242587601078167</v>
      </c>
      <c r="AI368" s="11"/>
      <c r="AJ368" s="11"/>
      <c r="AK368" s="18"/>
      <c r="AL368" s="20"/>
      <c r="AM368" s="10"/>
      <c r="AN368" s="11"/>
      <c r="AO368" s="69">
        <f t="shared" si="2451"/>
        <v>0</v>
      </c>
      <c r="AP368" s="69">
        <f t="shared" si="2452"/>
        <v>0</v>
      </c>
      <c r="AQ368" s="11"/>
      <c r="AR368" s="12" t="e">
        <f t="shared" si="2405"/>
        <v>#DIV/0!</v>
      </c>
      <c r="AS368" s="11"/>
      <c r="AT368" s="12" t="e">
        <f t="shared" si="2406"/>
        <v>#DIV/0!</v>
      </c>
      <c r="AU368" s="11"/>
      <c r="AV368" s="11"/>
      <c r="AW368" s="18"/>
      <c r="AX368" s="20"/>
      <c r="AY368" s="10"/>
      <c r="AZ368" s="11"/>
      <c r="BA368" s="69">
        <f t="shared" si="2453"/>
        <v>0</v>
      </c>
      <c r="BB368" s="69">
        <f t="shared" si="2454"/>
        <v>0</v>
      </c>
      <c r="BC368" s="11"/>
      <c r="BD368" s="12" t="e">
        <f t="shared" si="2407"/>
        <v>#DIV/0!</v>
      </c>
      <c r="BE368" s="11"/>
      <c r="BF368" s="12" t="e">
        <f t="shared" si="2408"/>
        <v>#DIV/0!</v>
      </c>
      <c r="BG368" s="11"/>
      <c r="BH368" s="11"/>
      <c r="BI368" s="18"/>
      <c r="BJ368" s="20"/>
      <c r="BK368" s="10"/>
      <c r="BL368" s="11"/>
      <c r="BM368" s="69">
        <f t="shared" si="2455"/>
        <v>0</v>
      </c>
      <c r="BN368" s="69">
        <f t="shared" si="2456"/>
        <v>0</v>
      </c>
      <c r="BO368" s="11"/>
      <c r="BP368" s="12" t="e">
        <f t="shared" si="2409"/>
        <v>#DIV/0!</v>
      </c>
      <c r="BQ368" s="11"/>
      <c r="BR368" s="12" t="e">
        <f t="shared" si="2410"/>
        <v>#DIV/0!</v>
      </c>
      <c r="BS368" s="11"/>
      <c r="BT368" s="11"/>
      <c r="BU368" s="18"/>
      <c r="BV368" s="20"/>
      <c r="BW368" s="10"/>
      <c r="BX368" s="11"/>
      <c r="BY368" s="69">
        <f t="shared" si="2457"/>
        <v>0</v>
      </c>
      <c r="BZ368" s="69">
        <f t="shared" si="2458"/>
        <v>0</v>
      </c>
      <c r="CA368" s="11"/>
      <c r="CB368" s="12" t="e">
        <f t="shared" si="2411"/>
        <v>#DIV/0!</v>
      </c>
      <c r="CC368" s="11"/>
      <c r="CD368" s="12" t="e">
        <f t="shared" si="2412"/>
        <v>#DIV/0!</v>
      </c>
      <c r="CE368" s="11"/>
      <c r="CF368" s="11"/>
      <c r="CG368" s="18"/>
      <c r="CH368" s="20"/>
      <c r="CI368" s="10"/>
      <c r="CJ368" s="11"/>
      <c r="CK368" s="69">
        <f t="shared" si="2459"/>
        <v>0</v>
      </c>
      <c r="CL368" s="69">
        <f t="shared" si="2460"/>
        <v>0</v>
      </c>
      <c r="CM368" s="11"/>
      <c r="CN368" s="12" t="e">
        <f t="shared" si="2413"/>
        <v>#DIV/0!</v>
      </c>
      <c r="CO368" s="11"/>
      <c r="CP368" s="12" t="e">
        <f t="shared" si="2414"/>
        <v>#DIV/0!</v>
      </c>
      <c r="CQ368" s="11"/>
      <c r="CR368" s="11"/>
      <c r="CS368" s="18"/>
      <c r="CT368" s="20"/>
      <c r="CU368" s="10"/>
      <c r="CV368" s="11"/>
      <c r="CW368" s="69">
        <f t="shared" si="2461"/>
        <v>0</v>
      </c>
      <c r="CX368" s="69">
        <f t="shared" si="2462"/>
        <v>0</v>
      </c>
      <c r="CY368" s="11"/>
      <c r="CZ368" s="12" t="e">
        <f t="shared" si="2415"/>
        <v>#DIV/0!</v>
      </c>
      <c r="DA368" s="11"/>
      <c r="DB368" s="12" t="e">
        <f t="shared" si="2416"/>
        <v>#DIV/0!</v>
      </c>
      <c r="DC368" s="11"/>
      <c r="DD368" s="11"/>
      <c r="DE368" s="18"/>
      <c r="DF368" s="20"/>
      <c r="DG368" s="10"/>
      <c r="DH368" s="11"/>
      <c r="DI368" s="69">
        <f t="shared" si="2463"/>
        <v>0</v>
      </c>
      <c r="DJ368" s="69">
        <f t="shared" si="2464"/>
        <v>0</v>
      </c>
      <c r="DK368" s="11"/>
      <c r="DL368" s="12" t="e">
        <f t="shared" si="2417"/>
        <v>#DIV/0!</v>
      </c>
      <c r="DM368" s="11"/>
      <c r="DN368" s="12" t="e">
        <f t="shared" si="2418"/>
        <v>#DIV/0!</v>
      </c>
      <c r="DO368" s="11"/>
      <c r="DP368" s="11"/>
      <c r="DQ368" s="18"/>
      <c r="DR368" s="20"/>
      <c r="DS368" s="10"/>
      <c r="DT368" s="11"/>
      <c r="DU368" s="69">
        <f t="shared" si="2465"/>
        <v>0</v>
      </c>
      <c r="DV368" s="69">
        <f t="shared" si="2466"/>
        <v>0</v>
      </c>
      <c r="DW368" s="11"/>
      <c r="DX368" s="12" t="e">
        <f t="shared" si="2419"/>
        <v>#DIV/0!</v>
      </c>
      <c r="DY368" s="11"/>
      <c r="DZ368" s="12" t="e">
        <f t="shared" si="2420"/>
        <v>#DIV/0!</v>
      </c>
      <c r="EA368" s="11"/>
      <c r="EB368" s="11"/>
      <c r="EC368" s="18"/>
      <c r="ED368" s="20"/>
      <c r="EE368" s="10"/>
      <c r="EF368" s="11"/>
      <c r="EG368" s="69">
        <f t="shared" si="2467"/>
        <v>0</v>
      </c>
      <c r="EH368" s="69">
        <f t="shared" si="2468"/>
        <v>0</v>
      </c>
      <c r="EI368" s="11"/>
      <c r="EJ368" s="12" t="e">
        <f t="shared" si="2421"/>
        <v>#DIV/0!</v>
      </c>
      <c r="EK368" s="11"/>
      <c r="EL368" s="12" t="e">
        <f t="shared" si="2422"/>
        <v>#DIV/0!</v>
      </c>
      <c r="EM368" s="11"/>
      <c r="EN368" s="11"/>
      <c r="EO368" s="18"/>
      <c r="EP368" s="20"/>
      <c r="EQ368" s="10"/>
      <c r="ER368" s="11"/>
      <c r="ES368" s="69">
        <f t="shared" si="2469"/>
        <v>0</v>
      </c>
      <c r="ET368" s="69">
        <f t="shared" si="2470"/>
        <v>0</v>
      </c>
      <c r="EU368" s="11"/>
      <c r="EV368" s="12" t="e">
        <f t="shared" si="2423"/>
        <v>#DIV/0!</v>
      </c>
      <c r="EW368" s="11"/>
      <c r="EX368" s="12" t="e">
        <f t="shared" si="2424"/>
        <v>#DIV/0!</v>
      </c>
      <c r="EY368" s="11"/>
      <c r="EZ368" s="11"/>
      <c r="FA368" s="18"/>
      <c r="FB368" s="20"/>
      <c r="FC368" s="10"/>
      <c r="FD368" s="11"/>
      <c r="FE368" s="69">
        <f t="shared" si="2471"/>
        <v>0</v>
      </c>
      <c r="FF368" s="69">
        <f t="shared" si="2472"/>
        <v>0</v>
      </c>
      <c r="FG368" s="11"/>
      <c r="FH368" s="12" t="e">
        <f t="shared" si="2425"/>
        <v>#DIV/0!</v>
      </c>
      <c r="FI368" s="11"/>
      <c r="FJ368" s="12" t="e">
        <f t="shared" si="2426"/>
        <v>#DIV/0!</v>
      </c>
      <c r="FK368" s="11"/>
      <c r="FL368" s="11"/>
      <c r="FM368" s="18"/>
      <c r="FN368" s="20"/>
      <c r="FO368" s="10"/>
      <c r="FP368" s="11"/>
      <c r="FQ368" s="69">
        <f t="shared" si="2473"/>
        <v>0</v>
      </c>
      <c r="FR368" s="69">
        <f t="shared" si="2474"/>
        <v>0</v>
      </c>
      <c r="FS368" s="11"/>
      <c r="FT368" s="12" t="e">
        <f t="shared" si="2427"/>
        <v>#DIV/0!</v>
      </c>
      <c r="FU368" s="11"/>
      <c r="FV368" s="12" t="e">
        <f t="shared" si="2428"/>
        <v>#DIV/0!</v>
      </c>
      <c r="FW368" s="11"/>
      <c r="FX368" s="11"/>
      <c r="FY368" s="18"/>
      <c r="FZ368" s="20"/>
      <c r="GA368" s="10"/>
      <c r="GB368" s="11"/>
      <c r="GC368" s="69">
        <f t="shared" si="2475"/>
        <v>0</v>
      </c>
      <c r="GD368" s="69">
        <f t="shared" si="2476"/>
        <v>0</v>
      </c>
      <c r="GE368" s="11"/>
      <c r="GF368" s="12" t="e">
        <f t="shared" si="2429"/>
        <v>#DIV/0!</v>
      </c>
      <c r="GG368" s="11"/>
      <c r="GH368" s="12" t="e">
        <f t="shared" si="2430"/>
        <v>#DIV/0!</v>
      </c>
      <c r="GI368" s="11"/>
      <c r="GJ368" s="11"/>
      <c r="GK368" s="18"/>
      <c r="GL368" s="20"/>
      <c r="GM368" s="10"/>
      <c r="GN368" s="11"/>
      <c r="GO368" s="69">
        <f t="shared" si="2477"/>
        <v>0</v>
      </c>
      <c r="GP368" s="69">
        <f t="shared" si="2478"/>
        <v>0</v>
      </c>
      <c r="GQ368" s="11"/>
      <c r="GR368" s="12" t="e">
        <f t="shared" si="2431"/>
        <v>#DIV/0!</v>
      </c>
      <c r="GS368" s="11"/>
      <c r="GT368" s="12" t="e">
        <f t="shared" si="2432"/>
        <v>#DIV/0!</v>
      </c>
      <c r="GU368" s="11"/>
      <c r="GV368" s="11"/>
      <c r="GW368" s="18"/>
      <c r="GX368" s="20"/>
      <c r="GY368" s="10"/>
      <c r="GZ368" s="11"/>
      <c r="HA368" s="69">
        <f t="shared" si="2479"/>
        <v>0</v>
      </c>
      <c r="HB368" s="69">
        <f t="shared" si="2480"/>
        <v>0</v>
      </c>
      <c r="HC368" s="11"/>
      <c r="HD368" s="12" t="e">
        <f t="shared" si="2433"/>
        <v>#DIV/0!</v>
      </c>
      <c r="HE368" s="11"/>
      <c r="HF368" s="12" t="e">
        <f t="shared" si="2434"/>
        <v>#DIV/0!</v>
      </c>
      <c r="HG368" s="11"/>
      <c r="HH368" s="11"/>
      <c r="HI368" s="18"/>
      <c r="HJ368" s="20"/>
      <c r="HK368" s="10">
        <f t="shared" si="2435"/>
        <v>2</v>
      </c>
      <c r="HL368" s="11">
        <f t="shared" si="2436"/>
        <v>0</v>
      </c>
      <c r="HM368" s="11">
        <f t="shared" si="2437"/>
        <v>3207</v>
      </c>
      <c r="HN368" s="11">
        <f t="shared" si="2438"/>
        <v>240</v>
      </c>
      <c r="HO368" s="11">
        <f t="shared" si="2439"/>
        <v>667</v>
      </c>
      <c r="HP368" s="95">
        <f t="shared" si="2440"/>
        <v>0.20798253819769255</v>
      </c>
      <c r="HQ368" s="15">
        <f t="shared" si="2441"/>
        <v>73</v>
      </c>
      <c r="HR368" s="12">
        <f t="shared" si="2481"/>
        <v>0.10944527736131934</v>
      </c>
      <c r="HS368" s="16">
        <v>74.400000000000006</v>
      </c>
      <c r="HT368" s="17">
        <v>563</v>
      </c>
      <c r="HU368" s="16">
        <f t="shared" si="2442"/>
        <v>84.407796101949032</v>
      </c>
      <c r="HV368" s="18"/>
      <c r="HW368" s="20"/>
    </row>
    <row r="369" spans="1:231" ht="18.75" x14ac:dyDescent="0.25">
      <c r="A369" s="374"/>
      <c r="B369" s="41">
        <f t="shared" si="2443"/>
        <v>45225</v>
      </c>
      <c r="C369" s="10">
        <v>10</v>
      </c>
      <c r="D369" s="11"/>
      <c r="E369" s="69">
        <f t="shared" si="2444"/>
        <v>1142</v>
      </c>
      <c r="F369" s="69">
        <f t="shared" si="2445"/>
        <v>86</v>
      </c>
      <c r="G369" s="11">
        <v>208</v>
      </c>
      <c r="H369" s="12">
        <f t="shared" si="2400"/>
        <v>0.19089316987740806</v>
      </c>
      <c r="I369" s="11">
        <v>10</v>
      </c>
      <c r="J369" s="12">
        <f t="shared" si="2446"/>
        <v>4.5871559633027525E-2</v>
      </c>
      <c r="K369" s="13"/>
      <c r="L369" s="13"/>
      <c r="M369" s="25"/>
      <c r="N369" s="38"/>
      <c r="O369" s="10">
        <v>2</v>
      </c>
      <c r="P369" s="11"/>
      <c r="Q369" s="69">
        <f t="shared" si="2447"/>
        <v>104</v>
      </c>
      <c r="R369" s="69">
        <f t="shared" si="2448"/>
        <v>8</v>
      </c>
      <c r="S369" s="11">
        <v>26</v>
      </c>
      <c r="T369" s="12">
        <f t="shared" si="2401"/>
        <v>0.28846153846153844</v>
      </c>
      <c r="U369" s="11">
        <v>4</v>
      </c>
      <c r="V369" s="12">
        <f t="shared" si="2402"/>
        <v>0.13333333333333333</v>
      </c>
      <c r="W369" s="13"/>
      <c r="X369" s="13"/>
      <c r="Y369" s="25"/>
      <c r="Z369" s="38"/>
      <c r="AA369" s="10">
        <v>1762</v>
      </c>
      <c r="AB369" s="11">
        <v>139</v>
      </c>
      <c r="AC369" s="69">
        <f t="shared" si="2449"/>
        <v>187</v>
      </c>
      <c r="AD369" s="69">
        <f t="shared" si="2450"/>
        <v>7</v>
      </c>
      <c r="AE369" s="11">
        <v>332</v>
      </c>
      <c r="AF369" s="12">
        <f t="shared" si="2403"/>
        <v>1.8342245989304813</v>
      </c>
      <c r="AG369" s="11">
        <v>11</v>
      </c>
      <c r="AH369" s="12">
        <f t="shared" si="2404"/>
        <v>3.2069970845481049E-2</v>
      </c>
      <c r="AI369" s="13"/>
      <c r="AJ369" s="13"/>
      <c r="AK369" s="25"/>
      <c r="AL369" s="38"/>
      <c r="AM369" s="10"/>
      <c r="AN369" s="11"/>
      <c r="AO369" s="69">
        <f t="shared" si="2451"/>
        <v>0</v>
      </c>
      <c r="AP369" s="69">
        <f t="shared" si="2452"/>
        <v>0</v>
      </c>
      <c r="AQ369" s="11"/>
      <c r="AR369" s="12" t="e">
        <f t="shared" si="2405"/>
        <v>#DIV/0!</v>
      </c>
      <c r="AS369" s="11"/>
      <c r="AT369" s="12" t="e">
        <f t="shared" si="2406"/>
        <v>#DIV/0!</v>
      </c>
      <c r="AU369" s="13"/>
      <c r="AV369" s="13"/>
      <c r="AW369" s="25"/>
      <c r="AX369" s="38"/>
      <c r="AY369" s="10"/>
      <c r="AZ369" s="11"/>
      <c r="BA369" s="69">
        <f t="shared" si="2453"/>
        <v>0</v>
      </c>
      <c r="BB369" s="69">
        <f t="shared" si="2454"/>
        <v>0</v>
      </c>
      <c r="BC369" s="11"/>
      <c r="BD369" s="12" t="e">
        <f t="shared" si="2407"/>
        <v>#DIV/0!</v>
      </c>
      <c r="BE369" s="11"/>
      <c r="BF369" s="12" t="e">
        <f t="shared" si="2408"/>
        <v>#DIV/0!</v>
      </c>
      <c r="BG369" s="13"/>
      <c r="BH369" s="13"/>
      <c r="BI369" s="25"/>
      <c r="BJ369" s="38"/>
      <c r="BK369" s="10"/>
      <c r="BL369" s="11"/>
      <c r="BM369" s="69">
        <f t="shared" si="2455"/>
        <v>0</v>
      </c>
      <c r="BN369" s="69">
        <f t="shared" si="2456"/>
        <v>0</v>
      </c>
      <c r="BO369" s="11"/>
      <c r="BP369" s="12" t="e">
        <f t="shared" si="2409"/>
        <v>#DIV/0!</v>
      </c>
      <c r="BQ369" s="11"/>
      <c r="BR369" s="12" t="e">
        <f t="shared" si="2410"/>
        <v>#DIV/0!</v>
      </c>
      <c r="BS369" s="13"/>
      <c r="BT369" s="13"/>
      <c r="BU369" s="25"/>
      <c r="BV369" s="38"/>
      <c r="BW369" s="10"/>
      <c r="BX369" s="11"/>
      <c r="BY369" s="69">
        <f t="shared" si="2457"/>
        <v>0</v>
      </c>
      <c r="BZ369" s="69">
        <f t="shared" si="2458"/>
        <v>0</v>
      </c>
      <c r="CA369" s="11"/>
      <c r="CB369" s="12" t="e">
        <f t="shared" si="2411"/>
        <v>#DIV/0!</v>
      </c>
      <c r="CC369" s="11"/>
      <c r="CD369" s="12" t="e">
        <f t="shared" si="2412"/>
        <v>#DIV/0!</v>
      </c>
      <c r="CE369" s="13"/>
      <c r="CF369" s="13"/>
      <c r="CG369" s="25"/>
      <c r="CH369" s="38"/>
      <c r="CI369" s="10"/>
      <c r="CJ369" s="11"/>
      <c r="CK369" s="69">
        <f t="shared" si="2459"/>
        <v>0</v>
      </c>
      <c r="CL369" s="69">
        <f t="shared" si="2460"/>
        <v>0</v>
      </c>
      <c r="CM369" s="11"/>
      <c r="CN369" s="12" t="e">
        <f t="shared" si="2413"/>
        <v>#DIV/0!</v>
      </c>
      <c r="CO369" s="11"/>
      <c r="CP369" s="12" t="e">
        <f t="shared" si="2414"/>
        <v>#DIV/0!</v>
      </c>
      <c r="CQ369" s="13"/>
      <c r="CR369" s="13"/>
      <c r="CS369" s="25"/>
      <c r="CT369" s="38"/>
      <c r="CU369" s="10"/>
      <c r="CV369" s="11"/>
      <c r="CW369" s="69">
        <f t="shared" si="2461"/>
        <v>0</v>
      </c>
      <c r="CX369" s="69">
        <f t="shared" si="2462"/>
        <v>0</v>
      </c>
      <c r="CY369" s="11"/>
      <c r="CZ369" s="12" t="e">
        <f t="shared" si="2415"/>
        <v>#DIV/0!</v>
      </c>
      <c r="DA369" s="11"/>
      <c r="DB369" s="12" t="e">
        <f t="shared" si="2416"/>
        <v>#DIV/0!</v>
      </c>
      <c r="DC369" s="13"/>
      <c r="DD369" s="13"/>
      <c r="DE369" s="25"/>
      <c r="DF369" s="38"/>
      <c r="DG369" s="10"/>
      <c r="DH369" s="11"/>
      <c r="DI369" s="69">
        <f t="shared" si="2463"/>
        <v>0</v>
      </c>
      <c r="DJ369" s="69">
        <f t="shared" si="2464"/>
        <v>0</v>
      </c>
      <c r="DK369" s="11"/>
      <c r="DL369" s="12" t="e">
        <f t="shared" si="2417"/>
        <v>#DIV/0!</v>
      </c>
      <c r="DM369" s="11"/>
      <c r="DN369" s="12" t="e">
        <f t="shared" si="2418"/>
        <v>#DIV/0!</v>
      </c>
      <c r="DO369" s="13"/>
      <c r="DP369" s="13"/>
      <c r="DQ369" s="25"/>
      <c r="DR369" s="38"/>
      <c r="DS369" s="10"/>
      <c r="DT369" s="11"/>
      <c r="DU369" s="69">
        <f t="shared" si="2465"/>
        <v>0</v>
      </c>
      <c r="DV369" s="69">
        <f t="shared" si="2466"/>
        <v>0</v>
      </c>
      <c r="DW369" s="11"/>
      <c r="DX369" s="12" t="e">
        <f t="shared" si="2419"/>
        <v>#DIV/0!</v>
      </c>
      <c r="DY369" s="11"/>
      <c r="DZ369" s="12" t="e">
        <f t="shared" si="2420"/>
        <v>#DIV/0!</v>
      </c>
      <c r="EA369" s="13"/>
      <c r="EB369" s="13"/>
      <c r="EC369" s="25"/>
      <c r="ED369" s="38"/>
      <c r="EE369" s="10"/>
      <c r="EF369" s="11"/>
      <c r="EG369" s="69">
        <f t="shared" si="2467"/>
        <v>0</v>
      </c>
      <c r="EH369" s="69">
        <f t="shared" si="2468"/>
        <v>0</v>
      </c>
      <c r="EI369" s="11"/>
      <c r="EJ369" s="12" t="e">
        <f t="shared" si="2421"/>
        <v>#DIV/0!</v>
      </c>
      <c r="EK369" s="11"/>
      <c r="EL369" s="12" t="e">
        <f t="shared" si="2422"/>
        <v>#DIV/0!</v>
      </c>
      <c r="EM369" s="13"/>
      <c r="EN369" s="13"/>
      <c r="EO369" s="25"/>
      <c r="EP369" s="38"/>
      <c r="EQ369" s="10"/>
      <c r="ER369" s="11"/>
      <c r="ES369" s="69">
        <f t="shared" si="2469"/>
        <v>0</v>
      </c>
      <c r="ET369" s="69">
        <f t="shared" si="2470"/>
        <v>0</v>
      </c>
      <c r="EU369" s="11"/>
      <c r="EV369" s="12" t="e">
        <f t="shared" si="2423"/>
        <v>#DIV/0!</v>
      </c>
      <c r="EW369" s="11"/>
      <c r="EX369" s="12" t="e">
        <f t="shared" si="2424"/>
        <v>#DIV/0!</v>
      </c>
      <c r="EY369" s="13"/>
      <c r="EZ369" s="13"/>
      <c r="FA369" s="25"/>
      <c r="FB369" s="38"/>
      <c r="FC369" s="10"/>
      <c r="FD369" s="11"/>
      <c r="FE369" s="69">
        <f t="shared" si="2471"/>
        <v>0</v>
      </c>
      <c r="FF369" s="69">
        <f t="shared" si="2472"/>
        <v>0</v>
      </c>
      <c r="FG369" s="11"/>
      <c r="FH369" s="12" t="e">
        <f t="shared" si="2425"/>
        <v>#DIV/0!</v>
      </c>
      <c r="FI369" s="11"/>
      <c r="FJ369" s="12" t="e">
        <f t="shared" si="2426"/>
        <v>#DIV/0!</v>
      </c>
      <c r="FK369" s="13"/>
      <c r="FL369" s="13"/>
      <c r="FM369" s="25"/>
      <c r="FN369" s="38"/>
      <c r="FO369" s="10"/>
      <c r="FP369" s="11"/>
      <c r="FQ369" s="69">
        <f t="shared" si="2473"/>
        <v>0</v>
      </c>
      <c r="FR369" s="69">
        <f t="shared" si="2474"/>
        <v>0</v>
      </c>
      <c r="FS369" s="11"/>
      <c r="FT369" s="12" t="e">
        <f t="shared" si="2427"/>
        <v>#DIV/0!</v>
      </c>
      <c r="FU369" s="11"/>
      <c r="FV369" s="12" t="e">
        <f t="shared" si="2428"/>
        <v>#DIV/0!</v>
      </c>
      <c r="FW369" s="13"/>
      <c r="FX369" s="13"/>
      <c r="FY369" s="25"/>
      <c r="FZ369" s="38"/>
      <c r="GA369" s="10"/>
      <c r="GB369" s="11"/>
      <c r="GC369" s="69">
        <f t="shared" si="2475"/>
        <v>0</v>
      </c>
      <c r="GD369" s="69">
        <f t="shared" si="2476"/>
        <v>0</v>
      </c>
      <c r="GE369" s="11"/>
      <c r="GF369" s="12" t="e">
        <f t="shared" si="2429"/>
        <v>#DIV/0!</v>
      </c>
      <c r="GG369" s="11"/>
      <c r="GH369" s="12" t="e">
        <f t="shared" si="2430"/>
        <v>#DIV/0!</v>
      </c>
      <c r="GI369" s="13"/>
      <c r="GJ369" s="13"/>
      <c r="GK369" s="25"/>
      <c r="GL369" s="38"/>
      <c r="GM369" s="10"/>
      <c r="GN369" s="11"/>
      <c r="GO369" s="69">
        <f t="shared" si="2477"/>
        <v>0</v>
      </c>
      <c r="GP369" s="69">
        <f t="shared" si="2478"/>
        <v>0</v>
      </c>
      <c r="GQ369" s="11"/>
      <c r="GR369" s="12" t="e">
        <f t="shared" si="2431"/>
        <v>#DIV/0!</v>
      </c>
      <c r="GS369" s="11"/>
      <c r="GT369" s="12" t="e">
        <f t="shared" si="2432"/>
        <v>#DIV/0!</v>
      </c>
      <c r="GU369" s="13"/>
      <c r="GV369" s="13"/>
      <c r="GW369" s="25"/>
      <c r="GX369" s="38"/>
      <c r="GY369" s="10"/>
      <c r="GZ369" s="11"/>
      <c r="HA369" s="69">
        <f t="shared" si="2479"/>
        <v>0</v>
      </c>
      <c r="HB369" s="69">
        <f t="shared" si="2480"/>
        <v>0</v>
      </c>
      <c r="HC369" s="11"/>
      <c r="HD369" s="12" t="e">
        <f t="shared" si="2433"/>
        <v>#DIV/0!</v>
      </c>
      <c r="HE369" s="11"/>
      <c r="HF369" s="12" t="e">
        <f t="shared" si="2434"/>
        <v>#DIV/0!</v>
      </c>
      <c r="HG369" s="13"/>
      <c r="HH369" s="13"/>
      <c r="HI369" s="25"/>
      <c r="HJ369" s="38"/>
      <c r="HK369" s="10">
        <f t="shared" si="2435"/>
        <v>1774</v>
      </c>
      <c r="HL369" s="11">
        <f t="shared" si="2436"/>
        <v>139</v>
      </c>
      <c r="HM369" s="341">
        <f t="shared" si="2437"/>
        <v>1433</v>
      </c>
      <c r="HN369" s="341">
        <f t="shared" si="2438"/>
        <v>101</v>
      </c>
      <c r="HO369" s="11">
        <f t="shared" si="2439"/>
        <v>591</v>
      </c>
      <c r="HP369" s="95">
        <f t="shared" si="2440"/>
        <v>0.41242149337055128</v>
      </c>
      <c r="HQ369" s="15">
        <f t="shared" si="2441"/>
        <v>25</v>
      </c>
      <c r="HR369" s="12">
        <f t="shared" si="2481"/>
        <v>4.2301184433164128E-2</v>
      </c>
      <c r="HS369" s="16">
        <v>74.400000000000006</v>
      </c>
      <c r="HT369" s="17">
        <v>531</v>
      </c>
      <c r="HU369" s="16">
        <f t="shared" si="2442"/>
        <v>89.847715736040612</v>
      </c>
      <c r="HV369" s="23"/>
      <c r="HW369" s="22"/>
    </row>
    <row r="370" spans="1:231" ht="18.75" x14ac:dyDescent="0.25">
      <c r="A370" s="374"/>
      <c r="B370" s="41">
        <f t="shared" si="2443"/>
        <v>45226</v>
      </c>
      <c r="C370" s="10">
        <v>1136</v>
      </c>
      <c r="D370" s="11">
        <v>85</v>
      </c>
      <c r="E370" s="69">
        <f t="shared" si="2444"/>
        <v>6</v>
      </c>
      <c r="F370" s="69">
        <f t="shared" si="2445"/>
        <v>1</v>
      </c>
      <c r="G370" s="11">
        <v>251</v>
      </c>
      <c r="H370" s="12">
        <f t="shared" si="2400"/>
        <v>41.833333333333336</v>
      </c>
      <c r="I370" s="11"/>
      <c r="J370" s="12">
        <f t="shared" si="2446"/>
        <v>0</v>
      </c>
      <c r="K370" s="13"/>
      <c r="L370" s="11"/>
      <c r="M370" s="25"/>
      <c r="N370" s="38"/>
      <c r="O370" s="10">
        <v>104</v>
      </c>
      <c r="P370" s="11">
        <v>8</v>
      </c>
      <c r="Q370" s="69">
        <f t="shared" si="2447"/>
        <v>0</v>
      </c>
      <c r="R370" s="69">
        <f t="shared" si="2448"/>
        <v>0</v>
      </c>
      <c r="S370" s="11"/>
      <c r="T370" s="12" t="e">
        <f t="shared" si="2401"/>
        <v>#DIV/0!</v>
      </c>
      <c r="U370" s="11"/>
      <c r="V370" s="12" t="e">
        <f t="shared" si="2402"/>
        <v>#DIV/0!</v>
      </c>
      <c r="W370" s="13"/>
      <c r="X370" s="11"/>
      <c r="Y370" s="25"/>
      <c r="Z370" s="38"/>
      <c r="AA370" s="10">
        <v>187</v>
      </c>
      <c r="AB370" s="11">
        <v>7</v>
      </c>
      <c r="AC370" s="69">
        <f t="shared" si="2449"/>
        <v>0</v>
      </c>
      <c r="AD370" s="69">
        <f t="shared" si="2450"/>
        <v>0</v>
      </c>
      <c r="AE370" s="11"/>
      <c r="AF370" s="12" t="e">
        <f t="shared" si="2403"/>
        <v>#DIV/0!</v>
      </c>
      <c r="AG370" s="11"/>
      <c r="AH370" s="12" t="e">
        <f t="shared" si="2404"/>
        <v>#DIV/0!</v>
      </c>
      <c r="AI370" s="13"/>
      <c r="AJ370" s="11"/>
      <c r="AK370" s="25"/>
      <c r="AL370" s="38"/>
      <c r="AM370" s="10"/>
      <c r="AN370" s="11"/>
      <c r="AO370" s="69">
        <f t="shared" si="2451"/>
        <v>0</v>
      </c>
      <c r="AP370" s="69">
        <f t="shared" si="2452"/>
        <v>0</v>
      </c>
      <c r="AQ370" s="11"/>
      <c r="AR370" s="12" t="e">
        <f t="shared" si="2405"/>
        <v>#DIV/0!</v>
      </c>
      <c r="AS370" s="11"/>
      <c r="AT370" s="12" t="e">
        <f t="shared" si="2406"/>
        <v>#DIV/0!</v>
      </c>
      <c r="AU370" s="13"/>
      <c r="AV370" s="11"/>
      <c r="AW370" s="25"/>
      <c r="AX370" s="38"/>
      <c r="AY370" s="10"/>
      <c r="AZ370" s="11"/>
      <c r="BA370" s="69">
        <f t="shared" si="2453"/>
        <v>0</v>
      </c>
      <c r="BB370" s="69">
        <f t="shared" si="2454"/>
        <v>0</v>
      </c>
      <c r="BC370" s="11"/>
      <c r="BD370" s="12" t="e">
        <f t="shared" si="2407"/>
        <v>#DIV/0!</v>
      </c>
      <c r="BE370" s="11"/>
      <c r="BF370" s="12" t="e">
        <f t="shared" si="2408"/>
        <v>#DIV/0!</v>
      </c>
      <c r="BG370" s="13"/>
      <c r="BH370" s="11"/>
      <c r="BI370" s="25"/>
      <c r="BJ370" s="38"/>
      <c r="BK370" s="10"/>
      <c r="BL370" s="11"/>
      <c r="BM370" s="69">
        <f t="shared" si="2455"/>
        <v>0</v>
      </c>
      <c r="BN370" s="69">
        <f t="shared" si="2456"/>
        <v>0</v>
      </c>
      <c r="BO370" s="11"/>
      <c r="BP370" s="12" t="e">
        <f t="shared" si="2409"/>
        <v>#DIV/0!</v>
      </c>
      <c r="BQ370" s="11"/>
      <c r="BR370" s="12" t="e">
        <f t="shared" si="2410"/>
        <v>#DIV/0!</v>
      </c>
      <c r="BS370" s="13"/>
      <c r="BT370" s="11"/>
      <c r="BU370" s="25"/>
      <c r="BV370" s="38"/>
      <c r="BW370" s="10"/>
      <c r="BX370" s="11"/>
      <c r="BY370" s="69">
        <f t="shared" si="2457"/>
        <v>0</v>
      </c>
      <c r="BZ370" s="69">
        <f t="shared" si="2458"/>
        <v>0</v>
      </c>
      <c r="CA370" s="11"/>
      <c r="CB370" s="12" t="e">
        <f t="shared" si="2411"/>
        <v>#DIV/0!</v>
      </c>
      <c r="CC370" s="11"/>
      <c r="CD370" s="12" t="e">
        <f t="shared" si="2412"/>
        <v>#DIV/0!</v>
      </c>
      <c r="CE370" s="13"/>
      <c r="CF370" s="11"/>
      <c r="CG370" s="25"/>
      <c r="CH370" s="38"/>
      <c r="CI370" s="10"/>
      <c r="CJ370" s="11"/>
      <c r="CK370" s="69">
        <f t="shared" si="2459"/>
        <v>0</v>
      </c>
      <c r="CL370" s="69">
        <f t="shared" si="2460"/>
        <v>0</v>
      </c>
      <c r="CM370" s="11"/>
      <c r="CN370" s="12" t="e">
        <f t="shared" si="2413"/>
        <v>#DIV/0!</v>
      </c>
      <c r="CO370" s="11"/>
      <c r="CP370" s="12" t="e">
        <f t="shared" si="2414"/>
        <v>#DIV/0!</v>
      </c>
      <c r="CQ370" s="13"/>
      <c r="CR370" s="11"/>
      <c r="CS370" s="25"/>
      <c r="CT370" s="38"/>
      <c r="CU370" s="10"/>
      <c r="CV370" s="11"/>
      <c r="CW370" s="69">
        <f t="shared" si="2461"/>
        <v>0</v>
      </c>
      <c r="CX370" s="69">
        <f t="shared" si="2462"/>
        <v>0</v>
      </c>
      <c r="CY370" s="11"/>
      <c r="CZ370" s="12" t="e">
        <f t="shared" si="2415"/>
        <v>#DIV/0!</v>
      </c>
      <c r="DA370" s="11"/>
      <c r="DB370" s="12" t="e">
        <f t="shared" si="2416"/>
        <v>#DIV/0!</v>
      </c>
      <c r="DC370" s="13"/>
      <c r="DD370" s="11"/>
      <c r="DE370" s="25"/>
      <c r="DF370" s="38"/>
      <c r="DG370" s="10"/>
      <c r="DH370" s="11"/>
      <c r="DI370" s="69">
        <f t="shared" si="2463"/>
        <v>0</v>
      </c>
      <c r="DJ370" s="69">
        <f t="shared" si="2464"/>
        <v>0</v>
      </c>
      <c r="DK370" s="11"/>
      <c r="DL370" s="12" t="e">
        <f t="shared" si="2417"/>
        <v>#DIV/0!</v>
      </c>
      <c r="DM370" s="11"/>
      <c r="DN370" s="12" t="e">
        <f t="shared" si="2418"/>
        <v>#DIV/0!</v>
      </c>
      <c r="DO370" s="13"/>
      <c r="DP370" s="11"/>
      <c r="DQ370" s="25"/>
      <c r="DR370" s="38"/>
      <c r="DS370" s="10"/>
      <c r="DT370" s="11"/>
      <c r="DU370" s="69">
        <f t="shared" si="2465"/>
        <v>0</v>
      </c>
      <c r="DV370" s="69">
        <f t="shared" si="2466"/>
        <v>0</v>
      </c>
      <c r="DW370" s="11"/>
      <c r="DX370" s="12" t="e">
        <f t="shared" si="2419"/>
        <v>#DIV/0!</v>
      </c>
      <c r="DY370" s="11"/>
      <c r="DZ370" s="12" t="e">
        <f t="shared" si="2420"/>
        <v>#DIV/0!</v>
      </c>
      <c r="EA370" s="13"/>
      <c r="EB370" s="11"/>
      <c r="EC370" s="25"/>
      <c r="ED370" s="38"/>
      <c r="EE370" s="10"/>
      <c r="EF370" s="11"/>
      <c r="EG370" s="69">
        <f t="shared" si="2467"/>
        <v>0</v>
      </c>
      <c r="EH370" s="69">
        <f t="shared" si="2468"/>
        <v>0</v>
      </c>
      <c r="EI370" s="11"/>
      <c r="EJ370" s="12" t="e">
        <f t="shared" si="2421"/>
        <v>#DIV/0!</v>
      </c>
      <c r="EK370" s="11"/>
      <c r="EL370" s="12" t="e">
        <f t="shared" si="2422"/>
        <v>#DIV/0!</v>
      </c>
      <c r="EM370" s="13"/>
      <c r="EN370" s="11"/>
      <c r="EO370" s="25"/>
      <c r="EP370" s="38"/>
      <c r="EQ370" s="10"/>
      <c r="ER370" s="11"/>
      <c r="ES370" s="69">
        <f t="shared" si="2469"/>
        <v>0</v>
      </c>
      <c r="ET370" s="69">
        <f t="shared" si="2470"/>
        <v>0</v>
      </c>
      <c r="EU370" s="11"/>
      <c r="EV370" s="12" t="e">
        <f t="shared" si="2423"/>
        <v>#DIV/0!</v>
      </c>
      <c r="EW370" s="11"/>
      <c r="EX370" s="12" t="e">
        <f t="shared" si="2424"/>
        <v>#DIV/0!</v>
      </c>
      <c r="EY370" s="13"/>
      <c r="EZ370" s="11"/>
      <c r="FA370" s="25"/>
      <c r="FB370" s="38"/>
      <c r="FC370" s="10"/>
      <c r="FD370" s="11"/>
      <c r="FE370" s="69">
        <f t="shared" si="2471"/>
        <v>0</v>
      </c>
      <c r="FF370" s="69">
        <f t="shared" si="2472"/>
        <v>0</v>
      </c>
      <c r="FG370" s="11"/>
      <c r="FH370" s="12" t="e">
        <f t="shared" si="2425"/>
        <v>#DIV/0!</v>
      </c>
      <c r="FI370" s="11"/>
      <c r="FJ370" s="12" t="e">
        <f t="shared" si="2426"/>
        <v>#DIV/0!</v>
      </c>
      <c r="FK370" s="13"/>
      <c r="FL370" s="11"/>
      <c r="FM370" s="25"/>
      <c r="FN370" s="38"/>
      <c r="FO370" s="10"/>
      <c r="FP370" s="11"/>
      <c r="FQ370" s="69">
        <f t="shared" si="2473"/>
        <v>0</v>
      </c>
      <c r="FR370" s="69">
        <f t="shared" si="2474"/>
        <v>0</v>
      </c>
      <c r="FS370" s="11"/>
      <c r="FT370" s="12" t="e">
        <f t="shared" si="2427"/>
        <v>#DIV/0!</v>
      </c>
      <c r="FU370" s="11"/>
      <c r="FV370" s="12" t="e">
        <f t="shared" si="2428"/>
        <v>#DIV/0!</v>
      </c>
      <c r="FW370" s="13"/>
      <c r="FX370" s="11"/>
      <c r="FY370" s="25"/>
      <c r="FZ370" s="38"/>
      <c r="GA370" s="10"/>
      <c r="GB370" s="11"/>
      <c r="GC370" s="69">
        <f t="shared" si="2475"/>
        <v>0</v>
      </c>
      <c r="GD370" s="69">
        <f t="shared" si="2476"/>
        <v>0</v>
      </c>
      <c r="GE370" s="11"/>
      <c r="GF370" s="12" t="e">
        <f t="shared" si="2429"/>
        <v>#DIV/0!</v>
      </c>
      <c r="GG370" s="11"/>
      <c r="GH370" s="12" t="e">
        <f t="shared" si="2430"/>
        <v>#DIV/0!</v>
      </c>
      <c r="GI370" s="13"/>
      <c r="GJ370" s="11"/>
      <c r="GK370" s="25"/>
      <c r="GL370" s="38"/>
      <c r="GM370" s="10"/>
      <c r="GN370" s="11"/>
      <c r="GO370" s="69">
        <f t="shared" si="2477"/>
        <v>0</v>
      </c>
      <c r="GP370" s="69">
        <f t="shared" si="2478"/>
        <v>0</v>
      </c>
      <c r="GQ370" s="11"/>
      <c r="GR370" s="12" t="e">
        <f t="shared" si="2431"/>
        <v>#DIV/0!</v>
      </c>
      <c r="GS370" s="11"/>
      <c r="GT370" s="12" t="e">
        <f t="shared" si="2432"/>
        <v>#DIV/0!</v>
      </c>
      <c r="GU370" s="13"/>
      <c r="GV370" s="11"/>
      <c r="GW370" s="25"/>
      <c r="GX370" s="38"/>
      <c r="GY370" s="10"/>
      <c r="GZ370" s="11"/>
      <c r="HA370" s="69">
        <f t="shared" si="2479"/>
        <v>0</v>
      </c>
      <c r="HB370" s="69">
        <f t="shared" si="2480"/>
        <v>0</v>
      </c>
      <c r="HC370" s="11"/>
      <c r="HD370" s="12" t="e">
        <f t="shared" si="2433"/>
        <v>#DIV/0!</v>
      </c>
      <c r="HE370" s="11"/>
      <c r="HF370" s="12" t="e">
        <f t="shared" si="2434"/>
        <v>#DIV/0!</v>
      </c>
      <c r="HG370" s="13"/>
      <c r="HH370" s="11"/>
      <c r="HI370" s="25"/>
      <c r="HJ370" s="38"/>
      <c r="HK370" s="10">
        <f t="shared" si="2435"/>
        <v>1427</v>
      </c>
      <c r="HL370" s="11">
        <f t="shared" si="2436"/>
        <v>100</v>
      </c>
      <c r="HM370" s="341">
        <f t="shared" si="2437"/>
        <v>6</v>
      </c>
      <c r="HN370" s="341">
        <f t="shared" si="2438"/>
        <v>1</v>
      </c>
      <c r="HO370" s="11">
        <f t="shared" si="2439"/>
        <v>251</v>
      </c>
      <c r="HP370" s="95">
        <f t="shared" si="2440"/>
        <v>41.833333333333336</v>
      </c>
      <c r="HQ370" s="15">
        <f t="shared" si="2441"/>
        <v>0</v>
      </c>
      <c r="HR370" s="12">
        <f t="shared" si="2481"/>
        <v>0</v>
      </c>
      <c r="HS370" s="16"/>
      <c r="HT370" s="17"/>
      <c r="HU370" s="16">
        <f t="shared" si="2442"/>
        <v>0</v>
      </c>
      <c r="HV370" s="23"/>
      <c r="HW370" s="22"/>
    </row>
    <row r="371" spans="1:231" ht="18.75" x14ac:dyDescent="0.25">
      <c r="A371" s="374"/>
      <c r="B371" s="41">
        <f>+B370+1</f>
        <v>45227</v>
      </c>
      <c r="C371" s="10"/>
      <c r="D371" s="11"/>
      <c r="E371" s="69">
        <f>E370-C371</f>
        <v>6</v>
      </c>
      <c r="F371" s="69">
        <f>F370-D371</f>
        <v>1</v>
      </c>
      <c r="G371" s="11"/>
      <c r="H371" s="12">
        <f t="shared" si="2400"/>
        <v>0</v>
      </c>
      <c r="I371" s="11"/>
      <c r="J371" s="12" t="e">
        <f t="shared" si="2446"/>
        <v>#DIV/0!</v>
      </c>
      <c r="K371" s="13"/>
      <c r="L371" s="11"/>
      <c r="M371" s="39"/>
      <c r="N371" s="43"/>
      <c r="O371" s="10"/>
      <c r="P371" s="11"/>
      <c r="Q371" s="69">
        <f t="shared" si="2447"/>
        <v>0</v>
      </c>
      <c r="R371" s="69">
        <f t="shared" si="2448"/>
        <v>0</v>
      </c>
      <c r="S371" s="11"/>
      <c r="T371" s="12" t="e">
        <f t="shared" si="2401"/>
        <v>#DIV/0!</v>
      </c>
      <c r="U371" s="11"/>
      <c r="V371" s="12" t="e">
        <f t="shared" si="2402"/>
        <v>#DIV/0!</v>
      </c>
      <c r="W371" s="13"/>
      <c r="X371" s="11"/>
      <c r="Y371" s="39"/>
      <c r="Z371" s="43"/>
      <c r="AA371" s="10"/>
      <c r="AB371" s="11"/>
      <c r="AC371" s="69">
        <f t="shared" si="2449"/>
        <v>0</v>
      </c>
      <c r="AD371" s="69">
        <f t="shared" si="2450"/>
        <v>0</v>
      </c>
      <c r="AE371" s="11"/>
      <c r="AF371" s="12" t="e">
        <f t="shared" si="2403"/>
        <v>#DIV/0!</v>
      </c>
      <c r="AG371" s="11"/>
      <c r="AH371" s="12" t="e">
        <f t="shared" si="2404"/>
        <v>#DIV/0!</v>
      </c>
      <c r="AI371" s="13"/>
      <c r="AJ371" s="11"/>
      <c r="AK371" s="39"/>
      <c r="AL371" s="43"/>
      <c r="AM371" s="10"/>
      <c r="AN371" s="11"/>
      <c r="AO371" s="69">
        <f t="shared" si="2451"/>
        <v>0</v>
      </c>
      <c r="AP371" s="69">
        <f t="shared" si="2452"/>
        <v>0</v>
      </c>
      <c r="AQ371" s="11"/>
      <c r="AR371" s="12" t="e">
        <f t="shared" si="2405"/>
        <v>#DIV/0!</v>
      </c>
      <c r="AS371" s="11"/>
      <c r="AT371" s="12" t="e">
        <f t="shared" si="2406"/>
        <v>#DIV/0!</v>
      </c>
      <c r="AU371" s="13"/>
      <c r="AV371" s="11"/>
      <c r="AW371" s="39"/>
      <c r="AX371" s="43"/>
      <c r="AY371" s="10"/>
      <c r="AZ371" s="11"/>
      <c r="BA371" s="69">
        <f t="shared" si="2453"/>
        <v>0</v>
      </c>
      <c r="BB371" s="69">
        <f t="shared" si="2454"/>
        <v>0</v>
      </c>
      <c r="BC371" s="11"/>
      <c r="BD371" s="12" t="e">
        <f t="shared" si="2407"/>
        <v>#DIV/0!</v>
      </c>
      <c r="BE371" s="11"/>
      <c r="BF371" s="12" t="e">
        <f t="shared" si="2408"/>
        <v>#DIV/0!</v>
      </c>
      <c r="BG371" s="13"/>
      <c r="BH371" s="11"/>
      <c r="BI371" s="39"/>
      <c r="BJ371" s="43"/>
      <c r="BK371" s="10"/>
      <c r="BL371" s="11"/>
      <c r="BM371" s="69">
        <f t="shared" si="2455"/>
        <v>0</v>
      </c>
      <c r="BN371" s="69">
        <f t="shared" si="2456"/>
        <v>0</v>
      </c>
      <c r="BO371" s="11"/>
      <c r="BP371" s="12" t="e">
        <f t="shared" si="2409"/>
        <v>#DIV/0!</v>
      </c>
      <c r="BQ371" s="11"/>
      <c r="BR371" s="12" t="e">
        <f t="shared" si="2410"/>
        <v>#DIV/0!</v>
      </c>
      <c r="BS371" s="13"/>
      <c r="BT371" s="11"/>
      <c r="BU371" s="39"/>
      <c r="BV371" s="43"/>
      <c r="BW371" s="10"/>
      <c r="BX371" s="11"/>
      <c r="BY371" s="69">
        <f t="shared" si="2457"/>
        <v>0</v>
      </c>
      <c r="BZ371" s="69">
        <f t="shared" si="2458"/>
        <v>0</v>
      </c>
      <c r="CA371" s="11"/>
      <c r="CB371" s="12" t="e">
        <f t="shared" si="2411"/>
        <v>#DIV/0!</v>
      </c>
      <c r="CC371" s="11"/>
      <c r="CD371" s="12" t="e">
        <f t="shared" si="2412"/>
        <v>#DIV/0!</v>
      </c>
      <c r="CE371" s="13"/>
      <c r="CF371" s="11"/>
      <c r="CG371" s="39"/>
      <c r="CH371" s="43"/>
      <c r="CI371" s="10"/>
      <c r="CJ371" s="11"/>
      <c r="CK371" s="69">
        <f t="shared" si="2459"/>
        <v>0</v>
      </c>
      <c r="CL371" s="69">
        <f t="shared" si="2460"/>
        <v>0</v>
      </c>
      <c r="CM371" s="11"/>
      <c r="CN371" s="12" t="e">
        <f t="shared" si="2413"/>
        <v>#DIV/0!</v>
      </c>
      <c r="CO371" s="11"/>
      <c r="CP371" s="12" t="e">
        <f t="shared" si="2414"/>
        <v>#DIV/0!</v>
      </c>
      <c r="CQ371" s="13"/>
      <c r="CR371" s="11"/>
      <c r="CS371" s="39"/>
      <c r="CT371" s="43"/>
      <c r="CU371" s="10"/>
      <c r="CV371" s="11"/>
      <c r="CW371" s="69">
        <f t="shared" si="2461"/>
        <v>0</v>
      </c>
      <c r="CX371" s="69">
        <f t="shared" si="2462"/>
        <v>0</v>
      </c>
      <c r="CY371" s="11"/>
      <c r="CZ371" s="12" t="e">
        <f t="shared" si="2415"/>
        <v>#DIV/0!</v>
      </c>
      <c r="DA371" s="11"/>
      <c r="DB371" s="12" t="e">
        <f t="shared" si="2416"/>
        <v>#DIV/0!</v>
      </c>
      <c r="DC371" s="13"/>
      <c r="DD371" s="11"/>
      <c r="DE371" s="39"/>
      <c r="DF371" s="43"/>
      <c r="DG371" s="10"/>
      <c r="DH371" s="11"/>
      <c r="DI371" s="69">
        <f t="shared" si="2463"/>
        <v>0</v>
      </c>
      <c r="DJ371" s="69">
        <f t="shared" si="2464"/>
        <v>0</v>
      </c>
      <c r="DK371" s="11"/>
      <c r="DL371" s="12" t="e">
        <f t="shared" si="2417"/>
        <v>#DIV/0!</v>
      </c>
      <c r="DM371" s="11"/>
      <c r="DN371" s="12" t="e">
        <f t="shared" si="2418"/>
        <v>#DIV/0!</v>
      </c>
      <c r="DO371" s="13"/>
      <c r="DP371" s="11"/>
      <c r="DQ371" s="39"/>
      <c r="DR371" s="43"/>
      <c r="DS371" s="10"/>
      <c r="DT371" s="11"/>
      <c r="DU371" s="69">
        <f t="shared" si="2465"/>
        <v>0</v>
      </c>
      <c r="DV371" s="69">
        <f t="shared" si="2466"/>
        <v>0</v>
      </c>
      <c r="DW371" s="11"/>
      <c r="DX371" s="12" t="e">
        <f t="shared" si="2419"/>
        <v>#DIV/0!</v>
      </c>
      <c r="DY371" s="11"/>
      <c r="DZ371" s="12" t="e">
        <f t="shared" si="2420"/>
        <v>#DIV/0!</v>
      </c>
      <c r="EA371" s="13"/>
      <c r="EB371" s="11"/>
      <c r="EC371" s="39"/>
      <c r="ED371" s="43"/>
      <c r="EE371" s="10"/>
      <c r="EF371" s="11"/>
      <c r="EG371" s="69">
        <f t="shared" si="2467"/>
        <v>0</v>
      </c>
      <c r="EH371" s="69">
        <f t="shared" si="2468"/>
        <v>0</v>
      </c>
      <c r="EI371" s="11"/>
      <c r="EJ371" s="12" t="e">
        <f t="shared" si="2421"/>
        <v>#DIV/0!</v>
      </c>
      <c r="EK371" s="11"/>
      <c r="EL371" s="12" t="e">
        <f t="shared" si="2422"/>
        <v>#DIV/0!</v>
      </c>
      <c r="EM371" s="13"/>
      <c r="EN371" s="11"/>
      <c r="EO371" s="39"/>
      <c r="EP371" s="43"/>
      <c r="EQ371" s="10"/>
      <c r="ER371" s="11"/>
      <c r="ES371" s="69">
        <f t="shared" si="2469"/>
        <v>0</v>
      </c>
      <c r="ET371" s="69">
        <f t="shared" si="2470"/>
        <v>0</v>
      </c>
      <c r="EU371" s="11"/>
      <c r="EV371" s="12" t="e">
        <f t="shared" si="2423"/>
        <v>#DIV/0!</v>
      </c>
      <c r="EW371" s="11"/>
      <c r="EX371" s="12" t="e">
        <f t="shared" si="2424"/>
        <v>#DIV/0!</v>
      </c>
      <c r="EY371" s="13"/>
      <c r="EZ371" s="11"/>
      <c r="FA371" s="39"/>
      <c r="FB371" s="43"/>
      <c r="FC371" s="10"/>
      <c r="FD371" s="11"/>
      <c r="FE371" s="69">
        <f t="shared" si="2471"/>
        <v>0</v>
      </c>
      <c r="FF371" s="69">
        <f t="shared" si="2472"/>
        <v>0</v>
      </c>
      <c r="FG371" s="11"/>
      <c r="FH371" s="12" t="e">
        <f t="shared" si="2425"/>
        <v>#DIV/0!</v>
      </c>
      <c r="FI371" s="11"/>
      <c r="FJ371" s="12" t="e">
        <f t="shared" si="2426"/>
        <v>#DIV/0!</v>
      </c>
      <c r="FK371" s="13"/>
      <c r="FL371" s="11"/>
      <c r="FM371" s="39"/>
      <c r="FN371" s="43"/>
      <c r="FO371" s="10"/>
      <c r="FP371" s="11"/>
      <c r="FQ371" s="69">
        <f t="shared" si="2473"/>
        <v>0</v>
      </c>
      <c r="FR371" s="69">
        <f t="shared" si="2474"/>
        <v>0</v>
      </c>
      <c r="FS371" s="11"/>
      <c r="FT371" s="12" t="e">
        <f t="shared" si="2427"/>
        <v>#DIV/0!</v>
      </c>
      <c r="FU371" s="11"/>
      <c r="FV371" s="12" t="e">
        <f t="shared" si="2428"/>
        <v>#DIV/0!</v>
      </c>
      <c r="FW371" s="13"/>
      <c r="FX371" s="11"/>
      <c r="FY371" s="39"/>
      <c r="FZ371" s="43"/>
      <c r="GA371" s="10"/>
      <c r="GB371" s="11"/>
      <c r="GC371" s="69">
        <f t="shared" si="2475"/>
        <v>0</v>
      </c>
      <c r="GD371" s="69">
        <f t="shared" si="2476"/>
        <v>0</v>
      </c>
      <c r="GE371" s="11"/>
      <c r="GF371" s="12" t="e">
        <f t="shared" si="2429"/>
        <v>#DIV/0!</v>
      </c>
      <c r="GG371" s="11"/>
      <c r="GH371" s="12" t="e">
        <f t="shared" si="2430"/>
        <v>#DIV/0!</v>
      </c>
      <c r="GI371" s="13"/>
      <c r="GJ371" s="11"/>
      <c r="GK371" s="39"/>
      <c r="GL371" s="43"/>
      <c r="GM371" s="10"/>
      <c r="GN371" s="11"/>
      <c r="GO371" s="69">
        <f t="shared" si="2477"/>
        <v>0</v>
      </c>
      <c r="GP371" s="69">
        <f t="shared" si="2478"/>
        <v>0</v>
      </c>
      <c r="GQ371" s="11"/>
      <c r="GR371" s="12" t="e">
        <f t="shared" si="2431"/>
        <v>#DIV/0!</v>
      </c>
      <c r="GS371" s="11"/>
      <c r="GT371" s="12" t="e">
        <f t="shared" si="2432"/>
        <v>#DIV/0!</v>
      </c>
      <c r="GU371" s="13"/>
      <c r="GV371" s="11"/>
      <c r="GW371" s="39"/>
      <c r="GX371" s="43"/>
      <c r="GY371" s="10"/>
      <c r="GZ371" s="11"/>
      <c r="HA371" s="69">
        <f t="shared" si="2479"/>
        <v>0</v>
      </c>
      <c r="HB371" s="69">
        <f t="shared" si="2480"/>
        <v>0</v>
      </c>
      <c r="HC371" s="11"/>
      <c r="HD371" s="12" t="e">
        <f t="shared" si="2433"/>
        <v>#DIV/0!</v>
      </c>
      <c r="HE371" s="11"/>
      <c r="HF371" s="12" t="e">
        <f t="shared" si="2434"/>
        <v>#DIV/0!</v>
      </c>
      <c r="HG371" s="13"/>
      <c r="HH371" s="11"/>
      <c r="HI371" s="39"/>
      <c r="HJ371" s="43"/>
      <c r="HK371" s="10">
        <f t="shared" si="2435"/>
        <v>0</v>
      </c>
      <c r="HL371" s="11">
        <f t="shared" si="2436"/>
        <v>0</v>
      </c>
      <c r="HM371" s="11">
        <f t="shared" si="2437"/>
        <v>6</v>
      </c>
      <c r="HN371" s="11">
        <f t="shared" si="2438"/>
        <v>1</v>
      </c>
      <c r="HO371" s="11">
        <f t="shared" si="2439"/>
        <v>0</v>
      </c>
      <c r="HP371" s="95">
        <f t="shared" si="2440"/>
        <v>0</v>
      </c>
      <c r="HQ371" s="15">
        <f t="shared" si="2441"/>
        <v>0</v>
      </c>
      <c r="HR371" s="12" t="e">
        <f t="shared" si="2481"/>
        <v>#DIV/0!</v>
      </c>
      <c r="HS371" s="16"/>
      <c r="HT371" s="17"/>
      <c r="HU371" s="16" t="e">
        <f t="shared" si="2442"/>
        <v>#DIV/0!</v>
      </c>
      <c r="HV371" s="23"/>
      <c r="HW371" s="22"/>
    </row>
    <row r="372" spans="1:231" ht="19.5" thickBot="1" x14ac:dyDescent="0.3">
      <c r="A372" s="374"/>
      <c r="B372" s="42"/>
      <c r="C372" s="26">
        <f>SUM(C365:C371)</f>
        <v>1150</v>
      </c>
      <c r="D372" s="27">
        <f>SUM(D365:D371)</f>
        <v>85</v>
      </c>
      <c r="E372" s="27"/>
      <c r="F372" s="27"/>
      <c r="G372" s="27">
        <f>SUM(G365:G371)</f>
        <v>1393</v>
      </c>
      <c r="H372" s="28">
        <f>((G372+I372)/7)/E371</f>
        <v>36.30952380952381</v>
      </c>
      <c r="I372" s="27">
        <f>SUM(I365:I371)</f>
        <v>132</v>
      </c>
      <c r="J372" s="28">
        <f>(I372/(I372+G372))</f>
        <v>8.6557377049180331E-2</v>
      </c>
      <c r="K372" s="27"/>
      <c r="L372" s="27"/>
      <c r="M372" s="29" t="e">
        <f>M370/M369*100-100</f>
        <v>#DIV/0!</v>
      </c>
      <c r="N372" s="67" t="e">
        <f>N370/N369*100-100</f>
        <v>#DIV/0!</v>
      </c>
      <c r="O372" s="26">
        <f>SUM(O365:O371)</f>
        <v>107</v>
      </c>
      <c r="P372" s="27">
        <f>SUM(P365:P371)</f>
        <v>8</v>
      </c>
      <c r="Q372" s="27"/>
      <c r="R372" s="27"/>
      <c r="S372" s="27">
        <f>SUM(S365:S371)</f>
        <v>137</v>
      </c>
      <c r="T372" s="28" t="e">
        <f>((S372+U372)/7)/Q371</f>
        <v>#DIV/0!</v>
      </c>
      <c r="U372" s="27">
        <f>SUM(U365:U371)</f>
        <v>25</v>
      </c>
      <c r="V372" s="28">
        <f>(U372/(U372+S372))</f>
        <v>0.15432098765432098</v>
      </c>
      <c r="W372" s="27"/>
      <c r="X372" s="27"/>
      <c r="Y372" s="29" t="e">
        <f>Y370/Y369*100-100</f>
        <v>#DIV/0!</v>
      </c>
      <c r="Z372" s="67" t="e">
        <f>Z370/Z369*100-100</f>
        <v>#DIV/0!</v>
      </c>
      <c r="AA372" s="26">
        <f>SUM(AA365:AA371)</f>
        <v>1954</v>
      </c>
      <c r="AB372" s="27">
        <f>SUM(AB365:AB371)</f>
        <v>146</v>
      </c>
      <c r="AC372" s="27"/>
      <c r="AD372" s="27"/>
      <c r="AE372" s="27">
        <f>SUM(AE365:AE371)</f>
        <v>1647</v>
      </c>
      <c r="AF372" s="28" t="e">
        <f>((AE372+AG372)/7)/AC371</f>
        <v>#DIV/0!</v>
      </c>
      <c r="AG372" s="27">
        <f>SUM(AG365:AG371)</f>
        <v>195</v>
      </c>
      <c r="AH372" s="28">
        <f>(AG372/(AG372+AE372))</f>
        <v>0.10586319218241043</v>
      </c>
      <c r="AI372" s="27"/>
      <c r="AJ372" s="27"/>
      <c r="AK372" s="29" t="e">
        <f>AK370/AK369*100-100</f>
        <v>#DIV/0!</v>
      </c>
      <c r="AL372" s="67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 t="e">
        <f>((AQ372+AS372)/7)/AO371</f>
        <v>#DIV/0!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7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 t="e">
        <f>((BC372+BE372)/7)/BA371</f>
        <v>#DIV/0!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7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 t="e">
        <f>((BO372+BQ372)/7)/BM371</f>
        <v>#DIV/0!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7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7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7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7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7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7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7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7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7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7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7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7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7" t="e">
        <f>HJ370/HJ369*100-100</f>
        <v>#DIV/0!</v>
      </c>
      <c r="HK372" s="26">
        <f t="shared" si="2435"/>
        <v>3211</v>
      </c>
      <c r="HL372" s="27">
        <f t="shared" si="2436"/>
        <v>239</v>
      </c>
      <c r="HM372" s="27">
        <f t="shared" si="2437"/>
        <v>0</v>
      </c>
      <c r="HN372" s="27">
        <f t="shared" si="2438"/>
        <v>0</v>
      </c>
      <c r="HO372" s="27">
        <f t="shared" si="2439"/>
        <v>3529</v>
      </c>
      <c r="HP372" s="96">
        <f>+((HO372)/HM371)/7</f>
        <v>84.023809523809518</v>
      </c>
      <c r="HQ372" s="62">
        <f t="shared" si="2441"/>
        <v>352</v>
      </c>
      <c r="HR372" s="52">
        <f t="shared" si="2481"/>
        <v>9.9744970246528758E-2</v>
      </c>
      <c r="HS372" s="53">
        <f>AVERAGE(HS365:HS371)</f>
        <v>74.38</v>
      </c>
      <c r="HT372" s="54">
        <f>SUM(HT365:HT371)</f>
        <v>2763</v>
      </c>
      <c r="HU372" s="53" t="e">
        <f>AVERAGE(HU365:HU371)</f>
        <v>#DIV/0!</v>
      </c>
      <c r="HV372" s="63" t="e">
        <f>HV370/HV369*100-100</f>
        <v>#DIV/0!</v>
      </c>
      <c r="HW372" s="67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5">
        <f>HK372/HM362</f>
        <v>0.99813490829965812</v>
      </c>
      <c r="HL373" s="76">
        <f>HL372/HN362</f>
        <v>0.99583333333333335</v>
      </c>
      <c r="HM373" s="74"/>
      <c r="HN373" s="45"/>
      <c r="HO373" s="45"/>
      <c r="HP373" s="98"/>
      <c r="HQ373" s="45"/>
      <c r="HR373" s="45"/>
      <c r="HS373" s="45"/>
      <c r="HT373" s="55"/>
      <c r="HU373" s="45"/>
      <c r="HV373" s="45"/>
      <c r="HW373" s="46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BV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showGridLines="0" workbookViewId="0">
      <selection activeCell="JC62" sqref="JC62"/>
    </sheetView>
  </sheetViews>
  <sheetFormatPr baseColWidth="10" defaultRowHeight="15" x14ac:dyDescent="0.25"/>
  <cols>
    <col min="1" max="3" width="10.28515625" style="70" customWidth="1"/>
    <col min="4" max="4" width="11.42578125" style="70"/>
    <col min="5" max="7" width="10.28515625" style="70" customWidth="1"/>
    <col min="8" max="16384" width="11.42578125" style="70"/>
  </cols>
  <sheetData>
    <row r="1" spans="1:7" ht="34.5" thickBot="1" x14ac:dyDescent="0.3">
      <c r="A1" s="448" t="s">
        <v>112</v>
      </c>
      <c r="B1" s="449"/>
      <c r="C1" s="450"/>
      <c r="D1" s="81"/>
      <c r="E1" s="448" t="s">
        <v>113</v>
      </c>
      <c r="F1" s="449"/>
      <c r="G1" s="449"/>
    </row>
    <row r="2" spans="1:7" x14ac:dyDescent="0.25">
      <c r="A2" s="91"/>
      <c r="B2" s="451" t="s">
        <v>91</v>
      </c>
      <c r="C2" s="452"/>
      <c r="E2" s="91"/>
      <c r="F2" s="451" t="s">
        <v>111</v>
      </c>
      <c r="G2" s="452"/>
    </row>
    <row r="3" spans="1:7" x14ac:dyDescent="0.25">
      <c r="A3" s="78"/>
      <c r="B3" s="89" t="s">
        <v>71</v>
      </c>
      <c r="C3" s="90" t="s">
        <v>72</v>
      </c>
      <c r="E3" s="78"/>
      <c r="F3" s="89" t="s">
        <v>71</v>
      </c>
      <c r="G3" s="90" t="s">
        <v>72</v>
      </c>
    </row>
    <row r="4" spans="1:7" x14ac:dyDescent="0.25">
      <c r="A4" s="65" t="s">
        <v>73</v>
      </c>
      <c r="B4" s="77">
        <v>161.5</v>
      </c>
      <c r="C4" s="90"/>
      <c r="E4" s="65" t="s">
        <v>73</v>
      </c>
      <c r="F4" s="77">
        <v>158.69999999999999</v>
      </c>
      <c r="G4" s="90"/>
    </row>
    <row r="5" spans="1:7" x14ac:dyDescent="0.25">
      <c r="A5" s="78" t="s">
        <v>44</v>
      </c>
      <c r="B5" s="77">
        <f>B4-C5</f>
        <v>161</v>
      </c>
      <c r="C5" s="90">
        <v>0.5</v>
      </c>
      <c r="E5" s="78" t="s">
        <v>44</v>
      </c>
      <c r="F5" s="77">
        <f>F4-G5</f>
        <v>158.5</v>
      </c>
      <c r="G5" s="90">
        <v>0.2</v>
      </c>
    </row>
    <row r="6" spans="1:7" x14ac:dyDescent="0.25">
      <c r="A6" s="78" t="s">
        <v>45</v>
      </c>
      <c r="B6" s="77">
        <f t="shared" ref="B6:B31" si="0">B5-C6</f>
        <v>160.5</v>
      </c>
      <c r="C6" s="90">
        <v>0.5</v>
      </c>
      <c r="E6" s="78" t="s">
        <v>45</v>
      </c>
      <c r="F6" s="77">
        <f t="shared" ref="F6:F31" si="1">F5-G6</f>
        <v>158.30000000000001</v>
      </c>
      <c r="G6" s="90">
        <v>0.2</v>
      </c>
    </row>
    <row r="7" spans="1:7" x14ac:dyDescent="0.25">
      <c r="A7" s="65" t="s">
        <v>46</v>
      </c>
      <c r="B7" s="77">
        <f t="shared" si="0"/>
        <v>159.9</v>
      </c>
      <c r="C7" s="90">
        <v>0.6</v>
      </c>
      <c r="E7" s="65" t="s">
        <v>46</v>
      </c>
      <c r="F7" s="77">
        <f t="shared" si="1"/>
        <v>158.10000000000002</v>
      </c>
      <c r="G7" s="90">
        <v>0.2</v>
      </c>
    </row>
    <row r="8" spans="1:7" x14ac:dyDescent="0.25">
      <c r="A8" s="78" t="s">
        <v>47</v>
      </c>
      <c r="B8" s="77">
        <f t="shared" si="0"/>
        <v>159.30000000000001</v>
      </c>
      <c r="C8" s="90">
        <v>0.6</v>
      </c>
      <c r="E8" s="78" t="s">
        <v>47</v>
      </c>
      <c r="F8" s="77">
        <f t="shared" si="1"/>
        <v>157.90000000000003</v>
      </c>
      <c r="G8" s="90">
        <v>0.2</v>
      </c>
    </row>
    <row r="9" spans="1:7" x14ac:dyDescent="0.25">
      <c r="A9" s="78" t="s">
        <v>48</v>
      </c>
      <c r="B9" s="77">
        <f t="shared" si="0"/>
        <v>158.70000000000002</v>
      </c>
      <c r="C9" s="90">
        <v>0.6</v>
      </c>
      <c r="E9" s="78" t="s">
        <v>48</v>
      </c>
      <c r="F9" s="77">
        <f t="shared" si="1"/>
        <v>157.70000000000005</v>
      </c>
      <c r="G9" s="90">
        <v>0.2</v>
      </c>
    </row>
    <row r="10" spans="1:7" x14ac:dyDescent="0.25">
      <c r="A10" s="65" t="s">
        <v>49</v>
      </c>
      <c r="B10" s="77">
        <f t="shared" si="0"/>
        <v>158.10000000000002</v>
      </c>
      <c r="C10" s="90">
        <v>0.6</v>
      </c>
      <c r="E10" s="65" t="s">
        <v>49</v>
      </c>
      <c r="F10" s="77">
        <f t="shared" si="1"/>
        <v>157.40000000000003</v>
      </c>
      <c r="G10" s="90">
        <v>0.3</v>
      </c>
    </row>
    <row r="11" spans="1:7" x14ac:dyDescent="0.25">
      <c r="A11" s="78" t="s">
        <v>50</v>
      </c>
      <c r="B11" s="77">
        <f t="shared" si="0"/>
        <v>157.50000000000003</v>
      </c>
      <c r="C11" s="90">
        <v>0.6</v>
      </c>
      <c r="E11" s="78" t="s">
        <v>50</v>
      </c>
      <c r="F11" s="77">
        <f t="shared" si="1"/>
        <v>157.10000000000002</v>
      </c>
      <c r="G11" s="90">
        <v>0.3</v>
      </c>
    </row>
    <row r="12" spans="1:7" x14ac:dyDescent="0.25">
      <c r="A12" s="78" t="s">
        <v>51</v>
      </c>
      <c r="B12" s="77">
        <f t="shared" si="0"/>
        <v>156.90000000000003</v>
      </c>
      <c r="C12" s="90">
        <v>0.6</v>
      </c>
      <c r="E12" s="78" t="s">
        <v>51</v>
      </c>
      <c r="F12" s="77">
        <f t="shared" si="1"/>
        <v>156.80000000000001</v>
      </c>
      <c r="G12" s="90">
        <v>0.3</v>
      </c>
    </row>
    <row r="13" spans="1:7" x14ac:dyDescent="0.25">
      <c r="A13" s="65" t="s">
        <v>52</v>
      </c>
      <c r="B13" s="77">
        <f t="shared" si="0"/>
        <v>156.30000000000004</v>
      </c>
      <c r="C13" s="90">
        <v>0.6</v>
      </c>
      <c r="E13" s="65" t="s">
        <v>52</v>
      </c>
      <c r="F13" s="77">
        <f t="shared" si="1"/>
        <v>156.5</v>
      </c>
      <c r="G13" s="90">
        <v>0.3</v>
      </c>
    </row>
    <row r="14" spans="1:7" x14ac:dyDescent="0.25">
      <c r="A14" s="78" t="s">
        <v>53</v>
      </c>
      <c r="B14" s="77">
        <f t="shared" si="0"/>
        <v>155.70000000000005</v>
      </c>
      <c r="C14" s="90">
        <v>0.6</v>
      </c>
      <c r="E14" s="78" t="s">
        <v>53</v>
      </c>
      <c r="F14" s="77">
        <f t="shared" si="1"/>
        <v>156.19999999999999</v>
      </c>
      <c r="G14" s="90">
        <v>0.3</v>
      </c>
    </row>
    <row r="15" spans="1:7" x14ac:dyDescent="0.25">
      <c r="A15" s="78" t="s">
        <v>54</v>
      </c>
      <c r="B15" s="77">
        <f t="shared" si="0"/>
        <v>155.10000000000005</v>
      </c>
      <c r="C15" s="90">
        <v>0.6</v>
      </c>
      <c r="E15" s="78" t="s">
        <v>54</v>
      </c>
      <c r="F15" s="77">
        <f t="shared" si="1"/>
        <v>155.89999999999998</v>
      </c>
      <c r="G15" s="90">
        <v>0.3</v>
      </c>
    </row>
    <row r="16" spans="1:7" x14ac:dyDescent="0.25">
      <c r="A16" s="65" t="s">
        <v>55</v>
      </c>
      <c r="B16" s="77">
        <f t="shared" si="0"/>
        <v>154.50000000000006</v>
      </c>
      <c r="C16" s="90">
        <v>0.6</v>
      </c>
      <c r="E16" s="65" t="s">
        <v>55</v>
      </c>
      <c r="F16" s="77">
        <f t="shared" si="1"/>
        <v>155.59999999999997</v>
      </c>
      <c r="G16" s="90">
        <v>0.3</v>
      </c>
    </row>
    <row r="17" spans="1:7" x14ac:dyDescent="0.25">
      <c r="A17" s="78" t="s">
        <v>56</v>
      </c>
      <c r="B17" s="77">
        <f t="shared" si="0"/>
        <v>153.90000000000006</v>
      </c>
      <c r="C17" s="90">
        <v>0.6</v>
      </c>
      <c r="E17" s="78" t="s">
        <v>56</v>
      </c>
      <c r="F17" s="77">
        <f t="shared" si="1"/>
        <v>155.29999999999995</v>
      </c>
      <c r="G17" s="90">
        <v>0.3</v>
      </c>
    </row>
    <row r="18" spans="1:7" x14ac:dyDescent="0.25">
      <c r="A18" s="65" t="s">
        <v>57</v>
      </c>
      <c r="B18" s="77">
        <f t="shared" si="0"/>
        <v>153.30000000000007</v>
      </c>
      <c r="C18" s="90">
        <v>0.6</v>
      </c>
      <c r="E18" s="65" t="s">
        <v>57</v>
      </c>
      <c r="F18" s="77">
        <f t="shared" si="1"/>
        <v>155.29999999999995</v>
      </c>
      <c r="G18" s="90">
        <v>0</v>
      </c>
    </row>
    <row r="19" spans="1:7" x14ac:dyDescent="0.25">
      <c r="A19" s="78" t="s">
        <v>58</v>
      </c>
      <c r="B19" s="77">
        <f t="shared" si="0"/>
        <v>152.70000000000007</v>
      </c>
      <c r="C19" s="90">
        <v>0.6</v>
      </c>
      <c r="E19" s="78" t="s">
        <v>58</v>
      </c>
      <c r="F19" s="77">
        <f t="shared" si="1"/>
        <v>155.29999999999995</v>
      </c>
      <c r="G19" s="90">
        <v>0</v>
      </c>
    </row>
    <row r="20" spans="1:7" x14ac:dyDescent="0.25">
      <c r="A20" s="65" t="s">
        <v>59</v>
      </c>
      <c r="B20" s="77">
        <f t="shared" si="0"/>
        <v>152.10000000000008</v>
      </c>
      <c r="C20" s="90">
        <v>0.6</v>
      </c>
      <c r="E20" s="65" t="s">
        <v>59</v>
      </c>
      <c r="F20" s="77">
        <f t="shared" si="1"/>
        <v>154.99999999999994</v>
      </c>
      <c r="G20" s="90">
        <v>0.3</v>
      </c>
    </row>
    <row r="21" spans="1:7" x14ac:dyDescent="0.25">
      <c r="A21" s="78" t="s">
        <v>60</v>
      </c>
      <c r="B21" s="77">
        <f t="shared" si="0"/>
        <v>151.50000000000009</v>
      </c>
      <c r="C21" s="90">
        <v>0.6</v>
      </c>
      <c r="E21" s="78" t="s">
        <v>60</v>
      </c>
      <c r="F21" s="77">
        <f t="shared" si="1"/>
        <v>154.69999999999993</v>
      </c>
      <c r="G21" s="90">
        <v>0.3</v>
      </c>
    </row>
    <row r="22" spans="1:7" x14ac:dyDescent="0.25">
      <c r="A22" s="65" t="s">
        <v>61</v>
      </c>
      <c r="B22" s="77">
        <f t="shared" si="0"/>
        <v>151.50000000000009</v>
      </c>
      <c r="C22" s="90"/>
      <c r="E22" s="65" t="s">
        <v>61</v>
      </c>
      <c r="F22" s="77">
        <f t="shared" si="1"/>
        <v>154.39999999999992</v>
      </c>
      <c r="G22" s="90">
        <v>0.3</v>
      </c>
    </row>
    <row r="23" spans="1:7" x14ac:dyDescent="0.25">
      <c r="A23" s="78" t="s">
        <v>62</v>
      </c>
      <c r="B23" s="77">
        <f t="shared" si="0"/>
        <v>151.50000000000009</v>
      </c>
      <c r="C23" s="90"/>
      <c r="E23" s="78" t="s">
        <v>62</v>
      </c>
      <c r="F23" s="77">
        <f t="shared" si="1"/>
        <v>154.09999999999991</v>
      </c>
      <c r="G23" s="90">
        <v>0.3</v>
      </c>
    </row>
    <row r="24" spans="1:7" x14ac:dyDescent="0.25">
      <c r="A24" s="65" t="s">
        <v>63</v>
      </c>
      <c r="B24" s="77">
        <f t="shared" si="0"/>
        <v>151.50000000000009</v>
      </c>
      <c r="C24" s="90"/>
      <c r="E24" s="65" t="s">
        <v>63</v>
      </c>
      <c r="F24" s="77">
        <f t="shared" si="1"/>
        <v>153.7999999999999</v>
      </c>
      <c r="G24" s="90">
        <v>0.3</v>
      </c>
    </row>
    <row r="25" spans="1:7" x14ac:dyDescent="0.25">
      <c r="A25" s="78" t="s">
        <v>64</v>
      </c>
      <c r="B25" s="77">
        <f t="shared" si="0"/>
        <v>151.50000000000009</v>
      </c>
      <c r="C25" s="90"/>
      <c r="E25" s="78" t="s">
        <v>64</v>
      </c>
      <c r="F25" s="77">
        <f t="shared" si="1"/>
        <v>153.7999999999999</v>
      </c>
      <c r="G25" s="90"/>
    </row>
    <row r="26" spans="1:7" x14ac:dyDescent="0.25">
      <c r="A26" s="65" t="s">
        <v>65</v>
      </c>
      <c r="B26" s="77">
        <f t="shared" si="0"/>
        <v>151.50000000000009</v>
      </c>
      <c r="C26" s="90"/>
      <c r="E26" s="65" t="s">
        <v>65</v>
      </c>
      <c r="F26" s="77">
        <f t="shared" si="1"/>
        <v>153.7999999999999</v>
      </c>
      <c r="G26" s="90"/>
    </row>
    <row r="27" spans="1:7" x14ac:dyDescent="0.25">
      <c r="A27" s="78" t="s">
        <v>66</v>
      </c>
      <c r="B27" s="77">
        <f t="shared" si="0"/>
        <v>151.50000000000009</v>
      </c>
      <c r="C27" s="90"/>
      <c r="E27" s="78" t="s">
        <v>66</v>
      </c>
      <c r="F27" s="77">
        <f t="shared" si="1"/>
        <v>153.7999999999999</v>
      </c>
      <c r="G27" s="90"/>
    </row>
    <row r="28" spans="1:7" x14ac:dyDescent="0.25">
      <c r="A28" s="65" t="s">
        <v>67</v>
      </c>
      <c r="B28" s="77">
        <f t="shared" si="0"/>
        <v>151.50000000000009</v>
      </c>
      <c r="C28" s="90"/>
      <c r="E28" s="65" t="s">
        <v>67</v>
      </c>
      <c r="F28" s="77">
        <f t="shared" si="1"/>
        <v>153.7999999999999</v>
      </c>
      <c r="G28" s="90"/>
    </row>
    <row r="29" spans="1:7" x14ac:dyDescent="0.25">
      <c r="A29" s="78" t="s">
        <v>68</v>
      </c>
      <c r="B29" s="77">
        <f t="shared" si="0"/>
        <v>151.50000000000009</v>
      </c>
      <c r="C29" s="90"/>
      <c r="E29" s="78" t="s">
        <v>68</v>
      </c>
      <c r="F29" s="77">
        <f t="shared" si="1"/>
        <v>153.7999999999999</v>
      </c>
      <c r="G29" s="90"/>
    </row>
    <row r="30" spans="1:7" x14ac:dyDescent="0.25">
      <c r="A30" s="65" t="s">
        <v>69</v>
      </c>
      <c r="B30" s="77">
        <f t="shared" si="0"/>
        <v>151.50000000000009</v>
      </c>
      <c r="C30" s="90"/>
      <c r="E30" s="65" t="s">
        <v>69</v>
      </c>
      <c r="F30" s="77">
        <f t="shared" si="1"/>
        <v>153.7999999999999</v>
      </c>
      <c r="G30" s="90"/>
    </row>
    <row r="31" spans="1:7" ht="15.75" thickBot="1" x14ac:dyDescent="0.3">
      <c r="A31" s="363" t="s">
        <v>70</v>
      </c>
      <c r="B31" s="79">
        <f t="shared" si="0"/>
        <v>151.50000000000009</v>
      </c>
      <c r="C31" s="80"/>
      <c r="D31" s="364"/>
      <c r="E31" s="363" t="s">
        <v>70</v>
      </c>
      <c r="F31" s="77">
        <f t="shared" si="1"/>
        <v>153.7999999999999</v>
      </c>
      <c r="G31" s="90"/>
    </row>
    <row r="333" spans="140:140" x14ac:dyDescent="0.25">
      <c r="EJ333" s="70">
        <v>4625</v>
      </c>
    </row>
    <row r="334" spans="140:140" x14ac:dyDescent="0.25">
      <c r="EJ334" s="70">
        <v>5249.375</v>
      </c>
    </row>
    <row r="335" spans="140:140" x14ac:dyDescent="0.25">
      <c r="EJ335" s="70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showGridLines="0" topLeftCell="A25" workbookViewId="0">
      <selection activeCell="C38" sqref="C38:C40"/>
    </sheetView>
  </sheetViews>
  <sheetFormatPr baseColWidth="10" defaultRowHeight="15.75" x14ac:dyDescent="0.25"/>
  <cols>
    <col min="1" max="1" width="7.85546875" style="145" customWidth="1"/>
    <col min="2" max="2" width="12.140625" style="14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53" t="s">
        <v>101</v>
      </c>
      <c r="D1" s="353"/>
      <c r="E1" s="353"/>
      <c r="F1" s="353"/>
      <c r="G1" s="353"/>
      <c r="H1" s="353"/>
      <c r="I1" s="353"/>
      <c r="J1" s="353"/>
      <c r="K1" s="353"/>
      <c r="L1" s="353"/>
      <c r="N1" s="455" t="s">
        <v>102</v>
      </c>
      <c r="O1" s="455"/>
      <c r="P1" s="455"/>
      <c r="Q1" s="455"/>
      <c r="R1" s="455"/>
      <c r="S1" s="455"/>
      <c r="T1" s="455"/>
      <c r="U1" s="455"/>
      <c r="V1" s="455"/>
      <c r="W1" s="455"/>
    </row>
    <row r="2" spans="1:25" ht="15.75" customHeight="1" thickBot="1" x14ac:dyDescent="0.3">
      <c r="A2" s="357"/>
      <c r="B2" s="355"/>
      <c r="E2" s="453" t="s">
        <v>105</v>
      </c>
      <c r="F2" s="454"/>
      <c r="G2" s="453" t="s">
        <v>106</v>
      </c>
      <c r="H2" s="454"/>
      <c r="I2" s="453" t="s">
        <v>107</v>
      </c>
      <c r="J2" s="454"/>
      <c r="K2" s="463" t="s">
        <v>108</v>
      </c>
      <c r="L2" s="454"/>
      <c r="N2" s="456" t="s">
        <v>109</v>
      </c>
      <c r="O2" s="458" t="s">
        <v>104</v>
      </c>
      <c r="P2" s="460" t="s">
        <v>105</v>
      </c>
      <c r="Q2" s="461"/>
      <c r="R2" s="460" t="s">
        <v>106</v>
      </c>
      <c r="S2" s="461"/>
      <c r="T2" s="460" t="s">
        <v>107</v>
      </c>
      <c r="U2" s="461"/>
      <c r="V2" s="462" t="s">
        <v>108</v>
      </c>
      <c r="W2" s="461"/>
      <c r="Y2" s="163"/>
    </row>
    <row r="3" spans="1:25" ht="15.75" customHeight="1" thickBot="1" x14ac:dyDescent="0.3">
      <c r="A3" s="356" t="s">
        <v>4</v>
      </c>
      <c r="B3" s="354" t="s">
        <v>110</v>
      </c>
      <c r="C3" s="359" t="s">
        <v>109</v>
      </c>
      <c r="D3" s="358" t="s">
        <v>104</v>
      </c>
      <c r="E3" s="156" t="s">
        <v>104</v>
      </c>
      <c r="F3" s="157" t="s">
        <v>103</v>
      </c>
      <c r="G3" s="156" t="s">
        <v>104</v>
      </c>
      <c r="H3" s="157" t="s">
        <v>103</v>
      </c>
      <c r="I3" s="156" t="s">
        <v>104</v>
      </c>
      <c r="J3" s="157" t="s">
        <v>103</v>
      </c>
      <c r="K3" s="158" t="s">
        <v>104</v>
      </c>
      <c r="L3" s="157" t="s">
        <v>103</v>
      </c>
      <c r="N3" s="457"/>
      <c r="O3" s="459"/>
      <c r="P3" s="161" t="s">
        <v>104</v>
      </c>
      <c r="Q3" s="162" t="s">
        <v>103</v>
      </c>
      <c r="R3" s="161" t="s">
        <v>104</v>
      </c>
      <c r="S3" s="162" t="s">
        <v>103</v>
      </c>
      <c r="T3" s="159" t="s">
        <v>104</v>
      </c>
      <c r="U3" s="160" t="s">
        <v>103</v>
      </c>
      <c r="V3" s="161" t="s">
        <v>104</v>
      </c>
      <c r="W3" s="162" t="s">
        <v>103</v>
      </c>
      <c r="Y3" s="163"/>
    </row>
    <row r="4" spans="1:25" ht="18.75" x14ac:dyDescent="0.25">
      <c r="A4" s="149">
        <f>LF!A5</f>
        <v>25</v>
      </c>
      <c r="B4" s="148">
        <f>LF!B11</f>
        <v>44947</v>
      </c>
      <c r="C4" s="330">
        <f>F4+H4+J4+L4</f>
        <v>12494</v>
      </c>
      <c r="D4" s="329">
        <f>E4+G4+I4+K4</f>
        <v>1</v>
      </c>
      <c r="E4" s="328">
        <f>LF!C12+LF!AA12+LF!BK12+LF!CI12+LF!DS12+LF!EQ12+LF!FO12+LF!GM12</f>
        <v>0</v>
      </c>
      <c r="F4" s="329">
        <f>LF!E11+LF!AC11+LF!BM11+LF!CK11+LF!DU11+LF!ES11+LF!FQ11+LF!GO11</f>
        <v>4301</v>
      </c>
      <c r="G4" s="328">
        <f>LF!O12+LF!BW12+LF!EE12+LF!GA12</f>
        <v>0</v>
      </c>
      <c r="H4" s="329">
        <f>LF!Q11+LF!BY11+LF!EG11+LF!GC11</f>
        <v>3324</v>
      </c>
      <c r="I4" s="330">
        <f>LF!AM12+LF!CU12</f>
        <v>1</v>
      </c>
      <c r="J4" s="329">
        <f>LF!AO11+LF!CW11</f>
        <v>1542</v>
      </c>
      <c r="K4" s="332">
        <f>LF!AY12+LF!DG12+LF!FC12+LF!GY12</f>
        <v>0</v>
      </c>
      <c r="L4" s="329">
        <f>LF!BA11+LF!DI11+LF!FE11+LF!HA11</f>
        <v>3327</v>
      </c>
      <c r="N4" s="333">
        <f>Q4+S4+U4+W4</f>
        <v>3750</v>
      </c>
      <c r="O4" s="327">
        <f>P4+R4+T4+V4+X4</f>
        <v>2</v>
      </c>
      <c r="P4" s="328">
        <f>LM!C12+LM!AA12</f>
        <v>0</v>
      </c>
      <c r="Q4" s="329">
        <f>LM!E11+LM!AC11</f>
        <v>908</v>
      </c>
      <c r="R4" s="330">
        <f>LM!O12</f>
        <v>2</v>
      </c>
      <c r="S4" s="329">
        <f>LM!Q11</f>
        <v>709</v>
      </c>
      <c r="T4" s="328">
        <f>LM!AM12+LM!AY12</f>
        <v>0</v>
      </c>
      <c r="U4" s="329">
        <f>LM!AO11+LM!BA11</f>
        <v>1422</v>
      </c>
      <c r="V4" s="328">
        <f>LM!BK12</f>
        <v>0</v>
      </c>
      <c r="W4" s="329">
        <f>LM!BM11</f>
        <v>711</v>
      </c>
      <c r="Y4" s="163"/>
    </row>
    <row r="5" spans="1:25" ht="18.75" x14ac:dyDescent="0.25">
      <c r="A5" s="149">
        <f>LF!A14</f>
        <v>26</v>
      </c>
      <c r="B5" s="148">
        <f>B4+7</f>
        <v>44954</v>
      </c>
      <c r="C5" s="326">
        <f>C4-D5</f>
        <v>12487</v>
      </c>
      <c r="D5" s="151">
        <f t="shared" ref="D5:D11" si="0">E5+G5+I5+K5</f>
        <v>7</v>
      </c>
      <c r="E5" s="326">
        <f>LF!C21+LF!AA21+LF!BK21+LF!CI21+LF!DS21+LF!EQ21+LF!FO21+LF!GM21</f>
        <v>6</v>
      </c>
      <c r="F5" s="151">
        <f>LF!E20+LF!AC20+LF!BM20+LF!CK20+LF!DU20+LF!ES20+LF!FQ20+LF!GO20</f>
        <v>4295</v>
      </c>
      <c r="G5" s="150">
        <f>LF!O21+LF!BW21+LF!EE21+LF!GA21</f>
        <v>0</v>
      </c>
      <c r="H5" s="151">
        <f>LF!Q20+LF!BY20+LF!EG20+LF!GC20</f>
        <v>3324</v>
      </c>
      <c r="I5" s="150">
        <f>LF!AM21+LF!CU21</f>
        <v>0</v>
      </c>
      <c r="J5" s="151">
        <f>LF!AO20+LF!CW20</f>
        <v>1542</v>
      </c>
      <c r="K5" s="331">
        <f>LF!AY21+LF!DG21+LF!FC21+LF!GY21</f>
        <v>1</v>
      </c>
      <c r="L5" s="151">
        <f>LF!BA20+LF!DI20+LF!FE20+LF!HA20</f>
        <v>3326</v>
      </c>
      <c r="N5" s="326">
        <f>N4-O5</f>
        <v>3746</v>
      </c>
      <c r="O5" s="151">
        <f t="shared" ref="O5:O42" si="1">P5+R5+T5+V5+X5</f>
        <v>4</v>
      </c>
      <c r="P5" s="326">
        <f>LM!C21+LM!AA21</f>
        <v>3</v>
      </c>
      <c r="Q5" s="151">
        <f>LM!E20+LM!AC20</f>
        <v>905</v>
      </c>
      <c r="R5" s="326">
        <f>LM!O21</f>
        <v>1</v>
      </c>
      <c r="S5" s="151">
        <f>LM!Q20</f>
        <v>708</v>
      </c>
      <c r="T5" s="150">
        <f>LM!AM21+LM!AY21</f>
        <v>0</v>
      </c>
      <c r="U5" s="151">
        <f>LM!AO20+LM!BA20</f>
        <v>1422</v>
      </c>
      <c r="V5" s="150">
        <f>LM!BK21</f>
        <v>0</v>
      </c>
      <c r="W5" s="151">
        <f>LM!BM20</f>
        <v>711</v>
      </c>
      <c r="Y5" s="163"/>
    </row>
    <row r="6" spans="1:25" ht="18.75" x14ac:dyDescent="0.25">
      <c r="A6" s="149">
        <f>LF!A23</f>
        <v>27</v>
      </c>
      <c r="B6" s="148">
        <f t="shared" ref="B6:B42" si="2">B5+7</f>
        <v>44961</v>
      </c>
      <c r="C6" s="326">
        <f t="shared" ref="C6:C42" si="3">C5-D6</f>
        <v>12479</v>
      </c>
      <c r="D6" s="151">
        <f t="shared" si="0"/>
        <v>8</v>
      </c>
      <c r="E6" s="326">
        <f>LF!C30+LF!AA30+LF!BK30+LF!CI30+LF!DS30+LF!EQ30+LF!FO30+LF!GM30</f>
        <v>8</v>
      </c>
      <c r="F6" s="151">
        <f>LF!E29+LF!AC29+LF!BM29+LF!CK29+LF!DU29+LF!ES29+LF!FQ29+LF!GO29</f>
        <v>4287</v>
      </c>
      <c r="G6" s="150">
        <f>LF!O30+LF!BW30+LF!EE30+LF!GA30</f>
        <v>0</v>
      </c>
      <c r="H6" s="151">
        <f>LF!Q29+LF!BY29+LF!EG29+LF!GC29</f>
        <v>3324</v>
      </c>
      <c r="I6" s="150">
        <f>LF!AM30+LF!CU30</f>
        <v>0</v>
      </c>
      <c r="J6" s="151">
        <f>LF!AO29+LF!CW29</f>
        <v>1542</v>
      </c>
      <c r="K6" s="154">
        <f>LF!AY30+LF!DG30+LF!FC30+LF!GY30</f>
        <v>0</v>
      </c>
      <c r="L6" s="151">
        <f>LF!BA29+LF!DI29+LF!FE29+LF!HA29</f>
        <v>3326</v>
      </c>
      <c r="N6" s="326">
        <f t="shared" ref="N6:N42" si="4">N5-O6</f>
        <v>3743</v>
      </c>
      <c r="O6" s="151">
        <f t="shared" si="1"/>
        <v>3</v>
      </c>
      <c r="P6" s="326">
        <f>LM!C30+LM!AA30</f>
        <v>1</v>
      </c>
      <c r="Q6" s="151">
        <f>LM!E29+LM!AC29</f>
        <v>904</v>
      </c>
      <c r="R6" s="150">
        <f>LM!O30</f>
        <v>0</v>
      </c>
      <c r="S6" s="151">
        <f>LM!Q29</f>
        <v>708</v>
      </c>
      <c r="T6" s="150">
        <f>LM!AM30+LM!AY30</f>
        <v>0</v>
      </c>
      <c r="U6" s="151">
        <f>LM!AO29+LM!BA29</f>
        <v>1422</v>
      </c>
      <c r="V6" s="326">
        <f>LM!BK30</f>
        <v>2</v>
      </c>
      <c r="W6" s="151">
        <f>LM!BM29</f>
        <v>709</v>
      </c>
      <c r="Y6" s="163"/>
    </row>
    <row r="7" spans="1:25" ht="18.75" x14ac:dyDescent="0.25">
      <c r="A7" s="149">
        <f>LF!A32</f>
        <v>28</v>
      </c>
      <c r="B7" s="148">
        <f t="shared" si="2"/>
        <v>44968</v>
      </c>
      <c r="C7" s="326">
        <f t="shared" si="3"/>
        <v>12457</v>
      </c>
      <c r="D7" s="151">
        <f t="shared" si="0"/>
        <v>22</v>
      </c>
      <c r="E7" s="326">
        <f>LF!C39+LF!AA39+LF!BK39+LF!CI39+LF!DS39+LF!EQ39+LF!FO39+LF!GM39</f>
        <v>14</v>
      </c>
      <c r="F7" s="151">
        <f>LF!E38+LF!AC38+LF!BM38+LF!CK38+LF!DU38+LF!ES38+LF!FQ38+LF!GO38</f>
        <v>4273</v>
      </c>
      <c r="G7" s="326">
        <f>LF!O39+LF!BW39+LF!EE39+LF!GA39</f>
        <v>4</v>
      </c>
      <c r="H7" s="151">
        <f>LF!Q38+LF!BY38+LF!EG38+LF!GC38</f>
        <v>3320</v>
      </c>
      <c r="I7" s="326">
        <f>LF!AM39+LF!CU39</f>
        <v>2</v>
      </c>
      <c r="J7" s="151">
        <f>LF!AO38+LF!CW38</f>
        <v>1540</v>
      </c>
      <c r="K7" s="331">
        <f>LF!AY39+LF!DG39+LF!FC39+LF!GY39</f>
        <v>2</v>
      </c>
      <c r="L7" s="151">
        <f>LF!BA38+LF!DI38+LF!FE38+LF!HA38</f>
        <v>3324</v>
      </c>
      <c r="N7" s="326">
        <f t="shared" si="4"/>
        <v>3739</v>
      </c>
      <c r="O7" s="151">
        <f t="shared" si="1"/>
        <v>4</v>
      </c>
      <c r="P7" s="326">
        <f>LM!C39+LM!AA39</f>
        <v>1</v>
      </c>
      <c r="Q7" s="151">
        <f>LM!E38+LM!AC38</f>
        <v>903</v>
      </c>
      <c r="R7" s="150">
        <f>LM!O39</f>
        <v>0</v>
      </c>
      <c r="S7" s="151">
        <f>LM!Q38</f>
        <v>708</v>
      </c>
      <c r="T7" s="326">
        <f>LM!AM39+LM!AY39</f>
        <v>2</v>
      </c>
      <c r="U7" s="151">
        <f>LM!AO38+LM!BA38</f>
        <v>1420</v>
      </c>
      <c r="V7" s="326">
        <f>LM!BK39</f>
        <v>1</v>
      </c>
      <c r="W7" s="151">
        <f>LM!BM38</f>
        <v>708</v>
      </c>
    </row>
    <row r="8" spans="1:25" ht="18.75" x14ac:dyDescent="0.25">
      <c r="A8" s="149">
        <f>LF!A41</f>
        <v>29</v>
      </c>
      <c r="B8" s="148">
        <f t="shared" si="2"/>
        <v>44975</v>
      </c>
      <c r="C8" s="326">
        <f t="shared" si="3"/>
        <v>12440</v>
      </c>
      <c r="D8" s="151">
        <f t="shared" si="0"/>
        <v>17</v>
      </c>
      <c r="E8" s="326">
        <f>LF!C48+LF!AA48+LF!BK48+LF!CI48+LF!DS48+LF!EQ48+LF!FO48+LF!GM48</f>
        <v>8</v>
      </c>
      <c r="F8" s="151">
        <f>LF!E47+LF!AC47+LF!BM47+LF!CK47+LF!DU47+LF!ES47+LF!FQ47+LF!GO47</f>
        <v>4265</v>
      </c>
      <c r="G8" s="326">
        <f>LF!O48+LF!BW48+LF!EE48+LF!GA48</f>
        <v>7</v>
      </c>
      <c r="H8" s="151">
        <f>LF!Q47+LF!BY47+LF!EG47+LF!GC47</f>
        <v>3313</v>
      </c>
      <c r="I8" s="326">
        <f>LF!AM48+LF!CU48</f>
        <v>1</v>
      </c>
      <c r="J8" s="151">
        <f>LF!AO47+LF!CW47</f>
        <v>1539</v>
      </c>
      <c r="K8" s="331">
        <f>LF!AY48+LF!DG48+LF!FC48+LF!GY48</f>
        <v>1</v>
      </c>
      <c r="L8" s="151">
        <f>LF!BA47+LF!DI47+LF!FE47+LF!HA47</f>
        <v>3323</v>
      </c>
      <c r="N8" s="326">
        <f t="shared" si="4"/>
        <v>3731</v>
      </c>
      <c r="O8" s="151">
        <f t="shared" si="1"/>
        <v>8</v>
      </c>
      <c r="P8" s="326">
        <f>LM!C48+LM!AA48</f>
        <v>3</v>
      </c>
      <c r="Q8" s="151">
        <f>LM!E47+LM!AC47</f>
        <v>900</v>
      </c>
      <c r="R8" s="326">
        <f>LM!O48</f>
        <v>2</v>
      </c>
      <c r="S8" s="151">
        <f>LM!Q47</f>
        <v>706</v>
      </c>
      <c r="T8" s="326">
        <f>LM!AM48+LM!AY48</f>
        <v>3</v>
      </c>
      <c r="U8" s="151">
        <f>LM!AO47+LM!BA47</f>
        <v>1417</v>
      </c>
      <c r="V8" s="150">
        <f>LM!BK48</f>
        <v>0</v>
      </c>
      <c r="W8" s="151">
        <f>LM!BM47</f>
        <v>708</v>
      </c>
    </row>
    <row r="9" spans="1:25" ht="18.75" x14ac:dyDescent="0.25">
      <c r="A9" s="149">
        <f>LF!A50</f>
        <v>30</v>
      </c>
      <c r="B9" s="148">
        <f t="shared" si="2"/>
        <v>44982</v>
      </c>
      <c r="C9" s="326">
        <f t="shared" si="3"/>
        <v>12421</v>
      </c>
      <c r="D9" s="151">
        <f t="shared" si="0"/>
        <v>19</v>
      </c>
      <c r="E9" s="326">
        <f>LF!C57+LF!AA57+LF!BK57+LF!CI57+LF!DS57+LF!EQ57+LF!FO57+LF!GM57</f>
        <v>11</v>
      </c>
      <c r="F9" s="151">
        <f>LF!E56+LF!AC56+LF!BM56+LF!CK56+LF!DU56+LF!ES56+LF!FQ56+LF!GO56</f>
        <v>4254</v>
      </c>
      <c r="G9" s="326">
        <f>LF!O57+LF!BW57+LF!EE57+LF!GA57</f>
        <v>5</v>
      </c>
      <c r="H9" s="151">
        <f>LF!Q56+LF!BY56+LF!EG56+LF!GC56</f>
        <v>3308</v>
      </c>
      <c r="I9" s="326">
        <f>LF!AM57+LF!CU57</f>
        <v>1</v>
      </c>
      <c r="J9" s="151">
        <f>LF!AO56+LF!CW56</f>
        <v>1538</v>
      </c>
      <c r="K9" s="331">
        <f>LF!AY57+LF!DG57+LF!FC57+LF!GY57</f>
        <v>2</v>
      </c>
      <c r="L9" s="151">
        <f>LF!BA56+LF!DI56+LF!FE56+LF!HA56</f>
        <v>3321</v>
      </c>
      <c r="N9" s="326">
        <f t="shared" si="4"/>
        <v>3713</v>
      </c>
      <c r="O9" s="151">
        <f t="shared" si="1"/>
        <v>18</v>
      </c>
      <c r="P9" s="326">
        <f>LM!C57+LM!AA57</f>
        <v>10</v>
      </c>
      <c r="Q9" s="151">
        <f>LM!E56+LM!AC56</f>
        <v>890</v>
      </c>
      <c r="R9" s="326">
        <f>LM!O57</f>
        <v>2</v>
      </c>
      <c r="S9" s="151">
        <f>LM!Q56</f>
        <v>704</v>
      </c>
      <c r="T9" s="326">
        <f>LM!AM57+LM!AY57</f>
        <v>4</v>
      </c>
      <c r="U9" s="151">
        <f>LM!AO56+LM!BA56</f>
        <v>1413</v>
      </c>
      <c r="V9" s="326">
        <f>LM!BK57</f>
        <v>2</v>
      </c>
      <c r="W9" s="151">
        <f>LM!BM56</f>
        <v>706</v>
      </c>
    </row>
    <row r="10" spans="1:25" ht="18.75" x14ac:dyDescent="0.25">
      <c r="A10" s="149">
        <f>LF!A59</f>
        <v>31</v>
      </c>
      <c r="B10" s="148">
        <f t="shared" si="2"/>
        <v>44989</v>
      </c>
      <c r="C10" s="326">
        <f t="shared" si="3"/>
        <v>12392</v>
      </c>
      <c r="D10" s="151">
        <f t="shared" si="0"/>
        <v>29</v>
      </c>
      <c r="E10" s="326">
        <f>LF!C66+LF!AA66+LF!BK66+LF!CI66+LF!DS66+LF!EQ66+LF!FO66+LF!GM66</f>
        <v>21</v>
      </c>
      <c r="F10" s="151">
        <f>LF!E65+LF!AC65+LF!BM65+LF!CK65+LF!DU65+LF!ES65+LF!FQ65+LF!GO65</f>
        <v>4233</v>
      </c>
      <c r="G10" s="326">
        <f>LF!O66+LF!BW66+LF!EE66+LF!GA66</f>
        <v>6</v>
      </c>
      <c r="H10" s="151">
        <f>LF!Q65+LF!BY65+LF!EG65+LF!GC65</f>
        <v>3302</v>
      </c>
      <c r="I10" s="326">
        <f>LF!AM66+LF!CU66</f>
        <v>1</v>
      </c>
      <c r="J10" s="151">
        <f>LF!AO65+LF!CW65</f>
        <v>1537</v>
      </c>
      <c r="K10" s="331">
        <f>LF!AY66+LF!DG66+LF!FC66+LF!GY66</f>
        <v>1</v>
      </c>
      <c r="L10" s="151">
        <f>LF!BA65+LF!DI65+LF!FE65+LF!HA65</f>
        <v>3320</v>
      </c>
      <c r="N10" s="326">
        <f t="shared" si="4"/>
        <v>3677</v>
      </c>
      <c r="O10" s="151">
        <f t="shared" si="1"/>
        <v>36</v>
      </c>
      <c r="P10" s="326">
        <f>LM!C66+LM!AA66</f>
        <v>19</v>
      </c>
      <c r="Q10" s="151">
        <f>LM!E65+LM!AC65</f>
        <v>871</v>
      </c>
      <c r="R10" s="326">
        <f>LM!O66</f>
        <v>16</v>
      </c>
      <c r="S10" s="151">
        <f>LM!Q65</f>
        <v>688</v>
      </c>
      <c r="T10" s="150">
        <f>LM!AM66+LM!AY66</f>
        <v>0</v>
      </c>
      <c r="U10" s="151">
        <f>LM!AO65+LM!BA65</f>
        <v>1413</v>
      </c>
      <c r="V10" s="326">
        <f>LM!BK66</f>
        <v>1</v>
      </c>
      <c r="W10" s="151">
        <f>LM!BM65</f>
        <v>705</v>
      </c>
    </row>
    <row r="11" spans="1:25" ht="18.75" x14ac:dyDescent="0.25">
      <c r="A11" s="149">
        <f>LF!A68</f>
        <v>32</v>
      </c>
      <c r="B11" s="148">
        <f t="shared" si="2"/>
        <v>44996</v>
      </c>
      <c r="C11" s="326">
        <f t="shared" si="3"/>
        <v>12368</v>
      </c>
      <c r="D11" s="151">
        <f t="shared" si="0"/>
        <v>24</v>
      </c>
      <c r="E11" s="326">
        <f>LF!C75+LF!AA75+LF!BK75+LF!CI75+LF!DS75+LF!EQ75+LF!FO75+LF!GM75</f>
        <v>15</v>
      </c>
      <c r="F11" s="151">
        <f>LF!E74+LF!AC74+LF!BM74+LF!CK74+LF!DU74+LF!ES74+LF!FQ74+LF!GO74</f>
        <v>4218</v>
      </c>
      <c r="G11" s="326">
        <f>LF!O75+LF!BW75+LF!EE75+LF!GA75</f>
        <v>4</v>
      </c>
      <c r="H11" s="151">
        <f>LF!Q74+LF!BY74+LF!EG74+LF!GC74</f>
        <v>3298</v>
      </c>
      <c r="I11" s="326">
        <f>LF!AM75+LF!CU75</f>
        <v>1</v>
      </c>
      <c r="J11" s="151">
        <f>LF!AO74+LF!CW74</f>
        <v>1536</v>
      </c>
      <c r="K11" s="331">
        <f>LF!AY75+LF!DG75+LF!FC75+LF!GY75</f>
        <v>4</v>
      </c>
      <c r="L11" s="151">
        <f>LF!BA74+LF!DI74+LF!FE74+LF!HA74</f>
        <v>3316</v>
      </c>
      <c r="N11" s="326">
        <f t="shared" si="4"/>
        <v>3666</v>
      </c>
      <c r="O11" s="151">
        <f t="shared" si="1"/>
        <v>11</v>
      </c>
      <c r="P11" s="326">
        <f>LM!C75+LM!AA75</f>
        <v>9</v>
      </c>
      <c r="Q11" s="151">
        <f>LM!E74+LM!AC74</f>
        <v>862</v>
      </c>
      <c r="R11" s="326">
        <f>LM!O75</f>
        <v>1</v>
      </c>
      <c r="S11" s="151">
        <f>LM!Q74</f>
        <v>687</v>
      </c>
      <c r="T11" s="326">
        <f>LM!AM75+LM!AY75</f>
        <v>1</v>
      </c>
      <c r="U11" s="151">
        <f>LM!AO74+LM!BA74</f>
        <v>1412</v>
      </c>
      <c r="V11" s="150">
        <f>LM!BK75</f>
        <v>0</v>
      </c>
      <c r="W11" s="151">
        <f>LM!BM74</f>
        <v>705</v>
      </c>
    </row>
    <row r="12" spans="1:25" ht="18.75" x14ac:dyDescent="0.25">
      <c r="A12" s="149">
        <f>LF!A77</f>
        <v>33</v>
      </c>
      <c r="B12" s="148">
        <f t="shared" si="2"/>
        <v>45003</v>
      </c>
      <c r="C12" s="326">
        <f t="shared" si="3"/>
        <v>12350</v>
      </c>
      <c r="D12" s="151">
        <f t="shared" ref="D12:D18" si="5">E12+G12+I12+K12</f>
        <v>18</v>
      </c>
      <c r="E12" s="326">
        <f>LF!C84+LF!AA84+LF!BK84+LF!CI84+LF!DS84+LF!EQ84+LF!FO84+LF!GM84</f>
        <v>11</v>
      </c>
      <c r="F12" s="151">
        <f>LF!E83+LF!AC83+LF!BM83+LF!CK83+LF!DU83+LF!ES83+LF!FQ83+LF!GO83</f>
        <v>4207</v>
      </c>
      <c r="G12" s="326">
        <f>LF!O84+LF!BW84+LF!EE84+LF!GA84</f>
        <v>2</v>
      </c>
      <c r="H12" s="151">
        <f>LF!Q83+LF!BY83+LF!EG83+LF!GC83</f>
        <v>3296</v>
      </c>
      <c r="I12" s="326">
        <f>LF!AM84+LF!CU84</f>
        <v>2</v>
      </c>
      <c r="J12" s="151">
        <f>LF!AO83+LF!CW83</f>
        <v>1534</v>
      </c>
      <c r="K12" s="331">
        <f>LF!AY84+LF!DG84+LF!FC84+LF!GY84</f>
        <v>3</v>
      </c>
      <c r="L12" s="151">
        <f>LF!BA83+LF!DI83+LF!FE83+LF!HA83</f>
        <v>3313</v>
      </c>
      <c r="N12" s="326">
        <f t="shared" si="4"/>
        <v>3647</v>
      </c>
      <c r="O12" s="151">
        <f t="shared" si="1"/>
        <v>19</v>
      </c>
      <c r="P12" s="326">
        <f>LM!C84+LM!AA84</f>
        <v>10</v>
      </c>
      <c r="Q12" s="151">
        <f>LM!E83+LM!AC83</f>
        <v>852</v>
      </c>
      <c r="R12" s="150">
        <f>LM!O84</f>
        <v>0</v>
      </c>
      <c r="S12" s="151">
        <f>LM!Q83</f>
        <v>687</v>
      </c>
      <c r="T12" s="326">
        <f>LM!AM84+LM!AY84</f>
        <v>5</v>
      </c>
      <c r="U12" s="151">
        <f>LM!AO83+LM!BA83</f>
        <v>1407</v>
      </c>
      <c r="V12" s="326">
        <f>LM!BK84</f>
        <v>4</v>
      </c>
      <c r="W12" s="151">
        <f>LM!BM83</f>
        <v>701</v>
      </c>
    </row>
    <row r="13" spans="1:25" ht="18.75" x14ac:dyDescent="0.25">
      <c r="A13" s="149">
        <f>LF!A86</f>
        <v>34</v>
      </c>
      <c r="B13" s="148">
        <f t="shared" si="2"/>
        <v>45010</v>
      </c>
      <c r="C13" s="326">
        <f t="shared" si="3"/>
        <v>12328</v>
      </c>
      <c r="D13" s="151">
        <f t="shared" si="5"/>
        <v>22</v>
      </c>
      <c r="E13" s="326">
        <f>LF!C93+LF!AA93+LF!BK93+LF!CI93+LF!DS93+LF!EQ93+LF!FO93+LF!GM93</f>
        <v>11</v>
      </c>
      <c r="F13" s="151">
        <f>LF!E92+LF!AC92+LF!BM92+LF!CK92+LF!DU92+LF!ES92+LF!FQ92+LF!GO92</f>
        <v>4196</v>
      </c>
      <c r="G13" s="326">
        <f>LF!O93+LF!BW93+LF!EE93+LF!GA93</f>
        <v>8</v>
      </c>
      <c r="H13" s="151">
        <f>LF!Q92+LF!BY92+LF!EG92+LF!GC92</f>
        <v>3288</v>
      </c>
      <c r="I13" s="326">
        <f>LF!AM93+LF!CU93</f>
        <v>2</v>
      </c>
      <c r="J13" s="151">
        <f>LF!AO92+LF!CW92</f>
        <v>1532</v>
      </c>
      <c r="K13" s="331">
        <f>LF!AY93+LF!DG93+LF!FC93+LF!GY93</f>
        <v>1</v>
      </c>
      <c r="L13" s="151">
        <f>LF!BA92+LF!DI92+LF!FE92+LF!HA92</f>
        <v>3312</v>
      </c>
      <c r="N13" s="326">
        <f t="shared" si="4"/>
        <v>3633</v>
      </c>
      <c r="O13" s="151">
        <f t="shared" si="1"/>
        <v>14</v>
      </c>
      <c r="P13" s="326">
        <f>LM!C93+LM!AA93</f>
        <v>8</v>
      </c>
      <c r="Q13" s="151">
        <f>LM!E92+LM!AC92</f>
        <v>844</v>
      </c>
      <c r="R13" s="326">
        <f>LM!O93</f>
        <v>2</v>
      </c>
      <c r="S13" s="151">
        <f>LM!Q92</f>
        <v>685</v>
      </c>
      <c r="T13" s="326">
        <f>LM!AM93+LM!AY93</f>
        <v>2</v>
      </c>
      <c r="U13" s="151">
        <f>LM!AO92+LM!BA92</f>
        <v>1405</v>
      </c>
      <c r="V13" s="326">
        <f>LM!BK93</f>
        <v>2</v>
      </c>
      <c r="W13" s="151">
        <f>LM!BM92</f>
        <v>699</v>
      </c>
    </row>
    <row r="14" spans="1:25" ht="18.75" x14ac:dyDescent="0.25">
      <c r="A14" s="149">
        <f>LF!A95</f>
        <v>35</v>
      </c>
      <c r="B14" s="148">
        <f t="shared" si="2"/>
        <v>45017</v>
      </c>
      <c r="C14" s="326">
        <f t="shared" si="3"/>
        <v>12307</v>
      </c>
      <c r="D14" s="151">
        <f t="shared" si="5"/>
        <v>21</v>
      </c>
      <c r="E14" s="326">
        <f>LF!C102+LF!AA102+LF!BK102+LF!CI102+LF!DS102+LF!EQ102+LF!FO102+LF!GM102</f>
        <v>14</v>
      </c>
      <c r="F14" s="151">
        <f>LF!E101+LF!AC101+LF!BM101+LF!CK101+LF!DU101+LF!ES101+LF!FQ101+LF!GO101</f>
        <v>4182</v>
      </c>
      <c r="G14" s="326">
        <f>LF!O102+LF!BW102+LF!EE102+LF!GA102</f>
        <v>2</v>
      </c>
      <c r="H14" s="151">
        <f>LF!Q101+LF!BY101+LF!EG101+LF!GC101</f>
        <v>3286</v>
      </c>
      <c r="I14" s="326">
        <f>LF!AM102+LF!CU102</f>
        <v>2</v>
      </c>
      <c r="J14" s="151">
        <f>LF!AO101+LF!CW101</f>
        <v>1530</v>
      </c>
      <c r="K14" s="331">
        <f>LF!AY102+LF!DG102+LF!FC102+LF!GY102</f>
        <v>3</v>
      </c>
      <c r="L14" s="151">
        <f>LF!BA101+LF!DI101+LF!FE101+LF!HA101</f>
        <v>3309</v>
      </c>
      <c r="N14" s="326">
        <f t="shared" si="4"/>
        <v>3620</v>
      </c>
      <c r="O14" s="151">
        <f t="shared" si="1"/>
        <v>13</v>
      </c>
      <c r="P14" s="326">
        <f>LM!C102+LM!AA102</f>
        <v>4</v>
      </c>
      <c r="Q14" s="151">
        <f>LM!E101+LM!AC101</f>
        <v>840</v>
      </c>
      <c r="R14" s="326">
        <f>LM!O102</f>
        <v>2</v>
      </c>
      <c r="S14" s="151">
        <f>LM!Q101</f>
        <v>683</v>
      </c>
      <c r="T14" s="326">
        <f>LM!AM102+LM!AY102</f>
        <v>4</v>
      </c>
      <c r="U14" s="151">
        <f>LM!AO101+LM!BA101</f>
        <v>1401</v>
      </c>
      <c r="V14" s="326">
        <f>LM!BK102</f>
        <v>3</v>
      </c>
      <c r="W14" s="151">
        <f>LM!BM101</f>
        <v>696</v>
      </c>
    </row>
    <row r="15" spans="1:25" ht="18.75" x14ac:dyDescent="0.25">
      <c r="A15" s="149">
        <f>LF!A104</f>
        <v>36</v>
      </c>
      <c r="B15" s="148">
        <f t="shared" si="2"/>
        <v>45024</v>
      </c>
      <c r="C15" s="326">
        <f t="shared" si="3"/>
        <v>12281</v>
      </c>
      <c r="D15" s="151">
        <f t="shared" si="5"/>
        <v>26</v>
      </c>
      <c r="E15" s="326">
        <f>LF!C111+LF!AA111+LF!BK111+LF!CI111+LF!DS111+LF!EQ111+LF!FO111+LF!GM111</f>
        <v>13</v>
      </c>
      <c r="F15" s="151">
        <f>LF!E110+LF!AC110+LF!BM110+LF!CK110+LF!DU110+LF!ES110+LF!FQ110+LF!GO110</f>
        <v>4169</v>
      </c>
      <c r="G15" s="326">
        <f>LF!O111+LF!BW111+LF!EE111+LF!GA111</f>
        <v>6</v>
      </c>
      <c r="H15" s="151">
        <f>LF!Q110+LF!BY110+LF!EG110+LF!GC110</f>
        <v>3280</v>
      </c>
      <c r="I15" s="326">
        <f>LF!AM111+LF!CU111</f>
        <v>1</v>
      </c>
      <c r="J15" s="151">
        <f>LF!AO110+LF!CW110</f>
        <v>1529</v>
      </c>
      <c r="K15" s="331">
        <f>LF!AY111+LF!DG111+LF!FC111+LF!GY111</f>
        <v>6</v>
      </c>
      <c r="L15" s="151">
        <f>LF!BA110+LF!DI110+LF!FE110+LF!HA110</f>
        <v>3303</v>
      </c>
      <c r="N15" s="326">
        <f t="shared" si="4"/>
        <v>3601</v>
      </c>
      <c r="O15" s="151">
        <f t="shared" si="1"/>
        <v>19</v>
      </c>
      <c r="P15" s="326">
        <f>LM!C111+LM!AA111</f>
        <v>8</v>
      </c>
      <c r="Q15" s="151">
        <f>LM!E110+LM!AC110</f>
        <v>832</v>
      </c>
      <c r="R15" s="326">
        <f>LM!O111</f>
        <v>2</v>
      </c>
      <c r="S15" s="151">
        <f>LM!Q110</f>
        <v>681</v>
      </c>
      <c r="T15" s="326">
        <f>LM!AM111+LM!AY111</f>
        <v>5</v>
      </c>
      <c r="U15" s="151">
        <f>LM!AO110+LM!BA110</f>
        <v>1396</v>
      </c>
      <c r="V15" s="326">
        <f>LM!BK111</f>
        <v>4</v>
      </c>
      <c r="W15" s="151">
        <f>LM!BM110</f>
        <v>692</v>
      </c>
    </row>
    <row r="16" spans="1:25" ht="18.75" x14ac:dyDescent="0.25">
      <c r="A16" s="149">
        <f>LF!A113</f>
        <v>37</v>
      </c>
      <c r="B16" s="148">
        <f t="shared" si="2"/>
        <v>45031</v>
      </c>
      <c r="C16" s="326">
        <f t="shared" si="3"/>
        <v>12252</v>
      </c>
      <c r="D16" s="151">
        <f t="shared" si="5"/>
        <v>29</v>
      </c>
      <c r="E16" s="326">
        <f>LF!C120+LF!AA120+LF!BK120+LF!CI120+LF!DS120+LF!EQ120+LF!FO120+LF!GM120</f>
        <v>14</v>
      </c>
      <c r="F16" s="151">
        <f>LF!E119+LF!AC119+LF!BM119+LF!CK119+LF!DU119+LF!ES119+LF!FQ119+LF!GO119</f>
        <v>4155</v>
      </c>
      <c r="G16" s="326">
        <f>LF!O120+LF!BW120+LF!EE120+LF!GA120</f>
        <v>8</v>
      </c>
      <c r="H16" s="151">
        <f>LF!Q119+LF!BY119+LF!EG119+LF!GC119</f>
        <v>3272</v>
      </c>
      <c r="I16" s="326">
        <f>LF!AM120+LF!CU120</f>
        <v>3</v>
      </c>
      <c r="J16" s="151">
        <f>LF!AO119+LF!CW119</f>
        <v>1526</v>
      </c>
      <c r="K16" s="331">
        <f>LF!AY120+LF!DG120+LF!FC120+LF!GY120</f>
        <v>4</v>
      </c>
      <c r="L16" s="151">
        <f>LF!BA119+LF!DI119+LF!FE119+LF!HA119</f>
        <v>3299</v>
      </c>
      <c r="N16" s="326">
        <f t="shared" si="4"/>
        <v>3590</v>
      </c>
      <c r="O16" s="151">
        <f t="shared" si="1"/>
        <v>11</v>
      </c>
      <c r="P16" s="326">
        <f>LM!C120+LM!AA120</f>
        <v>3</v>
      </c>
      <c r="Q16" s="151">
        <f>LM!E119+LM!AC119</f>
        <v>829</v>
      </c>
      <c r="R16" s="326">
        <f>LM!O120</f>
        <v>4</v>
      </c>
      <c r="S16" s="151">
        <f>LM!Q119</f>
        <v>632</v>
      </c>
      <c r="T16" s="326">
        <f>LM!AM120+LM!AY120</f>
        <v>3</v>
      </c>
      <c r="U16" s="151">
        <f>LM!AO119+LM!BA119</f>
        <v>1419</v>
      </c>
      <c r="V16" s="326">
        <f>LM!BK120</f>
        <v>1</v>
      </c>
      <c r="W16" s="151">
        <f>LM!BM119</f>
        <v>710</v>
      </c>
    </row>
    <row r="17" spans="1:23" ht="18.75" x14ac:dyDescent="0.25">
      <c r="A17" s="149">
        <f>LF!A122</f>
        <v>38</v>
      </c>
      <c r="B17" s="148">
        <f t="shared" si="2"/>
        <v>45038</v>
      </c>
      <c r="C17" s="326">
        <f t="shared" si="3"/>
        <v>12218</v>
      </c>
      <c r="D17" s="151">
        <f t="shared" si="5"/>
        <v>34</v>
      </c>
      <c r="E17" s="326">
        <f>LF!C129+LF!AA129+LF!BK129+LF!CI129+LF!DS129+LF!EQ129+LF!FO129+LF!GM129</f>
        <v>20</v>
      </c>
      <c r="F17" s="151">
        <f>LF!E128+LF!AC128+LF!BM128+LF!CK128+LF!DU128+LF!ES128+LF!FQ128+LF!GO128</f>
        <v>4135</v>
      </c>
      <c r="G17" s="326">
        <f>LF!O129+LF!BW129+LF!EE129+LF!GA129</f>
        <v>9</v>
      </c>
      <c r="H17" s="151">
        <f>LF!Q128+LF!BY128+LF!EG128+LF!GC128</f>
        <v>3263</v>
      </c>
      <c r="I17" s="326">
        <f>LF!AM129+LF!CU129</f>
        <v>1</v>
      </c>
      <c r="J17" s="151">
        <f>LF!AO128+LF!CW128</f>
        <v>1525</v>
      </c>
      <c r="K17" s="331">
        <f>LF!AY129+LF!DG129+LF!FC129+LF!GY129</f>
        <v>4</v>
      </c>
      <c r="L17" s="151">
        <f>LF!BA128+LF!DI128+LF!FE128+LF!HA128</f>
        <v>3295</v>
      </c>
      <c r="N17" s="326">
        <f t="shared" si="4"/>
        <v>3577</v>
      </c>
      <c r="O17" s="151">
        <f t="shared" si="1"/>
        <v>13</v>
      </c>
      <c r="P17" s="326">
        <f>LM!C129+LM!AA129</f>
        <v>4</v>
      </c>
      <c r="Q17" s="151">
        <f>LM!E128+LM!AC128</f>
        <v>825</v>
      </c>
      <c r="R17" s="326">
        <f>LM!O129</f>
        <v>3</v>
      </c>
      <c r="S17" s="151">
        <f>LM!Q128</f>
        <v>629</v>
      </c>
      <c r="T17" s="326">
        <f>LM!AM129+LM!AY129</f>
        <v>4</v>
      </c>
      <c r="U17" s="151">
        <f>LM!AO128+LM!BA128</f>
        <v>1415</v>
      </c>
      <c r="V17" s="326">
        <f>LM!BK129</f>
        <v>2</v>
      </c>
      <c r="W17" s="151">
        <f>LM!BM128</f>
        <v>708</v>
      </c>
    </row>
    <row r="18" spans="1:23" ht="18.75" x14ac:dyDescent="0.25">
      <c r="A18" s="149">
        <f>LF!A131</f>
        <v>39</v>
      </c>
      <c r="B18" s="148">
        <f t="shared" si="2"/>
        <v>45045</v>
      </c>
      <c r="C18" s="326">
        <f t="shared" si="3"/>
        <v>12198</v>
      </c>
      <c r="D18" s="151">
        <f t="shared" si="5"/>
        <v>20</v>
      </c>
      <c r="E18" s="326">
        <f>LF!C138+LF!AA138+LF!BK138+LF!CI138+LF!DS138+LF!EQ138+LF!FO138+LF!GM138</f>
        <v>8</v>
      </c>
      <c r="F18" s="151">
        <f>LF!E137+LF!AC137+LF!BM137+LF!CK137+LF!DU137+LF!ES137+LF!FQ137+LF!GO137</f>
        <v>4127</v>
      </c>
      <c r="G18" s="326">
        <f>LF!O138+LF!BW138+LF!EE138+LF!GA138</f>
        <v>6</v>
      </c>
      <c r="H18" s="151">
        <f>LF!Q137+LF!BY137+LF!EG137+LF!GC137</f>
        <v>3257</v>
      </c>
      <c r="I18" s="326">
        <f>LF!AM138+LF!CU138</f>
        <v>5</v>
      </c>
      <c r="J18" s="151">
        <f>LF!AO137+LF!CW137</f>
        <v>1520</v>
      </c>
      <c r="K18" s="331">
        <f>LF!AY138+LF!DG138+LF!FC138+LF!GY138</f>
        <v>1</v>
      </c>
      <c r="L18" s="151">
        <f>LF!BA137+LF!DI137+LF!FE137+LF!HA137</f>
        <v>3294</v>
      </c>
      <c r="N18" s="326">
        <f t="shared" si="4"/>
        <v>3567</v>
      </c>
      <c r="O18" s="151">
        <f t="shared" si="1"/>
        <v>10</v>
      </c>
      <c r="P18" s="326">
        <f>LM!C138+LM!AA138</f>
        <v>2</v>
      </c>
      <c r="Q18" s="151">
        <f>LM!E137+LM!AC137</f>
        <v>823</v>
      </c>
      <c r="R18" s="326">
        <f>LM!O138</f>
        <v>0</v>
      </c>
      <c r="S18" s="151">
        <f>LM!Q137</f>
        <v>629</v>
      </c>
      <c r="T18" s="326">
        <f>LM!AM138+LM!AY138</f>
        <v>6</v>
      </c>
      <c r="U18" s="151">
        <f>LM!AO137+LM!BA137</f>
        <v>1409</v>
      </c>
      <c r="V18" s="326">
        <f>LM!BK138</f>
        <v>2</v>
      </c>
      <c r="W18" s="151">
        <f>LM!BM137</f>
        <v>706</v>
      </c>
    </row>
    <row r="19" spans="1:23" ht="18.75" x14ac:dyDescent="0.25">
      <c r="A19" s="149">
        <f>LF!A140</f>
        <v>40</v>
      </c>
      <c r="B19" s="148">
        <f t="shared" si="2"/>
        <v>45052</v>
      </c>
      <c r="C19" s="326">
        <f t="shared" si="3"/>
        <v>12157</v>
      </c>
      <c r="D19" s="151">
        <f t="shared" ref="D19:D25" si="6">E19+G19+I19+K19</f>
        <v>41</v>
      </c>
      <c r="E19" s="326">
        <f>LF!C147+LF!AA147+LF!BK147+LF!CI147+LF!DS147+LF!EQ147+LF!FO147+LF!GM147</f>
        <v>26</v>
      </c>
      <c r="F19" s="151">
        <f>LF!E146+LF!AC146+LF!BM146+LF!CK146+LF!DU146+LF!ES146+LF!FQ146+LF!GO146</f>
        <v>4101</v>
      </c>
      <c r="G19" s="326">
        <f>LF!O147+LF!BW147+LF!EE147+LF!GA147</f>
        <v>6</v>
      </c>
      <c r="H19" s="151">
        <f>LF!Q146+LF!BY146+LF!EG146+LF!GC146</f>
        <v>3251</v>
      </c>
      <c r="I19" s="326">
        <f>LF!AM147+LF!CU147</f>
        <v>0</v>
      </c>
      <c r="J19" s="151">
        <f>LF!AO146+LF!CW146</f>
        <v>1520</v>
      </c>
      <c r="K19" s="331">
        <f>LF!AY147+LF!DG147+LF!FC147+LF!GY147</f>
        <v>9</v>
      </c>
      <c r="L19" s="151">
        <f>LF!BA146+LF!DI146+LF!FE146+LF!HA146</f>
        <v>3285</v>
      </c>
      <c r="N19" s="326">
        <f t="shared" si="4"/>
        <v>3556</v>
      </c>
      <c r="O19" s="151">
        <f t="shared" si="1"/>
        <v>11</v>
      </c>
      <c r="P19" s="326">
        <f>LM!C147+LM!AA147</f>
        <v>4</v>
      </c>
      <c r="Q19" s="151">
        <f>LM!E146+LM!AC146</f>
        <v>819</v>
      </c>
      <c r="R19" s="326">
        <f>LM!O147</f>
        <v>1</v>
      </c>
      <c r="S19" s="151">
        <f>LM!Q146</f>
        <v>628</v>
      </c>
      <c r="T19" s="326">
        <f>LM!AM147+LM!AY147</f>
        <v>5</v>
      </c>
      <c r="U19" s="151">
        <f>LM!AO146+LM!BA146</f>
        <v>1404</v>
      </c>
      <c r="V19" s="326">
        <f>LM!BK147</f>
        <v>1</v>
      </c>
      <c r="W19" s="151">
        <f>LM!BM146</f>
        <v>705</v>
      </c>
    </row>
    <row r="20" spans="1:23" ht="18.75" x14ac:dyDescent="0.25">
      <c r="A20" s="149">
        <f>LF!A149</f>
        <v>41</v>
      </c>
      <c r="B20" s="148">
        <f t="shared" si="2"/>
        <v>45059</v>
      </c>
      <c r="C20" s="326">
        <f t="shared" si="3"/>
        <v>12127</v>
      </c>
      <c r="D20" s="151">
        <f t="shared" si="6"/>
        <v>30</v>
      </c>
      <c r="E20" s="326">
        <f>LF!C156+LF!AA156+LF!BK156+LF!CI156+LF!DS156+LF!EQ156+LF!FO156+LF!GM156</f>
        <v>14</v>
      </c>
      <c r="F20" s="151">
        <f>LF!E155+LF!AC155+LF!BM155+LF!CK155+LF!DU155+LF!ES155+LF!FQ155+LF!GO155</f>
        <v>4087</v>
      </c>
      <c r="G20" s="326">
        <f>LF!O156+LF!BW156+LF!EE156+LF!GA156</f>
        <v>8</v>
      </c>
      <c r="H20" s="151">
        <f>LF!Q155+LF!BY155+LF!EG155+LF!GC155</f>
        <v>3243</v>
      </c>
      <c r="I20" s="326">
        <f>LF!AM156+LF!CU156</f>
        <v>5</v>
      </c>
      <c r="J20" s="151">
        <f>LF!AO155+LF!CW155</f>
        <v>1515</v>
      </c>
      <c r="K20" s="331">
        <f>LF!AY156+LF!DG156+LF!FC156+LF!GY156</f>
        <v>3</v>
      </c>
      <c r="L20" s="151">
        <f>LF!BA155+LF!DI155+LF!FE155+LF!HA155</f>
        <v>3282</v>
      </c>
      <c r="N20" s="326">
        <f t="shared" si="4"/>
        <v>3542</v>
      </c>
      <c r="O20" s="151">
        <f t="shared" si="1"/>
        <v>14</v>
      </c>
      <c r="P20" s="326">
        <f>LM!C156+LM!AA156</f>
        <v>7</v>
      </c>
      <c r="Q20" s="151">
        <f>LM!E155+LM!AC155</f>
        <v>812</v>
      </c>
      <c r="R20" s="326">
        <f>LM!O156</f>
        <v>1</v>
      </c>
      <c r="S20" s="151">
        <f>LM!Q155</f>
        <v>627</v>
      </c>
      <c r="T20" s="326">
        <f>LM!AM156+LM!AY156</f>
        <v>3</v>
      </c>
      <c r="U20" s="151">
        <f>LM!AO155+LM!BA155</f>
        <v>1401</v>
      </c>
      <c r="V20" s="326">
        <f>LM!BK156</f>
        <v>3</v>
      </c>
      <c r="W20" s="151">
        <f>LM!BM155</f>
        <v>702</v>
      </c>
    </row>
    <row r="21" spans="1:23" ht="18.75" x14ac:dyDescent="0.25">
      <c r="A21" s="149">
        <f>LF!A158</f>
        <v>42</v>
      </c>
      <c r="B21" s="148">
        <f t="shared" si="2"/>
        <v>45066</v>
      </c>
      <c r="C21" s="326">
        <f t="shared" si="3"/>
        <v>12086</v>
      </c>
      <c r="D21" s="151">
        <f t="shared" si="6"/>
        <v>41</v>
      </c>
      <c r="E21" s="326">
        <f>LF!C165+LF!AA165+LF!BK165+LF!CI165+LF!DS165+LF!EQ165+LF!FO165+LF!GM165</f>
        <v>22</v>
      </c>
      <c r="F21" s="151">
        <f>LF!E164+LF!AC164+LF!BM164+LF!CK164+LF!DU164+LF!ES164+LF!FQ164+LF!GO164</f>
        <v>4065</v>
      </c>
      <c r="G21" s="326">
        <f>LF!O165+LF!BW165+LF!EE165+LF!GA165</f>
        <v>7</v>
      </c>
      <c r="H21" s="151">
        <f>LF!Q164+LF!BY164+LF!EG164+LF!GC164</f>
        <v>3236</v>
      </c>
      <c r="I21" s="326">
        <f>LF!AM165+LF!CU165</f>
        <v>3</v>
      </c>
      <c r="J21" s="151">
        <f>LF!AO164+LF!CW164</f>
        <v>1512</v>
      </c>
      <c r="K21" s="331">
        <f>LF!AY165+LF!DG165+LF!FC165+LF!GY165</f>
        <v>9</v>
      </c>
      <c r="L21" s="151">
        <f>LF!BA164+LF!DI164+LF!FE164+LF!HA164</f>
        <v>3273</v>
      </c>
      <c r="N21" s="326">
        <f t="shared" si="4"/>
        <v>3528</v>
      </c>
      <c r="O21" s="151">
        <f t="shared" si="1"/>
        <v>14</v>
      </c>
      <c r="P21" s="326">
        <f>LM!C165+LM!AA165</f>
        <v>7</v>
      </c>
      <c r="Q21" s="151">
        <f>LM!E164+LM!AC164</f>
        <v>805</v>
      </c>
      <c r="R21" s="326">
        <f>LM!O165</f>
        <v>2</v>
      </c>
      <c r="S21" s="151">
        <f>LM!Q164</f>
        <v>625</v>
      </c>
      <c r="T21" s="326">
        <f>LM!AM165+LM!AY165</f>
        <v>5</v>
      </c>
      <c r="U21" s="151">
        <f>LM!AO164+LM!BA164</f>
        <v>1396</v>
      </c>
      <c r="V21" s="326">
        <f>LM!BK165</f>
        <v>0</v>
      </c>
      <c r="W21" s="151">
        <f>LM!BM164</f>
        <v>702</v>
      </c>
    </row>
    <row r="22" spans="1:23" ht="18.75" x14ac:dyDescent="0.25">
      <c r="A22" s="149">
        <f>LF!A167</f>
        <v>43</v>
      </c>
      <c r="B22" s="148">
        <f t="shared" si="2"/>
        <v>45073</v>
      </c>
      <c r="C22" s="326">
        <f t="shared" si="3"/>
        <v>12038</v>
      </c>
      <c r="D22" s="151">
        <f t="shared" si="6"/>
        <v>48</v>
      </c>
      <c r="E22" s="326">
        <f>LF!C174+LF!AA174+LF!BK174+LF!CI174+LF!DS174+LF!EQ174+LF!FO174+LF!GM174</f>
        <v>21</v>
      </c>
      <c r="F22" s="151">
        <f>LF!E173+LF!AC173+LF!BM173+LF!CK173+LF!DU173+LF!ES173+LF!FQ173+LF!GO173</f>
        <v>4044</v>
      </c>
      <c r="G22" s="326">
        <f>LF!O174+LF!BW174+LF!EE174+LF!GA174</f>
        <v>4</v>
      </c>
      <c r="H22" s="151">
        <f>LF!Q173+LF!BY173+LF!EG173+LF!GC173</f>
        <v>3232</v>
      </c>
      <c r="I22" s="326">
        <f>LF!AM174+LF!CU174</f>
        <v>5</v>
      </c>
      <c r="J22" s="151">
        <f>LF!AO173+LF!CW173</f>
        <v>1507</v>
      </c>
      <c r="K22" s="331">
        <f>LF!AY174+LF!DG174+LF!FC174+LF!GY174</f>
        <v>18</v>
      </c>
      <c r="L22" s="151">
        <f>LF!BA173+LF!DI173+LF!FE173+LF!HA173</f>
        <v>3255</v>
      </c>
      <c r="N22" s="326">
        <f t="shared" si="4"/>
        <v>3504</v>
      </c>
      <c r="O22" s="151">
        <f t="shared" si="1"/>
        <v>24</v>
      </c>
      <c r="P22" s="326">
        <f>LM!C174+LM!AA174</f>
        <v>11</v>
      </c>
      <c r="Q22" s="151">
        <f>LM!E173+LM!AC173</f>
        <v>794</v>
      </c>
      <c r="R22" s="326">
        <f>LM!O174</f>
        <v>2</v>
      </c>
      <c r="S22" s="151">
        <f>LM!Q173</f>
        <v>623</v>
      </c>
      <c r="T22" s="326">
        <f>LM!AM174+LM!AY174</f>
        <v>8</v>
      </c>
      <c r="U22" s="151">
        <f>LM!AO173+LM!BA173</f>
        <v>1388</v>
      </c>
      <c r="V22" s="326">
        <f>LM!BK174</f>
        <v>3</v>
      </c>
      <c r="W22" s="151">
        <f>LM!BM173</f>
        <v>699</v>
      </c>
    </row>
    <row r="23" spans="1:23" ht="18.75" x14ac:dyDescent="0.25">
      <c r="A23" s="149">
        <f>LF!A176</f>
        <v>44</v>
      </c>
      <c r="B23" s="148">
        <f t="shared" si="2"/>
        <v>45080</v>
      </c>
      <c r="C23" s="326">
        <f t="shared" si="3"/>
        <v>11994</v>
      </c>
      <c r="D23" s="151">
        <f t="shared" si="6"/>
        <v>44</v>
      </c>
      <c r="E23" s="326">
        <f>LF!C183+LF!AA183+LF!BK183+LF!CI183+LF!DS183+LF!EQ183+LF!FO183+LF!GM183</f>
        <v>29</v>
      </c>
      <c r="F23" s="151">
        <f>LF!E182+LF!AC182+LF!BM182+LF!CK182+LF!DU182+LF!ES182+LF!FQ182+LF!GO182</f>
        <v>4015</v>
      </c>
      <c r="G23" s="326">
        <f>LF!O183+LF!BW183+LF!EE183+LF!GA183</f>
        <v>5</v>
      </c>
      <c r="H23" s="151">
        <f>LF!Q182+LF!BY182+LF!EG182+LF!GC182</f>
        <v>3227</v>
      </c>
      <c r="I23" s="326">
        <f>LF!AM183+LF!CU183</f>
        <v>6</v>
      </c>
      <c r="J23" s="151">
        <f>LF!AO182+LF!CW182</f>
        <v>1501</v>
      </c>
      <c r="K23" s="331">
        <f>LF!AY183+LF!DG183+LF!FC183+LF!GY183</f>
        <v>4</v>
      </c>
      <c r="L23" s="151">
        <f>LF!BA182+LF!DI182+LF!FE182+LF!HA182</f>
        <v>3251</v>
      </c>
      <c r="N23" s="326">
        <f t="shared" si="4"/>
        <v>3484</v>
      </c>
      <c r="O23" s="151">
        <f t="shared" si="1"/>
        <v>20</v>
      </c>
      <c r="P23" s="326">
        <f>LM!C183+LM!AA183</f>
        <v>9</v>
      </c>
      <c r="Q23" s="151">
        <f>LM!E182+LM!AC182</f>
        <v>785</v>
      </c>
      <c r="R23" s="326">
        <f>LM!O183</f>
        <v>0</v>
      </c>
      <c r="S23" s="151">
        <f>LM!Q182</f>
        <v>623</v>
      </c>
      <c r="T23" s="326">
        <f>LM!AM183+LM!AY183</f>
        <v>5</v>
      </c>
      <c r="U23" s="151">
        <f>LM!AO182+LM!BA182</f>
        <v>1383</v>
      </c>
      <c r="V23" s="326">
        <f>LM!BK183</f>
        <v>6</v>
      </c>
      <c r="W23" s="151">
        <f>LM!BM182</f>
        <v>693</v>
      </c>
    </row>
    <row r="24" spans="1:23" ht="18.75" x14ac:dyDescent="0.25">
      <c r="A24" s="149">
        <f>LF!A185</f>
        <v>45</v>
      </c>
      <c r="B24" s="148">
        <f t="shared" si="2"/>
        <v>45087</v>
      </c>
      <c r="C24" s="326">
        <f t="shared" si="3"/>
        <v>11968</v>
      </c>
      <c r="D24" s="151">
        <f t="shared" si="6"/>
        <v>26</v>
      </c>
      <c r="E24" s="326">
        <f>LF!C192+LF!AA192+LF!BK192+LF!CI192+LF!DS192+LF!EQ192+LF!FO192+LF!GM192</f>
        <v>18</v>
      </c>
      <c r="F24" s="151">
        <f>LF!E191+LF!AC191+LF!BM191+LF!CK191+LF!DU191+LF!ES191+LF!FQ191+LF!GO191</f>
        <v>3997</v>
      </c>
      <c r="G24" s="326">
        <f>LF!O192+LF!BW192+LF!EE192+LF!GA192</f>
        <v>6</v>
      </c>
      <c r="H24" s="151">
        <f>LF!Q191+LF!BY191+LF!EG191+LF!GC191</f>
        <v>3221</v>
      </c>
      <c r="I24" s="326">
        <f>LF!AM192+LF!CU192</f>
        <v>0</v>
      </c>
      <c r="J24" s="151">
        <f>LF!AO191+LF!CW191</f>
        <v>1501</v>
      </c>
      <c r="K24" s="331">
        <f>LF!AY192+LF!DG192+LF!FC192+LF!GY192</f>
        <v>2</v>
      </c>
      <c r="L24" s="151">
        <f>LF!BA191+LF!DI191+LF!FE191+LF!HA191</f>
        <v>3249</v>
      </c>
      <c r="N24" s="326">
        <f t="shared" si="4"/>
        <v>3472</v>
      </c>
      <c r="O24" s="151">
        <f t="shared" si="1"/>
        <v>12</v>
      </c>
      <c r="P24" s="326">
        <f>LM!C192+LM!AA192</f>
        <v>6</v>
      </c>
      <c r="Q24" s="151">
        <f>LM!E191+LM!AC191</f>
        <v>779</v>
      </c>
      <c r="R24" s="326">
        <f>LM!O192</f>
        <v>1</v>
      </c>
      <c r="S24" s="151">
        <f>LM!Q191</f>
        <v>622</v>
      </c>
      <c r="T24" s="326">
        <f>LM!AM192+LM!AY192</f>
        <v>3</v>
      </c>
      <c r="U24" s="151">
        <f>LM!AO191+LM!BA191</f>
        <v>1380</v>
      </c>
      <c r="V24" s="326">
        <f>LM!BK192</f>
        <v>2</v>
      </c>
      <c r="W24" s="151">
        <f>LM!BM191</f>
        <v>691</v>
      </c>
    </row>
    <row r="25" spans="1:23" ht="18.75" x14ac:dyDescent="0.25">
      <c r="A25" s="149">
        <f>LF!A194</f>
        <v>46</v>
      </c>
      <c r="B25" s="148">
        <f t="shared" si="2"/>
        <v>45094</v>
      </c>
      <c r="C25" s="326">
        <f t="shared" si="3"/>
        <v>11947</v>
      </c>
      <c r="D25" s="151">
        <f t="shared" si="6"/>
        <v>21</v>
      </c>
      <c r="E25" s="326">
        <f>LF!C201+LF!AA201+LF!BK201+LF!CI201+LF!DS201+LF!EQ201+LF!FO201+LF!GM201</f>
        <v>16</v>
      </c>
      <c r="F25" s="151">
        <f>LF!E200+LF!AC200+LF!BM200+LF!CK200+LF!DU200+LF!ES200+LF!FQ200+LF!GO200</f>
        <v>3981</v>
      </c>
      <c r="G25" s="326">
        <f>LF!O201+LF!BW201+LF!EE201+LF!GA201</f>
        <v>3</v>
      </c>
      <c r="H25" s="151">
        <f>LF!Q200+LF!BY200+LF!EG200+LF!GC200</f>
        <v>3218</v>
      </c>
      <c r="I25" s="326">
        <f>LF!AM201+LF!CU201</f>
        <v>1</v>
      </c>
      <c r="J25" s="151">
        <f>LF!AO200+LF!CW200</f>
        <v>1500</v>
      </c>
      <c r="K25" s="331">
        <f>LF!AY201+LF!DG201+LF!FC201+LF!GY201</f>
        <v>1</v>
      </c>
      <c r="L25" s="151">
        <f>LF!BA200+LF!DI200+LF!FE200+LF!HA200</f>
        <v>3248</v>
      </c>
      <c r="N25" s="326">
        <f t="shared" si="4"/>
        <v>3462</v>
      </c>
      <c r="O25" s="151">
        <f t="shared" si="1"/>
        <v>10</v>
      </c>
      <c r="P25" s="326">
        <f>LM!C201+LM!AA201</f>
        <v>7</v>
      </c>
      <c r="Q25" s="151">
        <f>LM!E200+LM!AC200</f>
        <v>772</v>
      </c>
      <c r="R25" s="326">
        <f>LM!O201</f>
        <v>1</v>
      </c>
      <c r="S25" s="151">
        <f>LM!Q200</f>
        <v>621</v>
      </c>
      <c r="T25" s="326">
        <f>LM!AM201+LM!AY201</f>
        <v>1</v>
      </c>
      <c r="U25" s="151">
        <f>LM!AO200+LM!BA200</f>
        <v>1379</v>
      </c>
      <c r="V25" s="326">
        <f>LM!BK201</f>
        <v>1</v>
      </c>
      <c r="W25" s="151">
        <f>LM!BM200</f>
        <v>690</v>
      </c>
    </row>
    <row r="26" spans="1:23" ht="18.75" x14ac:dyDescent="0.25">
      <c r="A26" s="149">
        <f>LF!A203</f>
        <v>47</v>
      </c>
      <c r="B26" s="148">
        <f t="shared" si="2"/>
        <v>45101</v>
      </c>
      <c r="C26" s="326">
        <f t="shared" si="3"/>
        <v>11919</v>
      </c>
      <c r="D26" s="151">
        <f t="shared" ref="D26:D32" si="7">E26+G26+I26+K26</f>
        <v>28</v>
      </c>
      <c r="E26" s="326">
        <f>LF!C210+LF!AA210+LF!BK210+LF!CI210+LF!DS210+LF!EQ210+LF!FO210+LF!GM210</f>
        <v>19</v>
      </c>
      <c r="F26" s="151">
        <f>LF!E209+LF!AC209+LF!BM209+LF!CK209+LF!DU209+LF!ES209+LF!FQ209+LF!GO209</f>
        <v>3962</v>
      </c>
      <c r="G26" s="326">
        <f>LF!O210+LF!BW210+LF!EE210+LF!GA210</f>
        <v>3</v>
      </c>
      <c r="H26" s="151">
        <f>LF!Q209+LF!BY209+LF!EG209+LF!GC209</f>
        <v>3215</v>
      </c>
      <c r="I26" s="326">
        <f>LF!AM210+LF!CU210</f>
        <v>3</v>
      </c>
      <c r="J26" s="151">
        <f>LF!AO209+LF!CW209</f>
        <v>1497</v>
      </c>
      <c r="K26" s="331">
        <f>LF!AY210+LF!DG210+LF!FC210+LF!GY210</f>
        <v>3</v>
      </c>
      <c r="L26" s="151">
        <f>LF!BA209+LF!DI209+LF!FE209+LF!HA209</f>
        <v>3245</v>
      </c>
      <c r="N26" s="326">
        <f t="shared" si="4"/>
        <v>3449</v>
      </c>
      <c r="O26" s="151">
        <f t="shared" si="1"/>
        <v>13</v>
      </c>
      <c r="P26" s="326">
        <f>LM!C210+LM!AA210</f>
        <v>6</v>
      </c>
      <c r="Q26" s="151">
        <f>LM!E209+LM!AC209</f>
        <v>766</v>
      </c>
      <c r="R26" s="326">
        <f>LM!O210</f>
        <v>3</v>
      </c>
      <c r="S26" s="151">
        <f>LM!Q209</f>
        <v>618</v>
      </c>
      <c r="T26" s="326">
        <f>LM!AM210+LM!AY210</f>
        <v>3</v>
      </c>
      <c r="U26" s="151">
        <f>LM!AO209+LM!BA209</f>
        <v>1376</v>
      </c>
      <c r="V26" s="326">
        <f>LM!BK210</f>
        <v>1</v>
      </c>
      <c r="W26" s="151">
        <f>LM!BM209</f>
        <v>689</v>
      </c>
    </row>
    <row r="27" spans="1:23" ht="18.75" x14ac:dyDescent="0.25">
      <c r="A27" s="149">
        <f>LF!A212</f>
        <v>48</v>
      </c>
      <c r="B27" s="148">
        <f t="shared" si="2"/>
        <v>45108</v>
      </c>
      <c r="C27" s="326">
        <f t="shared" si="3"/>
        <v>11889</v>
      </c>
      <c r="D27" s="151">
        <f t="shared" si="7"/>
        <v>30</v>
      </c>
      <c r="E27" s="326">
        <f>LF!C219+LF!AA219+LF!BK219+LF!CI219+LF!DS219+LF!EQ219+LF!FO219+LF!GM219</f>
        <v>18</v>
      </c>
      <c r="F27" s="151">
        <f>LF!E218+LF!AC218+LF!BM218+LF!CK218+LF!DU218+LF!ES218+LF!FQ218+LF!GO218</f>
        <v>3944</v>
      </c>
      <c r="G27" s="326">
        <f>LF!O219+LF!BW219+LF!EE219+LF!GA219</f>
        <v>4</v>
      </c>
      <c r="H27" s="151">
        <f>LF!Q218+LF!BY218+LF!EG218+LF!GC218</f>
        <v>3211</v>
      </c>
      <c r="I27" s="326">
        <f>LF!AM219+LF!CU219</f>
        <v>0</v>
      </c>
      <c r="J27" s="151">
        <f>LF!AO218+LF!CW218</f>
        <v>1497</v>
      </c>
      <c r="K27" s="331">
        <f>LF!AY219+LF!DG219+LF!FC219+LF!GY219</f>
        <v>8</v>
      </c>
      <c r="L27" s="151">
        <f>LF!BA218+LF!DI218+LF!FE218+LF!HA218</f>
        <v>3237</v>
      </c>
      <c r="N27" s="326">
        <f t="shared" si="4"/>
        <v>3433</v>
      </c>
      <c r="O27" s="151">
        <f t="shared" si="1"/>
        <v>16</v>
      </c>
      <c r="P27" s="326">
        <f>LM!C219+LM!AA219</f>
        <v>8</v>
      </c>
      <c r="Q27" s="151">
        <f>LM!E218+LM!AC218</f>
        <v>758</v>
      </c>
      <c r="R27" s="326">
        <f>LM!O219</f>
        <v>1</v>
      </c>
      <c r="S27" s="151">
        <f>LM!Q218</f>
        <v>617</v>
      </c>
      <c r="T27" s="326">
        <f>LM!AM219+LM!AY219</f>
        <v>3</v>
      </c>
      <c r="U27" s="151">
        <f>LM!AO218+LM!BA218</f>
        <v>1373</v>
      </c>
      <c r="V27" s="326">
        <f>LM!BK219</f>
        <v>4</v>
      </c>
      <c r="W27" s="151">
        <f>LM!BM218</f>
        <v>685</v>
      </c>
    </row>
    <row r="28" spans="1:23" ht="18.75" x14ac:dyDescent="0.25">
      <c r="A28" s="149">
        <f>LF!A221</f>
        <v>49</v>
      </c>
      <c r="B28" s="148">
        <f t="shared" si="2"/>
        <v>45115</v>
      </c>
      <c r="C28" s="326">
        <f t="shared" si="3"/>
        <v>11867</v>
      </c>
      <c r="D28" s="151">
        <f t="shared" si="7"/>
        <v>22</v>
      </c>
      <c r="E28" s="326">
        <f>LF!C228+LF!AA228+LF!BK228+LF!CI228+LF!DS228+LF!EQ228+LF!FO228+LF!GM228</f>
        <v>12</v>
      </c>
      <c r="F28" s="151">
        <f>LF!E227+LF!AC227+LF!BM227+LF!CK227+LF!DU227+LF!ES227+LF!FQ227+LF!GO227</f>
        <v>3932</v>
      </c>
      <c r="G28" s="326">
        <f>LF!O228+LF!BW228+LF!EE228+LF!GA228</f>
        <v>2</v>
      </c>
      <c r="H28" s="151">
        <f>LF!Q227+LF!BY227+LF!EG227+LF!GC227</f>
        <v>3209</v>
      </c>
      <c r="I28" s="326">
        <f>LF!AM228+LF!CU228</f>
        <v>5</v>
      </c>
      <c r="J28" s="151">
        <f>LF!AO227+LF!CW227</f>
        <v>1492</v>
      </c>
      <c r="K28" s="331">
        <f>LF!AY228+LF!DG228+LF!FC228+LF!GY228</f>
        <v>3</v>
      </c>
      <c r="L28" s="151">
        <f>LF!BA227+LF!DI227+LF!FE227+LF!HA227</f>
        <v>3234</v>
      </c>
      <c r="N28" s="326">
        <f t="shared" si="4"/>
        <v>3409</v>
      </c>
      <c r="O28" s="151">
        <f t="shared" si="1"/>
        <v>24</v>
      </c>
      <c r="P28" s="326">
        <f>LM!C228+LM!AA228</f>
        <v>8</v>
      </c>
      <c r="Q28" s="151">
        <f>LM!E227+LM!AC227</f>
        <v>750</v>
      </c>
      <c r="R28" s="326">
        <f>LM!O228</f>
        <v>4</v>
      </c>
      <c r="S28" s="151">
        <f>LM!Q227</f>
        <v>613</v>
      </c>
      <c r="T28" s="326">
        <f>LM!AM228+LM!AY228</f>
        <v>7</v>
      </c>
      <c r="U28" s="151">
        <f>LM!AO227+LM!BA227</f>
        <v>1366</v>
      </c>
      <c r="V28" s="326">
        <f>LM!BK228</f>
        <v>5</v>
      </c>
      <c r="W28" s="151">
        <f>LM!BM227</f>
        <v>680</v>
      </c>
    </row>
    <row r="29" spans="1:23" ht="18.75" x14ac:dyDescent="0.25">
      <c r="A29" s="149">
        <f>LF!A230</f>
        <v>50</v>
      </c>
      <c r="B29" s="148">
        <f t="shared" si="2"/>
        <v>45122</v>
      </c>
      <c r="C29" s="326">
        <f t="shared" si="3"/>
        <v>11844</v>
      </c>
      <c r="D29" s="151">
        <f t="shared" si="7"/>
        <v>23</v>
      </c>
      <c r="E29" s="326">
        <f>LF!C237+LF!AA237+LF!BK237+LF!CI237+LF!DS237+LF!EQ237+LF!FO237+LF!GM237</f>
        <v>12</v>
      </c>
      <c r="F29" s="151">
        <f>LF!E236+LF!AC236+LF!BM236+LF!CK236+LF!DU236+LF!ES236+LF!FQ236+LF!GO236</f>
        <v>3920</v>
      </c>
      <c r="G29" s="326">
        <f>LF!O237+LF!BW237+LF!EE237+LF!GA237</f>
        <v>2</v>
      </c>
      <c r="H29" s="151">
        <f>LF!Q236+LF!BY236+LF!EG236+LF!GC236</f>
        <v>3207</v>
      </c>
      <c r="I29" s="326">
        <f>LF!AM237+LF!CU237</f>
        <v>3</v>
      </c>
      <c r="J29" s="151">
        <f>LF!AO236+LF!CW236</f>
        <v>1489</v>
      </c>
      <c r="K29" s="331">
        <f>LF!AY237+LF!DG237+LF!FC237+LF!GY237</f>
        <v>6</v>
      </c>
      <c r="L29" s="151">
        <f>LF!BA236+LF!DI236+LF!FE236+LF!HA236</f>
        <v>3228</v>
      </c>
      <c r="N29" s="326">
        <f t="shared" si="4"/>
        <v>3400</v>
      </c>
      <c r="O29" s="151">
        <f t="shared" si="1"/>
        <v>9</v>
      </c>
      <c r="P29" s="326">
        <f>LM!C237+LM!AA237</f>
        <v>4</v>
      </c>
      <c r="Q29" s="151">
        <f>LM!E236+LM!AC236</f>
        <v>746</v>
      </c>
      <c r="R29" s="326">
        <f>LM!O237</f>
        <v>1</v>
      </c>
      <c r="S29" s="151">
        <f>LM!Q236</f>
        <v>612</v>
      </c>
      <c r="T29" s="326">
        <f>LM!AM237+LM!AY237</f>
        <v>3</v>
      </c>
      <c r="U29" s="151">
        <f>LM!AO236+LM!BA236</f>
        <v>1363</v>
      </c>
      <c r="V29" s="326">
        <f>LM!BK237</f>
        <v>1</v>
      </c>
      <c r="W29" s="151">
        <f>LM!BM236</f>
        <v>679</v>
      </c>
    </row>
    <row r="30" spans="1:23" ht="18.75" x14ac:dyDescent="0.25">
      <c r="A30" s="149">
        <f>LF!A239</f>
        <v>51</v>
      </c>
      <c r="B30" s="148">
        <f t="shared" si="2"/>
        <v>45129</v>
      </c>
      <c r="C30" s="326">
        <f t="shared" si="3"/>
        <v>11826</v>
      </c>
      <c r="D30" s="151">
        <f t="shared" si="7"/>
        <v>18</v>
      </c>
      <c r="E30" s="326">
        <f>LF!C246+LF!AA246+LF!BK246+LF!CI246+LF!DS246+LF!EQ246+LF!FO246+LF!GM246</f>
        <v>7</v>
      </c>
      <c r="F30" s="151">
        <f>LF!E245+LF!AC245+LF!BM245+LF!CK245+LF!DU245+LF!ES245+LF!FQ245+LF!GO245</f>
        <v>3913</v>
      </c>
      <c r="G30" s="326">
        <f>LF!O246+LF!BW246+LF!EE246+LF!GA246</f>
        <v>5</v>
      </c>
      <c r="H30" s="151">
        <f>LF!Q245+LF!BY245+LF!EG245+LF!GC245</f>
        <v>3202</v>
      </c>
      <c r="I30" s="326">
        <f>LF!AM246+LF!CU246</f>
        <v>2</v>
      </c>
      <c r="J30" s="151">
        <f>LF!AO245+LF!CW245</f>
        <v>1487</v>
      </c>
      <c r="K30" s="331">
        <f>LF!AY246+LF!DG246+LF!FC246+LF!GY246</f>
        <v>4</v>
      </c>
      <c r="L30" s="151">
        <f>LF!BA245+LF!DI245+LF!FE245+LF!HA245</f>
        <v>3224</v>
      </c>
      <c r="N30" s="326">
        <f t="shared" si="4"/>
        <v>3389</v>
      </c>
      <c r="O30" s="151">
        <f t="shared" si="1"/>
        <v>11</v>
      </c>
      <c r="P30" s="326">
        <f>LM!C246+LM!AA246</f>
        <v>3</v>
      </c>
      <c r="Q30" s="151">
        <f>LM!E245+LM!AC245</f>
        <v>743</v>
      </c>
      <c r="R30" s="326">
        <f>LM!O246</f>
        <v>2</v>
      </c>
      <c r="S30" s="151">
        <f>LM!Q245</f>
        <v>610</v>
      </c>
      <c r="T30" s="326">
        <f>LM!AM246+LM!AY246</f>
        <v>3</v>
      </c>
      <c r="U30" s="151">
        <f>LM!AO245+LM!BA245</f>
        <v>1360</v>
      </c>
      <c r="V30" s="326">
        <f>LM!BK246</f>
        <v>3</v>
      </c>
      <c r="W30" s="151">
        <f>LM!BM245</f>
        <v>676</v>
      </c>
    </row>
    <row r="31" spans="1:23" ht="18.75" x14ac:dyDescent="0.25">
      <c r="A31" s="149">
        <f>LF!A248</f>
        <v>52</v>
      </c>
      <c r="B31" s="148">
        <f t="shared" si="2"/>
        <v>45136</v>
      </c>
      <c r="C31" s="326">
        <f t="shared" si="3"/>
        <v>11807</v>
      </c>
      <c r="D31" s="151">
        <f t="shared" si="7"/>
        <v>19</v>
      </c>
      <c r="E31" s="326">
        <f>LF!C255+LF!AA255+LF!BK255+LF!CI255+LF!DS255+LF!EQ255+LF!FO255+LF!GM255</f>
        <v>12</v>
      </c>
      <c r="F31" s="151">
        <f>LF!E254+LF!AC254+LF!BM254+LF!CK254+LF!DU254+LF!ES254+LF!FQ254+LF!GO254</f>
        <v>3901</v>
      </c>
      <c r="G31" s="326">
        <f>LF!O255+LF!BW255+LF!EE255+LF!GA255</f>
        <v>2</v>
      </c>
      <c r="H31" s="151">
        <f>LF!Q254+LF!BY254+LF!EG254+LF!GC254</f>
        <v>3200</v>
      </c>
      <c r="I31" s="326">
        <f>LF!AM255+LF!CU255</f>
        <v>1</v>
      </c>
      <c r="J31" s="151">
        <f>LF!AO254+LF!CW254</f>
        <v>1486</v>
      </c>
      <c r="K31" s="331">
        <f>LF!AY255+LF!DG255+LF!FC255+LF!GY255</f>
        <v>4</v>
      </c>
      <c r="L31" s="151">
        <f>LF!BA254+LF!DI254+LF!FE254+LF!HA254</f>
        <v>3220</v>
      </c>
      <c r="N31" s="326">
        <f t="shared" si="4"/>
        <v>3373</v>
      </c>
      <c r="O31" s="151">
        <f t="shared" si="1"/>
        <v>16</v>
      </c>
      <c r="P31" s="326">
        <f>LM!C255+LM!AA255</f>
        <v>6</v>
      </c>
      <c r="Q31" s="151">
        <f>LM!E254+LM!AC254</f>
        <v>737</v>
      </c>
      <c r="R31" s="326">
        <f>LM!O255</f>
        <v>2</v>
      </c>
      <c r="S31" s="151">
        <f>LM!Q254</f>
        <v>608</v>
      </c>
      <c r="T31" s="326">
        <f>LM!AM255+LM!AY255</f>
        <v>6</v>
      </c>
      <c r="U31" s="151">
        <f>LM!AO254+LM!BA254</f>
        <v>1354</v>
      </c>
      <c r="V31" s="326">
        <f>LM!BK255</f>
        <v>2</v>
      </c>
      <c r="W31" s="151">
        <f>LM!BM254</f>
        <v>674</v>
      </c>
    </row>
    <row r="32" spans="1:23" ht="18.75" x14ac:dyDescent="0.25">
      <c r="A32" s="149">
        <f>LF!A257</f>
        <v>53</v>
      </c>
      <c r="B32" s="148">
        <f t="shared" si="2"/>
        <v>45143</v>
      </c>
      <c r="C32" s="326">
        <f t="shared" si="3"/>
        <v>11787</v>
      </c>
      <c r="D32" s="151">
        <f t="shared" si="7"/>
        <v>20</v>
      </c>
      <c r="E32" s="326">
        <f>LF!C264+LF!AA264+LF!BK264+LF!CI264+LF!DS264+LF!EQ264+LF!FO264+LF!GM264</f>
        <v>12</v>
      </c>
      <c r="F32" s="151">
        <f>LF!E263+LF!AC263+LF!BM263+LF!CK263+LF!DU263+LF!ES263+LF!FQ263+LF!GO263</f>
        <v>3889</v>
      </c>
      <c r="G32" s="326">
        <f>LF!O264+LF!BW264+LF!EE264+LF!GA264</f>
        <v>3</v>
      </c>
      <c r="H32" s="151">
        <f>LF!Q263+LF!BY263+LF!EG263+LF!GC263</f>
        <v>3197</v>
      </c>
      <c r="I32" s="326">
        <f>LF!AM264+LF!CU264</f>
        <v>2</v>
      </c>
      <c r="J32" s="151">
        <f>LF!AO263+LF!CW263</f>
        <v>1484</v>
      </c>
      <c r="K32" s="331">
        <f>LF!AY264+LF!DG264+LF!FC264+LF!GY264</f>
        <v>3</v>
      </c>
      <c r="L32" s="151">
        <f>LF!BA263+LF!DI263+LF!FE263+LF!HA263</f>
        <v>3217</v>
      </c>
      <c r="N32" s="326">
        <f t="shared" si="4"/>
        <v>3365</v>
      </c>
      <c r="O32" s="151">
        <f t="shared" si="1"/>
        <v>8</v>
      </c>
      <c r="P32" s="326">
        <f>LM!C264+LM!AA264</f>
        <v>2</v>
      </c>
      <c r="Q32" s="151">
        <f>LM!E263+LM!AC263</f>
        <v>735</v>
      </c>
      <c r="R32" s="326">
        <f>LM!O264</f>
        <v>2</v>
      </c>
      <c r="S32" s="151">
        <f>LM!Q263</f>
        <v>606</v>
      </c>
      <c r="T32" s="326">
        <f>LM!AM264+LM!AY264</f>
        <v>3</v>
      </c>
      <c r="U32" s="151">
        <f>LM!AO263+LM!BA263</f>
        <v>1351</v>
      </c>
      <c r="V32" s="326">
        <f>LM!BK264</f>
        <v>1</v>
      </c>
      <c r="W32" s="151">
        <f>LM!BM263</f>
        <v>673</v>
      </c>
    </row>
    <row r="33" spans="1:23" ht="18.75" x14ac:dyDescent="0.25">
      <c r="A33" s="149">
        <f>LF!A266</f>
        <v>54</v>
      </c>
      <c r="B33" s="148">
        <f t="shared" si="2"/>
        <v>45150</v>
      </c>
      <c r="C33" s="326">
        <f t="shared" si="3"/>
        <v>11755</v>
      </c>
      <c r="D33" s="151">
        <f t="shared" ref="D33:D39" si="8">E33+G33+I33+K33</f>
        <v>32</v>
      </c>
      <c r="E33" s="326">
        <f>LF!C273+LF!AA273+LF!BK273+LF!CI273+LF!DS273+LF!EQ273+LF!FO273+LF!GM273</f>
        <v>20</v>
      </c>
      <c r="F33" s="151">
        <f>LF!E272+LF!AC272+LF!BM272+LF!CK272+LF!DU272+LF!ES272+LF!FQ272+LF!GO272</f>
        <v>3869</v>
      </c>
      <c r="G33" s="326">
        <f>LF!O273+LF!BW273+LF!EE273+LF!GA273</f>
        <v>4</v>
      </c>
      <c r="H33" s="151">
        <f>LF!Q272+LF!BY272+LF!EG272+LF!GC272</f>
        <v>3193</v>
      </c>
      <c r="I33" s="326">
        <f>LF!AM273+LF!CU273</f>
        <v>3</v>
      </c>
      <c r="J33" s="151">
        <f>LF!AO272+LF!CW272</f>
        <v>1481</v>
      </c>
      <c r="K33" s="331">
        <f>LF!AY273+LF!DG273+LF!FC273+LF!GY273</f>
        <v>5</v>
      </c>
      <c r="L33" s="151">
        <f>LF!BA272+LF!DI272+LF!FE272+LF!HA272</f>
        <v>3212</v>
      </c>
      <c r="N33" s="326">
        <f t="shared" si="4"/>
        <v>3357</v>
      </c>
      <c r="O33" s="151">
        <f t="shared" si="1"/>
        <v>8</v>
      </c>
      <c r="P33" s="326">
        <f>LM!C273+LM!AA273</f>
        <v>2</v>
      </c>
      <c r="Q33" s="151">
        <f>LM!E272+LM!AC272</f>
        <v>733</v>
      </c>
      <c r="R33" s="326">
        <f>LM!O273</f>
        <v>1</v>
      </c>
      <c r="S33" s="151">
        <f>LM!Q272</f>
        <v>605</v>
      </c>
      <c r="T33" s="326">
        <f>LM!AM273+LM!AY273</f>
        <v>3</v>
      </c>
      <c r="U33" s="151">
        <f>LM!AO272+LM!BA272</f>
        <v>1348</v>
      </c>
      <c r="V33" s="326">
        <f>LM!BK273</f>
        <v>2</v>
      </c>
      <c r="W33" s="151">
        <f>LM!BM272</f>
        <v>671</v>
      </c>
    </row>
    <row r="34" spans="1:23" ht="18.75" x14ac:dyDescent="0.25">
      <c r="A34" s="149">
        <f>LF!A275</f>
        <v>55</v>
      </c>
      <c r="B34" s="148">
        <f t="shared" si="2"/>
        <v>45157</v>
      </c>
      <c r="C34" s="326">
        <f t="shared" si="3"/>
        <v>11728</v>
      </c>
      <c r="D34" s="151">
        <f t="shared" si="8"/>
        <v>27</v>
      </c>
      <c r="E34" s="326">
        <f>LF!C282+LF!AA282+LF!BK282+LF!CI282+LF!DS282+LF!EQ282+LF!FO282+LF!GM282</f>
        <v>12</v>
      </c>
      <c r="F34" s="151">
        <f>LF!E281+LF!AC281+LF!BM281+LF!CK281+LF!DU281+LF!ES281+LF!FQ281+LF!GO281</f>
        <v>3857</v>
      </c>
      <c r="G34" s="326">
        <f>LF!O282+LF!BW282+LF!EE282+LF!GA282</f>
        <v>6</v>
      </c>
      <c r="H34" s="151">
        <f>LF!Q281+LF!BY281+LF!EG281+LF!GC281</f>
        <v>3187</v>
      </c>
      <c r="I34" s="326">
        <f>LF!AM282+LF!CU282</f>
        <v>6</v>
      </c>
      <c r="J34" s="151">
        <f>LF!AO281+LF!CW281</f>
        <v>1475</v>
      </c>
      <c r="K34" s="331">
        <f>LF!AY282+LF!DG282+LF!FC282+LF!GY282</f>
        <v>3</v>
      </c>
      <c r="L34" s="151">
        <f>LF!BA281+LF!DI281+LF!FE281+LF!HA281</f>
        <v>3209</v>
      </c>
      <c r="N34" s="326">
        <f t="shared" si="4"/>
        <v>3344</v>
      </c>
      <c r="O34" s="151">
        <f t="shared" si="1"/>
        <v>13</v>
      </c>
      <c r="P34" s="326">
        <f>LM!C282+LM!AA282</f>
        <v>5</v>
      </c>
      <c r="Q34" s="151">
        <f>LM!E281+LM!AC281</f>
        <v>728</v>
      </c>
      <c r="R34" s="326">
        <f>LM!O282</f>
        <v>2</v>
      </c>
      <c r="S34" s="151">
        <f>LM!Q281</f>
        <v>603</v>
      </c>
      <c r="T34" s="326">
        <f>LM!AM282+LM!AY282</f>
        <v>2</v>
      </c>
      <c r="U34" s="151">
        <f>LM!AO281+LM!BA281</f>
        <v>1346</v>
      </c>
      <c r="V34" s="326">
        <f>LM!BK282</f>
        <v>4</v>
      </c>
      <c r="W34" s="151">
        <f>LM!BM281</f>
        <v>667</v>
      </c>
    </row>
    <row r="35" spans="1:23" ht="18.75" x14ac:dyDescent="0.25">
      <c r="A35" s="149">
        <f>LF!A284</f>
        <v>56</v>
      </c>
      <c r="B35" s="148">
        <f t="shared" si="2"/>
        <v>45164</v>
      </c>
      <c r="C35" s="326">
        <f t="shared" si="3"/>
        <v>11701</v>
      </c>
      <c r="D35" s="151">
        <f t="shared" si="8"/>
        <v>27</v>
      </c>
      <c r="E35" s="326">
        <f>LF!C291+LF!AA291+LF!BK291+LF!CI291+LF!DS291+LF!EQ291+LF!FO291+LF!GM291</f>
        <v>16</v>
      </c>
      <c r="F35" s="151">
        <f>LF!E290+LF!AC290+LF!BM290+LF!CK290+LF!DU290+LF!ES290+LF!FQ290+LF!GO290</f>
        <v>3841</v>
      </c>
      <c r="G35" s="326">
        <f>LF!O291+LF!BW291+LF!EE291+LF!GA291</f>
        <v>5</v>
      </c>
      <c r="H35" s="151">
        <f>LF!Q290+LF!BY290+LF!EG290+LF!GC290</f>
        <v>3182</v>
      </c>
      <c r="I35" s="326">
        <f>LF!AM291+LF!CU291</f>
        <v>2</v>
      </c>
      <c r="J35" s="151">
        <f>LF!AO290+LF!CW290</f>
        <v>1473</v>
      </c>
      <c r="K35" s="331">
        <f>LF!AY291+LF!DG291+LF!FC291+LF!GY291</f>
        <v>4</v>
      </c>
      <c r="L35" s="151">
        <f>LF!BA290+LF!DI290+LF!FE290+LF!HA290</f>
        <v>3205</v>
      </c>
      <c r="N35" s="326">
        <f t="shared" si="4"/>
        <v>3338</v>
      </c>
      <c r="O35" s="151">
        <f t="shared" si="1"/>
        <v>6</v>
      </c>
      <c r="P35" s="326">
        <f>LM!C291+LM!AA291</f>
        <v>2</v>
      </c>
      <c r="Q35" s="151">
        <f>LM!E290+LM!AC290</f>
        <v>726</v>
      </c>
      <c r="R35" s="326">
        <f>LM!O291</f>
        <v>1</v>
      </c>
      <c r="S35" s="151">
        <f>LM!Q290</f>
        <v>602</v>
      </c>
      <c r="T35" s="326">
        <f>LM!AM291+LM!AY291</f>
        <v>3</v>
      </c>
      <c r="U35" s="151">
        <f>LM!AO290+LM!BA290</f>
        <v>1343</v>
      </c>
      <c r="V35" s="326">
        <f>LM!BK291</f>
        <v>0</v>
      </c>
      <c r="W35" s="151">
        <f>LM!BM290</f>
        <v>667</v>
      </c>
    </row>
    <row r="36" spans="1:23" ht="18.75" x14ac:dyDescent="0.25">
      <c r="A36" s="149">
        <f>LF!A293</f>
        <v>57</v>
      </c>
      <c r="B36" s="148">
        <f t="shared" si="2"/>
        <v>45171</v>
      </c>
      <c r="C36" s="326">
        <f t="shared" si="3"/>
        <v>11670</v>
      </c>
      <c r="D36" s="151">
        <f t="shared" si="8"/>
        <v>31</v>
      </c>
      <c r="E36" s="326">
        <f>LF!C300+LF!AA300+LF!BK300+LF!CI300+LF!DS300+LF!EQ300+LF!FO300+LF!GM300</f>
        <v>13</v>
      </c>
      <c r="F36" s="151">
        <f>LF!E299+LF!AC299+LF!BM299+LF!CK299+LF!DU299+LF!ES299+LF!FQ299+LF!GO299</f>
        <v>3828</v>
      </c>
      <c r="G36" s="326">
        <f>LF!O300+LF!BW300+LF!EE300+LF!GA300</f>
        <v>9</v>
      </c>
      <c r="H36" s="151">
        <f>LF!Q299+LF!BY299+LF!EG299+LF!GC299</f>
        <v>3173</v>
      </c>
      <c r="I36" s="326">
        <f>LF!AM300+LF!CU300</f>
        <v>2</v>
      </c>
      <c r="J36" s="151">
        <f>LF!AO299+LF!CW299</f>
        <v>1471</v>
      </c>
      <c r="K36" s="331">
        <f>LF!AY300+LF!DG300+LF!FC300+LF!GY300</f>
        <v>7</v>
      </c>
      <c r="L36" s="151">
        <f>LF!BA299+LF!DI299+LF!FE299+LF!HA299</f>
        <v>3198</v>
      </c>
      <c r="N36" s="326">
        <f t="shared" si="4"/>
        <v>3325</v>
      </c>
      <c r="O36" s="151">
        <f t="shared" si="1"/>
        <v>13</v>
      </c>
      <c r="P36" s="326">
        <f>LM!C300+LM!AA300</f>
        <v>2</v>
      </c>
      <c r="Q36" s="151">
        <f>LM!E299+LM!AC299</f>
        <v>724</v>
      </c>
      <c r="R36" s="326">
        <f>LM!O300</f>
        <v>3</v>
      </c>
      <c r="S36" s="151">
        <f>LM!Q299</f>
        <v>599</v>
      </c>
      <c r="T36" s="326">
        <f>LM!AM300+LM!AY300</f>
        <v>4</v>
      </c>
      <c r="U36" s="151">
        <f>LM!AO299+LM!BA299</f>
        <v>1339</v>
      </c>
      <c r="V36" s="326">
        <f>LM!BK300</f>
        <v>4</v>
      </c>
      <c r="W36" s="151">
        <f>LM!BM299</f>
        <v>663</v>
      </c>
    </row>
    <row r="37" spans="1:23" ht="18.75" x14ac:dyDescent="0.25">
      <c r="A37" s="149">
        <f>LF!A302</f>
        <v>58</v>
      </c>
      <c r="B37" s="148">
        <f t="shared" si="2"/>
        <v>45178</v>
      </c>
      <c r="C37" s="326">
        <f t="shared" si="3"/>
        <v>11652</v>
      </c>
      <c r="D37" s="151">
        <f t="shared" si="8"/>
        <v>18</v>
      </c>
      <c r="E37" s="326">
        <f>LF!C309+LF!AA309+LF!BK309+LF!CI309+LF!DS309+LF!EQ309+LF!FO309+LF!GM309</f>
        <v>9</v>
      </c>
      <c r="F37" s="151">
        <f>LF!E308+LF!AC308+LF!BM308+LF!CK308+LF!DU308+LF!ES308+LF!FQ308+LF!GO308</f>
        <v>3819</v>
      </c>
      <c r="G37" s="326">
        <f>LF!O309+LF!BW309+LF!EE309+LF!GA309</f>
        <v>4</v>
      </c>
      <c r="H37" s="151">
        <f>LF!Q308+LF!BY308+LF!EG308+LF!GC308</f>
        <v>3169</v>
      </c>
      <c r="I37" s="326">
        <f>LF!AM309+LF!CU309</f>
        <v>2</v>
      </c>
      <c r="J37" s="151">
        <f>LF!AO308+LF!CW308</f>
        <v>1469</v>
      </c>
      <c r="K37" s="331">
        <f>LF!AY309+LF!DG309+LF!FC309+LF!GY309</f>
        <v>3</v>
      </c>
      <c r="L37" s="151">
        <f>LF!BA308+LF!DI308+LF!FE308+LF!HA308</f>
        <v>3195</v>
      </c>
      <c r="N37" s="326">
        <f t="shared" si="4"/>
        <v>3313</v>
      </c>
      <c r="O37" s="151">
        <f t="shared" si="1"/>
        <v>12</v>
      </c>
      <c r="P37" s="326">
        <f>LM!C309+LM!AA309</f>
        <v>4</v>
      </c>
      <c r="Q37" s="151">
        <f>LM!E308+LM!AC308</f>
        <v>720</v>
      </c>
      <c r="R37" s="326">
        <f>LM!O309</f>
        <v>3</v>
      </c>
      <c r="S37" s="151">
        <f>LM!Q308</f>
        <v>596</v>
      </c>
      <c r="T37" s="326">
        <f>LM!AM309+LM!AY309</f>
        <v>5</v>
      </c>
      <c r="U37" s="151">
        <f>LM!AO308+LM!BA308</f>
        <v>1334</v>
      </c>
      <c r="V37" s="326">
        <f>LM!BK309</f>
        <v>0</v>
      </c>
      <c r="W37" s="151">
        <f>LM!BM308</f>
        <v>663</v>
      </c>
    </row>
    <row r="38" spans="1:23" ht="18.75" x14ac:dyDescent="0.25">
      <c r="A38" s="149">
        <f>LF!A311</f>
        <v>59</v>
      </c>
      <c r="B38" s="148">
        <f t="shared" si="2"/>
        <v>45185</v>
      </c>
      <c r="C38" s="326">
        <f t="shared" si="3"/>
        <v>11619</v>
      </c>
      <c r="D38" s="151">
        <f t="shared" si="8"/>
        <v>33</v>
      </c>
      <c r="E38" s="326">
        <f>LF!C318+LF!AA318+LF!BK318+LF!CI318+LF!DS318+LF!EQ318+LF!FO318+LF!GM318</f>
        <v>15</v>
      </c>
      <c r="F38" s="151">
        <f>LF!E317+LF!AC317+LF!BM317+LF!CK317+LF!DU317+LF!ES317+LF!FQ317+LF!GO317</f>
        <v>3804</v>
      </c>
      <c r="G38" s="326">
        <f>LF!O318+LF!BW318+LF!EE318+LF!GA318</f>
        <v>10</v>
      </c>
      <c r="H38" s="151">
        <f>LF!Q317+LF!BY317+LF!EG317+LF!GC317</f>
        <v>3159</v>
      </c>
      <c r="I38" s="326">
        <f>LF!AM318+LF!CU318</f>
        <v>2</v>
      </c>
      <c r="J38" s="151">
        <f>LF!AO317+LF!CW317</f>
        <v>1467</v>
      </c>
      <c r="K38" s="331">
        <f>LF!AY318+LF!DG318+LF!FC318+LF!GY318</f>
        <v>6</v>
      </c>
      <c r="L38" s="151">
        <f>LF!BA317+LF!DI317+LF!FE317+LF!HA317</f>
        <v>3189</v>
      </c>
      <c r="N38" s="326">
        <f t="shared" si="4"/>
        <v>3296</v>
      </c>
      <c r="O38" s="151">
        <f t="shared" si="1"/>
        <v>17</v>
      </c>
      <c r="P38" s="326">
        <f>LM!C318+LM!AA318</f>
        <v>3</v>
      </c>
      <c r="Q38" s="151">
        <f>LM!E317+LM!AC317</f>
        <v>717</v>
      </c>
      <c r="R38" s="326">
        <f>LM!O318</f>
        <v>2</v>
      </c>
      <c r="S38" s="151">
        <f>LM!Q317</f>
        <v>594</v>
      </c>
      <c r="T38" s="326">
        <f>LM!AM318+LM!AY318</f>
        <v>10</v>
      </c>
      <c r="U38" s="151">
        <f>LM!AO317+LM!BA317</f>
        <v>1324</v>
      </c>
      <c r="V38" s="326">
        <f>LM!BK318</f>
        <v>2</v>
      </c>
      <c r="W38" s="151">
        <f>LM!BM317</f>
        <v>661</v>
      </c>
    </row>
    <row r="39" spans="1:23" ht="18.75" x14ac:dyDescent="0.25">
      <c r="A39" s="149">
        <f>LF!A320</f>
        <v>60</v>
      </c>
      <c r="B39" s="148">
        <f t="shared" si="2"/>
        <v>45192</v>
      </c>
      <c r="C39" s="326">
        <f t="shared" si="3"/>
        <v>11595</v>
      </c>
      <c r="D39" s="151">
        <f t="shared" si="8"/>
        <v>24</v>
      </c>
      <c r="E39" s="326">
        <f>LF!C327+LF!AA327+LF!BK327+LF!CI327+LF!DS327+LF!EQ327+LF!FO327+LF!GM327</f>
        <v>12</v>
      </c>
      <c r="F39" s="151">
        <f>LF!E326+LF!AC326+LF!BM326+LF!CK326+LF!DU326+LF!ES326+LF!FQ326+LF!GO326</f>
        <v>3792</v>
      </c>
      <c r="G39" s="326">
        <f>LF!O327+LF!BW327+LF!EE327+LF!GA327</f>
        <v>2</v>
      </c>
      <c r="H39" s="151">
        <f>LF!Q326+LF!BY326+LF!EG326+LF!GC326</f>
        <v>3157</v>
      </c>
      <c r="I39" s="326">
        <f>LF!AM327+LF!CU327</f>
        <v>5</v>
      </c>
      <c r="J39" s="151">
        <f>LF!AO326+LF!CW326</f>
        <v>1462</v>
      </c>
      <c r="K39" s="331">
        <f>LF!AY327+LF!DG327+LF!FC327+LF!GY327</f>
        <v>5</v>
      </c>
      <c r="L39" s="151">
        <f>LF!BA326+LF!DI326+LF!FE326+LF!HA326</f>
        <v>3184</v>
      </c>
      <c r="N39" s="326">
        <f t="shared" si="4"/>
        <v>3280</v>
      </c>
      <c r="O39" s="151">
        <f t="shared" si="1"/>
        <v>16</v>
      </c>
      <c r="P39" s="326">
        <f>LM!C327+LM!AA327</f>
        <v>9</v>
      </c>
      <c r="Q39" s="151">
        <f>LM!E326+LM!AC326</f>
        <v>708</v>
      </c>
      <c r="R39" s="326">
        <f>LM!O327</f>
        <v>1</v>
      </c>
      <c r="S39" s="151">
        <f>LM!Q326</f>
        <v>593</v>
      </c>
      <c r="T39" s="326">
        <f>LM!AM327+LM!AY327</f>
        <v>4</v>
      </c>
      <c r="U39" s="151">
        <f>LM!AO326+LM!BA326</f>
        <v>1320</v>
      </c>
      <c r="V39" s="326">
        <f>LM!BK327</f>
        <v>2</v>
      </c>
      <c r="W39" s="151">
        <f>LM!BM326</f>
        <v>659</v>
      </c>
    </row>
    <row r="40" spans="1:23" ht="18.75" x14ac:dyDescent="0.25">
      <c r="A40" s="149">
        <f>LF!A329</f>
        <v>61</v>
      </c>
      <c r="B40" s="148">
        <f t="shared" si="2"/>
        <v>45199</v>
      </c>
      <c r="C40" s="326">
        <f t="shared" si="3"/>
        <v>11571</v>
      </c>
      <c r="D40" s="151">
        <f t="shared" ref="D40:D42" si="9">E40+G40+I40+K40</f>
        <v>24</v>
      </c>
      <c r="E40" s="326">
        <f>LF!C336+LF!AA336+LF!BK336+LF!CI336+LF!DS336+LF!EQ336+LF!FO336+LF!GM336</f>
        <v>10</v>
      </c>
      <c r="F40" s="151">
        <f>LF!E335+LF!AC335+LF!BM335+LF!CK335+LF!DU335+LF!ES335+LF!FQ335+LF!GO335</f>
        <v>3782</v>
      </c>
      <c r="G40" s="326">
        <f>LF!O336+LF!BW336+LF!EE336+LF!GA336</f>
        <v>6</v>
      </c>
      <c r="H40" s="151">
        <f>LF!Q335+LF!BY335+LF!EG335+LF!GC335</f>
        <v>3151</v>
      </c>
      <c r="I40" s="326">
        <f>LF!AM336+LF!CU336</f>
        <v>6</v>
      </c>
      <c r="J40" s="151">
        <f>LF!AO335+LF!CW335</f>
        <v>1456</v>
      </c>
      <c r="K40" s="331">
        <f>LF!AY336+LF!DG336+LF!FC336+LF!GY336</f>
        <v>2</v>
      </c>
      <c r="L40" s="151">
        <f>LF!BA335+LF!DI335+LF!FE335+LF!HA335</f>
        <v>3182</v>
      </c>
      <c r="N40" s="326">
        <f t="shared" si="4"/>
        <v>3262</v>
      </c>
      <c r="O40" s="151">
        <f t="shared" si="1"/>
        <v>18</v>
      </c>
      <c r="P40" s="326">
        <f>LM!C336+LM!AA336</f>
        <v>9</v>
      </c>
      <c r="Q40" s="151">
        <f>LM!E335+LM!AC335</f>
        <v>699</v>
      </c>
      <c r="R40" s="326">
        <f>LM!O336</f>
        <v>1</v>
      </c>
      <c r="S40" s="151">
        <f>LM!Q335</f>
        <v>592</v>
      </c>
      <c r="T40" s="326">
        <f>LM!AM336+LM!AY336</f>
        <v>5</v>
      </c>
      <c r="U40" s="151">
        <f>LM!AO335+LM!BA335</f>
        <v>1315</v>
      </c>
      <c r="V40" s="326">
        <f>LM!BK336</f>
        <v>3</v>
      </c>
      <c r="W40" s="151">
        <f>LM!BM335</f>
        <v>656</v>
      </c>
    </row>
    <row r="41" spans="1:23" ht="18.75" x14ac:dyDescent="0.25">
      <c r="A41" s="149">
        <f>LF!A338</f>
        <v>62</v>
      </c>
      <c r="B41" s="148">
        <f t="shared" si="2"/>
        <v>45206</v>
      </c>
      <c r="C41" s="150">
        <f t="shared" si="3"/>
        <v>11535</v>
      </c>
      <c r="D41" s="151">
        <f t="shared" si="9"/>
        <v>36</v>
      </c>
      <c r="E41" s="150">
        <f>LF!C345+LF!AA345+LF!BK345+LF!CI345+LF!DS345+LF!EQ345+LF!FO345+LF!GM345</f>
        <v>14</v>
      </c>
      <c r="F41" s="151">
        <f>LF!E344+LF!AC344+LF!BM344+LF!CK344+LF!DU344+LF!ES344+LF!FQ344+LF!GO344</f>
        <v>6909</v>
      </c>
      <c r="G41" s="150">
        <f>LF!O345+LF!BW345+LF!EE345+LF!GA345</f>
        <v>7</v>
      </c>
      <c r="H41" s="151">
        <f>LF!Q344+LF!BY344+LF!EG344+LF!GC344</f>
        <v>1727</v>
      </c>
      <c r="I41" s="150">
        <f>LF!AM345+LF!CU345</f>
        <v>5</v>
      </c>
      <c r="J41" s="151">
        <f>LF!AO344+LF!CW344</f>
        <v>1451</v>
      </c>
      <c r="K41" s="154">
        <f>LF!AY345+LF!DG345+LF!FC345+LF!GY345</f>
        <v>10</v>
      </c>
      <c r="L41" s="151">
        <f>LF!BA344+LF!DI344+LF!FE344+LF!HA344</f>
        <v>1448</v>
      </c>
      <c r="N41" s="150">
        <f t="shared" si="4"/>
        <v>3242</v>
      </c>
      <c r="O41" s="151">
        <f t="shared" si="1"/>
        <v>20</v>
      </c>
      <c r="P41" s="150">
        <f>LM!C345+LM!AA345</f>
        <v>12</v>
      </c>
      <c r="Q41" s="151">
        <f>LM!E344+LM!AC344</f>
        <v>3127</v>
      </c>
      <c r="R41" s="150">
        <f>LM!O345</f>
        <v>7</v>
      </c>
      <c r="S41" s="151">
        <f>LM!Q344</f>
        <v>115</v>
      </c>
      <c r="T41" s="150">
        <f>LM!AM345+LM!AY345</f>
        <v>1</v>
      </c>
      <c r="U41" s="151">
        <f>LM!AO344+LM!BA344</f>
        <v>0</v>
      </c>
      <c r="V41" s="150">
        <f>LM!BK345</f>
        <v>0</v>
      </c>
      <c r="W41" s="151">
        <f>LM!BM344</f>
        <v>0</v>
      </c>
    </row>
    <row r="42" spans="1:23" ht="19.5" thickBot="1" x14ac:dyDescent="0.3">
      <c r="A42" s="149">
        <f>LF!A347</f>
        <v>63</v>
      </c>
      <c r="B42" s="148">
        <f t="shared" si="2"/>
        <v>45213</v>
      </c>
      <c r="C42" s="150">
        <f t="shared" si="3"/>
        <v>11499</v>
      </c>
      <c r="D42" s="153">
        <f t="shared" si="9"/>
        <v>36</v>
      </c>
      <c r="E42" s="152">
        <f>LF!C354+LF!AA354+LF!BK354+LF!CI354+LF!DS354+LF!EQ354+LF!FO354+LF!GM354</f>
        <v>19</v>
      </c>
      <c r="F42" s="153">
        <f>LF!E353+LF!AC353+LF!BM353+LF!CK353+LF!DU353+LF!ES353+LF!FQ353+LF!GO353</f>
        <v>6890</v>
      </c>
      <c r="G42" s="152">
        <f>LF!O354+LF!BW354+LF!EE354+LF!GA354</f>
        <v>11</v>
      </c>
      <c r="H42" s="153">
        <f>LF!Q353+LF!BY353+LF!EG353+LF!GC353</f>
        <v>1716</v>
      </c>
      <c r="I42" s="152">
        <f>LF!AM354+LF!CU354</f>
        <v>4</v>
      </c>
      <c r="J42" s="153">
        <f>LF!AO353+LF!CW353</f>
        <v>1447</v>
      </c>
      <c r="K42" s="155">
        <f>LF!AY354+LF!DG354+LF!FC354+LF!GY354</f>
        <v>2</v>
      </c>
      <c r="L42" s="153">
        <f>LF!BA353+LF!DI353+LF!FE353+LF!HA353</f>
        <v>1446</v>
      </c>
      <c r="N42" s="150">
        <f t="shared" si="4"/>
        <v>3231</v>
      </c>
      <c r="O42" s="153">
        <f t="shared" si="1"/>
        <v>11</v>
      </c>
      <c r="P42" s="152">
        <f>LM!C354+LM!AA354</f>
        <v>8</v>
      </c>
      <c r="Q42" s="153">
        <f>LM!E353+LM!AC353</f>
        <v>3119</v>
      </c>
      <c r="R42" s="152">
        <f>LM!O354</f>
        <v>3</v>
      </c>
      <c r="S42" s="153">
        <f>LM!Q353</f>
        <v>112</v>
      </c>
      <c r="T42" s="152">
        <f>LM!AM354+LM!AY354</f>
        <v>0</v>
      </c>
      <c r="U42" s="153">
        <f>LM!AO353+LM!BA353</f>
        <v>0</v>
      </c>
      <c r="V42" s="152">
        <f>LM!BK354</f>
        <v>0</v>
      </c>
      <c r="W42" s="153">
        <f>LM!BM353</f>
        <v>0</v>
      </c>
    </row>
    <row r="43" spans="1:23" x14ac:dyDescent="0.25">
      <c r="B43" s="146"/>
    </row>
    <row r="44" spans="1:23" x14ac:dyDescent="0.25">
      <c r="B44" s="146"/>
    </row>
    <row r="45" spans="1:23" x14ac:dyDescent="0.25">
      <c r="B45" s="146"/>
    </row>
    <row r="46" spans="1:23" x14ac:dyDescent="0.25">
      <c r="A46" s="147"/>
      <c r="B46" s="146"/>
    </row>
    <row r="47" spans="1:23" x14ac:dyDescent="0.25">
      <c r="A47" s="147"/>
      <c r="B47" s="146"/>
    </row>
    <row r="48" spans="1:23" x14ac:dyDescent="0.25">
      <c r="A48" s="147"/>
      <c r="B48" s="146"/>
    </row>
    <row r="49" spans="1:2" x14ac:dyDescent="0.25">
      <c r="A49" s="147"/>
      <c r="B49" s="146"/>
    </row>
    <row r="50" spans="1:2" x14ac:dyDescent="0.25">
      <c r="A50" s="147"/>
      <c r="B50" s="146"/>
    </row>
    <row r="51" spans="1:2" x14ac:dyDescent="0.25">
      <c r="A51" s="147"/>
      <c r="B51" s="146"/>
    </row>
    <row r="52" spans="1:2" x14ac:dyDescent="0.25">
      <c r="A52" s="147"/>
      <c r="B52" s="146"/>
    </row>
    <row r="53" spans="1:2" x14ac:dyDescent="0.25">
      <c r="A53" s="147"/>
      <c r="B53" s="146"/>
    </row>
    <row r="54" spans="1:2" x14ac:dyDescent="0.25">
      <c r="A54" s="147"/>
      <c r="B54" s="146"/>
    </row>
    <row r="55" spans="1:2" x14ac:dyDescent="0.25">
      <c r="A55" s="147"/>
      <c r="B55" s="146"/>
    </row>
    <row r="56" spans="1:2" x14ac:dyDescent="0.25">
      <c r="A56" s="147"/>
      <c r="B56" s="146"/>
    </row>
    <row r="57" spans="1:2" x14ac:dyDescent="0.25">
      <c r="A57" s="147"/>
      <c r="B57" s="146"/>
    </row>
    <row r="58" spans="1:2" x14ac:dyDescent="0.25">
      <c r="A58" s="147"/>
      <c r="B58" s="146"/>
    </row>
    <row r="59" spans="1:2" x14ac:dyDescent="0.25">
      <c r="A59" s="147"/>
      <c r="B59" s="146"/>
    </row>
    <row r="60" spans="1:2" x14ac:dyDescent="0.25">
      <c r="A60" s="147"/>
      <c r="B60" s="146"/>
    </row>
    <row r="61" spans="1:2" x14ac:dyDescent="0.25">
      <c r="A61" s="147"/>
      <c r="B61" s="146"/>
    </row>
    <row r="62" spans="1:2" x14ac:dyDescent="0.25">
      <c r="A62" s="147"/>
      <c r="B62" s="146"/>
    </row>
    <row r="63" spans="1:2" x14ac:dyDescent="0.25">
      <c r="A63" s="147"/>
      <c r="B63" s="146"/>
    </row>
    <row r="64" spans="1:2" x14ac:dyDescent="0.25">
      <c r="A64" s="147"/>
      <c r="B64" s="146"/>
    </row>
    <row r="65" spans="1:2" x14ac:dyDescent="0.25">
      <c r="A65" s="147"/>
      <c r="B65" s="146"/>
    </row>
    <row r="66" spans="1:2" x14ac:dyDescent="0.25">
      <c r="A66" s="147"/>
      <c r="B66" s="146"/>
    </row>
    <row r="67" spans="1:2" x14ac:dyDescent="0.25">
      <c r="A67" s="147"/>
      <c r="B67" s="146"/>
    </row>
    <row r="68" spans="1:2" x14ac:dyDescent="0.25">
      <c r="A68" s="147"/>
      <c r="B68" s="146"/>
    </row>
    <row r="69" spans="1:2" x14ac:dyDescent="0.25">
      <c r="A69" s="147"/>
      <c r="B69" s="146"/>
    </row>
    <row r="70" spans="1:2" x14ac:dyDescent="0.25">
      <c r="A70" s="147"/>
      <c r="B70" s="146"/>
    </row>
    <row r="71" spans="1:2" x14ac:dyDescent="0.25">
      <c r="A71" s="147"/>
      <c r="B71" s="146"/>
    </row>
    <row r="72" spans="1:2" x14ac:dyDescent="0.25">
      <c r="A72" s="147"/>
      <c r="B72" s="146"/>
    </row>
    <row r="73" spans="1:2" x14ac:dyDescent="0.25">
      <c r="A73" s="147"/>
      <c r="B73" s="146"/>
    </row>
    <row r="74" spans="1:2" x14ac:dyDescent="0.25">
      <c r="A74" s="147"/>
      <c r="B74" s="146"/>
    </row>
    <row r="75" spans="1:2" x14ac:dyDescent="0.25">
      <c r="A75" s="147"/>
      <c r="B75" s="146"/>
    </row>
    <row r="76" spans="1:2" x14ac:dyDescent="0.25">
      <c r="A76" s="147"/>
      <c r="B76" s="146"/>
    </row>
    <row r="77" spans="1:2" x14ac:dyDescent="0.25">
      <c r="A77" s="147"/>
      <c r="B77" s="146"/>
    </row>
    <row r="78" spans="1:2" x14ac:dyDescent="0.25">
      <c r="A78" s="147"/>
      <c r="B78" s="146"/>
    </row>
    <row r="79" spans="1:2" x14ac:dyDescent="0.25">
      <c r="A79" s="147"/>
      <c r="B79" s="146"/>
    </row>
    <row r="80" spans="1:2" x14ac:dyDescent="0.25">
      <c r="A80" s="147"/>
      <c r="B80" s="146"/>
    </row>
    <row r="81" spans="1:2" x14ac:dyDescent="0.25">
      <c r="A81" s="147"/>
      <c r="B81" s="146"/>
    </row>
    <row r="82" spans="1:2" x14ac:dyDescent="0.25">
      <c r="A82" s="147"/>
      <c r="B82" s="146"/>
    </row>
    <row r="83" spans="1:2" x14ac:dyDescent="0.25">
      <c r="A83" s="147"/>
      <c r="B83" s="146"/>
    </row>
    <row r="84" spans="1:2" x14ac:dyDescent="0.25">
      <c r="A84" s="147"/>
      <c r="B84" s="146"/>
    </row>
    <row r="85" spans="1:2" x14ac:dyDescent="0.25">
      <c r="A85" s="147"/>
      <c r="B85" s="146"/>
    </row>
    <row r="86" spans="1:2" x14ac:dyDescent="0.25">
      <c r="A86" s="147"/>
      <c r="B86" s="146"/>
    </row>
    <row r="87" spans="1:2" x14ac:dyDescent="0.25">
      <c r="A87" s="147"/>
      <c r="B87" s="146"/>
    </row>
    <row r="88" spans="1:2" x14ac:dyDescent="0.25">
      <c r="A88" s="147"/>
      <c r="B88" s="146"/>
    </row>
    <row r="89" spans="1:2" x14ac:dyDescent="0.25">
      <c r="A89" s="147"/>
      <c r="B89" s="146"/>
    </row>
    <row r="90" spans="1:2" x14ac:dyDescent="0.25">
      <c r="A90" s="147"/>
      <c r="B90" s="146"/>
    </row>
    <row r="91" spans="1:2" x14ac:dyDescent="0.25">
      <c r="A91" s="147"/>
      <c r="B91" s="146"/>
    </row>
    <row r="92" spans="1:2" x14ac:dyDescent="0.25">
      <c r="A92" s="147"/>
      <c r="B92" s="146"/>
    </row>
    <row r="93" spans="1:2" x14ac:dyDescent="0.25">
      <c r="A93" s="147"/>
      <c r="B93" s="146"/>
    </row>
    <row r="94" spans="1:2" x14ac:dyDescent="0.25">
      <c r="A94" s="147"/>
      <c r="B94" s="146"/>
    </row>
    <row r="95" spans="1:2" x14ac:dyDescent="0.25">
      <c r="A95" s="147"/>
      <c r="B95" s="146"/>
    </row>
    <row r="96" spans="1:2" x14ac:dyDescent="0.25">
      <c r="A96" s="147"/>
      <c r="B96" s="146"/>
    </row>
    <row r="97" spans="1:2" x14ac:dyDescent="0.25">
      <c r="A97" s="147"/>
      <c r="B97" s="146"/>
    </row>
    <row r="98" spans="1:2" x14ac:dyDescent="0.25">
      <c r="A98" s="147"/>
      <c r="B98" s="146"/>
    </row>
    <row r="99" spans="1:2" x14ac:dyDescent="0.25">
      <c r="A99" s="147"/>
      <c r="B99" s="146"/>
    </row>
    <row r="100" spans="1:2" x14ac:dyDescent="0.25">
      <c r="A100" s="147"/>
      <c r="B100" s="146"/>
    </row>
    <row r="101" spans="1:2" x14ac:dyDescent="0.25">
      <c r="A101" s="147"/>
      <c r="B101" s="146"/>
    </row>
    <row r="102" spans="1:2" x14ac:dyDescent="0.25">
      <c r="A102" s="147"/>
      <c r="B102" s="146"/>
    </row>
    <row r="103" spans="1:2" x14ac:dyDescent="0.25">
      <c r="A103" s="147"/>
      <c r="B103" s="146"/>
    </row>
    <row r="104" spans="1:2" x14ac:dyDescent="0.25">
      <c r="A104" s="147"/>
      <c r="B104" s="146"/>
    </row>
    <row r="105" spans="1:2" x14ac:dyDescent="0.25">
      <c r="A105" s="147"/>
      <c r="B105" s="146"/>
    </row>
    <row r="106" spans="1:2" x14ac:dyDescent="0.25">
      <c r="A106" s="147"/>
      <c r="B106" s="146"/>
    </row>
    <row r="107" spans="1:2" x14ac:dyDescent="0.25">
      <c r="A107" s="147"/>
      <c r="B107" s="146"/>
    </row>
    <row r="108" spans="1:2" x14ac:dyDescent="0.25">
      <c r="A108" s="147"/>
      <c r="B108" s="146"/>
    </row>
    <row r="109" spans="1:2" x14ac:dyDescent="0.25">
      <c r="A109" s="147"/>
      <c r="B109" s="146"/>
    </row>
    <row r="110" spans="1:2" x14ac:dyDescent="0.25">
      <c r="A110" s="147"/>
      <c r="B110" s="146"/>
    </row>
    <row r="111" spans="1:2" x14ac:dyDescent="0.25">
      <c r="A111" s="147"/>
      <c r="B111" s="146"/>
    </row>
    <row r="112" spans="1:2" x14ac:dyDescent="0.25">
      <c r="A112" s="147"/>
      <c r="B112" s="146"/>
    </row>
    <row r="113" spans="1:2" x14ac:dyDescent="0.25">
      <c r="A113" s="147"/>
      <c r="B113" s="146"/>
    </row>
    <row r="114" spans="1:2" x14ac:dyDescent="0.25">
      <c r="A114" s="147"/>
      <c r="B114" s="146"/>
    </row>
    <row r="115" spans="1:2" x14ac:dyDescent="0.25">
      <c r="A115" s="147"/>
      <c r="B115" s="146"/>
    </row>
    <row r="116" spans="1:2" x14ac:dyDescent="0.25">
      <c r="A116" s="147"/>
      <c r="B116" s="146"/>
    </row>
    <row r="117" spans="1:2" x14ac:dyDescent="0.25">
      <c r="A117" s="147"/>
      <c r="B117" s="146"/>
    </row>
    <row r="118" spans="1:2" x14ac:dyDescent="0.25">
      <c r="A118" s="147"/>
      <c r="B118" s="146"/>
    </row>
    <row r="119" spans="1:2" x14ac:dyDescent="0.25">
      <c r="A119" s="147"/>
      <c r="B119" s="146"/>
    </row>
    <row r="120" spans="1:2" x14ac:dyDescent="0.25">
      <c r="A120" s="147"/>
      <c r="B120" s="146"/>
    </row>
    <row r="121" spans="1:2" x14ac:dyDescent="0.25">
      <c r="A121" s="147"/>
      <c r="B121" s="146"/>
    </row>
    <row r="122" spans="1:2" x14ac:dyDescent="0.25">
      <c r="A122" s="147"/>
      <c r="B122" s="146"/>
    </row>
    <row r="123" spans="1:2" x14ac:dyDescent="0.25">
      <c r="A123" s="147"/>
      <c r="B123" s="146"/>
    </row>
    <row r="124" spans="1:2" x14ac:dyDescent="0.25">
      <c r="A124" s="147"/>
      <c r="B124" s="146"/>
    </row>
    <row r="125" spans="1:2" x14ac:dyDescent="0.25">
      <c r="A125" s="147"/>
      <c r="B125" s="146"/>
    </row>
    <row r="126" spans="1:2" x14ac:dyDescent="0.25">
      <c r="A126" s="147"/>
      <c r="B126" s="146"/>
    </row>
    <row r="127" spans="1:2" x14ac:dyDescent="0.25">
      <c r="A127" s="147"/>
      <c r="B127" s="146"/>
    </row>
    <row r="128" spans="1:2" x14ac:dyDescent="0.25">
      <c r="A128" s="147"/>
      <c r="B128" s="146"/>
    </row>
    <row r="129" spans="1:2" x14ac:dyDescent="0.25">
      <c r="A129" s="147"/>
      <c r="B129" s="146"/>
    </row>
    <row r="130" spans="1:2" x14ac:dyDescent="0.25">
      <c r="A130" s="147"/>
      <c r="B130" s="146"/>
    </row>
    <row r="131" spans="1:2" x14ac:dyDescent="0.25">
      <c r="A131" s="147"/>
      <c r="B131" s="146"/>
    </row>
    <row r="132" spans="1:2" x14ac:dyDescent="0.25">
      <c r="A132" s="147"/>
      <c r="B132" s="146"/>
    </row>
    <row r="133" spans="1:2" x14ac:dyDescent="0.25">
      <c r="A133" s="147"/>
      <c r="B133" s="146"/>
    </row>
    <row r="134" spans="1:2" x14ac:dyDescent="0.25">
      <c r="A134" s="147"/>
      <c r="B134" s="146"/>
    </row>
    <row r="135" spans="1:2" x14ac:dyDescent="0.25">
      <c r="A135" s="147"/>
      <c r="B135" s="146"/>
    </row>
    <row r="136" spans="1:2" x14ac:dyDescent="0.25">
      <c r="A136" s="147"/>
      <c r="B136" s="146"/>
    </row>
    <row r="137" spans="1:2" x14ac:dyDescent="0.25">
      <c r="A137" s="147"/>
      <c r="B137" s="146"/>
    </row>
    <row r="138" spans="1:2" x14ac:dyDescent="0.25">
      <c r="A138" s="147"/>
      <c r="B138" s="146"/>
    </row>
    <row r="139" spans="1:2" x14ac:dyDescent="0.25">
      <c r="A139" s="147"/>
      <c r="B139" s="146"/>
    </row>
    <row r="140" spans="1:2" x14ac:dyDescent="0.25">
      <c r="A140" s="147"/>
      <c r="B140" s="146"/>
    </row>
    <row r="141" spans="1:2" x14ac:dyDescent="0.25">
      <c r="A141" s="147"/>
      <c r="B141" s="146"/>
    </row>
    <row r="142" spans="1:2" x14ac:dyDescent="0.25">
      <c r="A142" s="147"/>
      <c r="B142" s="146"/>
    </row>
    <row r="143" spans="1:2" x14ac:dyDescent="0.25">
      <c r="A143" s="147"/>
      <c r="B143" s="146"/>
    </row>
    <row r="144" spans="1:2" x14ac:dyDescent="0.25">
      <c r="A144" s="147"/>
      <c r="B144" s="146"/>
    </row>
    <row r="145" spans="1:2" x14ac:dyDescent="0.25">
      <c r="A145" s="147"/>
      <c r="B145" s="146"/>
    </row>
    <row r="146" spans="1:2" x14ac:dyDescent="0.25">
      <c r="A146" s="147"/>
      <c r="B146" s="146"/>
    </row>
    <row r="147" spans="1:2" x14ac:dyDescent="0.25">
      <c r="A147" s="147"/>
      <c r="B147" s="146"/>
    </row>
    <row r="148" spans="1:2" x14ac:dyDescent="0.25">
      <c r="A148" s="147"/>
      <c r="B148" s="146"/>
    </row>
    <row r="149" spans="1:2" x14ac:dyDescent="0.25">
      <c r="A149" s="147"/>
      <c r="B149" s="146"/>
    </row>
    <row r="150" spans="1:2" x14ac:dyDescent="0.25">
      <c r="A150" s="147"/>
      <c r="B150" s="14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465" t="s">
        <v>96</v>
      </c>
      <c r="B1" s="465"/>
      <c r="C1" s="465"/>
      <c r="D1" s="465"/>
      <c r="E1" s="465" t="s">
        <v>97</v>
      </c>
      <c r="F1" s="465"/>
      <c r="G1" s="465"/>
      <c r="H1" s="465"/>
    </row>
    <row r="2" spans="1:8" x14ac:dyDescent="0.25">
      <c r="B2" t="s">
        <v>92</v>
      </c>
      <c r="C2" t="s">
        <v>93</v>
      </c>
      <c r="D2" t="s">
        <v>94</v>
      </c>
      <c r="F2" t="s">
        <v>92</v>
      </c>
      <c r="G2" t="s">
        <v>93</v>
      </c>
      <c r="H2" t="s">
        <v>94</v>
      </c>
    </row>
    <row r="3" spans="1:8" x14ac:dyDescent="0.25">
      <c r="A3" s="102">
        <v>44696</v>
      </c>
      <c r="B3">
        <v>5</v>
      </c>
      <c r="C3">
        <v>11227</v>
      </c>
      <c r="E3" s="102">
        <v>44696</v>
      </c>
      <c r="F3">
        <v>1</v>
      </c>
      <c r="G3">
        <v>853</v>
      </c>
      <c r="H3">
        <v>321</v>
      </c>
    </row>
    <row r="4" spans="1:8" x14ac:dyDescent="0.25">
      <c r="A4" s="102">
        <v>44697</v>
      </c>
      <c r="B4">
        <v>7</v>
      </c>
      <c r="C4">
        <f>C3-B4-D4</f>
        <v>6982</v>
      </c>
      <c r="D4">
        <v>4238</v>
      </c>
      <c r="E4" s="102">
        <v>44697</v>
      </c>
      <c r="F4">
        <v>0</v>
      </c>
      <c r="G4">
        <f>G3-F4-H3</f>
        <v>532</v>
      </c>
      <c r="H4">
        <v>214</v>
      </c>
    </row>
    <row r="5" spans="1:8" x14ac:dyDescent="0.25">
      <c r="A5" s="102">
        <v>44698</v>
      </c>
      <c r="B5">
        <v>12</v>
      </c>
      <c r="C5">
        <f>C4-B5-D5</f>
        <v>4144</v>
      </c>
      <c r="D5">
        <v>2826</v>
      </c>
      <c r="E5" s="102">
        <v>44698</v>
      </c>
      <c r="F5">
        <v>0</v>
      </c>
      <c r="G5">
        <f>G4-F5-H4</f>
        <v>318</v>
      </c>
      <c r="H5">
        <v>318</v>
      </c>
    </row>
    <row r="6" spans="1:8" x14ac:dyDescent="0.25">
      <c r="A6" s="102">
        <v>44699</v>
      </c>
      <c r="B6">
        <v>15</v>
      </c>
      <c r="C6">
        <f>C5-B6-D6</f>
        <v>19</v>
      </c>
      <c r="D6">
        <v>4110</v>
      </c>
      <c r="E6" s="102">
        <v>44699</v>
      </c>
      <c r="F6">
        <v>0</v>
      </c>
      <c r="G6">
        <f>G5-F6-H5</f>
        <v>0</v>
      </c>
    </row>
    <row r="7" spans="1:8" x14ac:dyDescent="0.25">
      <c r="A7" s="464" t="s">
        <v>95</v>
      </c>
      <c r="B7" s="464"/>
      <c r="C7" s="464"/>
      <c r="D7" s="464"/>
      <c r="E7" s="464"/>
      <c r="F7" s="464"/>
      <c r="G7" s="464"/>
      <c r="H7" s="464"/>
    </row>
    <row r="8" spans="1:8" x14ac:dyDescent="0.25">
      <c r="A8" s="464"/>
      <c r="B8" s="464"/>
      <c r="C8" s="464"/>
      <c r="D8" s="464"/>
      <c r="E8" s="464"/>
      <c r="F8" s="464"/>
      <c r="G8" s="464"/>
      <c r="H8" s="464"/>
    </row>
    <row r="9" spans="1:8" x14ac:dyDescent="0.25">
      <c r="A9" s="464"/>
      <c r="B9" s="464"/>
      <c r="C9" s="464"/>
      <c r="D9" s="464"/>
      <c r="E9" s="464"/>
      <c r="F9" s="464"/>
      <c r="G9" s="464"/>
      <c r="H9" s="464"/>
    </row>
    <row r="12" spans="1:8" x14ac:dyDescent="0.25">
      <c r="A12" s="465" t="s">
        <v>98</v>
      </c>
      <c r="B12" s="465"/>
      <c r="C12" s="465"/>
      <c r="D12" s="465"/>
      <c r="E12" s="465" t="s">
        <v>99</v>
      </c>
      <c r="F12" s="465"/>
      <c r="G12" s="465"/>
      <c r="H12" s="465"/>
    </row>
    <row r="13" spans="1:8" x14ac:dyDescent="0.25">
      <c r="B13" t="s">
        <v>92</v>
      </c>
      <c r="C13" t="s">
        <v>93</v>
      </c>
      <c r="D13" t="s">
        <v>94</v>
      </c>
      <c r="F13" t="s">
        <v>92</v>
      </c>
      <c r="G13" t="s">
        <v>93</v>
      </c>
      <c r="H13" t="s">
        <v>94</v>
      </c>
    </row>
    <row r="14" spans="1:8" x14ac:dyDescent="0.25">
      <c r="A14" s="102">
        <v>44698</v>
      </c>
      <c r="C14">
        <v>2878</v>
      </c>
      <c r="E14" s="102">
        <v>44698</v>
      </c>
      <c r="G14">
        <v>212</v>
      </c>
    </row>
    <row r="15" spans="1:8" x14ac:dyDescent="0.25">
      <c r="A15" s="102">
        <v>44699</v>
      </c>
      <c r="B15">
        <v>4</v>
      </c>
      <c r="C15">
        <f>C14-B15</f>
        <v>2874</v>
      </c>
      <c r="D15">
        <v>129</v>
      </c>
      <c r="E15" s="102">
        <v>44699</v>
      </c>
      <c r="G15">
        <f>G14-F15-H14</f>
        <v>212</v>
      </c>
      <c r="H15">
        <v>3</v>
      </c>
    </row>
    <row r="16" spans="1:8" x14ac:dyDescent="0.25">
      <c r="A16" s="102">
        <v>44700</v>
      </c>
      <c r="B16">
        <v>14</v>
      </c>
      <c r="C16">
        <f>C15-B16-D15</f>
        <v>2731</v>
      </c>
      <c r="D16">
        <v>2724</v>
      </c>
      <c r="E16" s="102">
        <v>44700</v>
      </c>
      <c r="G16">
        <f>G15-F16-H15</f>
        <v>209</v>
      </c>
      <c r="H16">
        <v>208</v>
      </c>
    </row>
    <row r="17" spans="1:8" x14ac:dyDescent="0.25">
      <c r="A17" s="102">
        <v>44701</v>
      </c>
      <c r="C17">
        <f>C16-B17-D16</f>
        <v>7</v>
      </c>
      <c r="E17" s="102">
        <v>44701</v>
      </c>
      <c r="G17">
        <f>G16-F17-H16</f>
        <v>1</v>
      </c>
    </row>
    <row r="18" spans="1:8" x14ac:dyDescent="0.25">
      <c r="A18" s="464"/>
      <c r="B18" s="464"/>
      <c r="C18" s="464"/>
      <c r="D18" s="464"/>
      <c r="E18" s="464"/>
      <c r="F18" s="464"/>
      <c r="G18" s="464"/>
      <c r="H18" s="464"/>
    </row>
    <row r="19" spans="1:8" x14ac:dyDescent="0.25">
      <c r="A19" s="464"/>
      <c r="B19" s="464"/>
      <c r="C19" s="464"/>
      <c r="D19" s="464"/>
      <c r="E19" s="464"/>
      <c r="F19" s="464"/>
      <c r="G19" s="464"/>
      <c r="H19" s="464"/>
    </row>
    <row r="20" spans="1:8" x14ac:dyDescent="0.25">
      <c r="A20" s="464"/>
      <c r="B20" s="464"/>
      <c r="C20" s="464"/>
      <c r="D20" s="464"/>
      <c r="E20" s="464"/>
      <c r="F20" s="464"/>
      <c r="G20" s="464"/>
      <c r="H20" s="464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469" t="s">
        <v>4</v>
      </c>
      <c r="B1" s="466" t="s">
        <v>5</v>
      </c>
      <c r="C1" s="472" t="s">
        <v>101</v>
      </c>
      <c r="D1" s="473"/>
      <c r="E1" s="473"/>
      <c r="F1" s="473"/>
      <c r="G1" s="473"/>
      <c r="H1" s="473"/>
      <c r="I1" s="473"/>
      <c r="J1" s="473"/>
      <c r="K1" s="474"/>
      <c r="M1" s="472" t="s">
        <v>102</v>
      </c>
      <c r="N1" s="473"/>
      <c r="O1" s="473"/>
      <c r="P1" s="473"/>
      <c r="Q1" s="473"/>
      <c r="R1" s="473"/>
      <c r="S1" s="473"/>
      <c r="T1" s="473"/>
      <c r="U1" s="474"/>
    </row>
    <row r="2" spans="1:21" ht="19.5" customHeight="1" thickBot="1" x14ac:dyDescent="0.3">
      <c r="A2" s="470"/>
      <c r="B2" s="467"/>
      <c r="C2" s="475" t="s">
        <v>103</v>
      </c>
      <c r="D2" s="477" t="s">
        <v>105</v>
      </c>
      <c r="E2" s="478"/>
      <c r="F2" s="477" t="s">
        <v>106</v>
      </c>
      <c r="G2" s="478"/>
      <c r="H2" s="477" t="s">
        <v>107</v>
      </c>
      <c r="I2" s="478"/>
      <c r="J2" s="477" t="s">
        <v>108</v>
      </c>
      <c r="K2" s="478"/>
      <c r="L2" s="70"/>
      <c r="M2" s="475" t="s">
        <v>103</v>
      </c>
      <c r="N2" s="477" t="s">
        <v>105</v>
      </c>
      <c r="O2" s="478"/>
      <c r="P2" s="477" t="s">
        <v>106</v>
      </c>
      <c r="Q2" s="478"/>
      <c r="R2" s="477" t="s">
        <v>107</v>
      </c>
      <c r="S2" s="478"/>
      <c r="T2" s="477" t="s">
        <v>108</v>
      </c>
      <c r="U2" s="478"/>
    </row>
    <row r="3" spans="1:21" ht="15.75" thickBot="1" x14ac:dyDescent="0.3">
      <c r="A3" s="471"/>
      <c r="B3" s="468"/>
      <c r="C3" s="476"/>
      <c r="D3" s="122" t="s">
        <v>103</v>
      </c>
      <c r="E3" s="123" t="s">
        <v>104</v>
      </c>
      <c r="F3" s="124" t="s">
        <v>103</v>
      </c>
      <c r="G3" s="125" t="s">
        <v>104</v>
      </c>
      <c r="H3" s="124" t="s">
        <v>103</v>
      </c>
      <c r="I3" s="125" t="s">
        <v>104</v>
      </c>
      <c r="J3" s="124" t="s">
        <v>103</v>
      </c>
      <c r="K3" s="125" t="s">
        <v>104</v>
      </c>
      <c r="L3" s="70"/>
      <c r="M3" s="476"/>
      <c r="N3" s="122" t="s">
        <v>103</v>
      </c>
      <c r="O3" s="123" t="s">
        <v>104</v>
      </c>
      <c r="P3" s="124" t="s">
        <v>103</v>
      </c>
      <c r="Q3" s="125" t="s">
        <v>104</v>
      </c>
      <c r="R3" s="124" t="s">
        <v>103</v>
      </c>
      <c r="S3" s="125" t="s">
        <v>104</v>
      </c>
      <c r="T3" s="124" t="s">
        <v>103</v>
      </c>
      <c r="U3" s="125" t="s">
        <v>104</v>
      </c>
    </row>
    <row r="4" spans="1:21" ht="19.5" thickBot="1" x14ac:dyDescent="0.3">
      <c r="A4" s="130"/>
      <c r="B4" s="131">
        <f>LF!B4</f>
        <v>44940</v>
      </c>
      <c r="C4" s="132">
        <f>LF!HM4</f>
        <v>12495</v>
      </c>
      <c r="D4" s="133">
        <f>LF!E4+LF!AC4+LF!BM4+LF!CK4+LF!DU4+LF!ES4+LF!FQ4+LF!GO4</f>
        <v>4301</v>
      </c>
      <c r="E4" s="134">
        <f>LF!C4+LF!AA4+LF!BK4+LF!CI4+LF!DS4+LF!EQ4+LF!FO4+LF!GM4</f>
        <v>0</v>
      </c>
      <c r="F4" s="133">
        <f>LF!Q4+LF!BY4+LF!EG4+LF!GC4</f>
        <v>3324</v>
      </c>
      <c r="G4" s="134">
        <f>LF!O4+LF!BW4+LF!EE4+LF!GA4</f>
        <v>0</v>
      </c>
      <c r="H4" s="133">
        <f>LF!AO4+LF!CW4</f>
        <v>1543</v>
      </c>
      <c r="I4" s="134">
        <f>LF!AM4+LF!CU4</f>
        <v>0</v>
      </c>
      <c r="J4" s="133">
        <f>LF!BA4+LF!DI4+LF!FE4+LF!HA4</f>
        <v>3327</v>
      </c>
      <c r="K4" s="134">
        <f>LF!AY4+LF!DG4+LF!FC4+LF!GY4</f>
        <v>0</v>
      </c>
      <c r="M4" s="132"/>
      <c r="N4" s="133"/>
      <c r="O4" s="134"/>
      <c r="P4" s="133"/>
      <c r="Q4" s="134"/>
      <c r="R4" s="133"/>
      <c r="S4" s="134"/>
      <c r="T4" s="133"/>
      <c r="U4" s="134"/>
    </row>
    <row r="5" spans="1:21" ht="18.75" x14ac:dyDescent="0.25">
      <c r="A5" s="482">
        <v>25</v>
      </c>
      <c r="B5" s="126">
        <f>+B4+1</f>
        <v>44941</v>
      </c>
      <c r="C5" s="127">
        <f>LF!HM5</f>
        <v>12495</v>
      </c>
      <c r="D5" s="128">
        <f>LF!E5+LF!AC5+LF!BM5+LF!CK5+LF!DU5+LF!ES5+LF!FQ5+LF!GO5</f>
        <v>4301</v>
      </c>
      <c r="E5" s="129">
        <f>LF!C5+LF!AA5+LF!BK5+LF!CI5+LF!DS5+LF!EQ5+LF!FO5+LF!GM5</f>
        <v>0</v>
      </c>
      <c r="F5" s="128">
        <f>LF!Q5+LF!BY5+LF!EG5+LF!GC5</f>
        <v>3324</v>
      </c>
      <c r="G5" s="129">
        <f>LF!O5+LF!BW5+LF!EE5+LF!GA5</f>
        <v>0</v>
      </c>
      <c r="H5" s="128">
        <f>LF!AO5+LF!CW5</f>
        <v>1543</v>
      </c>
      <c r="I5" s="129">
        <f>LF!AM5+LF!CU5</f>
        <v>0</v>
      </c>
      <c r="J5" s="128">
        <f>LF!BA5+LF!DI5+LF!FE5+LF!HA5</f>
        <v>3327</v>
      </c>
      <c r="K5" s="129">
        <f>LF!AY5+LF!DG5+LF!FC5+LF!GY5</f>
        <v>0</v>
      </c>
    </row>
    <row r="6" spans="1:21" ht="18.75" x14ac:dyDescent="0.25">
      <c r="A6" s="483"/>
      <c r="B6" s="111">
        <f t="shared" ref="B6:B11" si="0">+B5+1</f>
        <v>44942</v>
      </c>
      <c r="C6" s="118">
        <f>LF!HM6</f>
        <v>12495</v>
      </c>
      <c r="D6" s="120">
        <f>LF!E6+LF!AC6+LF!BM6+LF!CK6+LF!DU6+LF!ES6+LF!FQ6+LF!GO6</f>
        <v>4301</v>
      </c>
      <c r="E6" s="113">
        <f>LF!C6+LF!AA6+LF!BK6+LF!CI6+LF!DS6+LF!EQ6+LF!FO6+LF!GM6</f>
        <v>0</v>
      </c>
      <c r="F6" s="120">
        <f>LF!Q6+LF!BY6+LF!EG6+LF!GC6</f>
        <v>3324</v>
      </c>
      <c r="G6" s="113">
        <f>LF!O6+LF!BW6+LF!EE6+LF!GA6</f>
        <v>0</v>
      </c>
      <c r="H6" s="120">
        <f>LF!AO6+LF!CW6</f>
        <v>1543</v>
      </c>
      <c r="I6" s="113">
        <f>LF!AM6+LF!CU6</f>
        <v>0</v>
      </c>
      <c r="J6" s="120">
        <f>LF!BA6+LF!DI6+LF!FE6+LF!HA6</f>
        <v>3327</v>
      </c>
      <c r="K6" s="113">
        <f>LF!AY6+LF!DG6+LF!FC6+LF!GY6</f>
        <v>0</v>
      </c>
    </row>
    <row r="7" spans="1:21" ht="18.75" x14ac:dyDescent="0.25">
      <c r="A7" s="483"/>
      <c r="B7" s="111">
        <f t="shared" si="0"/>
        <v>44943</v>
      </c>
      <c r="C7" s="118">
        <f>LF!HM7</f>
        <v>12495</v>
      </c>
      <c r="D7" s="120">
        <f>LF!E7+LF!AC7+LF!BM7+LF!CK7+LF!DU7+LF!ES7+LF!FQ7+LF!GO7</f>
        <v>4301</v>
      </c>
      <c r="E7" s="113">
        <f>LF!C7+LF!AA7+LF!BK7+LF!CI7+LF!DS7+LF!EQ7+LF!FO7+LF!GM7</f>
        <v>0</v>
      </c>
      <c r="F7" s="120">
        <f>LF!Q7+LF!BY7+LF!EG7+LF!GC7</f>
        <v>3324</v>
      </c>
      <c r="G7" s="113">
        <f>LF!O7+LF!BW7+LF!EE7+LF!GA7</f>
        <v>0</v>
      </c>
      <c r="H7" s="120">
        <f>LF!AO7+LF!CW7</f>
        <v>1543</v>
      </c>
      <c r="I7" s="113">
        <f>LF!AM7+LF!CU7</f>
        <v>0</v>
      </c>
      <c r="J7" s="120">
        <f>LF!BA7+LF!DI7+LF!FE7+LF!HA7</f>
        <v>3327</v>
      </c>
      <c r="K7" s="113">
        <f>LF!AY7+LF!DG7+LF!FC7+LF!GY7</f>
        <v>0</v>
      </c>
    </row>
    <row r="8" spans="1:21" ht="18.75" x14ac:dyDescent="0.25">
      <c r="A8" s="483"/>
      <c r="B8" s="111">
        <f t="shared" si="0"/>
        <v>44944</v>
      </c>
      <c r="C8" s="118">
        <f>LF!HM8</f>
        <v>12495</v>
      </c>
      <c r="D8" s="120">
        <f>LF!E8+LF!AC8+LF!BM8+LF!CK8+LF!DU8+LF!ES8+LF!FQ8+LF!GO8</f>
        <v>4301</v>
      </c>
      <c r="E8" s="113">
        <f>LF!C8+LF!AA8+LF!BK8+LF!CI8+LF!DS8+LF!EQ8+LF!FO8+LF!GM8</f>
        <v>0</v>
      </c>
      <c r="F8" s="120">
        <f>LF!Q8+LF!BY8+LF!EG8+LF!GC8</f>
        <v>3324</v>
      </c>
      <c r="G8" s="113">
        <f>LF!O8+LF!BW8+LF!EE8+LF!GA8</f>
        <v>0</v>
      </c>
      <c r="H8" s="120">
        <f>LF!AO8+LF!CW8</f>
        <v>1543</v>
      </c>
      <c r="I8" s="113">
        <f>LF!AM8+LF!CU8</f>
        <v>0</v>
      </c>
      <c r="J8" s="120">
        <f>LF!BA8+LF!DI8+LF!FE8+LF!HA8</f>
        <v>3327</v>
      </c>
      <c r="K8" s="113">
        <f>LF!AY8+LF!DG8+LF!FC8+LF!GY8</f>
        <v>0</v>
      </c>
    </row>
    <row r="9" spans="1:21" ht="18.75" x14ac:dyDescent="0.25">
      <c r="A9" s="483"/>
      <c r="B9" s="111">
        <f t="shared" si="0"/>
        <v>44945</v>
      </c>
      <c r="C9" s="118">
        <f>LF!HM9</f>
        <v>12495</v>
      </c>
      <c r="D9" s="120">
        <f>LF!E9+LF!AC9+LF!BM9+LF!CK9+LF!DU9+LF!ES9+LF!FQ9+LF!GO9</f>
        <v>4301</v>
      </c>
      <c r="E9" s="113">
        <f>LF!C9+LF!AA9+LF!BK9+LF!CI9+LF!DS9+LF!EQ9+LF!FO9+LF!GM9</f>
        <v>0</v>
      </c>
      <c r="F9" s="120">
        <f>LF!Q9+LF!BY9+LF!EG9+LF!GC9</f>
        <v>3324</v>
      </c>
      <c r="G9" s="113">
        <f>LF!O9+LF!BW9+LF!EE9+LF!GA9</f>
        <v>0</v>
      </c>
      <c r="H9" s="120">
        <f>LF!AO9+LF!CW9</f>
        <v>1543</v>
      </c>
      <c r="I9" s="113">
        <f>LF!AM9+LF!CU9</f>
        <v>0</v>
      </c>
      <c r="J9" s="120">
        <f>LF!BA9+LF!DI9+LF!FE9+LF!HA9</f>
        <v>3327</v>
      </c>
      <c r="K9" s="113">
        <f>LF!AY9+LF!DG9+LF!FC9+LF!GY9</f>
        <v>0</v>
      </c>
    </row>
    <row r="10" spans="1:21" ht="18.75" x14ac:dyDescent="0.25">
      <c r="A10" s="483"/>
      <c r="B10" s="111">
        <f t="shared" si="0"/>
        <v>44946</v>
      </c>
      <c r="C10" s="118">
        <f>LF!HM10</f>
        <v>12494</v>
      </c>
      <c r="D10" s="120">
        <f>LF!E10+LF!AC10+LF!BM10+LF!CK10+LF!DU10+LF!ES10+LF!FQ10+LF!GO10</f>
        <v>4301</v>
      </c>
      <c r="E10" s="113">
        <f>LF!C10+LF!AA10+LF!BK10+LF!CI10+LF!DS10+LF!EQ10+LF!FO10+LF!GM10</f>
        <v>0</v>
      </c>
      <c r="F10" s="120">
        <f>LF!Q10+LF!BY10+LF!EG10+LF!GC10</f>
        <v>3324</v>
      </c>
      <c r="G10" s="113">
        <f>LF!O10+LF!BW10+LF!EE10+LF!GA10</f>
        <v>0</v>
      </c>
      <c r="H10" s="120">
        <f>LF!AO10+LF!CW10</f>
        <v>1542</v>
      </c>
      <c r="I10" s="113">
        <f>LF!AM10+LF!CU10</f>
        <v>1</v>
      </c>
      <c r="J10" s="120">
        <f>LF!BA10+LF!DI10+LF!FE10+LF!HA10</f>
        <v>3327</v>
      </c>
      <c r="K10" s="113">
        <f>LF!AY10+LF!DG10+LF!FC10+LF!GY10</f>
        <v>0</v>
      </c>
    </row>
    <row r="11" spans="1:21" ht="19.5" thickBot="1" x14ac:dyDescent="0.3">
      <c r="A11" s="483"/>
      <c r="B11" s="141">
        <f t="shared" si="0"/>
        <v>44947</v>
      </c>
      <c r="C11" s="142">
        <f>LF!HM11</f>
        <v>12494</v>
      </c>
      <c r="D11" s="143">
        <f>LF!E11+LF!AC11+LF!BM11+LF!CK11+LF!DU11+LF!ES11+LF!FQ11+LF!GO11</f>
        <v>4301</v>
      </c>
      <c r="E11" s="114">
        <f>LF!C11+LF!AA11+LF!BK11+LF!CI11+LF!DS11+LF!EQ11+LF!FO11+LF!GM11</f>
        <v>0</v>
      </c>
      <c r="F11" s="121">
        <f>LF!Q11+LF!BY11+LF!EG11+LF!GC11</f>
        <v>3324</v>
      </c>
      <c r="G11" s="114">
        <f>LF!O11+LF!BW11+LF!EE11+LF!GA11</f>
        <v>0</v>
      </c>
      <c r="H11" s="121">
        <f>LF!AO11+LF!CW11</f>
        <v>1542</v>
      </c>
      <c r="I11" s="114">
        <f>LF!AM11+LF!CU11</f>
        <v>0</v>
      </c>
      <c r="J11" s="121">
        <f>LF!BA11+LF!DI11+LF!FE11+LF!HA11</f>
        <v>3327</v>
      </c>
      <c r="K11" s="114">
        <f>LF!AY11+LF!DG11+LF!FC11+LF!GY11</f>
        <v>0</v>
      </c>
    </row>
    <row r="12" spans="1:21" ht="19.5" thickBot="1" x14ac:dyDescent="0.3">
      <c r="A12" s="484"/>
      <c r="B12" s="2"/>
      <c r="C12" s="140"/>
      <c r="D12" s="144"/>
      <c r="E12" s="115">
        <f>LF!C12+LF!AA12+LF!BK12+LF!CI12+LF!DS12+LF!EQ12+LF!FO12+LF!GM12</f>
        <v>0</v>
      </c>
      <c r="F12" s="116"/>
      <c r="G12" s="115">
        <f>LF!O12+LF!BW12+LF!EE12+LF!GA12</f>
        <v>0</v>
      </c>
      <c r="H12" s="116"/>
      <c r="I12" s="115">
        <f>LF!AM12+LF!CU12</f>
        <v>1</v>
      </c>
      <c r="J12" s="116"/>
      <c r="K12" s="115">
        <f>LF!AY12+LF!DG12+LF!FC12+LF!GY12</f>
        <v>0</v>
      </c>
    </row>
    <row r="13" spans="1:21" ht="19.5" thickBot="1" x14ac:dyDescent="0.3">
      <c r="A13" s="136"/>
      <c r="B13" s="135"/>
      <c r="C13" s="108"/>
      <c r="D13" s="109"/>
      <c r="E13" s="109"/>
      <c r="F13" s="109"/>
      <c r="G13" s="109"/>
      <c r="H13" s="109"/>
      <c r="I13" s="109"/>
      <c r="J13" s="109"/>
      <c r="K13" s="109"/>
    </row>
    <row r="14" spans="1:21" ht="18.75" x14ac:dyDescent="0.25">
      <c r="A14" s="479">
        <v>26</v>
      </c>
      <c r="B14" s="110">
        <f>+B11+1</f>
        <v>44948</v>
      </c>
      <c r="C14" s="117">
        <f>LF!HM14</f>
        <v>12493</v>
      </c>
      <c r="D14" s="119">
        <f>LF!E14+LF!AC14+LF!BM14+LF!CK14+LF!DU14+LF!ES14+LF!FQ14+LF!GO14</f>
        <v>4300</v>
      </c>
      <c r="E14" s="112">
        <f>LF!C14+LF!AA14+LF!BK14+LF!CI14+LF!DS14+LF!EQ14+LF!FO14+LF!GM14</f>
        <v>1</v>
      </c>
      <c r="F14" s="119">
        <f>LF!Q14+LF!BY14+LF!EG14+LF!GC14</f>
        <v>3324</v>
      </c>
      <c r="G14" s="112">
        <f>LF!O14+LF!BW14+LF!EE14+LF!GA14</f>
        <v>0</v>
      </c>
      <c r="H14" s="119">
        <f>LF!AO14+LF!CW14</f>
        <v>1542</v>
      </c>
      <c r="I14" s="112">
        <f>LF!AM14+LF!CU14</f>
        <v>0</v>
      </c>
      <c r="J14" s="119">
        <f>LF!BA14+LF!DI14+LF!FE14+LF!HA14</f>
        <v>3327</v>
      </c>
      <c r="K14" s="112">
        <f>LF!AY14+LF!DG14+LF!FC14+LF!GY14</f>
        <v>0</v>
      </c>
    </row>
    <row r="15" spans="1:21" ht="18.75" x14ac:dyDescent="0.25">
      <c r="A15" s="480"/>
      <c r="B15" s="111">
        <f t="shared" ref="B15:B20" si="1">+B14+1</f>
        <v>44949</v>
      </c>
      <c r="C15" s="118">
        <f>LF!HM15</f>
        <v>12493</v>
      </c>
      <c r="D15" s="120">
        <f>LF!E15+LF!AC15+LF!BM15+LF!CK15+LF!DU15+LF!ES15+LF!FQ15+LF!GO15</f>
        <v>4300</v>
      </c>
      <c r="E15" s="113">
        <f>LF!C15+LF!AA15+LF!BK15+LF!CI15+LF!DS15+LF!EQ15+LF!FO15+LF!GM15</f>
        <v>0</v>
      </c>
      <c r="F15" s="120">
        <f>LF!Q15+LF!BY15+LF!EG15+LF!GC15</f>
        <v>3324</v>
      </c>
      <c r="G15" s="113">
        <f>LF!O15+LF!BW15+LF!EE15+LF!GA15</f>
        <v>0</v>
      </c>
      <c r="H15" s="120">
        <f>LF!AO15+LF!CW15</f>
        <v>1542</v>
      </c>
      <c r="I15" s="113">
        <f>LF!AM15+LF!CU15</f>
        <v>0</v>
      </c>
      <c r="J15" s="120">
        <f>LF!BA15+LF!DI15+LF!FE15+LF!HA15</f>
        <v>3327</v>
      </c>
      <c r="K15" s="113">
        <f>LF!AY15+LF!DG15+LF!FC15+LF!GY15</f>
        <v>0</v>
      </c>
    </row>
    <row r="16" spans="1:21" ht="18.75" x14ac:dyDescent="0.25">
      <c r="A16" s="480"/>
      <c r="B16" s="111">
        <f t="shared" si="1"/>
        <v>44950</v>
      </c>
      <c r="C16" s="118">
        <f>LF!HM16</f>
        <v>12490</v>
      </c>
      <c r="D16" s="120">
        <f>LF!E16+LF!AC16+LF!BM16+LF!CK16+LF!DU16+LF!ES16+LF!FQ16+LF!GO16</f>
        <v>4297</v>
      </c>
      <c r="E16" s="113">
        <f>LF!C16+LF!AA16+LF!BK16+LF!CI16+LF!DS16+LF!EQ16+LF!FO16+LF!GM16</f>
        <v>3</v>
      </c>
      <c r="F16" s="120">
        <f>LF!Q16+LF!BY16+LF!EG16+LF!GC16</f>
        <v>3324</v>
      </c>
      <c r="G16" s="113">
        <f>LF!O16+LF!BW16+LF!EE16+LF!GA16</f>
        <v>0</v>
      </c>
      <c r="H16" s="120">
        <f>LF!AO16+LF!CW16</f>
        <v>1542</v>
      </c>
      <c r="I16" s="113">
        <f>LF!AM16+LF!CU16</f>
        <v>0</v>
      </c>
      <c r="J16" s="120">
        <f>LF!BA16+LF!DI16+LF!FE16+LF!HA16</f>
        <v>3327</v>
      </c>
      <c r="K16" s="113">
        <f>LF!AY16+LF!DG16+LF!FC16+LF!GY16</f>
        <v>0</v>
      </c>
    </row>
    <row r="17" spans="1:11" ht="18.75" x14ac:dyDescent="0.25">
      <c r="A17" s="480"/>
      <c r="B17" s="111">
        <f t="shared" si="1"/>
        <v>44951</v>
      </c>
      <c r="C17" s="118">
        <f>LF!HM17</f>
        <v>12489</v>
      </c>
      <c r="D17" s="120">
        <f>LF!E17+LF!AC17+LF!BM17+LF!CK17+LF!DU17+LF!ES17+LF!FQ17+LF!GO17</f>
        <v>4297</v>
      </c>
      <c r="E17" s="113">
        <f>LF!C17+LF!AA17+LF!BK17+LF!CI17+LF!DS17+LF!EQ17+LF!FO17+LF!GM17</f>
        <v>0</v>
      </c>
      <c r="F17" s="120">
        <f>LF!Q17+LF!BY17+LF!EG17+LF!GC17</f>
        <v>3324</v>
      </c>
      <c r="G17" s="113">
        <f>LF!O17+LF!BW17+LF!EE17+LF!GA17</f>
        <v>0</v>
      </c>
      <c r="H17" s="120">
        <f>LF!AO17+LF!CW17</f>
        <v>1542</v>
      </c>
      <c r="I17" s="113">
        <f>LF!AM17+LF!CU17</f>
        <v>0</v>
      </c>
      <c r="J17" s="120">
        <f>LF!BA17+LF!DI17+LF!FE17+LF!HA17</f>
        <v>3326</v>
      </c>
      <c r="K17" s="113">
        <f>LF!AY17+LF!DG17+LF!FC17+LF!GY17</f>
        <v>1</v>
      </c>
    </row>
    <row r="18" spans="1:11" ht="18.75" x14ac:dyDescent="0.25">
      <c r="A18" s="480"/>
      <c r="B18" s="111">
        <f t="shared" si="1"/>
        <v>44952</v>
      </c>
      <c r="C18" s="118">
        <f>LF!HM18</f>
        <v>12487</v>
      </c>
      <c r="D18" s="120">
        <f>LF!E18+LF!AC18+LF!BM18+LF!CK18+LF!DU18+LF!ES18+LF!FQ18+LF!GO18</f>
        <v>4295</v>
      </c>
      <c r="E18" s="113">
        <f>LF!C18+LF!AA18+LF!BK18+LF!CI18+LF!DS18+LF!EQ18+LF!FO18+LF!GM18</f>
        <v>2</v>
      </c>
      <c r="F18" s="120">
        <f>LF!Q18+LF!BY18+LF!EG18+LF!GC18</f>
        <v>3324</v>
      </c>
      <c r="G18" s="113">
        <f>LF!O18+LF!BW18+LF!EE18+LF!GA18</f>
        <v>0</v>
      </c>
      <c r="H18" s="120">
        <f>LF!AO18+LF!CW18</f>
        <v>1542</v>
      </c>
      <c r="I18" s="113">
        <f>LF!AM18+LF!CU18</f>
        <v>0</v>
      </c>
      <c r="J18" s="120">
        <f>LF!BA18+LF!DI18+LF!FE18+LF!HA18</f>
        <v>3326</v>
      </c>
      <c r="K18" s="113">
        <f>LF!AY18+LF!DG18+LF!FC18+LF!GY18</f>
        <v>0</v>
      </c>
    </row>
    <row r="19" spans="1:11" ht="18.75" x14ac:dyDescent="0.25">
      <c r="A19" s="480"/>
      <c r="B19" s="111">
        <f t="shared" si="1"/>
        <v>44953</v>
      </c>
      <c r="C19" s="118">
        <f>LF!HM19</f>
        <v>12487</v>
      </c>
      <c r="D19" s="120">
        <f>LF!E19+LF!AC19+LF!BM19+LF!CK19+LF!DU19+LF!ES19+LF!FQ19+LF!GO19</f>
        <v>4295</v>
      </c>
      <c r="E19" s="113">
        <f>LF!C19+LF!AA19+LF!BK19+LF!CI19+LF!DS19+LF!EQ19+LF!FO19+LF!GM19</f>
        <v>0</v>
      </c>
      <c r="F19" s="120">
        <f>LF!Q19+LF!BY19+LF!EG19+LF!GC19</f>
        <v>3324</v>
      </c>
      <c r="G19" s="113">
        <f>LF!O19+LF!BW19+LF!EE19+LF!GA19</f>
        <v>0</v>
      </c>
      <c r="H19" s="120">
        <f>LF!AO19+LF!CW19</f>
        <v>1542</v>
      </c>
      <c r="I19" s="113">
        <f>LF!AM19+LF!CU19</f>
        <v>0</v>
      </c>
      <c r="J19" s="120">
        <f>LF!BA19+LF!DI19+LF!FE19+LF!HA19</f>
        <v>3326</v>
      </c>
      <c r="K19" s="113">
        <f>LF!AY19+LF!DG19+LF!FC19+LF!GY19</f>
        <v>0</v>
      </c>
    </row>
    <row r="20" spans="1:11" ht="19.5" thickBot="1" x14ac:dyDescent="0.3">
      <c r="A20" s="480"/>
      <c r="B20" s="141">
        <f t="shared" si="1"/>
        <v>44954</v>
      </c>
      <c r="C20" s="142">
        <f>LF!HM20</f>
        <v>12487</v>
      </c>
      <c r="D20" s="143">
        <f>LF!E20+LF!AC20+LF!BM20+LF!CK20+LF!DU20+LF!ES20+LF!FQ20+LF!GO20</f>
        <v>4295</v>
      </c>
      <c r="E20" s="114">
        <f>LF!C20+LF!AA20+LF!BK20+LF!CI20+LF!DS20+LF!EQ20+LF!FO20+LF!GM20</f>
        <v>0</v>
      </c>
      <c r="F20" s="121">
        <f>LF!Q20+LF!BY20+LF!EG20+LF!GC20</f>
        <v>3324</v>
      </c>
      <c r="G20" s="114">
        <f>LF!O20+LF!BW20+LF!EE20+LF!GA20</f>
        <v>0</v>
      </c>
      <c r="H20" s="121">
        <f>LF!AO20+LF!CW20</f>
        <v>1542</v>
      </c>
      <c r="I20" s="114">
        <f>LF!AM20+LF!CU20</f>
        <v>0</v>
      </c>
      <c r="J20" s="121">
        <f>LF!BA20+LF!DI20+LF!FE20+LF!HA20</f>
        <v>3326</v>
      </c>
      <c r="K20" s="114">
        <f>LF!AY20+LF!DG20+LF!FC20+LF!GY20</f>
        <v>0</v>
      </c>
    </row>
    <row r="21" spans="1:11" ht="19.5" thickBot="1" x14ac:dyDescent="0.3">
      <c r="A21" s="481"/>
      <c r="B21" s="2"/>
      <c r="C21" s="140"/>
      <c r="D21" s="144"/>
      <c r="E21" s="115">
        <f>SUM(E14:E20)</f>
        <v>6</v>
      </c>
      <c r="F21" s="116"/>
      <c r="G21" s="115">
        <f>SUM(G14:G20)</f>
        <v>0</v>
      </c>
      <c r="H21" s="116"/>
      <c r="I21" s="115">
        <f>SUM(I14:I20)</f>
        <v>0</v>
      </c>
      <c r="J21" s="116"/>
      <c r="K21" s="115">
        <f>SUM(K14:K20)</f>
        <v>1</v>
      </c>
    </row>
    <row r="22" spans="1:11" ht="19.5" thickBot="1" x14ac:dyDescent="0.3">
      <c r="A22" s="82"/>
      <c r="B22" s="138"/>
      <c r="C22" s="137"/>
      <c r="D22" s="109"/>
      <c r="E22" s="109"/>
      <c r="F22" s="109"/>
      <c r="G22" s="109"/>
      <c r="H22" s="109"/>
      <c r="I22" s="109"/>
      <c r="J22" s="109"/>
      <c r="K22" s="109"/>
    </row>
    <row r="23" spans="1:11" ht="18.75" x14ac:dyDescent="0.25">
      <c r="A23" s="479">
        <v>27</v>
      </c>
      <c r="B23" s="110">
        <f>+B20+1</f>
        <v>44955</v>
      </c>
      <c r="C23" s="117">
        <f>LF!HM23</f>
        <v>12487</v>
      </c>
      <c r="D23" s="119">
        <f>LF!E23+LF!AC23+LF!BM23+LF!CK23+LF!DU23+LF!ES23+LF!FQ23+LF!GO23</f>
        <v>4295</v>
      </c>
      <c r="E23" s="112">
        <f>LF!C23+LF!AA23+LF!BK23+LF!CI23+LF!DS23+LF!EQ23+LF!FO23+LF!GM23</f>
        <v>0</v>
      </c>
      <c r="F23" s="119">
        <f>LF!Q23+LF!BY23+LF!EG23+LF!GC23</f>
        <v>3324</v>
      </c>
      <c r="G23" s="112">
        <f>LF!O23+LF!BW23+LF!EE23+LF!GA23</f>
        <v>0</v>
      </c>
      <c r="H23" s="119">
        <f>LF!AO23+LF!CW23</f>
        <v>1542</v>
      </c>
      <c r="I23" s="112">
        <f>LF!AM23+LF!CU23</f>
        <v>0</v>
      </c>
      <c r="J23" s="119">
        <f>LF!BA23+LF!DI23+LF!FE23+LF!HA23</f>
        <v>3326</v>
      </c>
      <c r="K23" s="112">
        <f>LF!AY23+LF!DG23+LF!FC23+LF!GY23</f>
        <v>0</v>
      </c>
    </row>
    <row r="24" spans="1:11" ht="18.75" x14ac:dyDescent="0.25">
      <c r="A24" s="480"/>
      <c r="B24" s="111">
        <f t="shared" ref="B24:B29" si="2">+B23+1</f>
        <v>44956</v>
      </c>
      <c r="C24" s="118">
        <f>LF!HM24</f>
        <v>12484</v>
      </c>
      <c r="D24" s="120">
        <f>LF!E24+LF!AC24+LF!BM24+LF!CK24+LF!DU24+LF!ES24+LF!FQ24+LF!GO24</f>
        <v>4292</v>
      </c>
      <c r="E24" s="113">
        <f>LF!C24+LF!AA24+LF!BK24+LF!CI24+LF!DS24+LF!EQ24+LF!FO24+LF!GM24</f>
        <v>3</v>
      </c>
      <c r="F24" s="120">
        <f>LF!Q24+LF!BY24+LF!EG24+LF!GC24</f>
        <v>3324</v>
      </c>
      <c r="G24" s="113">
        <f>LF!O24+LF!BW24+LF!EE24+LF!GA24</f>
        <v>0</v>
      </c>
      <c r="H24" s="120">
        <f>LF!AO24+LF!CW24</f>
        <v>1542</v>
      </c>
      <c r="I24" s="113">
        <f>LF!AM24+LF!CU24</f>
        <v>0</v>
      </c>
      <c r="J24" s="120">
        <f>LF!BA24+LF!DI24+LF!FE24+LF!HA24</f>
        <v>3326</v>
      </c>
      <c r="K24" s="113">
        <f>LF!AY24+LF!DG24+LF!FC24+LF!GY24</f>
        <v>0</v>
      </c>
    </row>
    <row r="25" spans="1:11" ht="18.75" x14ac:dyDescent="0.25">
      <c r="A25" s="480"/>
      <c r="B25" s="111">
        <f t="shared" si="2"/>
        <v>44957</v>
      </c>
      <c r="C25" s="118">
        <f>LF!HM25</f>
        <v>12484</v>
      </c>
      <c r="D25" s="120">
        <f>LF!E25+LF!AC25+LF!BM25+LF!CK25+LF!DU25+LF!ES25+LF!FQ25+LF!GO25</f>
        <v>4292</v>
      </c>
      <c r="E25" s="113">
        <f>LF!C25+LF!AA25+LF!BK25+LF!CI25+LF!DS25+LF!EQ25+LF!FO25+LF!GM25</f>
        <v>0</v>
      </c>
      <c r="F25" s="120">
        <f>LF!Q25+LF!BY25+LF!EG25+LF!GC25</f>
        <v>3324</v>
      </c>
      <c r="G25" s="113">
        <f>LF!O25+LF!BW25+LF!EE25+LF!GA25</f>
        <v>0</v>
      </c>
      <c r="H25" s="120">
        <f>LF!AO25+LF!CW25</f>
        <v>1542</v>
      </c>
      <c r="I25" s="113">
        <f>LF!AM25+LF!CU25</f>
        <v>0</v>
      </c>
      <c r="J25" s="120">
        <f>LF!BA25+LF!DI25+LF!FE25+LF!HA25</f>
        <v>3326</v>
      </c>
      <c r="K25" s="113">
        <f>LF!AY25+LF!DG25+LF!FC25+LF!GY25</f>
        <v>0</v>
      </c>
    </row>
    <row r="26" spans="1:11" ht="18.75" x14ac:dyDescent="0.25">
      <c r="A26" s="480"/>
      <c r="B26" s="111">
        <f t="shared" si="2"/>
        <v>44958</v>
      </c>
      <c r="C26" s="118">
        <f>LF!HM26</f>
        <v>12484</v>
      </c>
      <c r="D26" s="120">
        <f>LF!E26+LF!AC26+LF!BM26+LF!CK26+LF!DU26+LF!ES26+LF!FQ26+LF!GO26</f>
        <v>4292</v>
      </c>
      <c r="E26" s="113">
        <f>LF!C26+LF!AA26+LF!BK26+LF!CI26+LF!DS26+LF!EQ26+LF!FO26+LF!GM26</f>
        <v>0</v>
      </c>
      <c r="F26" s="120">
        <f>LF!Q26+LF!BY26+LF!EG26+LF!GC26</f>
        <v>3324</v>
      </c>
      <c r="G26" s="113">
        <f>LF!O26+LF!BW26+LF!EE26+LF!GA26</f>
        <v>0</v>
      </c>
      <c r="H26" s="120">
        <f>LF!AO26+LF!CW26</f>
        <v>1542</v>
      </c>
      <c r="I26" s="113">
        <f>LF!AM26+LF!CU26</f>
        <v>0</v>
      </c>
      <c r="J26" s="120">
        <f>LF!BA26+LF!DI26+LF!FE26+LF!HA26</f>
        <v>3326</v>
      </c>
      <c r="K26" s="113">
        <f>LF!AY26+LF!DG26+LF!FC26+LF!GY26</f>
        <v>0</v>
      </c>
    </row>
    <row r="27" spans="1:11" ht="18.75" x14ac:dyDescent="0.25">
      <c r="A27" s="480"/>
      <c r="B27" s="111">
        <f t="shared" si="2"/>
        <v>44959</v>
      </c>
      <c r="C27" s="118">
        <f>LF!HM27</f>
        <v>12484</v>
      </c>
      <c r="D27" s="120">
        <f>LF!E27+LF!AC27+LF!BM27+LF!CK27+LF!DU27+LF!ES27+LF!FQ27+LF!GO27</f>
        <v>4292</v>
      </c>
      <c r="E27" s="113">
        <f>LF!C27+LF!AA27+LF!BK27+LF!CI27+LF!DS27+LF!EQ27+LF!FO27+LF!GM27</f>
        <v>0</v>
      </c>
      <c r="F27" s="120">
        <f>LF!Q27+LF!BY27+LF!EG27+LF!GC27</f>
        <v>3324</v>
      </c>
      <c r="G27" s="113">
        <f>LF!O27+LF!BW27+LF!EE27+LF!GA27</f>
        <v>0</v>
      </c>
      <c r="H27" s="120">
        <f>LF!AO27+LF!CW27</f>
        <v>1542</v>
      </c>
      <c r="I27" s="113">
        <f>LF!AM27+LF!CU27</f>
        <v>0</v>
      </c>
      <c r="J27" s="120">
        <f>LF!BA27+LF!DI27+LF!FE27+LF!HA27</f>
        <v>3326</v>
      </c>
      <c r="K27" s="113">
        <f>LF!AY27+LF!DG27+LF!FC27+LF!GY27</f>
        <v>0</v>
      </c>
    </row>
    <row r="28" spans="1:11" ht="18.75" x14ac:dyDescent="0.25">
      <c r="A28" s="480"/>
      <c r="B28" s="111">
        <f t="shared" si="2"/>
        <v>44960</v>
      </c>
      <c r="C28" s="118">
        <f>LF!HM28</f>
        <v>12482</v>
      </c>
      <c r="D28" s="120">
        <f>LF!E28+LF!AC28+LF!BM28+LF!CK28+LF!DU28+LF!ES28+LF!FQ28+LF!GO28</f>
        <v>4290</v>
      </c>
      <c r="E28" s="113">
        <f>LF!C28+LF!AA28+LF!BK28+LF!CI28+LF!DS28+LF!EQ28+LF!FO28+LF!GM28</f>
        <v>2</v>
      </c>
      <c r="F28" s="120">
        <f>LF!Q28+LF!BY28+LF!EG28+LF!GC28</f>
        <v>3324</v>
      </c>
      <c r="G28" s="113">
        <f>LF!O28+LF!BW28+LF!EE28+LF!GA28</f>
        <v>0</v>
      </c>
      <c r="H28" s="120">
        <f>LF!AO28+LF!CW28</f>
        <v>1542</v>
      </c>
      <c r="I28" s="113">
        <f>LF!AM28+LF!CU28</f>
        <v>0</v>
      </c>
      <c r="J28" s="120">
        <f>LF!BA28+LF!DI28+LF!FE28+LF!HA28</f>
        <v>3326</v>
      </c>
      <c r="K28" s="113">
        <f>LF!AY28+LF!DG28+LF!FC28+LF!GY28</f>
        <v>0</v>
      </c>
    </row>
    <row r="29" spans="1:11" ht="19.5" thickBot="1" x14ac:dyDescent="0.3">
      <c r="A29" s="480"/>
      <c r="B29" s="141">
        <f t="shared" si="2"/>
        <v>44961</v>
      </c>
      <c r="C29" s="142">
        <f>LF!HM29</f>
        <v>12479</v>
      </c>
      <c r="D29" s="143">
        <f>LF!E29+LF!AC29+LF!BM29+LF!CK29+LF!DU29+LF!ES29+LF!FQ29+LF!GO29</f>
        <v>4287</v>
      </c>
      <c r="E29" s="114">
        <f>LF!C29+LF!AA29+LF!BK29+LF!CI29+LF!DS29+LF!EQ29+LF!FO29+LF!GM29</f>
        <v>3</v>
      </c>
      <c r="F29" s="121">
        <f>LF!Q29+LF!BY29+LF!EG29+LF!GC29</f>
        <v>3324</v>
      </c>
      <c r="G29" s="114">
        <f>LF!O29+LF!BW29+LF!EE29+LF!GA29</f>
        <v>0</v>
      </c>
      <c r="H29" s="121">
        <f>LF!AO29+LF!CW29</f>
        <v>1542</v>
      </c>
      <c r="I29" s="114">
        <f>LF!AM29+LF!CU29</f>
        <v>0</v>
      </c>
      <c r="J29" s="121">
        <f>LF!BA29+LF!DI29+LF!FE29+LF!HA29</f>
        <v>3326</v>
      </c>
      <c r="K29" s="114">
        <f>LF!AY29+LF!DG29+LF!FC29+LF!GY29</f>
        <v>0</v>
      </c>
    </row>
    <row r="30" spans="1:11" ht="19.5" thickBot="1" x14ac:dyDescent="0.3">
      <c r="A30" s="481"/>
      <c r="B30" s="2"/>
      <c r="C30" s="140"/>
      <c r="D30" s="144"/>
      <c r="E30" s="115">
        <f>SUM(E23:E29)</f>
        <v>8</v>
      </c>
      <c r="F30" s="116"/>
      <c r="G30" s="115">
        <f>SUM(G23:G29)</f>
        <v>0</v>
      </c>
      <c r="H30" s="116"/>
      <c r="I30" s="115">
        <f>SUM(I23:I29)</f>
        <v>0</v>
      </c>
      <c r="J30" s="116"/>
      <c r="K30" s="115">
        <f>SUM(K23:K29)</f>
        <v>0</v>
      </c>
    </row>
    <row r="31" spans="1:11" ht="19.5" thickBot="1" x14ac:dyDescent="0.3">
      <c r="A31" s="82"/>
      <c r="B31" s="139"/>
      <c r="C31" s="108"/>
      <c r="D31" s="109"/>
      <c r="E31" s="109"/>
      <c r="F31" s="109"/>
      <c r="G31" s="109"/>
      <c r="H31" s="109"/>
      <c r="I31" s="109"/>
      <c r="J31" s="109"/>
      <c r="K31" s="109"/>
    </row>
    <row r="32" spans="1:11" ht="18.75" x14ac:dyDescent="0.25">
      <c r="A32" s="479">
        <v>28</v>
      </c>
      <c r="B32" s="110">
        <f>+B29+1</f>
        <v>44962</v>
      </c>
      <c r="C32" s="117">
        <f>LF!HM32</f>
        <v>12478</v>
      </c>
      <c r="D32" s="119">
        <f>LF!E32+LF!AC32+LF!BM32+LF!CK32+LF!DU32+LF!ES32+LF!FQ32+LF!GO32</f>
        <v>4286</v>
      </c>
      <c r="E32" s="112">
        <f>LF!C32+LF!AA32+LF!BK32+LF!CI32+LF!DS32+LF!EQ32+LF!FO32+LF!GM32</f>
        <v>1</v>
      </c>
      <c r="F32" s="119">
        <f>LF!Q32+LF!BY32+LF!EG32+LF!GC32</f>
        <v>3324</v>
      </c>
      <c r="G32" s="112">
        <f>LF!O32+LF!BW32+LF!EE32+LF!GA32</f>
        <v>0</v>
      </c>
      <c r="H32" s="119">
        <f>LF!AO32+LF!CW32</f>
        <v>1542</v>
      </c>
      <c r="I32" s="112">
        <f>LF!AM32+LF!CU32</f>
        <v>0</v>
      </c>
      <c r="J32" s="119">
        <f>LF!BA32+LF!DI32+LF!FE32+LF!HA32</f>
        <v>3326</v>
      </c>
      <c r="K32" s="112">
        <f>LF!AY32+LF!DG32+LF!FC32+LF!GY32</f>
        <v>0</v>
      </c>
    </row>
    <row r="33" spans="1:11" ht="18.75" x14ac:dyDescent="0.25">
      <c r="A33" s="480"/>
      <c r="B33" s="111">
        <f t="shared" ref="B33:B38" si="3">+B32+1</f>
        <v>44963</v>
      </c>
      <c r="C33" s="118">
        <f>LF!HM33</f>
        <v>12477</v>
      </c>
      <c r="D33" s="120">
        <f>LF!E33+LF!AC33+LF!BM33+LF!CK33+LF!DU33+LF!ES33+LF!FQ33+LF!GO33</f>
        <v>4285</v>
      </c>
      <c r="E33" s="113">
        <f>LF!C33+LF!AA33+LF!BK33+LF!CI33+LF!DS33+LF!EQ33+LF!FO33+LF!GM33</f>
        <v>1</v>
      </c>
      <c r="F33" s="120">
        <f>LF!Q33+LF!BY33+LF!EG33+LF!GC33</f>
        <v>3324</v>
      </c>
      <c r="G33" s="113">
        <f>LF!O33+LF!BW33+LF!EE33+LF!GA33</f>
        <v>0</v>
      </c>
      <c r="H33" s="120">
        <f>LF!AO33+LF!CW33</f>
        <v>1542</v>
      </c>
      <c r="I33" s="113">
        <f>LF!AM33+LF!CU33</f>
        <v>0</v>
      </c>
      <c r="J33" s="120">
        <f>LF!BA33+LF!DI33+LF!FE33+LF!HA33</f>
        <v>3326</v>
      </c>
      <c r="K33" s="113">
        <f>LF!AY33+LF!DG33+LF!FC33+LF!GY33</f>
        <v>0</v>
      </c>
    </row>
    <row r="34" spans="1:11" ht="18.75" x14ac:dyDescent="0.25">
      <c r="A34" s="480"/>
      <c r="B34" s="111">
        <f t="shared" si="3"/>
        <v>44964</v>
      </c>
      <c r="C34" s="118">
        <f>LF!HM34</f>
        <v>12476</v>
      </c>
      <c r="D34" s="120">
        <f>LF!E34+LF!AC34+LF!BM34+LF!CK34+LF!DU34+LF!ES34+LF!FQ34+LF!GO34</f>
        <v>4284</v>
      </c>
      <c r="E34" s="113">
        <f>LF!C34+LF!AA34+LF!BK34+LF!CI34+LF!DS34+LF!EQ34+LF!FO34+LF!GM34</f>
        <v>1</v>
      </c>
      <c r="F34" s="120">
        <f>LF!Q34+LF!BY34+LF!EG34+LF!GC34</f>
        <v>3324</v>
      </c>
      <c r="G34" s="113">
        <f>LF!O34+LF!BW34+LF!EE34+LF!GA34</f>
        <v>0</v>
      </c>
      <c r="H34" s="120">
        <f>LF!AO34+LF!CW34</f>
        <v>1542</v>
      </c>
      <c r="I34" s="113">
        <f>LF!AM34+LF!CU34</f>
        <v>0</v>
      </c>
      <c r="J34" s="120">
        <f>LF!BA34+LF!DI34+LF!FE34+LF!HA34</f>
        <v>3326</v>
      </c>
      <c r="K34" s="113">
        <f>LF!AY34+LF!DG34+LF!FC34+LF!GY34</f>
        <v>0</v>
      </c>
    </row>
    <row r="35" spans="1:11" ht="18.75" x14ac:dyDescent="0.25">
      <c r="A35" s="480"/>
      <c r="B35" s="111">
        <f t="shared" si="3"/>
        <v>44965</v>
      </c>
      <c r="C35" s="118">
        <f>LF!HM35</f>
        <v>12476</v>
      </c>
      <c r="D35" s="120">
        <f>LF!E35+LF!AC35+LF!BM35+LF!CK35+LF!DU35+LF!ES35+LF!FQ35+LF!GO35</f>
        <v>4284</v>
      </c>
      <c r="E35" s="113">
        <f>LF!C35+LF!AA35+LF!BK35+LF!CI35+LF!DS35+LF!EQ35+LF!FO35+LF!GM35</f>
        <v>0</v>
      </c>
      <c r="F35" s="120">
        <f>LF!Q35+LF!BY35+LF!EG35+LF!GC35</f>
        <v>3324</v>
      </c>
      <c r="G35" s="113">
        <f>LF!O35+LF!BW35+LF!EE35+LF!GA35</f>
        <v>0</v>
      </c>
      <c r="H35" s="120">
        <f>LF!AO35+LF!CW35</f>
        <v>1542</v>
      </c>
      <c r="I35" s="113">
        <f>LF!AM35+LF!CU35</f>
        <v>0</v>
      </c>
      <c r="J35" s="120">
        <f>LF!BA35+LF!DI35+LF!FE35+LF!HA35</f>
        <v>3326</v>
      </c>
      <c r="K35" s="113">
        <f>LF!AY35+LF!DG35+LF!FC35+LF!GY35</f>
        <v>0</v>
      </c>
    </row>
    <row r="36" spans="1:11" ht="18.75" x14ac:dyDescent="0.25">
      <c r="A36" s="480"/>
      <c r="B36" s="111">
        <f t="shared" si="3"/>
        <v>44966</v>
      </c>
      <c r="C36" s="118">
        <f>LF!HM36</f>
        <v>12473</v>
      </c>
      <c r="D36" s="120">
        <f>LF!E36+LF!AC36+LF!BM36+LF!CK36+LF!DU36+LF!ES36+LF!FQ36+LF!GO36</f>
        <v>4282</v>
      </c>
      <c r="E36" s="113">
        <f>LF!C36+LF!AA36+LF!BK36+LF!CI36+LF!DS36+LF!EQ36+LF!FO36+LF!GM36</f>
        <v>2</v>
      </c>
      <c r="F36" s="120">
        <f>LF!Q36+LF!BY36+LF!EG36+LF!GC36</f>
        <v>3323</v>
      </c>
      <c r="G36" s="113">
        <f>LF!O36+LF!BW36+LF!EE36+LF!GA36</f>
        <v>1</v>
      </c>
      <c r="H36" s="120">
        <f>LF!AO36+LF!CW36</f>
        <v>1542</v>
      </c>
      <c r="I36" s="113">
        <f>LF!AM36+LF!CU36</f>
        <v>0</v>
      </c>
      <c r="J36" s="120">
        <f>LF!BA36+LF!DI36+LF!FE36+LF!HA36</f>
        <v>3326</v>
      </c>
      <c r="K36" s="113">
        <f>LF!AY36+LF!DG36+LF!FC36+LF!GY36</f>
        <v>0</v>
      </c>
    </row>
    <row r="37" spans="1:11" ht="18.75" x14ac:dyDescent="0.25">
      <c r="A37" s="480"/>
      <c r="B37" s="111">
        <f t="shared" si="3"/>
        <v>44967</v>
      </c>
      <c r="C37" s="118">
        <f>LF!HM37</f>
        <v>12463</v>
      </c>
      <c r="D37" s="120">
        <f>LF!E37+LF!AC37+LF!BM37+LF!CK37+LF!DU37+LF!ES37+LF!FQ37+LF!GO37</f>
        <v>4276</v>
      </c>
      <c r="E37" s="113">
        <f>LF!C37+LF!AA37+LF!BK37+LF!CI37+LF!DS37+LF!EQ37+LF!FO37+LF!GM37</f>
        <v>6</v>
      </c>
      <c r="F37" s="120">
        <f>LF!Q37+LF!BY37+LF!EG37+LF!GC37</f>
        <v>3322</v>
      </c>
      <c r="G37" s="113">
        <f>LF!O37+LF!BW37+LF!EE37+LF!GA37</f>
        <v>1</v>
      </c>
      <c r="H37" s="120">
        <f>LF!AO37+LF!CW37</f>
        <v>1541</v>
      </c>
      <c r="I37" s="113">
        <f>LF!AM37+LF!CU37</f>
        <v>1</v>
      </c>
      <c r="J37" s="120">
        <f>LF!BA37+LF!DI37+LF!FE37+LF!HA37</f>
        <v>3324</v>
      </c>
      <c r="K37" s="113">
        <f>LF!AY37+LF!DG37+LF!FC37+LF!GY37</f>
        <v>2</v>
      </c>
    </row>
    <row r="38" spans="1:11" ht="19.5" thickBot="1" x14ac:dyDescent="0.3">
      <c r="A38" s="480"/>
      <c r="B38" s="141">
        <f t="shared" si="3"/>
        <v>44968</v>
      </c>
      <c r="C38" s="142">
        <f>LF!HM38</f>
        <v>12457</v>
      </c>
      <c r="D38" s="143">
        <f>LF!E38+LF!AC38+LF!BM38+LF!CK38+LF!DU38+LF!ES38+LF!FQ38+LF!GO38</f>
        <v>4273</v>
      </c>
      <c r="E38" s="114">
        <f>LF!C38+LF!AA38+LF!BK38+LF!CI38+LF!DS38+LF!EQ38+LF!FO38+LF!GM38</f>
        <v>3</v>
      </c>
      <c r="F38" s="121">
        <f>LF!Q38+LF!BY38+LF!EG38+LF!GC38</f>
        <v>3320</v>
      </c>
      <c r="G38" s="114">
        <f>LF!O38+LF!BW38+LF!EE38+LF!GA38</f>
        <v>2</v>
      </c>
      <c r="H38" s="121">
        <f>LF!AO38+LF!CW38</f>
        <v>1540</v>
      </c>
      <c r="I38" s="114">
        <f>LF!AM38+LF!CU38</f>
        <v>1</v>
      </c>
      <c r="J38" s="121">
        <f>LF!BA38+LF!DI38+LF!FE38+LF!HA38</f>
        <v>3324</v>
      </c>
      <c r="K38" s="114">
        <f>LF!AY38+LF!DG38+LF!FC38+LF!GY38</f>
        <v>0</v>
      </c>
    </row>
    <row r="39" spans="1:11" ht="19.5" thickBot="1" x14ac:dyDescent="0.3">
      <c r="A39" s="481"/>
      <c r="B39" s="2"/>
      <c r="C39" s="140"/>
      <c r="D39" s="144"/>
      <c r="E39" s="115">
        <f>SUM(E32:E38)</f>
        <v>14</v>
      </c>
      <c r="F39" s="116"/>
      <c r="G39" s="115">
        <f>SUM(G32:G38)</f>
        <v>4</v>
      </c>
      <c r="H39" s="116"/>
      <c r="I39" s="115">
        <f>SUM(I32:I38)</f>
        <v>2</v>
      </c>
      <c r="J39" s="116"/>
      <c r="K39" s="115">
        <f>SUM(K32:K38)</f>
        <v>2</v>
      </c>
    </row>
    <row r="40" spans="1:11" ht="19.5" thickBot="1" x14ac:dyDescent="0.3">
      <c r="A40" s="82"/>
      <c r="B40" s="139"/>
      <c r="C40" s="108"/>
      <c r="D40" s="109"/>
      <c r="E40" s="109"/>
      <c r="F40" s="109"/>
      <c r="G40" s="109"/>
      <c r="H40" s="109"/>
      <c r="I40" s="109"/>
      <c r="J40" s="109"/>
      <c r="K40" s="109"/>
    </row>
    <row r="41" spans="1:11" ht="18.75" x14ac:dyDescent="0.25">
      <c r="A41" s="479">
        <v>29</v>
      </c>
      <c r="B41" s="110">
        <f t="shared" ref="B41" si="4">+B38+1</f>
        <v>44969</v>
      </c>
      <c r="C41" s="117">
        <f>LF!HM41</f>
        <v>12454</v>
      </c>
      <c r="D41" s="119">
        <f>LF!E41+LF!AC41+LF!BM41+LF!CK41+LF!DU41+LF!ES41+LF!FQ41+LF!GO41</f>
        <v>4271</v>
      </c>
      <c r="E41" s="112">
        <f>LF!C41+LF!AA41+LF!BK41+LF!CI41+LF!DS41+LF!EQ41+LF!FO41+LF!GM41</f>
        <v>2</v>
      </c>
      <c r="F41" s="119">
        <f>LF!Q41+LF!BY41+LF!EG41+LF!GC41</f>
        <v>3320</v>
      </c>
      <c r="G41" s="112">
        <f>LF!O41+LF!BW41+LF!EE41+LF!GA41</f>
        <v>0</v>
      </c>
      <c r="H41" s="119">
        <f>LF!AO41+LF!CW41</f>
        <v>1539</v>
      </c>
      <c r="I41" s="112">
        <f>LF!AM41+LF!CU41</f>
        <v>1</v>
      </c>
      <c r="J41" s="119">
        <f>LF!BA41+LF!DI41+LF!FE41+LF!HA41</f>
        <v>3324</v>
      </c>
      <c r="K41" s="112">
        <f>LF!AY41+LF!DG41+LF!FC41+LF!GY41</f>
        <v>0</v>
      </c>
    </row>
    <row r="42" spans="1:11" ht="18.75" x14ac:dyDescent="0.25">
      <c r="A42" s="480"/>
      <c r="B42" s="111">
        <f t="shared" ref="B42:B105" si="5">+B41+1</f>
        <v>44970</v>
      </c>
      <c r="C42" s="118">
        <f>LF!HM42</f>
        <v>12452</v>
      </c>
      <c r="D42" s="120">
        <f>LF!E42+LF!AC42+LF!BM42+LF!CK42+LF!DU42+LF!ES42+LF!FQ42+LF!GO42</f>
        <v>4270</v>
      </c>
      <c r="E42" s="113">
        <f>LF!C42+LF!AA42+LF!BK42+LF!CI42+LF!DS42+LF!EQ42+LF!FO42+LF!GM42</f>
        <v>1</v>
      </c>
      <c r="F42" s="120">
        <f>LF!Q42+LF!BY42+LF!EG42+LF!GC42</f>
        <v>3320</v>
      </c>
      <c r="G42" s="113">
        <f>LF!O42+LF!BW42+LF!EE42+LF!GA42</f>
        <v>0</v>
      </c>
      <c r="H42" s="120">
        <f>LF!AO42+LF!CW42</f>
        <v>1539</v>
      </c>
      <c r="I42" s="113">
        <f>LF!AM42+LF!CU42</f>
        <v>0</v>
      </c>
      <c r="J42" s="120">
        <f>LF!BA42+LF!DI42+LF!FE42+LF!HA42</f>
        <v>3323</v>
      </c>
      <c r="K42" s="113">
        <f>LF!AY42+LF!DG42+LF!FC42+LF!GY42</f>
        <v>1</v>
      </c>
    </row>
    <row r="43" spans="1:11" ht="18.75" x14ac:dyDescent="0.25">
      <c r="A43" s="480"/>
      <c r="B43" s="111">
        <f t="shared" si="5"/>
        <v>44971</v>
      </c>
      <c r="C43" s="118">
        <f>LF!HM43</f>
        <v>12447</v>
      </c>
      <c r="D43" s="120">
        <f>LF!E43+LF!AC43+LF!BM43+LF!CK43+LF!DU43+LF!ES43+LF!FQ43+LF!GO43</f>
        <v>4268</v>
      </c>
      <c r="E43" s="113">
        <f>LF!C43+LF!AA43+LF!BK43+LF!CI43+LF!DS43+LF!EQ43+LF!FO43+LF!GM43</f>
        <v>2</v>
      </c>
      <c r="F43" s="120">
        <f>LF!Q43+LF!BY43+LF!EG43+LF!GC43</f>
        <v>3317</v>
      </c>
      <c r="G43" s="113">
        <f>LF!O43+LF!BW43+LF!EE43+LF!GA43</f>
        <v>3</v>
      </c>
      <c r="H43" s="120">
        <f>LF!AO43+LF!CW43</f>
        <v>1539</v>
      </c>
      <c r="I43" s="113">
        <f>LF!AM43+LF!CU43</f>
        <v>0</v>
      </c>
      <c r="J43" s="120">
        <f>LF!BA43+LF!DI43+LF!FE43+LF!HA43</f>
        <v>3323</v>
      </c>
      <c r="K43" s="113">
        <f>LF!AY43+LF!DG43+LF!FC43+LF!GY43</f>
        <v>0</v>
      </c>
    </row>
    <row r="44" spans="1:11" ht="18.75" x14ac:dyDescent="0.25">
      <c r="A44" s="480"/>
      <c r="B44" s="111">
        <f t="shared" si="5"/>
        <v>44972</v>
      </c>
      <c r="C44" s="118">
        <f>LF!HM44</f>
        <v>12445</v>
      </c>
      <c r="D44" s="120">
        <f>LF!E44+LF!AC44+LF!BM44+LF!CK44+LF!DU44+LF!ES44+LF!FQ44+LF!GO44</f>
        <v>4267</v>
      </c>
      <c r="E44" s="113">
        <f>LF!C44+LF!AA44+LF!BK44+LF!CI44+LF!DS44+LF!EQ44+LF!FO44+LF!GM44</f>
        <v>1</v>
      </c>
      <c r="F44" s="120">
        <f>LF!Q44+LF!BY44+LF!EG44+LF!GC44</f>
        <v>3316</v>
      </c>
      <c r="G44" s="113">
        <f>LF!O44+LF!BW44+LF!EE44+LF!GA44</f>
        <v>1</v>
      </c>
      <c r="H44" s="120">
        <f>LF!AO44+LF!CW44</f>
        <v>1539</v>
      </c>
      <c r="I44" s="113">
        <f>LF!AM44+LF!CU44</f>
        <v>0</v>
      </c>
      <c r="J44" s="120">
        <f>LF!BA44+LF!DI44+LF!FE44+LF!HA44</f>
        <v>3323</v>
      </c>
      <c r="K44" s="113">
        <f>LF!AY44+LF!DG44+LF!FC44+LF!GY44</f>
        <v>0</v>
      </c>
    </row>
    <row r="45" spans="1:11" ht="18.75" x14ac:dyDescent="0.25">
      <c r="A45" s="480"/>
      <c r="B45" s="111">
        <f t="shared" si="5"/>
        <v>44973</v>
      </c>
      <c r="C45" s="118">
        <f>LF!HM45</f>
        <v>12444</v>
      </c>
      <c r="D45" s="120">
        <f>LF!E45+LF!AC45+LF!BM45+LF!CK45+LF!DU45+LF!ES45+LF!FQ45+LF!GO45</f>
        <v>4267</v>
      </c>
      <c r="E45" s="113">
        <f>LF!C45+LF!AA45+LF!BK45+LF!CI45+LF!DS45+LF!EQ45+LF!FO45+LF!GM45</f>
        <v>0</v>
      </c>
      <c r="F45" s="120">
        <f>LF!Q45+LF!BY45+LF!EG45+LF!GC45</f>
        <v>3315</v>
      </c>
      <c r="G45" s="113">
        <f>LF!O45+LF!BW45+LF!EE45+LF!GA45</f>
        <v>1</v>
      </c>
      <c r="H45" s="120">
        <f>LF!AO45+LF!CW45</f>
        <v>1539</v>
      </c>
      <c r="I45" s="113">
        <f>LF!AM45+LF!CU45</f>
        <v>0</v>
      </c>
      <c r="J45" s="120">
        <f>LF!BA45+LF!DI45+LF!FE45+LF!HA45</f>
        <v>3323</v>
      </c>
      <c r="K45" s="113">
        <f>LF!AY45+LF!DG45+LF!FC45+LF!GY45</f>
        <v>0</v>
      </c>
    </row>
    <row r="46" spans="1:11" ht="18.75" x14ac:dyDescent="0.25">
      <c r="A46" s="480"/>
      <c r="B46" s="111">
        <f t="shared" si="5"/>
        <v>44974</v>
      </c>
      <c r="C46" s="118">
        <f>LF!HM46</f>
        <v>12444</v>
      </c>
      <c r="D46" s="120">
        <f>LF!E46+LF!AC46+LF!BM46+LF!CK46+LF!DU46+LF!ES46+LF!FQ46+LF!GO46</f>
        <v>4267</v>
      </c>
      <c r="E46" s="113">
        <f>LF!C46+LF!AA46+LF!BK46+LF!CI46+LF!DS46+LF!EQ46+LF!FO46+LF!GM46</f>
        <v>0</v>
      </c>
      <c r="F46" s="120">
        <f>LF!Q46+LF!BY46+LF!EG46+LF!GC46</f>
        <v>3315</v>
      </c>
      <c r="G46" s="113">
        <f>LF!O46+LF!BW46+LF!EE46+LF!GA46</f>
        <v>0</v>
      </c>
      <c r="H46" s="120">
        <f>LF!AO46+LF!CW46</f>
        <v>1539</v>
      </c>
      <c r="I46" s="113">
        <f>LF!AM46+LF!CU46</f>
        <v>0</v>
      </c>
      <c r="J46" s="120">
        <f>LF!BA46+LF!DI46+LF!FE46+LF!HA46</f>
        <v>3323</v>
      </c>
      <c r="K46" s="113">
        <f>LF!AY46+LF!DG46+LF!FC46+LF!GY46</f>
        <v>0</v>
      </c>
    </row>
    <row r="47" spans="1:11" ht="19.5" thickBot="1" x14ac:dyDescent="0.3">
      <c r="A47" s="480"/>
      <c r="B47" s="141">
        <f t="shared" si="5"/>
        <v>44975</v>
      </c>
      <c r="C47" s="142">
        <f>LF!HM47</f>
        <v>12440</v>
      </c>
      <c r="D47" s="143">
        <f>LF!E47+LF!AC47+LF!BM47+LF!CK47+LF!DU47+LF!ES47+LF!FQ47+LF!GO47</f>
        <v>4265</v>
      </c>
      <c r="E47" s="114">
        <f>LF!C47+LF!AA47+LF!BK47+LF!CI47+LF!DS47+LF!EQ47+LF!FO47+LF!GM47</f>
        <v>2</v>
      </c>
      <c r="F47" s="121">
        <f>LF!Q47+LF!BY47+LF!EG47+LF!GC47</f>
        <v>3313</v>
      </c>
      <c r="G47" s="114">
        <f>LF!O47+LF!BW47+LF!EE47+LF!GA47</f>
        <v>2</v>
      </c>
      <c r="H47" s="121">
        <f>LF!AO47+LF!CW47</f>
        <v>1539</v>
      </c>
      <c r="I47" s="114">
        <f>LF!AM47+LF!CU47</f>
        <v>0</v>
      </c>
      <c r="J47" s="121">
        <f>LF!BA47+LF!DI47+LF!FE47+LF!HA47</f>
        <v>3323</v>
      </c>
      <c r="K47" s="114">
        <f>LF!AY47+LF!DG47+LF!FC47+LF!GY47</f>
        <v>0</v>
      </c>
    </row>
    <row r="48" spans="1:11" ht="19.5" thickBot="1" x14ac:dyDescent="0.3">
      <c r="A48" s="481"/>
      <c r="B48" s="2"/>
      <c r="C48" s="140"/>
      <c r="D48" s="144"/>
      <c r="E48" s="115">
        <f t="shared" ref="E48" si="6">SUM(E41:E47)</f>
        <v>8</v>
      </c>
      <c r="F48" s="116"/>
      <c r="G48" s="115">
        <f t="shared" ref="G48" si="7">SUM(G41:G47)</f>
        <v>7</v>
      </c>
      <c r="H48" s="116"/>
      <c r="I48" s="115">
        <f t="shared" ref="I48" si="8">SUM(I41:I47)</f>
        <v>1</v>
      </c>
      <c r="J48" s="116"/>
      <c r="K48" s="115">
        <f t="shared" ref="K48" si="9">SUM(K41:K47)</f>
        <v>1</v>
      </c>
    </row>
    <row r="49" spans="1:11" ht="19.5" thickBot="1" x14ac:dyDescent="0.3">
      <c r="A49" s="82"/>
      <c r="B49" s="139"/>
      <c r="C49" s="108"/>
      <c r="D49" s="109"/>
      <c r="E49" s="109"/>
      <c r="F49" s="109"/>
      <c r="G49" s="109"/>
      <c r="H49" s="109"/>
      <c r="I49" s="109"/>
      <c r="J49" s="109"/>
      <c r="K49" s="109"/>
    </row>
    <row r="50" spans="1:11" ht="18.75" x14ac:dyDescent="0.25">
      <c r="A50" s="479">
        <v>30</v>
      </c>
      <c r="B50" s="110">
        <f t="shared" ref="B50" si="10">+B47+1</f>
        <v>44976</v>
      </c>
      <c r="C50" s="117">
        <f>LF!HM50</f>
        <v>12437</v>
      </c>
      <c r="D50" s="119">
        <f>LF!E50+LF!AC50+LF!BM50+LF!CK50+LF!DU50+LF!ES50+LF!FQ50+LF!GO50</f>
        <v>4262</v>
      </c>
      <c r="E50" s="112">
        <f>LF!C50+LF!AA50+LF!BK50+LF!CI50+LF!DS50+LF!EQ50+LF!FO50+LF!GM50</f>
        <v>3</v>
      </c>
      <c r="F50" s="119">
        <f>LF!Q50+LF!BY50+LF!EG50+LF!GC50</f>
        <v>3313</v>
      </c>
      <c r="G50" s="112">
        <f>LF!O50+LF!BW50+LF!EE50+LF!GA50</f>
        <v>0</v>
      </c>
      <c r="H50" s="119">
        <f>LF!AO50+LF!CW50</f>
        <v>1539</v>
      </c>
      <c r="I50" s="112">
        <f>LF!AM50+LF!CU50</f>
        <v>0</v>
      </c>
      <c r="J50" s="119">
        <f>LF!BA50+LF!DI50+LF!FE50+LF!HA50</f>
        <v>3323</v>
      </c>
      <c r="K50" s="112">
        <f>LF!AY50+LF!DG50+LF!FC50+LF!GY50</f>
        <v>0</v>
      </c>
    </row>
    <row r="51" spans="1:11" ht="18.75" x14ac:dyDescent="0.25">
      <c r="A51" s="480"/>
      <c r="B51" s="111">
        <f t="shared" si="5"/>
        <v>44977</v>
      </c>
      <c r="C51" s="118">
        <f>LF!HM51</f>
        <v>12436</v>
      </c>
      <c r="D51" s="120">
        <f>LF!E51+LF!AC51+LF!BM51+LF!CK51+LF!DU51+LF!ES51+LF!FQ51+LF!GO51</f>
        <v>4262</v>
      </c>
      <c r="E51" s="113">
        <f>LF!C51+LF!AA51+LF!BK51+LF!CI51+LF!DS51+LF!EQ51+LF!FO51+LF!GM51</f>
        <v>0</v>
      </c>
      <c r="F51" s="120">
        <f>LF!Q51+LF!BY51+LF!EG51+LF!GC51</f>
        <v>3312</v>
      </c>
      <c r="G51" s="113">
        <f>LF!O51+LF!BW51+LF!EE51+LF!GA51</f>
        <v>1</v>
      </c>
      <c r="H51" s="120">
        <f>LF!AO51+LF!CW51</f>
        <v>1539</v>
      </c>
      <c r="I51" s="113">
        <f>LF!AM51+LF!CU51</f>
        <v>0</v>
      </c>
      <c r="J51" s="120">
        <f>LF!BA51+LF!DI51+LF!FE51+LF!HA51</f>
        <v>3323</v>
      </c>
      <c r="K51" s="113">
        <f>LF!AY51+LF!DG51+LF!FC51+LF!GY51</f>
        <v>0</v>
      </c>
    </row>
    <row r="52" spans="1:11" ht="18.75" x14ac:dyDescent="0.25">
      <c r="A52" s="480"/>
      <c r="B52" s="111">
        <f t="shared" si="5"/>
        <v>44978</v>
      </c>
      <c r="C52" s="118">
        <f>LF!HM52</f>
        <v>12435</v>
      </c>
      <c r="D52" s="120">
        <f>LF!E52+LF!AC52+LF!BM52+LF!CK52+LF!DU52+LF!ES52+LF!FQ52+LF!GO52</f>
        <v>4262</v>
      </c>
      <c r="E52" s="113">
        <f>LF!C52+LF!AA52+LF!BK52+LF!CI52+LF!DS52+LF!EQ52+LF!FO52+LF!GM52</f>
        <v>0</v>
      </c>
      <c r="F52" s="120">
        <f>LF!Q52+LF!BY52+LF!EG52+LF!GC52</f>
        <v>3311</v>
      </c>
      <c r="G52" s="113">
        <f>LF!O52+LF!BW52+LF!EE52+LF!GA52</f>
        <v>1</v>
      </c>
      <c r="H52" s="120">
        <f>LF!AO52+LF!CW52</f>
        <v>1539</v>
      </c>
      <c r="I52" s="113">
        <f>LF!AM52+LF!CU52</f>
        <v>0</v>
      </c>
      <c r="J52" s="120">
        <f>LF!BA52+LF!DI52+LF!FE52+LF!HA52</f>
        <v>3323</v>
      </c>
      <c r="K52" s="113">
        <f>LF!AY52+LF!DG52+LF!FC52+LF!GY52</f>
        <v>0</v>
      </c>
    </row>
    <row r="53" spans="1:11" ht="18.75" x14ac:dyDescent="0.25">
      <c r="A53" s="480"/>
      <c r="B53" s="111">
        <f t="shared" si="5"/>
        <v>44979</v>
      </c>
      <c r="C53" s="118">
        <f>LF!HM53</f>
        <v>12434</v>
      </c>
      <c r="D53" s="120">
        <f>LF!E53+LF!AC53+LF!BM53+LF!CK53+LF!DU53+LF!ES53+LF!FQ53+LF!GO53</f>
        <v>4261</v>
      </c>
      <c r="E53" s="113">
        <f>LF!C53+LF!AA53+LF!BK53+LF!CI53+LF!DS53+LF!EQ53+LF!FO53+LF!GM53</f>
        <v>1</v>
      </c>
      <c r="F53" s="120">
        <f>LF!Q53+LF!BY53+LF!EG53+LF!GC53</f>
        <v>3311</v>
      </c>
      <c r="G53" s="113">
        <f>LF!O53+LF!BW53+LF!EE53+LF!GA53</f>
        <v>0</v>
      </c>
      <c r="H53" s="120">
        <f>LF!AO53+LF!CW53</f>
        <v>1539</v>
      </c>
      <c r="I53" s="113">
        <f>LF!AM53+LF!CU53</f>
        <v>0</v>
      </c>
      <c r="J53" s="120">
        <f>LF!BA53+LF!DI53+LF!FE53+LF!HA53</f>
        <v>3323</v>
      </c>
      <c r="K53" s="113">
        <f>LF!AY53+LF!DG53+LF!FC53+LF!GY53</f>
        <v>0</v>
      </c>
    </row>
    <row r="54" spans="1:11" ht="18.75" x14ac:dyDescent="0.25">
      <c r="A54" s="480"/>
      <c r="B54" s="111">
        <f t="shared" si="5"/>
        <v>44980</v>
      </c>
      <c r="C54" s="118">
        <f>LF!HM54</f>
        <v>12429</v>
      </c>
      <c r="D54" s="120">
        <f>LF!E54+LF!AC54+LF!BM54+LF!CK54+LF!DU54+LF!ES54+LF!FQ54+LF!GO54</f>
        <v>4258</v>
      </c>
      <c r="E54" s="113">
        <f>LF!C54+LF!AA54+LF!BK54+LF!CI54+LF!DS54+LF!EQ54+LF!FO54+LF!GM54</f>
        <v>3</v>
      </c>
      <c r="F54" s="120">
        <f>LF!Q54+LF!BY54+LF!EG54+LF!GC54</f>
        <v>3310</v>
      </c>
      <c r="G54" s="113">
        <f>LF!O54+LF!BW54+LF!EE54+LF!GA54</f>
        <v>1</v>
      </c>
      <c r="H54" s="120">
        <f>LF!AO54+LF!CW54</f>
        <v>1539</v>
      </c>
      <c r="I54" s="113">
        <f>LF!AM54+LF!CU54</f>
        <v>0</v>
      </c>
      <c r="J54" s="120">
        <f>LF!BA54+LF!DI54+LF!FE54+LF!HA54</f>
        <v>3322</v>
      </c>
      <c r="K54" s="113">
        <f>LF!AY54+LF!DG54+LF!FC54+LF!GY54</f>
        <v>1</v>
      </c>
    </row>
    <row r="55" spans="1:11" ht="18.75" x14ac:dyDescent="0.25">
      <c r="A55" s="480"/>
      <c r="B55" s="111">
        <f t="shared" si="5"/>
        <v>44981</v>
      </c>
      <c r="C55" s="118">
        <f>LF!HM55</f>
        <v>12424</v>
      </c>
      <c r="D55" s="120">
        <f>LF!E55+LF!AC55+LF!BM55+LF!CK55+LF!DU55+LF!ES55+LF!FQ55+LF!GO55</f>
        <v>4256</v>
      </c>
      <c r="E55" s="113">
        <f>LF!C55+LF!AA55+LF!BK55+LF!CI55+LF!DS55+LF!EQ55+LF!FO55+LF!GM55</f>
        <v>2</v>
      </c>
      <c r="F55" s="120">
        <f>LF!Q55+LF!BY55+LF!EG55+LF!GC55</f>
        <v>3309</v>
      </c>
      <c r="G55" s="113">
        <f>LF!O55+LF!BW55+LF!EE55+LF!GA55</f>
        <v>1</v>
      </c>
      <c r="H55" s="120">
        <f>LF!AO55+LF!CW55</f>
        <v>1538</v>
      </c>
      <c r="I55" s="113">
        <f>LF!AM55+LF!CU55</f>
        <v>1</v>
      </c>
      <c r="J55" s="120">
        <f>LF!BA55+LF!DI55+LF!FE55+LF!HA55</f>
        <v>3321</v>
      </c>
      <c r="K55" s="113">
        <f>LF!AY55+LF!DG55+LF!FC55+LF!GY55</f>
        <v>1</v>
      </c>
    </row>
    <row r="56" spans="1:11" ht="19.5" thickBot="1" x14ac:dyDescent="0.3">
      <c r="A56" s="480"/>
      <c r="B56" s="141">
        <f t="shared" si="5"/>
        <v>44982</v>
      </c>
      <c r="C56" s="142">
        <f>LF!HM56</f>
        <v>12421</v>
      </c>
      <c r="D56" s="143">
        <f>LF!E56+LF!AC56+LF!BM56+LF!CK56+LF!DU56+LF!ES56+LF!FQ56+LF!GO56</f>
        <v>4254</v>
      </c>
      <c r="E56" s="114">
        <f>LF!C56+LF!AA56+LF!BK56+LF!CI56+LF!DS56+LF!EQ56+LF!FO56+LF!GM56</f>
        <v>2</v>
      </c>
      <c r="F56" s="121">
        <f>LF!Q56+LF!BY56+LF!EG56+LF!GC56</f>
        <v>3308</v>
      </c>
      <c r="G56" s="114">
        <f>LF!O56+LF!BW56+LF!EE56+LF!GA56</f>
        <v>1</v>
      </c>
      <c r="H56" s="121">
        <f>LF!AO56+LF!CW56</f>
        <v>1538</v>
      </c>
      <c r="I56" s="114">
        <f>LF!AM56+LF!CU56</f>
        <v>0</v>
      </c>
      <c r="J56" s="121">
        <f>LF!BA56+LF!DI56+LF!FE56+LF!HA56</f>
        <v>3321</v>
      </c>
      <c r="K56" s="114">
        <f>LF!AY56+LF!DG56+LF!FC56+LF!GY56</f>
        <v>0</v>
      </c>
    </row>
    <row r="57" spans="1:11" ht="19.5" thickBot="1" x14ac:dyDescent="0.3">
      <c r="A57" s="481"/>
      <c r="B57" s="2"/>
      <c r="C57" s="140"/>
      <c r="D57" s="144"/>
      <c r="E57" s="115">
        <f t="shared" ref="E57" si="11">SUM(E50:E56)</f>
        <v>11</v>
      </c>
      <c r="F57" s="116"/>
      <c r="G57" s="115">
        <f t="shared" ref="G57" si="12">SUM(G50:G56)</f>
        <v>5</v>
      </c>
      <c r="H57" s="116"/>
      <c r="I57" s="115">
        <f t="shared" ref="I57" si="13">SUM(I50:I56)</f>
        <v>1</v>
      </c>
      <c r="J57" s="116"/>
      <c r="K57" s="115">
        <f t="shared" ref="K57" si="14">SUM(K50:K56)</f>
        <v>2</v>
      </c>
    </row>
    <row r="58" spans="1:11" ht="19.5" thickBot="1" x14ac:dyDescent="0.3">
      <c r="A58" s="82"/>
      <c r="B58" s="139"/>
      <c r="C58" s="108"/>
      <c r="D58" s="109"/>
      <c r="E58" s="109"/>
      <c r="F58" s="109"/>
      <c r="G58" s="109"/>
      <c r="H58" s="109"/>
      <c r="I58" s="109"/>
      <c r="J58" s="109"/>
      <c r="K58" s="109"/>
    </row>
    <row r="59" spans="1:11" ht="18.75" x14ac:dyDescent="0.25">
      <c r="A59" s="479">
        <v>31</v>
      </c>
      <c r="B59" s="110">
        <f t="shared" ref="B59" si="15">+B56+1</f>
        <v>44983</v>
      </c>
      <c r="C59" s="117">
        <f>LF!HM59</f>
        <v>12417</v>
      </c>
      <c r="D59" s="119">
        <f>LF!E59+LF!AC59+LF!BM59+LF!CK59+LF!DU59+LF!ES59+LF!FQ59+LF!GO59</f>
        <v>4250</v>
      </c>
      <c r="E59" s="112">
        <f>LF!C59+LF!AA59+LF!BK59+LF!CI59+LF!DS59+LF!EQ59+LF!FO59+LF!GM59</f>
        <v>4</v>
      </c>
      <c r="F59" s="119">
        <f>LF!Q59+LF!BY59+LF!EG59+LF!GC59</f>
        <v>3308</v>
      </c>
      <c r="G59" s="112">
        <f>LF!O59+LF!BW59+LF!EE59+LF!GA59</f>
        <v>0</v>
      </c>
      <c r="H59" s="119">
        <f>LF!AO59+LF!CW59</f>
        <v>1538</v>
      </c>
      <c r="I59" s="112">
        <f>LF!AM59+LF!CU59</f>
        <v>0</v>
      </c>
      <c r="J59" s="119">
        <f>LF!BA59+LF!DI59+LF!FE59+LF!HA59</f>
        <v>3321</v>
      </c>
      <c r="K59" s="112">
        <f>LF!AY59+LF!DG59+LF!FC59+LF!GY59</f>
        <v>0</v>
      </c>
    </row>
    <row r="60" spans="1:11" ht="18.75" x14ac:dyDescent="0.25">
      <c r="A60" s="480"/>
      <c r="B60" s="111">
        <f t="shared" si="5"/>
        <v>44984</v>
      </c>
      <c r="C60" s="118">
        <f>LF!HM60</f>
        <v>12408</v>
      </c>
      <c r="D60" s="120">
        <f>LF!E60+LF!AC60+LF!BM60+LF!CK60+LF!DU60+LF!ES60+LF!FQ60+LF!GO60</f>
        <v>4242</v>
      </c>
      <c r="E60" s="113">
        <f>LF!C60+LF!AA60+LF!BK60+LF!CI60+LF!DS60+LF!EQ60+LF!FO60+LF!GM60</f>
        <v>8</v>
      </c>
      <c r="F60" s="120">
        <f>LF!Q60+LF!BY60+LF!EG60+LF!GC60</f>
        <v>3307</v>
      </c>
      <c r="G60" s="113">
        <f>LF!O60+LF!BW60+LF!EE60+LF!GA60</f>
        <v>1</v>
      </c>
      <c r="H60" s="120">
        <f>LF!AO60+LF!CW60</f>
        <v>1538</v>
      </c>
      <c r="I60" s="113">
        <f>LF!AM60+LF!CU60</f>
        <v>0</v>
      </c>
      <c r="J60" s="120">
        <f>LF!BA60+LF!DI60+LF!FE60+LF!HA60</f>
        <v>3321</v>
      </c>
      <c r="K60" s="113">
        <f>LF!AY60+LF!DG60+LF!FC60+LF!GY60</f>
        <v>0</v>
      </c>
    </row>
    <row r="61" spans="1:11" ht="18.75" x14ac:dyDescent="0.25">
      <c r="A61" s="480"/>
      <c r="B61" s="111">
        <f t="shared" si="5"/>
        <v>44985</v>
      </c>
      <c r="C61" s="118">
        <f>LF!HM61</f>
        <v>12406</v>
      </c>
      <c r="D61" s="120">
        <f>LF!E61+LF!AC61+LF!BM61+LF!CK61+LF!DU61+LF!ES61+LF!FQ61+LF!GO61</f>
        <v>4241</v>
      </c>
      <c r="E61" s="113">
        <f>LF!C61+LF!AA61+LF!BK61+LF!CI61+LF!DS61+LF!EQ61+LF!FO61+LF!GM61</f>
        <v>1</v>
      </c>
      <c r="F61" s="120">
        <f>LF!Q61+LF!BY61+LF!EG61+LF!GC61</f>
        <v>3306</v>
      </c>
      <c r="G61" s="113">
        <f>LF!O61+LF!BW61+LF!EE61+LF!GA61</f>
        <v>1</v>
      </c>
      <c r="H61" s="120">
        <f>LF!AO61+LF!CW61</f>
        <v>1538</v>
      </c>
      <c r="I61" s="113">
        <f>LF!AM61+LF!CU61</f>
        <v>0</v>
      </c>
      <c r="J61" s="120">
        <f>LF!BA61+LF!DI61+LF!FE61+LF!HA61</f>
        <v>3321</v>
      </c>
      <c r="K61" s="113">
        <f>LF!AY61+LF!DG61+LF!FC61+LF!GY61</f>
        <v>0</v>
      </c>
    </row>
    <row r="62" spans="1:11" ht="18.75" x14ac:dyDescent="0.25">
      <c r="A62" s="480"/>
      <c r="B62" s="111">
        <f t="shared" si="5"/>
        <v>44986</v>
      </c>
      <c r="C62" s="118">
        <f>LF!HM62</f>
        <v>12403</v>
      </c>
      <c r="D62" s="120">
        <f>LF!E62+LF!AC62+LF!BM62+LF!CK62+LF!DU62+LF!ES62+LF!FQ62+LF!GO62</f>
        <v>4240</v>
      </c>
      <c r="E62" s="113">
        <f>LF!C62+LF!AA62+LF!BK62+LF!CI62+LF!DS62+LF!EQ62+LF!FO62+LF!GM62</f>
        <v>1</v>
      </c>
      <c r="F62" s="120">
        <f>LF!Q62+LF!BY62+LF!EG62+LF!GC62</f>
        <v>3305</v>
      </c>
      <c r="G62" s="113">
        <f>LF!O62+LF!BW62+LF!EE62+LF!GA62</f>
        <v>1</v>
      </c>
      <c r="H62" s="120">
        <f>LF!AO62+LF!CW62</f>
        <v>1537</v>
      </c>
      <c r="I62" s="113">
        <f>LF!AM62+LF!CU62</f>
        <v>1</v>
      </c>
      <c r="J62" s="120">
        <f>LF!BA62+LF!DI62+LF!FE62+LF!HA62</f>
        <v>3321</v>
      </c>
      <c r="K62" s="113">
        <f>LF!AY62+LF!DG62+LF!FC62+LF!GY62</f>
        <v>0</v>
      </c>
    </row>
    <row r="63" spans="1:11" ht="18.75" x14ac:dyDescent="0.25">
      <c r="A63" s="480"/>
      <c r="B63" s="111">
        <f t="shared" si="5"/>
        <v>44987</v>
      </c>
      <c r="C63" s="118">
        <f>LF!HM63</f>
        <v>12400</v>
      </c>
      <c r="D63" s="120">
        <f>LF!E63+LF!AC63+LF!BM63+LF!CK63+LF!DU63+LF!ES63+LF!FQ63+LF!GO63</f>
        <v>4239</v>
      </c>
      <c r="E63" s="113">
        <f>LF!C63+LF!AA63+LF!BK63+LF!CI63+LF!DS63+LF!EQ63+LF!FO63+LF!GM63</f>
        <v>1</v>
      </c>
      <c r="F63" s="120">
        <f>LF!Q63+LF!BY63+LF!EG63+LF!GC63</f>
        <v>3304</v>
      </c>
      <c r="G63" s="113">
        <f>LF!O63+LF!BW63+LF!EE63+LF!GA63</f>
        <v>1</v>
      </c>
      <c r="H63" s="120">
        <f>LF!AO63+LF!CW63</f>
        <v>1537</v>
      </c>
      <c r="I63" s="113">
        <f>LF!AM63+LF!CU63</f>
        <v>0</v>
      </c>
      <c r="J63" s="120">
        <f>LF!BA63+LF!DI63+LF!FE63+LF!HA63</f>
        <v>3320</v>
      </c>
      <c r="K63" s="113">
        <f>LF!AY63+LF!DG63+LF!FC63+LF!GY63</f>
        <v>1</v>
      </c>
    </row>
    <row r="64" spans="1:11" ht="18.75" x14ac:dyDescent="0.25">
      <c r="A64" s="480"/>
      <c r="B64" s="111">
        <f t="shared" si="5"/>
        <v>44988</v>
      </c>
      <c r="C64" s="118">
        <f>LF!HM64</f>
        <v>12395</v>
      </c>
      <c r="D64" s="120">
        <f>LF!E64+LF!AC64+LF!BM64+LF!CK64+LF!DU64+LF!ES64+LF!FQ64+LF!GO64</f>
        <v>4235</v>
      </c>
      <c r="E64" s="113">
        <f>LF!C64+LF!AA64+LF!BK64+LF!CI64+LF!DS64+LF!EQ64+LF!FO64+LF!GM64</f>
        <v>4</v>
      </c>
      <c r="F64" s="120">
        <f>LF!Q64+LF!BY64+LF!EG64+LF!GC64</f>
        <v>3303</v>
      </c>
      <c r="G64" s="113">
        <f>LF!O64+LF!BW64+LF!EE64+LF!GA64</f>
        <v>1</v>
      </c>
      <c r="H64" s="120">
        <f>LF!AO64+LF!CW64</f>
        <v>1537</v>
      </c>
      <c r="I64" s="113">
        <f>LF!AM64+LF!CU64</f>
        <v>0</v>
      </c>
      <c r="J64" s="120">
        <f>LF!BA64+LF!DI64+LF!FE64+LF!HA64</f>
        <v>3320</v>
      </c>
      <c r="K64" s="113">
        <f>LF!AY64+LF!DG64+LF!FC64+LF!GY64</f>
        <v>0</v>
      </c>
    </row>
    <row r="65" spans="1:11" ht="19.5" thickBot="1" x14ac:dyDescent="0.3">
      <c r="A65" s="480"/>
      <c r="B65" s="141">
        <f t="shared" si="5"/>
        <v>44989</v>
      </c>
      <c r="C65" s="142">
        <f>LF!HM65</f>
        <v>12392</v>
      </c>
      <c r="D65" s="143">
        <f>LF!E65+LF!AC65+LF!BM65+LF!CK65+LF!DU65+LF!ES65+LF!FQ65+LF!GO65</f>
        <v>4233</v>
      </c>
      <c r="E65" s="114">
        <f>LF!C65+LF!AA65+LF!BK65+LF!CI65+LF!DS65+LF!EQ65+LF!FO65+LF!GM65</f>
        <v>2</v>
      </c>
      <c r="F65" s="121">
        <f>LF!Q65+LF!BY65+LF!EG65+LF!GC65</f>
        <v>3302</v>
      </c>
      <c r="G65" s="114">
        <f>LF!O65+LF!BW65+LF!EE65+LF!GA65</f>
        <v>1</v>
      </c>
      <c r="H65" s="121">
        <f>LF!AO65+LF!CW65</f>
        <v>1537</v>
      </c>
      <c r="I65" s="114">
        <f>LF!AM65+LF!CU65</f>
        <v>0</v>
      </c>
      <c r="J65" s="121">
        <f>LF!BA65+LF!DI65+LF!FE65+LF!HA65</f>
        <v>3320</v>
      </c>
      <c r="K65" s="114">
        <f>LF!AY65+LF!DG65+LF!FC65+LF!GY65</f>
        <v>0</v>
      </c>
    </row>
    <row r="66" spans="1:11" ht="19.5" thickBot="1" x14ac:dyDescent="0.3">
      <c r="A66" s="481"/>
      <c r="B66" s="2"/>
      <c r="C66" s="140"/>
      <c r="D66" s="144"/>
      <c r="E66" s="115">
        <f t="shared" ref="E66" si="16">SUM(E59:E65)</f>
        <v>21</v>
      </c>
      <c r="F66" s="116"/>
      <c r="G66" s="115">
        <f t="shared" ref="G66" si="17">SUM(G59:G65)</f>
        <v>6</v>
      </c>
      <c r="H66" s="116"/>
      <c r="I66" s="115">
        <f t="shared" ref="I66" si="18">SUM(I59:I65)</f>
        <v>1</v>
      </c>
      <c r="J66" s="116"/>
      <c r="K66" s="115">
        <f t="shared" ref="K66" si="19">SUM(K59:K65)</f>
        <v>1</v>
      </c>
    </row>
    <row r="67" spans="1:11" ht="19.5" thickBot="1" x14ac:dyDescent="0.3">
      <c r="A67" s="82"/>
      <c r="B67" s="139"/>
      <c r="C67" s="108"/>
      <c r="D67" s="109"/>
      <c r="E67" s="109"/>
      <c r="F67" s="109"/>
      <c r="G67" s="109"/>
      <c r="H67" s="109"/>
      <c r="I67" s="109"/>
      <c r="J67" s="109"/>
      <c r="K67" s="109"/>
    </row>
    <row r="68" spans="1:11" ht="18.75" x14ac:dyDescent="0.25">
      <c r="A68" s="479">
        <v>32</v>
      </c>
      <c r="B68" s="110">
        <f t="shared" ref="B68" si="20">+B65+1</f>
        <v>44990</v>
      </c>
      <c r="C68" s="117">
        <f>LF!HM68</f>
        <v>12389</v>
      </c>
      <c r="D68" s="119">
        <f>LF!E68+LF!AC68+LF!BM68+LF!CK68+LF!DU68+LF!ES68+LF!FQ68+LF!GO68</f>
        <v>4231</v>
      </c>
      <c r="E68" s="112">
        <f>LF!C68+LF!AA68+LF!BK68+LF!CI68+LF!DS68+LF!EQ68+LF!FO68+LF!GM68</f>
        <v>2</v>
      </c>
      <c r="F68" s="119">
        <f>LF!Q68+LF!BY68+LF!EG68+LF!GC68</f>
        <v>3301</v>
      </c>
      <c r="G68" s="112">
        <f>LF!O68+LF!BW68+LF!EE68+LF!GA68</f>
        <v>1</v>
      </c>
      <c r="H68" s="119">
        <f>LF!AO68+LF!CW68</f>
        <v>1537</v>
      </c>
      <c r="I68" s="112">
        <f>LF!AM68+LF!CU68</f>
        <v>0</v>
      </c>
      <c r="J68" s="119">
        <f>LF!BA68+LF!DI68+LF!FE68+LF!HA68</f>
        <v>3320</v>
      </c>
      <c r="K68" s="112">
        <f>LF!AY68+LF!DG68+LF!FC68+LF!GY68</f>
        <v>0</v>
      </c>
    </row>
    <row r="69" spans="1:11" ht="18.75" x14ac:dyDescent="0.25">
      <c r="A69" s="480"/>
      <c r="B69" s="111">
        <f t="shared" si="5"/>
        <v>44991</v>
      </c>
      <c r="C69" s="118">
        <f>LF!HM69</f>
        <v>12388</v>
      </c>
      <c r="D69" s="120">
        <f>LF!E69+LF!AC69+LF!BM69+LF!CK69+LF!DU69+LF!ES69+LF!FQ69+LF!GO69</f>
        <v>4230</v>
      </c>
      <c r="E69" s="113">
        <f>LF!C69+LF!AA69+LF!BK69+LF!CI69+LF!DS69+LF!EQ69+LF!FO69+LF!GM69</f>
        <v>1</v>
      </c>
      <c r="F69" s="120">
        <f>LF!Q69+LF!BY69+LF!EG69+LF!GC69</f>
        <v>3301</v>
      </c>
      <c r="G69" s="113">
        <f>LF!O69+LF!BW69+LF!EE69+LF!GA69</f>
        <v>0</v>
      </c>
      <c r="H69" s="120">
        <f>LF!AO69+LF!CW69</f>
        <v>1537</v>
      </c>
      <c r="I69" s="113">
        <f>LF!AM69+LF!CU69</f>
        <v>0</v>
      </c>
      <c r="J69" s="120">
        <f>LF!BA69+LF!DI69+LF!FE69+LF!HA69</f>
        <v>3320</v>
      </c>
      <c r="K69" s="113">
        <f>LF!AY69+LF!DG69+LF!FC69+LF!GY69</f>
        <v>0</v>
      </c>
    </row>
    <row r="70" spans="1:11" ht="18.75" x14ac:dyDescent="0.25">
      <c r="A70" s="480"/>
      <c r="B70" s="111">
        <f t="shared" si="5"/>
        <v>44992</v>
      </c>
      <c r="C70" s="118">
        <f>LF!HM70</f>
        <v>12384</v>
      </c>
      <c r="D70" s="120">
        <f>LF!E70+LF!AC70+LF!BM70+LF!CK70+LF!DU70+LF!ES70+LF!FQ70+LF!GO70</f>
        <v>4229</v>
      </c>
      <c r="E70" s="113">
        <f>LF!C70+LF!AA70+LF!BK70+LF!CI70+LF!DS70+LF!EQ70+LF!FO70+LF!GM70</f>
        <v>1</v>
      </c>
      <c r="F70" s="120">
        <f>LF!Q70+LF!BY70+LF!EG70+LF!GC70</f>
        <v>3300</v>
      </c>
      <c r="G70" s="113">
        <f>LF!O70+LF!BW70+LF!EE70+LF!GA70</f>
        <v>1</v>
      </c>
      <c r="H70" s="120">
        <f>LF!AO70+LF!CW70</f>
        <v>1537</v>
      </c>
      <c r="I70" s="113">
        <f>LF!AM70+LF!CU70</f>
        <v>0</v>
      </c>
      <c r="J70" s="120">
        <f>LF!BA70+LF!DI70+LF!FE70+LF!HA70</f>
        <v>3318</v>
      </c>
      <c r="K70" s="113">
        <f>LF!AY70+LF!DG70+LF!FC70+LF!GY70</f>
        <v>2</v>
      </c>
    </row>
    <row r="71" spans="1:11" ht="18.75" x14ac:dyDescent="0.25">
      <c r="A71" s="480"/>
      <c r="B71" s="111">
        <f t="shared" si="5"/>
        <v>44993</v>
      </c>
      <c r="C71" s="118">
        <f>LF!HM71</f>
        <v>12375</v>
      </c>
      <c r="D71" s="120">
        <f>LF!E71+LF!AC71+LF!BM71+LF!CK71+LF!DU71+LF!ES71+LF!FQ71+LF!GO71</f>
        <v>4223</v>
      </c>
      <c r="E71" s="113">
        <f>LF!C71+LF!AA71+LF!BK71+LF!CI71+LF!DS71+LF!EQ71+LF!FO71+LF!GM71</f>
        <v>6</v>
      </c>
      <c r="F71" s="120">
        <f>LF!Q71+LF!BY71+LF!EG71+LF!GC71</f>
        <v>3298</v>
      </c>
      <c r="G71" s="113">
        <f>LF!O71+LF!BW71+LF!EE71+LF!GA71</f>
        <v>2</v>
      </c>
      <c r="H71" s="120">
        <f>LF!AO71+LF!CW71</f>
        <v>1537</v>
      </c>
      <c r="I71" s="113">
        <f>LF!AM71+LF!CU71</f>
        <v>0</v>
      </c>
      <c r="J71" s="120">
        <f>LF!BA71+LF!DI71+LF!FE71+LF!HA71</f>
        <v>3317</v>
      </c>
      <c r="K71" s="113">
        <f>LF!AY71+LF!DG71+LF!FC71+LF!GY71</f>
        <v>1</v>
      </c>
    </row>
    <row r="72" spans="1:11" ht="18.75" x14ac:dyDescent="0.25">
      <c r="A72" s="480"/>
      <c r="B72" s="111">
        <f t="shared" si="5"/>
        <v>44994</v>
      </c>
      <c r="C72" s="118">
        <f>LF!HM72</f>
        <v>12373</v>
      </c>
      <c r="D72" s="120">
        <f>LF!E72+LF!AC72+LF!BM72+LF!CK72+LF!DU72+LF!ES72+LF!FQ72+LF!GO72</f>
        <v>4221</v>
      </c>
      <c r="E72" s="113">
        <f>LF!C72+LF!AA72+LF!BK72+LF!CI72+LF!DS72+LF!EQ72+LF!FO72+LF!GM72</f>
        <v>2</v>
      </c>
      <c r="F72" s="120">
        <f>LF!Q72+LF!BY72+LF!EG72+LF!GC72</f>
        <v>3298</v>
      </c>
      <c r="G72" s="113">
        <f>LF!O72+LF!BW72+LF!EE72+LF!GA72</f>
        <v>0</v>
      </c>
      <c r="H72" s="120">
        <f>LF!AO72+LF!CW72</f>
        <v>1537</v>
      </c>
      <c r="I72" s="113">
        <f>LF!AM72+LF!CU72</f>
        <v>0</v>
      </c>
      <c r="J72" s="120">
        <f>LF!BA72+LF!DI72+LF!FE72+LF!HA72</f>
        <v>3317</v>
      </c>
      <c r="K72" s="113">
        <f>LF!AY72+LF!DG72+LF!FC72+LF!GY72</f>
        <v>0</v>
      </c>
    </row>
    <row r="73" spans="1:11" ht="18.75" x14ac:dyDescent="0.25">
      <c r="A73" s="480"/>
      <c r="B73" s="111">
        <f t="shared" si="5"/>
        <v>44995</v>
      </c>
      <c r="C73" s="118">
        <f>LF!HM73</f>
        <v>12370</v>
      </c>
      <c r="D73" s="120">
        <f>LF!E73+LF!AC73+LF!BM73+LF!CK73+LF!DU73+LF!ES73+LF!FQ73+LF!GO73</f>
        <v>4220</v>
      </c>
      <c r="E73" s="113">
        <f>LF!C73+LF!AA73+LF!BK73+LF!CI73+LF!DS73+LF!EQ73+LF!FO73+LF!GM73</f>
        <v>1</v>
      </c>
      <c r="F73" s="120">
        <f>LF!Q73+LF!BY73+LF!EG73+LF!GC73</f>
        <v>3298</v>
      </c>
      <c r="G73" s="113">
        <f>LF!O73+LF!BW73+LF!EE73+LF!GA73</f>
        <v>0</v>
      </c>
      <c r="H73" s="120">
        <f>LF!AO73+LF!CW73</f>
        <v>1536</v>
      </c>
      <c r="I73" s="113">
        <f>LF!AM73+LF!CU73</f>
        <v>1</v>
      </c>
      <c r="J73" s="120">
        <f>LF!BA73+LF!DI73+LF!FE73+LF!HA73</f>
        <v>3316</v>
      </c>
      <c r="K73" s="113">
        <f>LF!AY73+LF!DG73+LF!FC73+LF!GY73</f>
        <v>1</v>
      </c>
    </row>
    <row r="74" spans="1:11" ht="19.5" thickBot="1" x14ac:dyDescent="0.3">
      <c r="A74" s="480"/>
      <c r="B74" s="141">
        <f t="shared" si="5"/>
        <v>44996</v>
      </c>
      <c r="C74" s="142">
        <f>LF!HM74</f>
        <v>12368</v>
      </c>
      <c r="D74" s="143">
        <f>LF!E74+LF!AC74+LF!BM74+LF!CK74+LF!DU74+LF!ES74+LF!FQ74+LF!GO74</f>
        <v>4218</v>
      </c>
      <c r="E74" s="114">
        <f>LF!C74+LF!AA74+LF!BK74+LF!CI74+LF!DS74+LF!EQ74+LF!FO74+LF!GM74</f>
        <v>2</v>
      </c>
      <c r="F74" s="121">
        <f>LF!Q74+LF!BY74+LF!EG74+LF!GC74</f>
        <v>3298</v>
      </c>
      <c r="G74" s="114">
        <f>LF!O74+LF!BW74+LF!EE74+LF!GA74</f>
        <v>0</v>
      </c>
      <c r="H74" s="121">
        <f>LF!AO74+LF!CW74</f>
        <v>1536</v>
      </c>
      <c r="I74" s="114">
        <f>LF!AM74+LF!CU74</f>
        <v>0</v>
      </c>
      <c r="J74" s="121">
        <f>LF!BA74+LF!DI74+LF!FE74+LF!HA74</f>
        <v>3316</v>
      </c>
      <c r="K74" s="114">
        <f>LF!AY74+LF!DG74+LF!FC74+LF!GY74</f>
        <v>0</v>
      </c>
    </row>
    <row r="75" spans="1:11" ht="19.5" thickBot="1" x14ac:dyDescent="0.3">
      <c r="A75" s="481"/>
      <c r="B75" s="2"/>
      <c r="C75" s="140"/>
      <c r="D75" s="144"/>
      <c r="E75" s="115">
        <f t="shared" ref="E75" si="21">SUM(E68:E74)</f>
        <v>15</v>
      </c>
      <c r="F75" s="116"/>
      <c r="G75" s="115">
        <f t="shared" ref="G75" si="22">SUM(G68:G74)</f>
        <v>4</v>
      </c>
      <c r="H75" s="116"/>
      <c r="I75" s="115">
        <f t="shared" ref="I75" si="23">SUM(I68:I74)</f>
        <v>1</v>
      </c>
      <c r="J75" s="116"/>
      <c r="K75" s="115">
        <f t="shared" ref="K75" si="24">SUM(K68:K74)</f>
        <v>4</v>
      </c>
    </row>
    <row r="76" spans="1:11" ht="19.5" thickBot="1" x14ac:dyDescent="0.3">
      <c r="A76" s="82"/>
      <c r="B76" s="139"/>
      <c r="C76" s="108"/>
      <c r="D76" s="109"/>
      <c r="E76" s="109"/>
      <c r="F76" s="109"/>
      <c r="G76" s="109"/>
      <c r="H76" s="109"/>
      <c r="I76" s="109"/>
      <c r="J76" s="109"/>
      <c r="K76" s="109"/>
    </row>
    <row r="77" spans="1:11" ht="18.75" x14ac:dyDescent="0.25">
      <c r="A77" s="479">
        <v>33</v>
      </c>
      <c r="B77" s="110">
        <f t="shared" ref="B77" si="25">+B74+1</f>
        <v>44997</v>
      </c>
      <c r="C77" s="117">
        <f>LF!HM77</f>
        <v>12365</v>
      </c>
      <c r="D77" s="119">
        <f>LF!E77+LF!AC77+LF!BM77+LF!CK77+LF!DU77+LF!ES77+LF!FQ77+LF!GO77</f>
        <v>4215</v>
      </c>
      <c r="E77" s="112">
        <f>LF!C77+LF!AA77+LF!BK77+LF!CI77+LF!DS77+LF!EQ77+LF!FO77+LF!GM77</f>
        <v>3</v>
      </c>
      <c r="F77" s="119">
        <f>LF!Q77+LF!BY77+LF!EG77+LF!GC77</f>
        <v>3298</v>
      </c>
      <c r="G77" s="112">
        <f>LF!O77+LF!BW77+LF!EE77+LF!GA77</f>
        <v>0</v>
      </c>
      <c r="H77" s="119">
        <f>LF!AO77+LF!CW77</f>
        <v>1536</v>
      </c>
      <c r="I77" s="112">
        <f>LF!AM77+LF!CU77</f>
        <v>0</v>
      </c>
      <c r="J77" s="119">
        <f>LF!BA77+LF!DI77+LF!FE77+LF!HA77</f>
        <v>3316</v>
      </c>
      <c r="K77" s="112">
        <f>LF!AY77+LF!DG77+LF!FC77+LF!GY77</f>
        <v>0</v>
      </c>
    </row>
    <row r="78" spans="1:11" ht="18.75" x14ac:dyDescent="0.25">
      <c r="A78" s="480"/>
      <c r="B78" s="111">
        <f t="shared" si="5"/>
        <v>44998</v>
      </c>
      <c r="C78" s="118">
        <f>LF!HM78</f>
        <v>12359</v>
      </c>
      <c r="D78" s="120">
        <f>LF!E78+LF!AC78+LF!BM78+LF!CK78+LF!DU78+LF!ES78+LF!FQ78+LF!GO78</f>
        <v>4212</v>
      </c>
      <c r="E78" s="113">
        <f>LF!C78+LF!AA78+LF!BK78+LF!CI78+LF!DS78+LF!EQ78+LF!FO78+LF!GM78</f>
        <v>3</v>
      </c>
      <c r="F78" s="120">
        <f>LF!Q78+LF!BY78+LF!EG78+LF!GC78</f>
        <v>3298</v>
      </c>
      <c r="G78" s="113">
        <f>LF!O78+LF!BW78+LF!EE78+LF!GA78</f>
        <v>0</v>
      </c>
      <c r="H78" s="120">
        <f>LF!AO78+LF!CW78</f>
        <v>1535</v>
      </c>
      <c r="I78" s="113">
        <f>LF!AM78+LF!CU78</f>
        <v>1</v>
      </c>
      <c r="J78" s="120">
        <f>LF!BA78+LF!DI78+LF!FE78+LF!HA78</f>
        <v>3314</v>
      </c>
      <c r="K78" s="113">
        <f>LF!AY78+LF!DG78+LF!FC78+LF!GY78</f>
        <v>2</v>
      </c>
    </row>
    <row r="79" spans="1:11" ht="18.75" x14ac:dyDescent="0.25">
      <c r="A79" s="480"/>
      <c r="B79" s="111">
        <f t="shared" si="5"/>
        <v>44999</v>
      </c>
      <c r="C79" s="118">
        <f>LF!HM79</f>
        <v>12357</v>
      </c>
      <c r="D79" s="120">
        <f>LF!E79+LF!AC79+LF!BM79+LF!CK79+LF!DU79+LF!ES79+LF!FQ79+LF!GO79</f>
        <v>4210</v>
      </c>
      <c r="E79" s="113">
        <f>LF!C79+LF!AA79+LF!BK79+LF!CI79+LF!DS79+LF!EQ79+LF!FO79+LF!GM79</f>
        <v>2</v>
      </c>
      <c r="F79" s="120">
        <f>LF!Q79+LF!BY79+LF!EG79+LF!GC79</f>
        <v>3298</v>
      </c>
      <c r="G79" s="113">
        <f>LF!O79+LF!BW79+LF!EE79+LF!GA79</f>
        <v>0</v>
      </c>
      <c r="H79" s="120">
        <f>LF!AO79+LF!CW79</f>
        <v>1535</v>
      </c>
      <c r="I79" s="113">
        <f>LF!AM79+LF!CU79</f>
        <v>0</v>
      </c>
      <c r="J79" s="120">
        <f>LF!BA79+LF!DI79+LF!FE79+LF!HA79</f>
        <v>3314</v>
      </c>
      <c r="K79" s="113">
        <f>LF!AY79+LF!DG79+LF!FC79+LF!GY79</f>
        <v>0</v>
      </c>
    </row>
    <row r="80" spans="1:11" ht="18.75" x14ac:dyDescent="0.25">
      <c r="A80" s="480"/>
      <c r="B80" s="111">
        <f t="shared" si="5"/>
        <v>45000</v>
      </c>
      <c r="C80" s="118">
        <f>LF!HM80</f>
        <v>12354</v>
      </c>
      <c r="D80" s="120">
        <f>LF!E80+LF!AC80+LF!BM80+LF!CK80+LF!DU80+LF!ES80+LF!FQ80+LF!GO80</f>
        <v>4208</v>
      </c>
      <c r="E80" s="113">
        <f>LF!C80+LF!AA80+LF!BK80+LF!CI80+LF!DS80+LF!EQ80+LF!FO80+LF!GM80</f>
        <v>2</v>
      </c>
      <c r="F80" s="120">
        <f>LF!Q80+LF!BY80+LF!EG80+LF!GC80</f>
        <v>3297</v>
      </c>
      <c r="G80" s="113">
        <f>LF!O80+LF!BW80+LF!EE80+LF!GA80</f>
        <v>1</v>
      </c>
      <c r="H80" s="120">
        <f>LF!AO80+LF!CW80</f>
        <v>1535</v>
      </c>
      <c r="I80" s="113">
        <f>LF!AM80+LF!CU80</f>
        <v>0</v>
      </c>
      <c r="J80" s="120">
        <f>LF!BA80+LF!DI80+LF!FE80+LF!HA80</f>
        <v>3314</v>
      </c>
      <c r="K80" s="113">
        <f>LF!AY80+LF!DG80+LF!FC80+LF!GY80</f>
        <v>0</v>
      </c>
    </row>
    <row r="81" spans="1:11" ht="18.75" x14ac:dyDescent="0.25">
      <c r="A81" s="480"/>
      <c r="B81" s="111">
        <f t="shared" si="5"/>
        <v>45001</v>
      </c>
      <c r="C81" s="118">
        <f>LF!HM81</f>
        <v>12352</v>
      </c>
      <c r="D81" s="120">
        <f>LF!E81+LF!AC81+LF!BM81+LF!CK81+LF!DU81+LF!ES81+LF!FQ81+LF!GO81</f>
        <v>4208</v>
      </c>
      <c r="E81" s="113">
        <f>LF!C81+LF!AA81+LF!BK81+LF!CI81+LF!DS81+LF!EQ81+LF!FO81+LF!GM81</f>
        <v>0</v>
      </c>
      <c r="F81" s="120">
        <f>LF!Q81+LF!BY81+LF!EG81+LF!GC81</f>
        <v>3297</v>
      </c>
      <c r="G81" s="113">
        <f>LF!O81+LF!BW81+LF!EE81+LF!GA81</f>
        <v>0</v>
      </c>
      <c r="H81" s="120">
        <f>LF!AO81+LF!CW81</f>
        <v>1534</v>
      </c>
      <c r="I81" s="113">
        <f>LF!AM81+LF!CU81</f>
        <v>1</v>
      </c>
      <c r="J81" s="120">
        <f>LF!BA81+LF!DI81+LF!FE81+LF!HA81</f>
        <v>3313</v>
      </c>
      <c r="K81" s="113">
        <f>LF!AY81+LF!DG81+LF!FC81+LF!GY81</f>
        <v>1</v>
      </c>
    </row>
    <row r="82" spans="1:11" ht="18.75" x14ac:dyDescent="0.25">
      <c r="A82" s="480"/>
      <c r="B82" s="111">
        <f t="shared" si="5"/>
        <v>45002</v>
      </c>
      <c r="C82" s="118">
        <f>LF!HM82</f>
        <v>12351</v>
      </c>
      <c r="D82" s="120">
        <f>LF!E82+LF!AC82+LF!BM82+LF!CK82+LF!DU82+LF!ES82+LF!FQ82+LF!GO82</f>
        <v>4207</v>
      </c>
      <c r="E82" s="113">
        <f>LF!C82+LF!AA82+LF!BK82+LF!CI82+LF!DS82+LF!EQ82+LF!FO82+LF!GM82</f>
        <v>1</v>
      </c>
      <c r="F82" s="120">
        <f>LF!Q82+LF!BY82+LF!EG82+LF!GC82</f>
        <v>3297</v>
      </c>
      <c r="G82" s="113">
        <f>LF!O82+LF!BW82+LF!EE82+LF!GA82</f>
        <v>0</v>
      </c>
      <c r="H82" s="120">
        <f>LF!AO82+LF!CW82</f>
        <v>1534</v>
      </c>
      <c r="I82" s="113">
        <f>LF!AM82+LF!CU82</f>
        <v>0</v>
      </c>
      <c r="J82" s="120">
        <f>LF!BA82+LF!DI82+LF!FE82+LF!HA82</f>
        <v>3313</v>
      </c>
      <c r="K82" s="113">
        <f>LF!AY82+LF!DG82+LF!FC82+LF!GY82</f>
        <v>0</v>
      </c>
    </row>
    <row r="83" spans="1:11" ht="19.5" thickBot="1" x14ac:dyDescent="0.3">
      <c r="A83" s="480"/>
      <c r="B83" s="141">
        <f t="shared" si="5"/>
        <v>45003</v>
      </c>
      <c r="C83" s="142">
        <f>LF!HM83</f>
        <v>12350</v>
      </c>
      <c r="D83" s="143">
        <f>LF!E83+LF!AC83+LF!BM83+LF!CK83+LF!DU83+LF!ES83+LF!FQ83+LF!GO83</f>
        <v>4207</v>
      </c>
      <c r="E83" s="114">
        <f>LF!C83+LF!AA83+LF!BK83+LF!CI83+LF!DS83+LF!EQ83+LF!FO83+LF!GM83</f>
        <v>0</v>
      </c>
      <c r="F83" s="121">
        <f>LF!Q83+LF!BY83+LF!EG83+LF!GC83</f>
        <v>3296</v>
      </c>
      <c r="G83" s="114">
        <f>LF!O83+LF!BW83+LF!EE83+LF!GA83</f>
        <v>1</v>
      </c>
      <c r="H83" s="121">
        <f>LF!AO83+LF!CW83</f>
        <v>1534</v>
      </c>
      <c r="I83" s="114">
        <f>LF!AM83+LF!CU83</f>
        <v>0</v>
      </c>
      <c r="J83" s="121">
        <f>LF!BA83+LF!DI83+LF!FE83+LF!HA83</f>
        <v>3313</v>
      </c>
      <c r="K83" s="114">
        <f>LF!AY83+LF!DG83+LF!FC83+LF!GY83</f>
        <v>0</v>
      </c>
    </row>
    <row r="84" spans="1:11" ht="19.5" thickBot="1" x14ac:dyDescent="0.3">
      <c r="A84" s="481"/>
      <c r="B84" s="2"/>
      <c r="C84" s="140"/>
      <c r="D84" s="144"/>
      <c r="E84" s="115">
        <f t="shared" ref="E84" si="26">SUM(E77:E83)</f>
        <v>11</v>
      </c>
      <c r="F84" s="116"/>
      <c r="G84" s="115">
        <f t="shared" ref="G84" si="27">SUM(G77:G83)</f>
        <v>2</v>
      </c>
      <c r="H84" s="116"/>
      <c r="I84" s="115">
        <f t="shared" ref="I84" si="28">SUM(I77:I83)</f>
        <v>2</v>
      </c>
      <c r="J84" s="116"/>
      <c r="K84" s="115">
        <f t="shared" ref="K84" si="29">SUM(K77:K83)</f>
        <v>3</v>
      </c>
    </row>
    <row r="85" spans="1:11" ht="19.5" thickBot="1" x14ac:dyDescent="0.3">
      <c r="A85" s="82"/>
      <c r="B85" s="139"/>
      <c r="C85" s="108"/>
      <c r="D85" s="109"/>
      <c r="E85" s="109"/>
      <c r="F85" s="109"/>
      <c r="G85" s="109"/>
      <c r="H85" s="109"/>
      <c r="I85" s="109"/>
      <c r="J85" s="109"/>
      <c r="K85" s="109"/>
    </row>
    <row r="86" spans="1:11" ht="18.75" x14ac:dyDescent="0.25">
      <c r="A86" s="479">
        <v>34</v>
      </c>
      <c r="B86" s="110">
        <f t="shared" ref="B86" si="30">+B83+1</f>
        <v>45004</v>
      </c>
      <c r="C86" s="117">
        <f>LF!HM86</f>
        <v>12349</v>
      </c>
      <c r="D86" s="119">
        <f>LF!E86+LF!AC86+LF!BM86+LF!CK86+LF!DU86+LF!ES86+LF!FQ86+LF!GO86</f>
        <v>4206</v>
      </c>
      <c r="E86" s="112">
        <f>LF!C86+LF!AA86+LF!BK86+LF!CI86+LF!DS86+LF!EQ86+LF!FO86+LF!GM86</f>
        <v>1</v>
      </c>
      <c r="F86" s="119">
        <f>LF!Q86+LF!BY86+LF!EG86+LF!GC86</f>
        <v>3296</v>
      </c>
      <c r="G86" s="112">
        <f>LF!O86+LF!BW86+LF!EE86+LF!GA86</f>
        <v>0</v>
      </c>
      <c r="H86" s="119">
        <f>LF!AO86+LF!CW86</f>
        <v>1534</v>
      </c>
      <c r="I86" s="112">
        <f>LF!AM86+LF!CU86</f>
        <v>0</v>
      </c>
      <c r="J86" s="119">
        <f>LF!BA86+LF!DI86+LF!FE86+LF!HA86</f>
        <v>3313</v>
      </c>
      <c r="K86" s="112">
        <f>LF!AY86+LF!DG86+LF!FC86+LF!GY86</f>
        <v>0</v>
      </c>
    </row>
    <row r="87" spans="1:11" ht="18.75" x14ac:dyDescent="0.25">
      <c r="A87" s="480"/>
      <c r="B87" s="111">
        <f t="shared" si="5"/>
        <v>45005</v>
      </c>
      <c r="C87" s="118">
        <f>LF!HM87</f>
        <v>12345</v>
      </c>
      <c r="D87" s="120">
        <f>LF!E87+LF!AC87+LF!BM87+LF!CK87+LF!DU87+LF!ES87+LF!FQ87+LF!GO87</f>
        <v>4204</v>
      </c>
      <c r="E87" s="113">
        <f>LF!C87+LF!AA87+LF!BK87+LF!CI87+LF!DS87+LF!EQ87+LF!FO87+LF!GM87</f>
        <v>2</v>
      </c>
      <c r="F87" s="120">
        <f>LF!Q87+LF!BY87+LF!EG87+LF!GC87</f>
        <v>3294</v>
      </c>
      <c r="G87" s="113">
        <f>LF!O87+LF!BW87+LF!EE87+LF!GA87</f>
        <v>2</v>
      </c>
      <c r="H87" s="120">
        <f>LF!AO87+LF!CW87</f>
        <v>1534</v>
      </c>
      <c r="I87" s="113">
        <f>LF!AM87+LF!CU87</f>
        <v>0</v>
      </c>
      <c r="J87" s="120">
        <f>LF!BA87+LF!DI87+LF!FE87+LF!HA87</f>
        <v>3313</v>
      </c>
      <c r="K87" s="113">
        <f>LF!AY87+LF!DG87+LF!FC87+LF!GY87</f>
        <v>0</v>
      </c>
    </row>
    <row r="88" spans="1:11" ht="18.75" x14ac:dyDescent="0.25">
      <c r="A88" s="480"/>
      <c r="B88" s="111">
        <f t="shared" si="5"/>
        <v>45006</v>
      </c>
      <c r="C88" s="118">
        <f>LF!HM88</f>
        <v>12341</v>
      </c>
      <c r="D88" s="120">
        <f>LF!E88+LF!AC88+LF!BM88+LF!CK88+LF!DU88+LF!ES88+LF!FQ88+LF!GO88</f>
        <v>4202</v>
      </c>
      <c r="E88" s="113">
        <f>LF!C88+LF!AA88+LF!BK88+LF!CI88+LF!DS88+LF!EQ88+LF!FO88+LF!GM88</f>
        <v>2</v>
      </c>
      <c r="F88" s="120">
        <f>LF!Q88+LF!BY88+LF!EG88+LF!GC88</f>
        <v>3293</v>
      </c>
      <c r="G88" s="113">
        <f>LF!O88+LF!BW88+LF!EE88+LF!GA88</f>
        <v>1</v>
      </c>
      <c r="H88" s="120">
        <f>LF!AO88+LF!CW88</f>
        <v>1533</v>
      </c>
      <c r="I88" s="113">
        <f>LF!AM88+LF!CU88</f>
        <v>1</v>
      </c>
      <c r="J88" s="120">
        <f>LF!BA88+LF!DI88+LF!FE88+LF!HA88</f>
        <v>3313</v>
      </c>
      <c r="K88" s="113">
        <f>LF!AY88+LF!DG88+LF!FC88+LF!GY88</f>
        <v>0</v>
      </c>
    </row>
    <row r="89" spans="1:11" ht="18.75" x14ac:dyDescent="0.25">
      <c r="A89" s="480"/>
      <c r="B89" s="111">
        <f t="shared" si="5"/>
        <v>45007</v>
      </c>
      <c r="C89" s="118">
        <f>LF!HM89</f>
        <v>12337</v>
      </c>
      <c r="D89" s="120">
        <f>LF!E89+LF!AC89+LF!BM89+LF!CK89+LF!DU89+LF!ES89+LF!FQ89+LF!GO89</f>
        <v>4202</v>
      </c>
      <c r="E89" s="113">
        <f>LF!C89+LF!AA89+LF!BK89+LF!CI89+LF!DS89+LF!EQ89+LF!FO89+LF!GM89</f>
        <v>0</v>
      </c>
      <c r="F89" s="120">
        <f>LF!Q89+LF!BY89+LF!EG89+LF!GC89</f>
        <v>3290</v>
      </c>
      <c r="G89" s="113">
        <f>LF!O89+LF!BW89+LF!EE89+LF!GA89</f>
        <v>3</v>
      </c>
      <c r="H89" s="120">
        <f>LF!AO89+LF!CW89</f>
        <v>1533</v>
      </c>
      <c r="I89" s="113">
        <f>LF!AM89+LF!CU89</f>
        <v>0</v>
      </c>
      <c r="J89" s="120">
        <f>LF!BA89+LF!DI89+LF!FE89+LF!HA89</f>
        <v>3312</v>
      </c>
      <c r="K89" s="113">
        <f>LF!AY89+LF!DG89+LF!FC89+LF!GY89</f>
        <v>1</v>
      </c>
    </row>
    <row r="90" spans="1:11" ht="18.75" x14ac:dyDescent="0.25">
      <c r="A90" s="480"/>
      <c r="B90" s="111">
        <f t="shared" si="5"/>
        <v>45008</v>
      </c>
      <c r="C90" s="118">
        <f>LF!HM90</f>
        <v>12333</v>
      </c>
      <c r="D90" s="120">
        <f>LF!E90+LF!AC90+LF!BM90+LF!CK90+LF!DU90+LF!ES90+LF!FQ90+LF!GO90</f>
        <v>4200</v>
      </c>
      <c r="E90" s="113">
        <f>LF!C90+LF!AA90+LF!BK90+LF!CI90+LF!DS90+LF!EQ90+LF!FO90+LF!GM90</f>
        <v>2</v>
      </c>
      <c r="F90" s="120">
        <f>LF!Q90+LF!BY90+LF!EG90+LF!GC90</f>
        <v>3289</v>
      </c>
      <c r="G90" s="113">
        <f>LF!O90+LF!BW90+LF!EE90+LF!GA90</f>
        <v>1</v>
      </c>
      <c r="H90" s="120">
        <f>LF!AO90+LF!CW90</f>
        <v>1532</v>
      </c>
      <c r="I90" s="113">
        <f>LF!AM90+LF!CU90</f>
        <v>1</v>
      </c>
      <c r="J90" s="120">
        <f>LF!BA90+LF!DI90+LF!FE90+LF!HA90</f>
        <v>3312</v>
      </c>
      <c r="K90" s="113">
        <f>LF!AY90+LF!DG90+LF!FC90+LF!GY90</f>
        <v>0</v>
      </c>
    </row>
    <row r="91" spans="1:11" ht="18.75" x14ac:dyDescent="0.25">
      <c r="A91" s="480"/>
      <c r="B91" s="111">
        <f t="shared" si="5"/>
        <v>45009</v>
      </c>
      <c r="C91" s="118">
        <f>LF!HM91</f>
        <v>12330</v>
      </c>
      <c r="D91" s="120">
        <f>LF!E91+LF!AC91+LF!BM91+LF!CK91+LF!DU91+LF!ES91+LF!FQ91+LF!GO91</f>
        <v>4198</v>
      </c>
      <c r="E91" s="113">
        <f>LF!C91+LF!AA91+LF!BK91+LF!CI91+LF!DS91+LF!EQ91+LF!FO91+LF!GM91</f>
        <v>2</v>
      </c>
      <c r="F91" s="120">
        <f>LF!Q91+LF!BY91+LF!EG91+LF!GC91</f>
        <v>3288</v>
      </c>
      <c r="G91" s="113">
        <f>LF!O91+LF!BW91+LF!EE91+LF!GA91</f>
        <v>1</v>
      </c>
      <c r="H91" s="120">
        <f>LF!AO91+LF!CW91</f>
        <v>1532</v>
      </c>
      <c r="I91" s="113">
        <f>LF!AM91+LF!CU91</f>
        <v>0</v>
      </c>
      <c r="J91" s="120">
        <f>LF!BA91+LF!DI91+LF!FE91+LF!HA91</f>
        <v>3312</v>
      </c>
      <c r="K91" s="113">
        <f>LF!AY91+LF!DG91+LF!FC91+LF!GY91</f>
        <v>0</v>
      </c>
    </row>
    <row r="92" spans="1:11" ht="19.5" thickBot="1" x14ac:dyDescent="0.3">
      <c r="A92" s="480"/>
      <c r="B92" s="141">
        <f t="shared" si="5"/>
        <v>45010</v>
      </c>
      <c r="C92" s="142">
        <f>LF!HM92</f>
        <v>12328</v>
      </c>
      <c r="D92" s="143">
        <f>LF!E92+LF!AC92+LF!BM92+LF!CK92+LF!DU92+LF!ES92+LF!FQ92+LF!GO92</f>
        <v>4196</v>
      </c>
      <c r="E92" s="114">
        <f>LF!C92+LF!AA92+LF!BK92+LF!CI92+LF!DS92+LF!EQ92+LF!FO92+LF!GM92</f>
        <v>2</v>
      </c>
      <c r="F92" s="121">
        <f>LF!Q92+LF!BY92+LF!EG92+LF!GC92</f>
        <v>3288</v>
      </c>
      <c r="G92" s="114">
        <f>LF!O92+LF!BW92+LF!EE92+LF!GA92</f>
        <v>0</v>
      </c>
      <c r="H92" s="121">
        <f>LF!AO92+LF!CW92</f>
        <v>1532</v>
      </c>
      <c r="I92" s="114">
        <f>LF!AM92+LF!CU92</f>
        <v>0</v>
      </c>
      <c r="J92" s="121">
        <f>LF!BA92+LF!DI92+LF!FE92+LF!HA92</f>
        <v>3312</v>
      </c>
      <c r="K92" s="114">
        <f>LF!AY92+LF!DG92+LF!FC92+LF!GY92</f>
        <v>0</v>
      </c>
    </row>
    <row r="93" spans="1:11" ht="19.5" thickBot="1" x14ac:dyDescent="0.3">
      <c r="A93" s="481"/>
      <c r="B93" s="2"/>
      <c r="C93" s="140"/>
      <c r="D93" s="144"/>
      <c r="E93" s="115">
        <f t="shared" ref="E93" si="31">SUM(E86:E92)</f>
        <v>11</v>
      </c>
      <c r="F93" s="116"/>
      <c r="G93" s="115">
        <f t="shared" ref="G93" si="32">SUM(G86:G92)</f>
        <v>8</v>
      </c>
      <c r="H93" s="116"/>
      <c r="I93" s="115">
        <f t="shared" ref="I93" si="33">SUM(I86:I92)</f>
        <v>2</v>
      </c>
      <c r="J93" s="116"/>
      <c r="K93" s="115">
        <f t="shared" ref="K93" si="34">SUM(K86:K92)</f>
        <v>1</v>
      </c>
    </row>
    <row r="94" spans="1:11" ht="19.5" thickBot="1" x14ac:dyDescent="0.3">
      <c r="A94" s="82"/>
      <c r="B94" s="139"/>
      <c r="C94" s="108"/>
      <c r="D94" s="109"/>
      <c r="E94" s="109"/>
      <c r="F94" s="109"/>
      <c r="G94" s="109"/>
      <c r="H94" s="109"/>
      <c r="I94" s="109"/>
      <c r="J94" s="109"/>
      <c r="K94" s="109"/>
    </row>
    <row r="95" spans="1:11" ht="18.75" x14ac:dyDescent="0.25">
      <c r="A95" s="479">
        <v>35</v>
      </c>
      <c r="B95" s="110">
        <f t="shared" ref="B95" si="35">+B92+1</f>
        <v>45011</v>
      </c>
      <c r="C95" s="117">
        <f>LF!HM95</f>
        <v>12324</v>
      </c>
      <c r="D95" s="119">
        <f>LF!E95+LF!AC95+LF!BM95+LF!CK95+LF!DU95+LF!ES95+LF!FQ95+LF!GO95</f>
        <v>4194</v>
      </c>
      <c r="E95" s="112">
        <f>LF!C95+LF!AA95+LF!BK95+LF!CI95+LF!DS95+LF!EQ95+LF!FO95+LF!GM95</f>
        <v>2</v>
      </c>
      <c r="F95" s="119">
        <f>LF!Q95+LF!BY95+LF!EG95+LF!GC95</f>
        <v>3287</v>
      </c>
      <c r="G95" s="112">
        <f>LF!O95+LF!BW95+LF!EE95+LF!GA95</f>
        <v>1</v>
      </c>
      <c r="H95" s="119">
        <f>LF!AO95+LF!CW95</f>
        <v>1532</v>
      </c>
      <c r="I95" s="112">
        <f>LF!AM95+LF!CU95</f>
        <v>0</v>
      </c>
      <c r="J95" s="119">
        <f>LF!BA95+LF!DI95+LF!FE95+LF!HA95</f>
        <v>3311</v>
      </c>
      <c r="K95" s="112">
        <f>LF!AY95+LF!DG95+LF!FC95+LF!GY95</f>
        <v>1</v>
      </c>
    </row>
    <row r="96" spans="1:11" ht="18.75" x14ac:dyDescent="0.25">
      <c r="A96" s="480"/>
      <c r="B96" s="111">
        <f t="shared" si="5"/>
        <v>45012</v>
      </c>
      <c r="C96" s="118">
        <f>LF!HM96</f>
        <v>12321</v>
      </c>
      <c r="D96" s="120">
        <f>LF!E96+LF!AC96+LF!BM96+LF!CK96+LF!DU96+LF!ES96+LF!FQ96+LF!GO96</f>
        <v>4192</v>
      </c>
      <c r="E96" s="113">
        <f>LF!C96+LF!AA96+LF!BK96+LF!CI96+LF!DS96+LF!EQ96+LF!FO96+LF!GM96</f>
        <v>2</v>
      </c>
      <c r="F96" s="120">
        <f>LF!Q96+LF!BY96+LF!EG96+LF!GC96</f>
        <v>3287</v>
      </c>
      <c r="G96" s="113">
        <f>LF!O96+LF!BW96+LF!EE96+LF!GA96</f>
        <v>0</v>
      </c>
      <c r="H96" s="120">
        <f>LF!AO96+LF!CW96</f>
        <v>1532</v>
      </c>
      <c r="I96" s="113">
        <f>LF!AM96+LF!CU96</f>
        <v>0</v>
      </c>
      <c r="J96" s="120">
        <f>LF!BA96+LF!DI96+LF!FE96+LF!HA96</f>
        <v>3310</v>
      </c>
      <c r="K96" s="113">
        <f>LF!AY96+LF!DG96+LF!FC96+LF!GY96</f>
        <v>1</v>
      </c>
    </row>
    <row r="97" spans="1:11" ht="18.75" x14ac:dyDescent="0.25">
      <c r="A97" s="480"/>
      <c r="B97" s="111">
        <f t="shared" si="5"/>
        <v>45013</v>
      </c>
      <c r="C97" s="118">
        <f>LF!HM97</f>
        <v>12319</v>
      </c>
      <c r="D97" s="120">
        <f>LF!E97+LF!AC97+LF!BM97+LF!CK97+LF!DU97+LF!ES97+LF!FQ97+LF!GO97</f>
        <v>4191</v>
      </c>
      <c r="E97" s="113">
        <f>LF!C97+LF!AA97+LF!BK97+LF!CI97+LF!DS97+LF!EQ97+LF!FO97+LF!GM97</f>
        <v>1</v>
      </c>
      <c r="F97" s="120">
        <f>LF!Q97+LF!BY97+LF!EG97+LF!GC97</f>
        <v>3287</v>
      </c>
      <c r="G97" s="113">
        <f>LF!O97+LF!BW97+LF!EE97+LF!GA97</f>
        <v>0</v>
      </c>
      <c r="H97" s="120">
        <f>LF!AO97+LF!CW97</f>
        <v>1532</v>
      </c>
      <c r="I97" s="113">
        <f>LF!AM97+LF!CU97</f>
        <v>0</v>
      </c>
      <c r="J97" s="120">
        <f>LF!BA97+LF!DI97+LF!FE97+LF!HA97</f>
        <v>3309</v>
      </c>
      <c r="K97" s="113">
        <f>LF!AY97+LF!DG97+LF!FC97+LF!GY97</f>
        <v>1</v>
      </c>
    </row>
    <row r="98" spans="1:11" ht="18.75" x14ac:dyDescent="0.25">
      <c r="A98" s="480"/>
      <c r="B98" s="111">
        <f t="shared" si="5"/>
        <v>45014</v>
      </c>
      <c r="C98" s="118">
        <f>LF!HM98</f>
        <v>12317</v>
      </c>
      <c r="D98" s="120">
        <f>LF!E98+LF!AC98+LF!BM98+LF!CK98+LF!DU98+LF!ES98+LF!FQ98+LF!GO98</f>
        <v>4190</v>
      </c>
      <c r="E98" s="113">
        <f>LF!C98+LF!AA98+LF!BK98+LF!CI98+LF!DS98+LF!EQ98+LF!FO98+LF!GM98</f>
        <v>1</v>
      </c>
      <c r="F98" s="120">
        <f>LF!Q98+LF!BY98+LF!EG98+LF!GC98</f>
        <v>3287</v>
      </c>
      <c r="G98" s="113">
        <f>LF!O98+LF!BW98+LF!EE98+LF!GA98</f>
        <v>0</v>
      </c>
      <c r="H98" s="120">
        <f>LF!AO98+LF!CW98</f>
        <v>1531</v>
      </c>
      <c r="I98" s="113">
        <f>LF!AM98+LF!CU98</f>
        <v>1</v>
      </c>
      <c r="J98" s="120">
        <f>LF!BA98+LF!DI98+LF!FE98+LF!HA98</f>
        <v>3309</v>
      </c>
      <c r="K98" s="113">
        <f>LF!AY98+LF!DG98+LF!FC98+LF!GY98</f>
        <v>0</v>
      </c>
    </row>
    <row r="99" spans="1:11" ht="18.75" x14ac:dyDescent="0.25">
      <c r="A99" s="480"/>
      <c r="B99" s="111">
        <f t="shared" si="5"/>
        <v>45015</v>
      </c>
      <c r="C99" s="118">
        <f>LF!HM99</f>
        <v>12315</v>
      </c>
      <c r="D99" s="120">
        <f>LF!E99+LF!AC99+LF!BM99+LF!CK99+LF!DU99+LF!ES99+LF!FQ99+LF!GO99</f>
        <v>4188</v>
      </c>
      <c r="E99" s="113">
        <f>LF!C99+LF!AA99+LF!BK99+LF!CI99+LF!DS99+LF!EQ99+LF!FO99+LF!GM99</f>
        <v>2</v>
      </c>
      <c r="F99" s="120">
        <f>LF!Q99+LF!BY99+LF!EG99+LF!GC99</f>
        <v>3287</v>
      </c>
      <c r="G99" s="113">
        <f>LF!O99+LF!BW99+LF!EE99+LF!GA99</f>
        <v>0</v>
      </c>
      <c r="H99" s="120">
        <f>LF!AO99+LF!CW99</f>
        <v>1531</v>
      </c>
      <c r="I99" s="113">
        <f>LF!AM99+LF!CU99</f>
        <v>0</v>
      </c>
      <c r="J99" s="120">
        <f>LF!BA99+LF!DI99+LF!FE99+LF!HA99</f>
        <v>3309</v>
      </c>
      <c r="K99" s="113">
        <f>LF!AY99+LF!DG99+LF!FC99+LF!GY99</f>
        <v>0</v>
      </c>
    </row>
    <row r="100" spans="1:11" ht="18.75" x14ac:dyDescent="0.25">
      <c r="A100" s="480"/>
      <c r="B100" s="111">
        <f t="shared" si="5"/>
        <v>45016</v>
      </c>
      <c r="C100" s="118">
        <f>LF!HM100</f>
        <v>12314</v>
      </c>
      <c r="D100" s="120">
        <f>LF!E100+LF!AC100+LF!BM100+LF!CK100+LF!DU100+LF!ES100+LF!FQ100+LF!GO100</f>
        <v>4187</v>
      </c>
      <c r="E100" s="113">
        <f>LF!C100+LF!AA100+LF!BK100+LF!CI100+LF!DS100+LF!EQ100+LF!FO100+LF!GM100</f>
        <v>1</v>
      </c>
      <c r="F100" s="120">
        <f>LF!Q100+LF!BY100+LF!EG100+LF!GC100</f>
        <v>3287</v>
      </c>
      <c r="G100" s="113">
        <f>LF!O100+LF!BW100+LF!EE100+LF!GA100</f>
        <v>0</v>
      </c>
      <c r="H100" s="120">
        <f>LF!AO100+LF!CW100</f>
        <v>1531</v>
      </c>
      <c r="I100" s="113">
        <f>LF!AM100+LF!CU100</f>
        <v>0</v>
      </c>
      <c r="J100" s="120">
        <f>LF!BA100+LF!DI100+LF!FE100+LF!HA100</f>
        <v>3309</v>
      </c>
      <c r="K100" s="113">
        <f>LF!AY100+LF!DG100+LF!FC100+LF!GY100</f>
        <v>0</v>
      </c>
    </row>
    <row r="101" spans="1:11" ht="19.5" thickBot="1" x14ac:dyDescent="0.3">
      <c r="A101" s="480"/>
      <c r="B101" s="141">
        <f t="shared" si="5"/>
        <v>45017</v>
      </c>
      <c r="C101" s="142">
        <f>LF!HM101</f>
        <v>12307</v>
      </c>
      <c r="D101" s="143">
        <f>LF!E101+LF!AC101+LF!BM101+LF!CK101+LF!DU101+LF!ES101+LF!FQ101+LF!GO101</f>
        <v>4182</v>
      </c>
      <c r="E101" s="114">
        <f>LF!C101+LF!AA101+LF!BK101+LF!CI101+LF!DS101+LF!EQ101+LF!FO101+LF!GM101</f>
        <v>5</v>
      </c>
      <c r="F101" s="121">
        <f>LF!Q101+LF!BY101+LF!EG101+LF!GC101</f>
        <v>3286</v>
      </c>
      <c r="G101" s="114">
        <f>LF!O101+LF!BW101+LF!EE101+LF!GA101</f>
        <v>1</v>
      </c>
      <c r="H101" s="121">
        <f>LF!AO101+LF!CW101</f>
        <v>1530</v>
      </c>
      <c r="I101" s="114">
        <f>LF!AM101+LF!CU101</f>
        <v>1</v>
      </c>
      <c r="J101" s="121">
        <f>LF!BA101+LF!DI101+LF!FE101+LF!HA101</f>
        <v>3309</v>
      </c>
      <c r="K101" s="114">
        <f>LF!AY101+LF!DG101+LF!FC101+LF!GY101</f>
        <v>0</v>
      </c>
    </row>
    <row r="102" spans="1:11" ht="19.5" thickBot="1" x14ac:dyDescent="0.3">
      <c r="A102" s="481"/>
      <c r="B102" s="2"/>
      <c r="C102" s="140"/>
      <c r="D102" s="144"/>
      <c r="E102" s="115">
        <f t="shared" ref="E102" si="36">SUM(E95:E101)</f>
        <v>14</v>
      </c>
      <c r="F102" s="116"/>
      <c r="G102" s="115">
        <f t="shared" ref="G102" si="37">SUM(G95:G101)</f>
        <v>2</v>
      </c>
      <c r="H102" s="116"/>
      <c r="I102" s="115">
        <f t="shared" ref="I102" si="38">SUM(I95:I101)</f>
        <v>2</v>
      </c>
      <c r="J102" s="116"/>
      <c r="K102" s="115">
        <f t="shared" ref="K102" si="39">SUM(K95:K101)</f>
        <v>3</v>
      </c>
    </row>
    <row r="103" spans="1:11" ht="19.5" thickBot="1" x14ac:dyDescent="0.3">
      <c r="A103" s="82"/>
      <c r="B103" s="139"/>
      <c r="C103" s="108"/>
      <c r="D103" s="109"/>
      <c r="E103" s="109"/>
      <c r="F103" s="109"/>
      <c r="G103" s="109"/>
      <c r="H103" s="109"/>
      <c r="I103" s="109"/>
      <c r="J103" s="109"/>
      <c r="K103" s="109"/>
    </row>
    <row r="104" spans="1:11" ht="18.75" x14ac:dyDescent="0.25">
      <c r="A104" s="479">
        <v>36</v>
      </c>
      <c r="B104" s="110">
        <f t="shared" ref="B104" si="40">+B101+1</f>
        <v>45018</v>
      </c>
      <c r="C104" s="117">
        <f>LF!HM104</f>
        <v>12304</v>
      </c>
      <c r="D104" s="119">
        <f>LF!E104+LF!AC104+LF!BM104+LF!CK104+LF!DU104+LF!ES104+LF!FQ104+LF!GO104</f>
        <v>4182</v>
      </c>
      <c r="E104" s="112">
        <f>LF!C104+LF!AA104+LF!BK104+LF!CI104+LF!DS104+LF!EQ104+LF!FO104+LF!GM104</f>
        <v>0</v>
      </c>
      <c r="F104" s="119">
        <f>LF!Q104+LF!BY104+LF!EG104+LF!GC104</f>
        <v>3284</v>
      </c>
      <c r="G104" s="112">
        <f>LF!O104+LF!BW104+LF!EE104+LF!GA104</f>
        <v>2</v>
      </c>
      <c r="H104" s="119">
        <f>LF!AO104+LF!CW104</f>
        <v>1530</v>
      </c>
      <c r="I104" s="112">
        <f>LF!AM104+LF!CU104</f>
        <v>0</v>
      </c>
      <c r="J104" s="119">
        <f>LF!BA104+LF!DI104+LF!FE104+LF!HA104</f>
        <v>3308</v>
      </c>
      <c r="K104" s="112">
        <f>LF!AY104+LF!DG104+LF!FC104+LF!GY104</f>
        <v>1</v>
      </c>
    </row>
    <row r="105" spans="1:11" ht="18.75" x14ac:dyDescent="0.25">
      <c r="A105" s="480"/>
      <c r="B105" s="111">
        <f t="shared" si="5"/>
        <v>45019</v>
      </c>
      <c r="C105" s="118">
        <f>LF!HM105</f>
        <v>12301</v>
      </c>
      <c r="D105" s="120">
        <f>LF!E105+LF!AC105+LF!BM105+LF!CK105+LF!DU105+LF!ES105+LF!FQ105+LF!GO105</f>
        <v>4180</v>
      </c>
      <c r="E105" s="113">
        <f>LF!C105+LF!AA105+LF!BK105+LF!CI105+LF!DS105+LF!EQ105+LF!FO105+LF!GM105</f>
        <v>2</v>
      </c>
      <c r="F105" s="120">
        <f>LF!Q105+LF!BY105+LF!EG105+LF!GC105</f>
        <v>3283</v>
      </c>
      <c r="G105" s="113">
        <f>LF!O105+LF!BW105+LF!EE105+LF!GA105</f>
        <v>1</v>
      </c>
      <c r="H105" s="120">
        <f>LF!AO105+LF!CW105</f>
        <v>1530</v>
      </c>
      <c r="I105" s="113">
        <f>LF!AM105+LF!CU105</f>
        <v>0</v>
      </c>
      <c r="J105" s="120">
        <f>LF!BA105+LF!DI105+LF!FE105+LF!HA105</f>
        <v>3308</v>
      </c>
      <c r="K105" s="113">
        <f>LF!AY105+LF!DG105+LF!FC105+LF!GY105</f>
        <v>0</v>
      </c>
    </row>
    <row r="106" spans="1:11" ht="18.75" x14ac:dyDescent="0.25">
      <c r="A106" s="480"/>
      <c r="B106" s="111">
        <f t="shared" ref="B106:B169" si="41">+B105+1</f>
        <v>45020</v>
      </c>
      <c r="C106" s="118">
        <f>LF!HM106</f>
        <v>12297</v>
      </c>
      <c r="D106" s="120">
        <f>LF!E106+LF!AC106+LF!BM106+LF!CK106+LF!DU106+LF!ES106+LF!FQ106+LF!GO106</f>
        <v>4180</v>
      </c>
      <c r="E106" s="113">
        <f>LF!C106+LF!AA106+LF!BK106+LF!CI106+LF!DS106+LF!EQ106+LF!FO106+LF!GM106</f>
        <v>0</v>
      </c>
      <c r="F106" s="120">
        <f>LF!Q106+LF!BY106+LF!EG106+LF!GC106</f>
        <v>3281</v>
      </c>
      <c r="G106" s="113">
        <f>LF!O106+LF!BW106+LF!EE106+LF!GA106</f>
        <v>2</v>
      </c>
      <c r="H106" s="120">
        <f>LF!AO106+LF!CW106</f>
        <v>1529</v>
      </c>
      <c r="I106" s="113">
        <f>LF!AM106+LF!CU106</f>
        <v>1</v>
      </c>
      <c r="J106" s="120">
        <f>LF!BA106+LF!DI106+LF!FE106+LF!HA106</f>
        <v>3307</v>
      </c>
      <c r="K106" s="113">
        <f>LF!AY106+LF!DG106+LF!FC106+LF!GY106</f>
        <v>1</v>
      </c>
    </row>
    <row r="107" spans="1:11" ht="18.75" x14ac:dyDescent="0.25">
      <c r="A107" s="480"/>
      <c r="B107" s="111">
        <f t="shared" si="41"/>
        <v>45021</v>
      </c>
      <c r="C107" s="118">
        <f>LF!HM107</f>
        <v>12295</v>
      </c>
      <c r="D107" s="120">
        <f>LF!E107+LF!AC107+LF!BM107+LF!CK107+LF!DU107+LF!ES107+LF!FQ107+LF!GO107</f>
        <v>4179</v>
      </c>
      <c r="E107" s="113">
        <f>LF!C107+LF!AA107+LF!BK107+LF!CI107+LF!DS107+LF!EQ107+LF!FO107+LF!GM107</f>
        <v>1</v>
      </c>
      <c r="F107" s="120">
        <f>LF!Q107+LF!BY107+LF!EG107+LF!GC107</f>
        <v>3280</v>
      </c>
      <c r="G107" s="113">
        <f>LF!O107+LF!BW107+LF!EE107+LF!GA107</f>
        <v>1</v>
      </c>
      <c r="H107" s="120">
        <f>LF!AO107+LF!CW107</f>
        <v>1529</v>
      </c>
      <c r="I107" s="113">
        <f>LF!AM107+LF!CU107</f>
        <v>0</v>
      </c>
      <c r="J107" s="120">
        <f>LF!BA107+LF!DI107+LF!FE107+LF!HA107</f>
        <v>3307</v>
      </c>
      <c r="K107" s="113">
        <f>LF!AY107+LF!DG107+LF!FC107+LF!GY107</f>
        <v>0</v>
      </c>
    </row>
    <row r="108" spans="1:11" ht="18.75" x14ac:dyDescent="0.25">
      <c r="A108" s="480"/>
      <c r="B108" s="111">
        <f t="shared" si="41"/>
        <v>45022</v>
      </c>
      <c r="C108" s="118">
        <f>LF!HM108</f>
        <v>12289</v>
      </c>
      <c r="D108" s="120">
        <f>LF!E108+LF!AC108+LF!BM108+LF!CK108+LF!DU108+LF!ES108+LF!FQ108+LF!GO108</f>
        <v>4176</v>
      </c>
      <c r="E108" s="113">
        <f>LF!C108+LF!AA108+LF!BK108+LF!CI108+LF!DS108+LF!EQ108+LF!FO108+LF!GM108</f>
        <v>3</v>
      </c>
      <c r="F108" s="120">
        <f>LF!Q108+LF!BY108+LF!EG108+LF!GC108</f>
        <v>3280</v>
      </c>
      <c r="G108" s="113">
        <f>LF!O108+LF!BW108+LF!EE108+LF!GA108</f>
        <v>0</v>
      </c>
      <c r="H108" s="120">
        <f>LF!AO108+LF!CW108</f>
        <v>1529</v>
      </c>
      <c r="I108" s="113">
        <f>LF!AM108+LF!CU108</f>
        <v>0</v>
      </c>
      <c r="J108" s="120">
        <f>LF!BA108+LF!DI108+LF!FE108+LF!HA108</f>
        <v>3304</v>
      </c>
      <c r="K108" s="113">
        <f>LF!AY108+LF!DG108+LF!FC108+LF!GY108</f>
        <v>3</v>
      </c>
    </row>
    <row r="109" spans="1:11" ht="18.75" x14ac:dyDescent="0.25">
      <c r="A109" s="480"/>
      <c r="B109" s="111">
        <f t="shared" si="41"/>
        <v>45023</v>
      </c>
      <c r="C109" s="118">
        <f>LF!HM109</f>
        <v>12284</v>
      </c>
      <c r="D109" s="120">
        <f>LF!E109+LF!AC109+LF!BM109+LF!CK109+LF!DU109+LF!ES109+LF!FQ109+LF!GO109</f>
        <v>4171</v>
      </c>
      <c r="E109" s="113">
        <f>LF!C109+LF!AA109+LF!BK109+LF!CI109+LF!DS109+LF!EQ109+LF!FO109+LF!GM109</f>
        <v>5</v>
      </c>
      <c r="F109" s="120">
        <f>LF!Q109+LF!BY109+LF!EG109+LF!GC109</f>
        <v>3280</v>
      </c>
      <c r="G109" s="113">
        <f>LF!O109+LF!BW109+LF!EE109+LF!GA109</f>
        <v>0</v>
      </c>
      <c r="H109" s="120">
        <f>LF!AO109+LF!CW109</f>
        <v>1529</v>
      </c>
      <c r="I109" s="113">
        <f>LF!AM109+LF!CU109</f>
        <v>0</v>
      </c>
      <c r="J109" s="120">
        <f>LF!BA109+LF!DI109+LF!FE109+LF!HA109</f>
        <v>3304</v>
      </c>
      <c r="K109" s="113">
        <f>LF!AY109+LF!DG109+LF!FC109+LF!GY109</f>
        <v>0</v>
      </c>
    </row>
    <row r="110" spans="1:11" ht="19.5" thickBot="1" x14ac:dyDescent="0.3">
      <c r="A110" s="480"/>
      <c r="B110" s="141">
        <f t="shared" si="41"/>
        <v>45024</v>
      </c>
      <c r="C110" s="142">
        <f>LF!HM110</f>
        <v>12281</v>
      </c>
      <c r="D110" s="143">
        <f>LF!E110+LF!AC110+LF!BM110+LF!CK110+LF!DU110+LF!ES110+LF!FQ110+LF!GO110</f>
        <v>4169</v>
      </c>
      <c r="E110" s="114">
        <f>LF!C110+LF!AA110+LF!BK110+LF!CI110+LF!DS110+LF!EQ110+LF!FO110+LF!GM110</f>
        <v>2</v>
      </c>
      <c r="F110" s="121">
        <f>LF!Q110+LF!BY110+LF!EG110+LF!GC110</f>
        <v>3280</v>
      </c>
      <c r="G110" s="114">
        <f>LF!O110+LF!BW110+LF!EE110+LF!GA110</f>
        <v>0</v>
      </c>
      <c r="H110" s="121">
        <f>LF!AO110+LF!CW110</f>
        <v>1529</v>
      </c>
      <c r="I110" s="114">
        <f>LF!AM110+LF!CU110</f>
        <v>0</v>
      </c>
      <c r="J110" s="121">
        <f>LF!BA110+LF!DI110+LF!FE110+LF!HA110</f>
        <v>3303</v>
      </c>
      <c r="K110" s="114">
        <f>LF!AY110+LF!DG110+LF!FC110+LF!GY110</f>
        <v>1</v>
      </c>
    </row>
    <row r="111" spans="1:11" ht="19.5" thickBot="1" x14ac:dyDescent="0.3">
      <c r="A111" s="481"/>
      <c r="B111" s="2"/>
      <c r="C111" s="140"/>
      <c r="D111" s="144"/>
      <c r="E111" s="115">
        <f t="shared" ref="E111" si="42">SUM(E104:E110)</f>
        <v>13</v>
      </c>
      <c r="F111" s="116"/>
      <c r="G111" s="115">
        <f t="shared" ref="G111" si="43">SUM(G104:G110)</f>
        <v>6</v>
      </c>
      <c r="H111" s="116"/>
      <c r="I111" s="115">
        <f t="shared" ref="I111" si="44">SUM(I104:I110)</f>
        <v>1</v>
      </c>
      <c r="J111" s="116"/>
      <c r="K111" s="115">
        <f t="shared" ref="K111" si="45">SUM(K104:K110)</f>
        <v>6</v>
      </c>
    </row>
    <row r="112" spans="1:11" ht="19.5" thickBot="1" x14ac:dyDescent="0.3">
      <c r="A112" s="82"/>
      <c r="B112" s="139"/>
      <c r="C112" s="108"/>
      <c r="D112" s="109"/>
      <c r="E112" s="109"/>
      <c r="F112" s="109"/>
      <c r="G112" s="109"/>
      <c r="H112" s="109"/>
      <c r="I112" s="109"/>
      <c r="J112" s="109"/>
      <c r="K112" s="109"/>
    </row>
    <row r="113" spans="1:11" ht="18.75" x14ac:dyDescent="0.25">
      <c r="A113" s="479">
        <v>37</v>
      </c>
      <c r="B113" s="110">
        <f t="shared" ref="B113" si="46">+B110+1</f>
        <v>45025</v>
      </c>
      <c r="C113" s="117">
        <f>LF!HM113</f>
        <v>12274</v>
      </c>
      <c r="D113" s="119">
        <f>LF!E113+LF!AC113+LF!BM113+LF!CK113+LF!DU113+LF!ES113+LF!FQ113+LF!GO113</f>
        <v>4165</v>
      </c>
      <c r="E113" s="112">
        <f>LF!C113+LF!AA113+LF!BK113+LF!CI113+LF!DS113+LF!EQ113+LF!FO113+LF!GM113</f>
        <v>4</v>
      </c>
      <c r="F113" s="119">
        <f>LF!Q113+LF!BY113+LF!EG113+LF!GC113</f>
        <v>3278</v>
      </c>
      <c r="G113" s="112">
        <f>LF!O113+LF!BW113+LF!EE113+LF!GA113</f>
        <v>2</v>
      </c>
      <c r="H113" s="119">
        <f>LF!AO113+LF!CW113</f>
        <v>1529</v>
      </c>
      <c r="I113" s="112">
        <f>LF!AM113+LF!CU113</f>
        <v>0</v>
      </c>
      <c r="J113" s="119">
        <f>LF!BA113+LF!DI113+LF!FE113+LF!HA113</f>
        <v>3302</v>
      </c>
      <c r="K113" s="112">
        <f>LF!AY113+LF!DG113+LF!FC113+LF!GY113</f>
        <v>1</v>
      </c>
    </row>
    <row r="114" spans="1:11" ht="18.75" x14ac:dyDescent="0.25">
      <c r="A114" s="480"/>
      <c r="B114" s="111">
        <f t="shared" si="41"/>
        <v>45026</v>
      </c>
      <c r="C114" s="118">
        <f>LF!HM114</f>
        <v>12271</v>
      </c>
      <c r="D114" s="120">
        <f>LF!E114+LF!AC114+LF!BM114+LF!CK114+LF!DU114+LF!ES114+LF!FQ114+LF!GO114</f>
        <v>4164</v>
      </c>
      <c r="E114" s="113">
        <f>LF!C114+LF!AA114+LF!BK114+LF!CI114+LF!DS114+LF!EQ114+LF!FO114+LF!GM114</f>
        <v>1</v>
      </c>
      <c r="F114" s="120">
        <f>LF!Q114+LF!BY114+LF!EG114+LF!GC114</f>
        <v>3277</v>
      </c>
      <c r="G114" s="113">
        <f>LF!O114+LF!BW114+LF!EE114+LF!GA114</f>
        <v>1</v>
      </c>
      <c r="H114" s="120">
        <f>LF!AO114+LF!CW114</f>
        <v>1529</v>
      </c>
      <c r="I114" s="113">
        <f>LF!AM114+LF!CU114</f>
        <v>0</v>
      </c>
      <c r="J114" s="120">
        <f>LF!BA114+LF!DI114+LF!FE114+LF!HA114</f>
        <v>3301</v>
      </c>
      <c r="K114" s="113">
        <f>LF!AY114+LF!DG114+LF!FC114+LF!GY114</f>
        <v>1</v>
      </c>
    </row>
    <row r="115" spans="1:11" ht="18.75" x14ac:dyDescent="0.25">
      <c r="A115" s="480"/>
      <c r="B115" s="111">
        <f t="shared" si="41"/>
        <v>45027</v>
      </c>
      <c r="C115" s="118">
        <f>LF!HM115</f>
        <v>12266</v>
      </c>
      <c r="D115" s="120">
        <f>LF!E115+LF!AC115+LF!BM115+LF!CK115+LF!DU115+LF!ES115+LF!FQ115+LF!GO115</f>
        <v>4162</v>
      </c>
      <c r="E115" s="113">
        <f>LF!C115+LF!AA115+LF!BK115+LF!CI115+LF!DS115+LF!EQ115+LF!FO115+LF!GM115</f>
        <v>2</v>
      </c>
      <c r="F115" s="120">
        <f>LF!Q115+LF!BY115+LF!EG115+LF!GC115</f>
        <v>3276</v>
      </c>
      <c r="G115" s="113">
        <f>LF!O115+LF!BW115+LF!EE115+LF!GA115</f>
        <v>1</v>
      </c>
      <c r="H115" s="120">
        <f>LF!AO115+LF!CW115</f>
        <v>1528</v>
      </c>
      <c r="I115" s="113">
        <f>LF!AM115+LF!CU115</f>
        <v>1</v>
      </c>
      <c r="J115" s="120">
        <f>LF!BA115+LF!DI115+LF!FE115+LF!HA115</f>
        <v>3300</v>
      </c>
      <c r="K115" s="113">
        <f>LF!AY115+LF!DG115+LF!FC115+LF!GY115</f>
        <v>1</v>
      </c>
    </row>
    <row r="116" spans="1:11" ht="18.75" x14ac:dyDescent="0.25">
      <c r="A116" s="480"/>
      <c r="B116" s="111">
        <f t="shared" si="41"/>
        <v>45028</v>
      </c>
      <c r="C116" s="118">
        <f>LF!HM116</f>
        <v>12261</v>
      </c>
      <c r="D116" s="120">
        <f>LF!E116+LF!AC116+LF!BM116+LF!CK116+LF!DU116+LF!ES116+LF!FQ116+LF!GO116</f>
        <v>4160</v>
      </c>
      <c r="E116" s="113">
        <f>LF!C116+LF!AA116+LF!BK116+LF!CI116+LF!DS116+LF!EQ116+LF!FO116+LF!GM116</f>
        <v>2</v>
      </c>
      <c r="F116" s="120">
        <f>LF!Q116+LF!BY116+LF!EG116+LF!GC116</f>
        <v>3275</v>
      </c>
      <c r="G116" s="113">
        <f>LF!O116+LF!BW116+LF!EE116+LF!GA116</f>
        <v>1</v>
      </c>
      <c r="H116" s="120">
        <f>LF!AO116+LF!CW116</f>
        <v>1527</v>
      </c>
      <c r="I116" s="113">
        <f>LF!AM116+LF!CU116</f>
        <v>1</v>
      </c>
      <c r="J116" s="120">
        <f>LF!BA116+LF!DI116+LF!FE116+LF!HA116</f>
        <v>3299</v>
      </c>
      <c r="K116" s="113">
        <f>LF!AY116+LF!DG116+LF!FC116+LF!GY116</f>
        <v>1</v>
      </c>
    </row>
    <row r="117" spans="1:11" ht="18.75" x14ac:dyDescent="0.25">
      <c r="A117" s="480"/>
      <c r="B117" s="111">
        <f t="shared" si="41"/>
        <v>45029</v>
      </c>
      <c r="C117" s="118">
        <f>LF!HM117</f>
        <v>12259</v>
      </c>
      <c r="D117" s="120">
        <f>LF!E117+LF!AC117+LF!BM117+LF!CK117+LF!DU117+LF!ES117+LF!FQ117+LF!GO117</f>
        <v>4159</v>
      </c>
      <c r="E117" s="113">
        <f>LF!C117+LF!AA117+LF!BK117+LF!CI117+LF!DS117+LF!EQ117+LF!FO117+LF!GM117</f>
        <v>1</v>
      </c>
      <c r="F117" s="120">
        <f>LF!Q117+LF!BY117+LF!EG117+LF!GC117</f>
        <v>3275</v>
      </c>
      <c r="G117" s="113">
        <f>LF!O117+LF!BW117+LF!EE117+LF!GA117</f>
        <v>0</v>
      </c>
      <c r="H117" s="120">
        <f>LF!AO117+LF!CW117</f>
        <v>1526</v>
      </c>
      <c r="I117" s="113">
        <f>LF!AM117+LF!CU117</f>
        <v>1</v>
      </c>
      <c r="J117" s="120">
        <f>LF!BA117+LF!DI117+LF!FE117+LF!HA117</f>
        <v>3299</v>
      </c>
      <c r="K117" s="113">
        <f>LF!AY117+LF!DG117+LF!FC117+LF!GY117</f>
        <v>0</v>
      </c>
    </row>
    <row r="118" spans="1:11" ht="18.75" x14ac:dyDescent="0.25">
      <c r="A118" s="480"/>
      <c r="B118" s="111">
        <f t="shared" si="41"/>
        <v>45030</v>
      </c>
      <c r="C118" s="118">
        <f>LF!HM118</f>
        <v>12254</v>
      </c>
      <c r="D118" s="120">
        <f>LF!E118+LF!AC118+LF!BM118+LF!CK118+LF!DU118+LF!ES118+LF!FQ118+LF!GO118</f>
        <v>4157</v>
      </c>
      <c r="E118" s="113">
        <f>LF!C118+LF!AA118+LF!BK118+LF!CI118+LF!DS118+LF!EQ118+LF!FO118+LF!GM118</f>
        <v>2</v>
      </c>
      <c r="F118" s="120">
        <f>LF!Q118+LF!BY118+LF!EG118+LF!GC118</f>
        <v>3272</v>
      </c>
      <c r="G118" s="113">
        <f>LF!O118+LF!BW118+LF!EE118+LF!GA118</f>
        <v>3</v>
      </c>
      <c r="H118" s="120">
        <f>LF!AO118+LF!CW118</f>
        <v>1526</v>
      </c>
      <c r="I118" s="113">
        <f>LF!AM118+LF!CU118</f>
        <v>0</v>
      </c>
      <c r="J118" s="120">
        <f>LF!BA118+LF!DI118+LF!FE118+LF!HA118</f>
        <v>3299</v>
      </c>
      <c r="K118" s="113">
        <f>LF!AY118+LF!DG118+LF!FC118+LF!GY118</f>
        <v>0</v>
      </c>
    </row>
    <row r="119" spans="1:11" ht="19.5" thickBot="1" x14ac:dyDescent="0.3">
      <c r="A119" s="480"/>
      <c r="B119" s="141">
        <f t="shared" si="41"/>
        <v>45031</v>
      </c>
      <c r="C119" s="142">
        <f>LF!HM119</f>
        <v>12252</v>
      </c>
      <c r="D119" s="143">
        <f>LF!E119+LF!AC119+LF!BM119+LF!CK119+LF!DU119+LF!ES119+LF!FQ119+LF!GO119</f>
        <v>4155</v>
      </c>
      <c r="E119" s="114">
        <f>LF!C119+LF!AA119+LF!BK119+LF!CI119+LF!DS119+LF!EQ119+LF!FO119+LF!GM119</f>
        <v>2</v>
      </c>
      <c r="F119" s="121">
        <f>LF!Q119+LF!BY119+LF!EG119+LF!GC119</f>
        <v>3272</v>
      </c>
      <c r="G119" s="114">
        <f>LF!O119+LF!BW119+LF!EE119+LF!GA119</f>
        <v>0</v>
      </c>
      <c r="H119" s="121">
        <f>LF!AO119+LF!CW119</f>
        <v>1526</v>
      </c>
      <c r="I119" s="114">
        <f>LF!AM119+LF!CU119</f>
        <v>0</v>
      </c>
      <c r="J119" s="121">
        <f>LF!BA119+LF!DI119+LF!FE119+LF!HA119</f>
        <v>3299</v>
      </c>
      <c r="K119" s="114">
        <f>LF!AY119+LF!DG119+LF!FC119+LF!GY119</f>
        <v>0</v>
      </c>
    </row>
    <row r="120" spans="1:11" ht="19.5" thickBot="1" x14ac:dyDescent="0.3">
      <c r="A120" s="481"/>
      <c r="B120" s="2"/>
      <c r="C120" s="140"/>
      <c r="D120" s="144"/>
      <c r="E120" s="115">
        <f t="shared" ref="E120" si="47">SUM(E113:E119)</f>
        <v>14</v>
      </c>
      <c r="F120" s="116"/>
      <c r="G120" s="115">
        <f t="shared" ref="G120" si="48">SUM(G113:G119)</f>
        <v>8</v>
      </c>
      <c r="H120" s="116"/>
      <c r="I120" s="115">
        <f t="shared" ref="I120" si="49">SUM(I113:I119)</f>
        <v>3</v>
      </c>
      <c r="J120" s="116"/>
      <c r="K120" s="115">
        <f t="shared" ref="K120" si="50">SUM(K113:K119)</f>
        <v>4</v>
      </c>
    </row>
    <row r="121" spans="1:11" ht="19.5" thickBot="1" x14ac:dyDescent="0.3">
      <c r="A121" s="82"/>
      <c r="B121" s="139"/>
      <c r="C121" s="108"/>
      <c r="D121" s="109"/>
      <c r="E121" s="109"/>
      <c r="F121" s="109"/>
      <c r="G121" s="109"/>
      <c r="H121" s="109"/>
      <c r="I121" s="109"/>
      <c r="J121" s="109"/>
      <c r="K121" s="109"/>
    </row>
    <row r="122" spans="1:11" ht="18.75" x14ac:dyDescent="0.25">
      <c r="A122" s="479">
        <v>38</v>
      </c>
      <c r="B122" s="110">
        <f t="shared" ref="B122" si="51">+B119+1</f>
        <v>45032</v>
      </c>
      <c r="C122" s="117">
        <f>LF!HM122</f>
        <v>12245</v>
      </c>
      <c r="D122" s="119">
        <f>LF!E122+LF!AC122+LF!BM122+LF!CK122+LF!DU122+LF!ES122+LF!FQ122+LF!GO122</f>
        <v>4151</v>
      </c>
      <c r="E122" s="112">
        <f>LF!C122+LF!AA122+LF!BK122+LF!CI122+LF!DS122+LF!EQ122+LF!FO122+LF!GM122</f>
        <v>4</v>
      </c>
      <c r="F122" s="119">
        <f>LF!Q122+LF!BY122+LF!EG122+LF!GC122</f>
        <v>3270</v>
      </c>
      <c r="G122" s="112">
        <f>LF!O122+LF!BW122+LF!EE122+LF!GA122</f>
        <v>2</v>
      </c>
      <c r="H122" s="119">
        <f>LF!AO122+LF!CW122</f>
        <v>1526</v>
      </c>
      <c r="I122" s="112">
        <f>LF!AM122+LF!CU122</f>
        <v>0</v>
      </c>
      <c r="J122" s="119">
        <f>LF!BA122+LF!DI122+LF!FE122+LF!HA122</f>
        <v>3298</v>
      </c>
      <c r="K122" s="112">
        <f>LF!AY122+LF!DG122+LF!FC122+LF!GY122</f>
        <v>1</v>
      </c>
    </row>
    <row r="123" spans="1:11" ht="18.75" x14ac:dyDescent="0.25">
      <c r="A123" s="480"/>
      <c r="B123" s="111">
        <f t="shared" si="41"/>
        <v>45033</v>
      </c>
      <c r="C123" s="118">
        <f>LF!HM123</f>
        <v>12240</v>
      </c>
      <c r="D123" s="120">
        <f>LF!E123+LF!AC123+LF!BM123+LF!CK123+LF!DU123+LF!ES123+LF!FQ123+LF!GO123</f>
        <v>4150</v>
      </c>
      <c r="E123" s="113">
        <f>LF!C123+LF!AA123+LF!BK123+LF!CI123+LF!DS123+LF!EQ123+LF!FO123+LF!GM123</f>
        <v>1</v>
      </c>
      <c r="F123" s="120">
        <f>LF!Q123+LF!BY123+LF!EG123+LF!GC123</f>
        <v>3268</v>
      </c>
      <c r="G123" s="113">
        <f>LF!O123+LF!BW123+LF!EE123+LF!GA123</f>
        <v>2</v>
      </c>
      <c r="H123" s="120">
        <f>LF!AO123+LF!CW123</f>
        <v>1526</v>
      </c>
      <c r="I123" s="113">
        <f>LF!AM123+LF!CU123</f>
        <v>0</v>
      </c>
      <c r="J123" s="120">
        <f>LF!BA123+LF!DI123+LF!FE123+LF!HA123</f>
        <v>3296</v>
      </c>
      <c r="K123" s="113">
        <f>LF!AY123+LF!DG123+LF!FC123+LF!GY123</f>
        <v>2</v>
      </c>
    </row>
    <row r="124" spans="1:11" ht="18.75" x14ac:dyDescent="0.25">
      <c r="A124" s="480"/>
      <c r="B124" s="111">
        <f t="shared" si="41"/>
        <v>45034</v>
      </c>
      <c r="C124" s="118">
        <f>LF!HM124</f>
        <v>12238</v>
      </c>
      <c r="D124" s="120">
        <f>LF!E124+LF!AC124+LF!BM124+LF!CK124+LF!DU124+LF!ES124+LF!FQ124+LF!GO124</f>
        <v>4149</v>
      </c>
      <c r="E124" s="113">
        <f>LF!C124+LF!AA124+LF!BK124+LF!CI124+LF!DS124+LF!EQ124+LF!FO124+LF!GM124</f>
        <v>1</v>
      </c>
      <c r="F124" s="120">
        <f>LF!Q124+LF!BY124+LF!EG124+LF!GC124</f>
        <v>3267</v>
      </c>
      <c r="G124" s="113">
        <f>LF!O124+LF!BW124+LF!EE124+LF!GA124</f>
        <v>1</v>
      </c>
      <c r="H124" s="120">
        <f>LF!AO124+LF!CW124</f>
        <v>1526</v>
      </c>
      <c r="I124" s="113">
        <f>LF!AM124+LF!CU124</f>
        <v>0</v>
      </c>
      <c r="J124" s="120">
        <f>LF!BA124+LF!DI124+LF!FE124+LF!HA124</f>
        <v>3296</v>
      </c>
      <c r="K124" s="113">
        <f>LF!AY124+LF!DG124+LF!FC124+LF!GY124</f>
        <v>0</v>
      </c>
    </row>
    <row r="125" spans="1:11" ht="18.75" x14ac:dyDescent="0.25">
      <c r="A125" s="480"/>
      <c r="B125" s="111">
        <f t="shared" si="41"/>
        <v>45035</v>
      </c>
      <c r="C125" s="118">
        <f>LF!HM125</f>
        <v>12231</v>
      </c>
      <c r="D125" s="120">
        <f>LF!E125+LF!AC125+LF!BM125+LF!CK125+LF!DU125+LF!ES125+LF!FQ125+LF!GO125</f>
        <v>4143</v>
      </c>
      <c r="E125" s="113">
        <f>LF!C125+LF!AA125+LF!BK125+LF!CI125+LF!DS125+LF!EQ125+LF!FO125+LF!GM125</f>
        <v>6</v>
      </c>
      <c r="F125" s="120">
        <f>LF!Q125+LF!BY125+LF!EG125+LF!GC125</f>
        <v>3267</v>
      </c>
      <c r="G125" s="113">
        <f>LF!O125+LF!BW125+LF!EE125+LF!GA125</f>
        <v>0</v>
      </c>
      <c r="H125" s="120">
        <f>LF!AO125+LF!CW125</f>
        <v>1526</v>
      </c>
      <c r="I125" s="113">
        <f>LF!AM125+LF!CU125</f>
        <v>0</v>
      </c>
      <c r="J125" s="120">
        <f>LF!BA125+LF!DI125+LF!FE125+LF!HA125</f>
        <v>3295</v>
      </c>
      <c r="K125" s="113">
        <f>LF!AY125+LF!DG125+LF!FC125+LF!GY125</f>
        <v>1</v>
      </c>
    </row>
    <row r="126" spans="1:11" ht="18.75" x14ac:dyDescent="0.25">
      <c r="A126" s="480"/>
      <c r="B126" s="111">
        <f t="shared" si="41"/>
        <v>45036</v>
      </c>
      <c r="C126" s="118">
        <f>LF!HM126</f>
        <v>12228</v>
      </c>
      <c r="D126" s="120">
        <f>LF!E126+LF!AC126+LF!BM126+LF!CK126+LF!DU126+LF!ES126+LF!FQ126+LF!GO126</f>
        <v>4140</v>
      </c>
      <c r="E126" s="113">
        <f>LF!C126+LF!AA126+LF!BK126+LF!CI126+LF!DS126+LF!EQ126+LF!FO126+LF!GM126</f>
        <v>3</v>
      </c>
      <c r="F126" s="120">
        <f>LF!Q126+LF!BY126+LF!EG126+LF!GC126</f>
        <v>3267</v>
      </c>
      <c r="G126" s="113">
        <f>LF!O126+LF!BW126+LF!EE126+LF!GA126</f>
        <v>0</v>
      </c>
      <c r="H126" s="120">
        <f>LF!AO126+LF!CW126</f>
        <v>1526</v>
      </c>
      <c r="I126" s="113">
        <f>LF!AM126+LF!CU126</f>
        <v>0</v>
      </c>
      <c r="J126" s="120">
        <f>LF!BA126+LF!DI126+LF!FE126+LF!HA126</f>
        <v>3295</v>
      </c>
      <c r="K126" s="113">
        <f>LF!AY126+LF!DG126+LF!FC126+LF!GY126</f>
        <v>0</v>
      </c>
    </row>
    <row r="127" spans="1:11" ht="18.75" x14ac:dyDescent="0.25">
      <c r="A127" s="480"/>
      <c r="B127" s="111">
        <f t="shared" si="41"/>
        <v>45037</v>
      </c>
      <c r="C127" s="118">
        <f>LF!HM127</f>
        <v>12223</v>
      </c>
      <c r="D127" s="120">
        <f>LF!E127+LF!AC127+LF!BM127+LF!CK127+LF!DU127+LF!ES127+LF!FQ127+LF!GO127</f>
        <v>4137</v>
      </c>
      <c r="E127" s="113">
        <f>LF!C127+LF!AA127+LF!BK127+LF!CI127+LF!DS127+LF!EQ127+LF!FO127+LF!GM127</f>
        <v>3</v>
      </c>
      <c r="F127" s="120">
        <f>LF!Q127+LF!BY127+LF!EG127+LF!GC127</f>
        <v>3265</v>
      </c>
      <c r="G127" s="113">
        <f>LF!O127+LF!BW127+LF!EE127+LF!GA127</f>
        <v>2</v>
      </c>
      <c r="H127" s="120">
        <f>LF!AO127+LF!CW127</f>
        <v>1526</v>
      </c>
      <c r="I127" s="113">
        <f>LF!AM127+LF!CU127</f>
        <v>0</v>
      </c>
      <c r="J127" s="120">
        <f>LF!BA127+LF!DI127+LF!FE127+LF!HA127</f>
        <v>3295</v>
      </c>
      <c r="K127" s="113">
        <f>LF!AY127+LF!DG127+LF!FC127+LF!GY127</f>
        <v>0</v>
      </c>
    </row>
    <row r="128" spans="1:11" ht="19.5" thickBot="1" x14ac:dyDescent="0.3">
      <c r="A128" s="480"/>
      <c r="B128" s="141">
        <f t="shared" si="41"/>
        <v>45038</v>
      </c>
      <c r="C128" s="142">
        <f>LF!HM128</f>
        <v>12218</v>
      </c>
      <c r="D128" s="143">
        <f>LF!E128+LF!AC128+LF!BM128+LF!CK128+LF!DU128+LF!ES128+LF!FQ128+LF!GO128</f>
        <v>4135</v>
      </c>
      <c r="E128" s="114">
        <f>LF!C128+LF!AA128+LF!BK128+LF!CI128+LF!DS128+LF!EQ128+LF!FO128+LF!GM128</f>
        <v>2</v>
      </c>
      <c r="F128" s="121">
        <f>LF!Q128+LF!BY128+LF!EG128+LF!GC128</f>
        <v>3263</v>
      </c>
      <c r="G128" s="114">
        <f>LF!O128+LF!BW128+LF!EE128+LF!GA128</f>
        <v>2</v>
      </c>
      <c r="H128" s="121">
        <f>LF!AO128+LF!CW128</f>
        <v>1525</v>
      </c>
      <c r="I128" s="114">
        <f>LF!AM128+LF!CU128</f>
        <v>1</v>
      </c>
      <c r="J128" s="121">
        <f>LF!BA128+LF!DI128+LF!FE128+LF!HA128</f>
        <v>3295</v>
      </c>
      <c r="K128" s="114">
        <f>LF!AY128+LF!DG128+LF!FC128+LF!GY128</f>
        <v>0</v>
      </c>
    </row>
    <row r="129" spans="1:11" ht="19.5" thickBot="1" x14ac:dyDescent="0.3">
      <c r="A129" s="481"/>
      <c r="B129" s="2"/>
      <c r="C129" s="140"/>
      <c r="D129" s="144"/>
      <c r="E129" s="115">
        <f t="shared" ref="E129" si="52">SUM(E122:E128)</f>
        <v>20</v>
      </c>
      <c r="F129" s="116"/>
      <c r="G129" s="115">
        <f t="shared" ref="G129" si="53">SUM(G122:G128)</f>
        <v>9</v>
      </c>
      <c r="H129" s="116"/>
      <c r="I129" s="115">
        <f t="shared" ref="I129" si="54">SUM(I122:I128)</f>
        <v>1</v>
      </c>
      <c r="J129" s="116"/>
      <c r="K129" s="115">
        <f t="shared" ref="K129" si="55">SUM(K122:K128)</f>
        <v>4</v>
      </c>
    </row>
    <row r="130" spans="1:11" ht="19.5" thickBot="1" x14ac:dyDescent="0.3">
      <c r="A130" s="82"/>
      <c r="B130" s="139"/>
      <c r="C130" s="108"/>
      <c r="D130" s="109"/>
      <c r="E130" s="109"/>
      <c r="F130" s="109"/>
      <c r="G130" s="109"/>
      <c r="H130" s="109"/>
      <c r="I130" s="109"/>
      <c r="J130" s="109"/>
      <c r="K130" s="109"/>
    </row>
    <row r="131" spans="1:11" ht="18.75" x14ac:dyDescent="0.25">
      <c r="A131" s="479">
        <v>39</v>
      </c>
      <c r="B131" s="110">
        <f t="shared" ref="B131" si="56">+B128+1</f>
        <v>45039</v>
      </c>
      <c r="C131" s="117">
        <f>LF!HM131</f>
        <v>12212</v>
      </c>
      <c r="D131" s="119">
        <f>LF!E131+LF!AC131+LF!BM131+LF!CK131+LF!DU131+LF!ES131+LF!FQ131+LF!GO131</f>
        <v>4131</v>
      </c>
      <c r="E131" s="112">
        <f>LF!C131+LF!AA131+LF!BK131+LF!CI131+LF!DS131+LF!EQ131+LF!FO131+LF!GM131</f>
        <v>4</v>
      </c>
      <c r="F131" s="119">
        <f>LF!Q131+LF!BY131+LF!EG131+LF!GC131</f>
        <v>3262</v>
      </c>
      <c r="G131" s="112">
        <f>LF!O131+LF!BW131+LF!EE131+LF!GA131</f>
        <v>1</v>
      </c>
      <c r="H131" s="119">
        <f>LF!AO131+LF!CW131</f>
        <v>1524</v>
      </c>
      <c r="I131" s="112">
        <f>LF!AM131+LF!CU131</f>
        <v>1</v>
      </c>
      <c r="J131" s="119">
        <f>LF!BA131+LF!DI131+LF!FE131+LF!HA131</f>
        <v>3295</v>
      </c>
      <c r="K131" s="112">
        <f>LF!AY131+LF!DG131+LF!FC131+LF!GY131</f>
        <v>0</v>
      </c>
    </row>
    <row r="132" spans="1:11" ht="18.75" x14ac:dyDescent="0.25">
      <c r="A132" s="480"/>
      <c r="B132" s="111">
        <f t="shared" si="41"/>
        <v>45040</v>
      </c>
      <c r="C132" s="118">
        <f>LF!HM132</f>
        <v>12208</v>
      </c>
      <c r="D132" s="120">
        <f>LF!E132+LF!AC132+LF!BM132+LF!CK132+LF!DU132+LF!ES132+LF!FQ132+LF!GO132</f>
        <v>4129</v>
      </c>
      <c r="E132" s="113">
        <f>LF!C132+LF!AA132+LF!BK132+LF!CI132+LF!DS132+LF!EQ132+LF!FO132+LF!GM132</f>
        <v>2</v>
      </c>
      <c r="F132" s="120">
        <f>LF!Q132+LF!BY132+LF!EG132+LF!GC132</f>
        <v>3260</v>
      </c>
      <c r="G132" s="113">
        <f>LF!O132+LF!BW132+LF!EE132+LF!GA132</f>
        <v>2</v>
      </c>
      <c r="H132" s="120">
        <f>LF!AO132+LF!CW132</f>
        <v>1524</v>
      </c>
      <c r="I132" s="113">
        <f>LF!AM132+LF!CU132</f>
        <v>0</v>
      </c>
      <c r="J132" s="120">
        <f>LF!BA132+LF!DI132+LF!FE132+LF!HA132</f>
        <v>3295</v>
      </c>
      <c r="K132" s="113">
        <f>LF!AY132+LF!DG132+LF!FC132+LF!GY132</f>
        <v>0</v>
      </c>
    </row>
    <row r="133" spans="1:11" ht="18.75" x14ac:dyDescent="0.25">
      <c r="A133" s="480"/>
      <c r="B133" s="111">
        <f t="shared" si="41"/>
        <v>45041</v>
      </c>
      <c r="C133" s="118">
        <f>LF!HM133</f>
        <v>12206</v>
      </c>
      <c r="D133" s="120">
        <f>LF!E133+LF!AC133+LF!BM133+LF!CK133+LF!DU133+LF!ES133+LF!FQ133+LF!GO133</f>
        <v>4128</v>
      </c>
      <c r="E133" s="113">
        <f>LF!C133+LF!AA133+LF!BK133+LF!CI133+LF!DS133+LF!EQ133+LF!FO133+LF!GM133</f>
        <v>1</v>
      </c>
      <c r="F133" s="120">
        <f>LF!Q133+LF!BY133+LF!EG133+LF!GC133</f>
        <v>3259</v>
      </c>
      <c r="G133" s="113">
        <f>LF!O133+LF!BW133+LF!EE133+LF!GA133</f>
        <v>1</v>
      </c>
      <c r="H133" s="120">
        <f>LF!AO133+LF!CW133</f>
        <v>1524</v>
      </c>
      <c r="I133" s="113">
        <f>LF!AM133+LF!CU133</f>
        <v>0</v>
      </c>
      <c r="J133" s="120">
        <f>LF!BA133+LF!DI133+LF!FE133+LF!HA133</f>
        <v>3295</v>
      </c>
      <c r="K133" s="113">
        <f>LF!AY133+LF!DG133+LF!FC133+LF!GY133</f>
        <v>0</v>
      </c>
    </row>
    <row r="134" spans="1:11" ht="18.75" x14ac:dyDescent="0.25">
      <c r="A134" s="480"/>
      <c r="B134" s="111">
        <f t="shared" si="41"/>
        <v>45042</v>
      </c>
      <c r="C134" s="118">
        <f>LF!HM134</f>
        <v>12205</v>
      </c>
      <c r="D134" s="120">
        <f>LF!E134+LF!AC134+LF!BM134+LF!CK134+LF!DU134+LF!ES134+LF!FQ134+LF!GO134</f>
        <v>4128</v>
      </c>
      <c r="E134" s="113">
        <f>LF!C134+LF!AA134+LF!BK134+LF!CI134+LF!DS134+LF!EQ134+LF!FO134+LF!GM134</f>
        <v>0</v>
      </c>
      <c r="F134" s="120">
        <f>LF!Q134+LF!BY134+LF!EG134+LF!GC134</f>
        <v>3259</v>
      </c>
      <c r="G134" s="113">
        <f>LF!O134+LF!BW134+LF!EE134+LF!GA134</f>
        <v>0</v>
      </c>
      <c r="H134" s="120">
        <f>LF!AO134+LF!CW134</f>
        <v>1523</v>
      </c>
      <c r="I134" s="113">
        <f>LF!AM134+LF!CU134</f>
        <v>1</v>
      </c>
      <c r="J134" s="120">
        <f>LF!BA134+LF!DI134+LF!FE134+LF!HA134</f>
        <v>3295</v>
      </c>
      <c r="K134" s="113">
        <f>LF!AY134+LF!DG134+LF!FC134+LF!GY134</f>
        <v>0</v>
      </c>
    </row>
    <row r="135" spans="1:11" ht="18.75" x14ac:dyDescent="0.25">
      <c r="A135" s="480"/>
      <c r="B135" s="111">
        <f t="shared" si="41"/>
        <v>45043</v>
      </c>
      <c r="C135" s="118">
        <f>LF!HM135</f>
        <v>12201</v>
      </c>
      <c r="D135" s="120">
        <f>LF!E135+LF!AC135+LF!BM135+LF!CK135+LF!DU135+LF!ES135+LF!FQ135+LF!GO135</f>
        <v>4128</v>
      </c>
      <c r="E135" s="113">
        <f>LF!C135+LF!AA135+LF!BK135+LF!CI135+LF!DS135+LF!EQ135+LF!FO135+LF!GM135</f>
        <v>0</v>
      </c>
      <c r="F135" s="120">
        <f>LF!Q135+LF!BY135+LF!EG135+LF!GC135</f>
        <v>3258</v>
      </c>
      <c r="G135" s="113">
        <f>LF!O135+LF!BW135+LF!EE135+LF!GA135</f>
        <v>1</v>
      </c>
      <c r="H135" s="120">
        <f>LF!AO135+LF!CW135</f>
        <v>1520</v>
      </c>
      <c r="I135" s="113">
        <f>LF!AM135+LF!CU135</f>
        <v>3</v>
      </c>
      <c r="J135" s="120">
        <f>LF!BA135+LF!DI135+LF!FE135+LF!HA135</f>
        <v>3295</v>
      </c>
      <c r="K135" s="113">
        <f>LF!AY135+LF!DG135+LF!FC135+LF!GY135</f>
        <v>0</v>
      </c>
    </row>
    <row r="136" spans="1:11" ht="18.75" x14ac:dyDescent="0.25">
      <c r="A136" s="480"/>
      <c r="B136" s="111">
        <f t="shared" si="41"/>
        <v>45044</v>
      </c>
      <c r="C136" s="118">
        <f>LF!HM136</f>
        <v>12198</v>
      </c>
      <c r="D136" s="120">
        <f>LF!E136+LF!AC136+LF!BM136+LF!CK136+LF!DU136+LF!ES136+LF!FQ136+LF!GO136</f>
        <v>4127</v>
      </c>
      <c r="E136" s="113">
        <f>LF!C136+LF!AA136+LF!BK136+LF!CI136+LF!DS136+LF!EQ136+LF!FO136+LF!GM136</f>
        <v>1</v>
      </c>
      <c r="F136" s="120">
        <f>LF!Q136+LF!BY136+LF!EG136+LF!GC136</f>
        <v>3257</v>
      </c>
      <c r="G136" s="113">
        <f>LF!O136+LF!BW136+LF!EE136+LF!GA136</f>
        <v>1</v>
      </c>
      <c r="H136" s="120">
        <f>LF!AO136+LF!CW136</f>
        <v>1520</v>
      </c>
      <c r="I136" s="113">
        <f>LF!AM136+LF!CU136</f>
        <v>0</v>
      </c>
      <c r="J136" s="120">
        <f>LF!BA136+LF!DI136+LF!FE136+LF!HA136</f>
        <v>3294</v>
      </c>
      <c r="K136" s="113">
        <f>LF!AY136+LF!DG136+LF!FC136+LF!GY136</f>
        <v>1</v>
      </c>
    </row>
    <row r="137" spans="1:11" ht="19.5" thickBot="1" x14ac:dyDescent="0.3">
      <c r="A137" s="480"/>
      <c r="B137" s="141">
        <f t="shared" si="41"/>
        <v>45045</v>
      </c>
      <c r="C137" s="142">
        <f>LF!HM137</f>
        <v>12198</v>
      </c>
      <c r="D137" s="143">
        <f>LF!E137+LF!AC137+LF!BM137+LF!CK137+LF!DU137+LF!ES137+LF!FQ137+LF!GO137</f>
        <v>4127</v>
      </c>
      <c r="E137" s="114">
        <f>LF!C137+LF!AA137+LF!BK137+LF!CI137+LF!DS137+LF!EQ137+LF!FO137+LF!GM137</f>
        <v>0</v>
      </c>
      <c r="F137" s="121">
        <f>LF!Q137+LF!BY137+LF!EG137+LF!GC137</f>
        <v>3257</v>
      </c>
      <c r="G137" s="114">
        <f>LF!O137+LF!BW137+LF!EE137+LF!GA137</f>
        <v>0</v>
      </c>
      <c r="H137" s="121">
        <f>LF!AO137+LF!CW137</f>
        <v>1520</v>
      </c>
      <c r="I137" s="114">
        <f>LF!AM137+LF!CU137</f>
        <v>0</v>
      </c>
      <c r="J137" s="121">
        <f>LF!BA137+LF!DI137+LF!FE137+LF!HA137</f>
        <v>3294</v>
      </c>
      <c r="K137" s="114">
        <f>LF!AY137+LF!DG137+LF!FC137+LF!GY137</f>
        <v>0</v>
      </c>
    </row>
    <row r="138" spans="1:11" ht="19.5" thickBot="1" x14ac:dyDescent="0.3">
      <c r="A138" s="481"/>
      <c r="B138" s="2"/>
      <c r="C138" s="140"/>
      <c r="D138" s="144"/>
      <c r="E138" s="115">
        <f t="shared" ref="E138" si="57">SUM(E131:E137)</f>
        <v>8</v>
      </c>
      <c r="F138" s="116"/>
      <c r="G138" s="115">
        <f t="shared" ref="G138" si="58">SUM(G131:G137)</f>
        <v>6</v>
      </c>
      <c r="H138" s="116"/>
      <c r="I138" s="115">
        <f t="shared" ref="I138" si="59">SUM(I131:I137)</f>
        <v>5</v>
      </c>
      <c r="J138" s="116"/>
      <c r="K138" s="115">
        <f t="shared" ref="K138" si="60">SUM(K131:K137)</f>
        <v>1</v>
      </c>
    </row>
    <row r="139" spans="1:11" ht="19.5" thickBot="1" x14ac:dyDescent="0.3">
      <c r="A139" s="82"/>
      <c r="B139" s="139"/>
      <c r="C139" s="108"/>
      <c r="D139" s="109"/>
      <c r="E139" s="109"/>
      <c r="F139" s="109"/>
      <c r="G139" s="109"/>
      <c r="H139" s="109"/>
      <c r="I139" s="109"/>
      <c r="J139" s="109"/>
      <c r="K139" s="109"/>
    </row>
    <row r="140" spans="1:11" ht="18.75" x14ac:dyDescent="0.25">
      <c r="A140" s="479">
        <v>40</v>
      </c>
      <c r="B140" s="110">
        <f t="shared" ref="B140" si="61">+B137+1</f>
        <v>45046</v>
      </c>
      <c r="C140" s="117">
        <f>LF!HM140</f>
        <v>12193</v>
      </c>
      <c r="D140" s="119">
        <f>LF!E140+LF!AC140+LF!BM140+LF!CK140+LF!DU140+LF!ES140+LF!FQ140+LF!GO140</f>
        <v>4124</v>
      </c>
      <c r="E140" s="112">
        <f>LF!C140+LF!AA140+LF!BK140+LF!CI140+LF!DS140+LF!EQ140+LF!FO140+LF!GM140</f>
        <v>3</v>
      </c>
      <c r="F140" s="119">
        <f>LF!Q140+LF!BY140+LF!EG140+LF!GC140</f>
        <v>3256</v>
      </c>
      <c r="G140" s="112">
        <f>LF!O140+LF!BW140+LF!EE140+LF!GA140</f>
        <v>1</v>
      </c>
      <c r="H140" s="119">
        <f>LF!AO140+LF!CW140</f>
        <v>1520</v>
      </c>
      <c r="I140" s="112">
        <f>LF!AM140+LF!CU140</f>
        <v>0</v>
      </c>
      <c r="J140" s="119">
        <f>LF!BA140+LF!DI140+LF!FE140+LF!HA140</f>
        <v>3293</v>
      </c>
      <c r="K140" s="112">
        <f>LF!AY140+LF!DG140+LF!FC140+LF!GY140</f>
        <v>1</v>
      </c>
    </row>
    <row r="141" spans="1:11" ht="18.75" x14ac:dyDescent="0.25">
      <c r="A141" s="480"/>
      <c r="B141" s="111">
        <f t="shared" si="41"/>
        <v>45047</v>
      </c>
      <c r="C141" s="118">
        <f>LF!HM141</f>
        <v>12184</v>
      </c>
      <c r="D141" s="120">
        <f>LF!E141+LF!AC141+LF!BM141+LF!CK141+LF!DU141+LF!ES141+LF!FQ141+LF!GO141</f>
        <v>4120</v>
      </c>
      <c r="E141" s="113">
        <f>LF!C141+LF!AA141+LF!BK141+LF!CI141+LF!DS141+LF!EQ141+LF!FO141+LF!GM141</f>
        <v>4</v>
      </c>
      <c r="F141" s="120">
        <f>LF!Q141+LF!BY141+LF!EG141+LF!GC141</f>
        <v>3254</v>
      </c>
      <c r="G141" s="113">
        <f>LF!O141+LF!BW141+LF!EE141+LF!GA141</f>
        <v>2</v>
      </c>
      <c r="H141" s="120">
        <f>LF!AO141+LF!CW141</f>
        <v>1520</v>
      </c>
      <c r="I141" s="113">
        <f>LF!AM141+LF!CU141</f>
        <v>0</v>
      </c>
      <c r="J141" s="120">
        <f>LF!BA141+LF!DI141+LF!FE141+LF!HA141</f>
        <v>3290</v>
      </c>
      <c r="K141" s="113">
        <f>LF!AY141+LF!DG141+LF!FC141+LF!GY141</f>
        <v>3</v>
      </c>
    </row>
    <row r="142" spans="1:11" ht="18.75" x14ac:dyDescent="0.25">
      <c r="A142" s="480"/>
      <c r="B142" s="111">
        <f t="shared" si="41"/>
        <v>45048</v>
      </c>
      <c r="C142" s="118">
        <f>LF!HM142</f>
        <v>12179</v>
      </c>
      <c r="D142" s="120">
        <f>LF!E142+LF!AC142+LF!BM142+LF!CK142+LF!DU142+LF!ES142+LF!FQ142+LF!GO142</f>
        <v>4115</v>
      </c>
      <c r="E142" s="113">
        <f>LF!C142+LF!AA142+LF!BK142+LF!CI142+LF!DS142+LF!EQ142+LF!FO142+LF!GM142</f>
        <v>5</v>
      </c>
      <c r="F142" s="120">
        <f>LF!Q142+LF!BY142+LF!EG142+LF!GC142</f>
        <v>3254</v>
      </c>
      <c r="G142" s="113">
        <f>LF!O142+LF!BW142+LF!EE142+LF!GA142</f>
        <v>0</v>
      </c>
      <c r="H142" s="120">
        <f>LF!AO142+LF!CW142</f>
        <v>1520</v>
      </c>
      <c r="I142" s="113">
        <f>LF!AM142+LF!CU142</f>
        <v>0</v>
      </c>
      <c r="J142" s="120">
        <f>LF!BA142+LF!DI142+LF!FE142+LF!HA142</f>
        <v>3290</v>
      </c>
      <c r="K142" s="113">
        <f>LF!AY142+LF!DG142+LF!FC142+LF!GY142</f>
        <v>0</v>
      </c>
    </row>
    <row r="143" spans="1:11" ht="18.75" x14ac:dyDescent="0.25">
      <c r="A143" s="480"/>
      <c r="B143" s="111">
        <f t="shared" si="41"/>
        <v>45049</v>
      </c>
      <c r="C143" s="118">
        <f>LF!HM143</f>
        <v>12175</v>
      </c>
      <c r="D143" s="120">
        <f>LF!E143+LF!AC143+LF!BM143+LF!CK143+LF!DU143+LF!ES143+LF!FQ143+LF!GO143</f>
        <v>4114</v>
      </c>
      <c r="E143" s="113">
        <f>LF!C143+LF!AA143+LF!BK143+LF!CI143+LF!DS143+LF!EQ143+LF!FO143+LF!GM143</f>
        <v>1</v>
      </c>
      <c r="F143" s="120">
        <f>LF!Q143+LF!BY143+LF!EG143+LF!GC143</f>
        <v>3254</v>
      </c>
      <c r="G143" s="113">
        <f>LF!O143+LF!BW143+LF!EE143+LF!GA143</f>
        <v>0</v>
      </c>
      <c r="H143" s="120">
        <f>LF!AO143+LF!CW143</f>
        <v>1520</v>
      </c>
      <c r="I143" s="113">
        <f>LF!AM143+LF!CU143</f>
        <v>0</v>
      </c>
      <c r="J143" s="120">
        <f>LF!BA143+LF!DI143+LF!FE143+LF!HA143</f>
        <v>3287</v>
      </c>
      <c r="K143" s="113">
        <f>LF!AY143+LF!DG143+LF!FC143+LF!GY143</f>
        <v>3</v>
      </c>
    </row>
    <row r="144" spans="1:11" ht="18.75" x14ac:dyDescent="0.25">
      <c r="A144" s="480"/>
      <c r="B144" s="111">
        <f t="shared" si="41"/>
        <v>45050</v>
      </c>
      <c r="C144" s="118">
        <f>LF!HM144</f>
        <v>12168</v>
      </c>
      <c r="D144" s="120">
        <f>LF!E144+LF!AC144+LF!BM144+LF!CK144+LF!DU144+LF!ES144+LF!FQ144+LF!GO144</f>
        <v>4107</v>
      </c>
      <c r="E144" s="113">
        <f>LF!C144+LF!AA144+LF!BK144+LF!CI144+LF!DS144+LF!EQ144+LF!FO144+LF!GM144</f>
        <v>7</v>
      </c>
      <c r="F144" s="120">
        <f>LF!Q144+LF!BY144+LF!EG144+LF!GC144</f>
        <v>3254</v>
      </c>
      <c r="G144" s="113">
        <f>LF!O144+LF!BW144+LF!EE144+LF!GA144</f>
        <v>0</v>
      </c>
      <c r="H144" s="120">
        <f>LF!AO144+LF!CW144</f>
        <v>1520</v>
      </c>
      <c r="I144" s="113">
        <f>LF!AM144+LF!CU144</f>
        <v>0</v>
      </c>
      <c r="J144" s="120">
        <f>LF!BA144+LF!DI144+LF!FE144+LF!HA144</f>
        <v>3287</v>
      </c>
      <c r="K144" s="113">
        <f>LF!AY144+LF!DG144+LF!FC144+LF!GY144</f>
        <v>0</v>
      </c>
    </row>
    <row r="145" spans="1:11" ht="18.75" x14ac:dyDescent="0.25">
      <c r="A145" s="480"/>
      <c r="B145" s="111">
        <f t="shared" si="41"/>
        <v>45051</v>
      </c>
      <c r="C145" s="118">
        <f>LF!HM145</f>
        <v>12163</v>
      </c>
      <c r="D145" s="120">
        <f>LF!E145+LF!AC145+LF!BM145+LF!CK145+LF!DU145+LF!ES145+LF!FQ145+LF!GO145</f>
        <v>4104</v>
      </c>
      <c r="E145" s="113">
        <f>LF!C145+LF!AA145+LF!BK145+LF!CI145+LF!DS145+LF!EQ145+LF!FO145+LF!GM145</f>
        <v>3</v>
      </c>
      <c r="F145" s="120">
        <f>LF!Q145+LF!BY145+LF!EG145+LF!GC145</f>
        <v>3254</v>
      </c>
      <c r="G145" s="113">
        <f>LF!O145+LF!BW145+LF!EE145+LF!GA145</f>
        <v>0</v>
      </c>
      <c r="H145" s="120">
        <f>LF!AO145+LF!CW145</f>
        <v>1520</v>
      </c>
      <c r="I145" s="113">
        <f>LF!AM145+LF!CU145</f>
        <v>0</v>
      </c>
      <c r="J145" s="120">
        <f>LF!BA145+LF!DI145+LF!FE145+LF!HA145</f>
        <v>3285</v>
      </c>
      <c r="K145" s="113">
        <f>LF!AY145+LF!DG145+LF!FC145+LF!GY145</f>
        <v>2</v>
      </c>
    </row>
    <row r="146" spans="1:11" ht="19.5" thickBot="1" x14ac:dyDescent="0.3">
      <c r="A146" s="480"/>
      <c r="B146" s="141">
        <f t="shared" si="41"/>
        <v>45052</v>
      </c>
      <c r="C146" s="142">
        <f>LF!HM146</f>
        <v>12157</v>
      </c>
      <c r="D146" s="143">
        <f>LF!E146+LF!AC146+LF!BM146+LF!CK146+LF!DU146+LF!ES146+LF!FQ146+LF!GO146</f>
        <v>4101</v>
      </c>
      <c r="E146" s="114">
        <f>LF!C146+LF!AA146+LF!BK146+LF!CI146+LF!DS146+LF!EQ146+LF!FO146+LF!GM146</f>
        <v>3</v>
      </c>
      <c r="F146" s="121">
        <f>LF!Q146+LF!BY146+LF!EG146+LF!GC146</f>
        <v>3251</v>
      </c>
      <c r="G146" s="114">
        <f>LF!O146+LF!BW146+LF!EE146+LF!GA146</f>
        <v>3</v>
      </c>
      <c r="H146" s="121">
        <f>LF!AO146+LF!CW146</f>
        <v>1520</v>
      </c>
      <c r="I146" s="114">
        <f>LF!AM146+LF!CU146</f>
        <v>0</v>
      </c>
      <c r="J146" s="121">
        <f>LF!BA146+LF!DI146+LF!FE146+LF!HA146</f>
        <v>3285</v>
      </c>
      <c r="K146" s="114">
        <f>LF!AY146+LF!DG146+LF!FC146+LF!GY146</f>
        <v>0</v>
      </c>
    </row>
    <row r="147" spans="1:11" ht="19.5" thickBot="1" x14ac:dyDescent="0.3">
      <c r="A147" s="481"/>
      <c r="B147" s="2"/>
      <c r="C147" s="140"/>
      <c r="D147" s="144"/>
      <c r="E147" s="115">
        <f t="shared" ref="E147" si="62">SUM(E140:E146)</f>
        <v>26</v>
      </c>
      <c r="F147" s="116"/>
      <c r="G147" s="115">
        <f t="shared" ref="G147" si="63">SUM(G140:G146)</f>
        <v>6</v>
      </c>
      <c r="H147" s="116"/>
      <c r="I147" s="115">
        <f t="shared" ref="I147" si="64">SUM(I140:I146)</f>
        <v>0</v>
      </c>
      <c r="J147" s="116"/>
      <c r="K147" s="115">
        <f t="shared" ref="K147" si="65">SUM(K140:K146)</f>
        <v>9</v>
      </c>
    </row>
    <row r="148" spans="1:11" ht="19.5" thickBot="1" x14ac:dyDescent="0.3">
      <c r="A148" s="82"/>
      <c r="B148" s="139"/>
      <c r="C148" s="108"/>
      <c r="D148" s="109"/>
      <c r="E148" s="109"/>
      <c r="F148" s="109"/>
      <c r="G148" s="109"/>
      <c r="H148" s="109"/>
      <c r="I148" s="109"/>
      <c r="J148" s="109"/>
      <c r="K148" s="109"/>
    </row>
    <row r="149" spans="1:11" ht="18.75" x14ac:dyDescent="0.25">
      <c r="A149" s="479">
        <v>41</v>
      </c>
      <c r="B149" s="110">
        <f t="shared" ref="B149" si="66">+B146+1</f>
        <v>45053</v>
      </c>
      <c r="C149" s="117">
        <f>LF!HM149</f>
        <v>12154</v>
      </c>
      <c r="D149" s="119">
        <f>LF!E149+LF!AC149+LF!BM149+LF!CK149+LF!DU149+LF!ES149+LF!FQ149+LF!GO149</f>
        <v>4098</v>
      </c>
      <c r="E149" s="112">
        <f>LF!C149+LF!AA149+LF!BK149+LF!CI149+LF!DS149+LF!EQ149+LF!FO149+LF!GM149</f>
        <v>3</v>
      </c>
      <c r="F149" s="119">
        <f>LF!Q149+LF!BY149+LF!EG149+LF!GC149</f>
        <v>3251</v>
      </c>
      <c r="G149" s="112">
        <f>LF!O149+LF!BW149+LF!EE149+LF!GA149</f>
        <v>0</v>
      </c>
      <c r="H149" s="119">
        <f>LF!AO149+LF!CW149</f>
        <v>1520</v>
      </c>
      <c r="I149" s="112">
        <f>LF!AM149+LF!CU149</f>
        <v>0</v>
      </c>
      <c r="J149" s="119">
        <f>LF!BA149+LF!DI149+LF!FE149+LF!HA149</f>
        <v>3285</v>
      </c>
      <c r="K149" s="112">
        <f>LF!AY149+LF!DG149+LF!FC149+LF!GY149</f>
        <v>0</v>
      </c>
    </row>
    <row r="150" spans="1:11" ht="18.75" x14ac:dyDescent="0.25">
      <c r="A150" s="480"/>
      <c r="B150" s="111">
        <f t="shared" si="41"/>
        <v>45054</v>
      </c>
      <c r="C150" s="118">
        <f>LF!HM150</f>
        <v>12143</v>
      </c>
      <c r="D150" s="120">
        <f>LF!E150+LF!AC150+LF!BM150+LF!CK150+LF!DU150+LF!ES150+LF!FQ150+LF!GO150</f>
        <v>4093</v>
      </c>
      <c r="E150" s="113">
        <f>LF!C150+LF!AA150+LF!BK150+LF!CI150+LF!DS150+LF!EQ150+LF!FO150+LF!GM150</f>
        <v>5</v>
      </c>
      <c r="F150" s="120">
        <f>LF!Q150+LF!BY150+LF!EG150+LF!GC150</f>
        <v>3249</v>
      </c>
      <c r="G150" s="113">
        <f>LF!O150+LF!BW150+LF!EE150+LF!GA150</f>
        <v>2</v>
      </c>
      <c r="H150" s="120">
        <f>LF!AO150+LF!CW150</f>
        <v>1518</v>
      </c>
      <c r="I150" s="113">
        <f>LF!AM150+LF!CU150</f>
        <v>2</v>
      </c>
      <c r="J150" s="120">
        <f>LF!BA150+LF!DI150+LF!FE150+LF!HA150</f>
        <v>3283</v>
      </c>
      <c r="K150" s="113">
        <f>LF!AY150+LF!DG150+LF!FC150+LF!GY150</f>
        <v>2</v>
      </c>
    </row>
    <row r="151" spans="1:11" ht="18.75" x14ac:dyDescent="0.25">
      <c r="A151" s="480"/>
      <c r="B151" s="111">
        <f t="shared" si="41"/>
        <v>45055</v>
      </c>
      <c r="C151" s="118">
        <f>LF!HM151</f>
        <v>12140</v>
      </c>
      <c r="D151" s="120">
        <f>LF!E151+LF!AC151+LF!BM151+LF!CK151+LF!DU151+LF!ES151+LF!FQ151+LF!GO151</f>
        <v>4093</v>
      </c>
      <c r="E151" s="113">
        <f>LF!C151+LF!AA151+LF!BK151+LF!CI151+LF!DS151+LF!EQ151+LF!FO151+LF!GM151</f>
        <v>0</v>
      </c>
      <c r="F151" s="120">
        <f>LF!Q151+LF!BY151+LF!EG151+LF!GC151</f>
        <v>3247</v>
      </c>
      <c r="G151" s="113">
        <f>LF!O151+LF!BW151+LF!EE151+LF!GA151</f>
        <v>2</v>
      </c>
      <c r="H151" s="120">
        <f>LF!AO151+LF!CW151</f>
        <v>1517</v>
      </c>
      <c r="I151" s="113">
        <f>LF!AM151+LF!CU151</f>
        <v>1</v>
      </c>
      <c r="J151" s="120">
        <f>LF!BA151+LF!DI151+LF!FE151+LF!HA151</f>
        <v>3283</v>
      </c>
      <c r="K151" s="113">
        <f>LF!AY151+LF!DG151+LF!FC151+LF!GY151</f>
        <v>0</v>
      </c>
    </row>
    <row r="152" spans="1:11" ht="18.75" x14ac:dyDescent="0.25">
      <c r="A152" s="480"/>
      <c r="B152" s="111">
        <f t="shared" si="41"/>
        <v>45056</v>
      </c>
      <c r="C152" s="118">
        <f>LF!HM152</f>
        <v>12137</v>
      </c>
      <c r="D152" s="120">
        <f>LF!E152+LF!AC152+LF!BM152+LF!CK152+LF!DU152+LF!ES152+LF!FQ152+LF!GO152</f>
        <v>4092</v>
      </c>
      <c r="E152" s="113">
        <f>LF!C152+LF!AA152+LF!BK152+LF!CI152+LF!DS152+LF!EQ152+LF!FO152+LF!GM152</f>
        <v>1</v>
      </c>
      <c r="F152" s="120">
        <f>LF!Q152+LF!BY152+LF!EG152+LF!GC152</f>
        <v>3245</v>
      </c>
      <c r="G152" s="113">
        <f>LF!O152+LF!BW152+LF!EE152+LF!GA152</f>
        <v>2</v>
      </c>
      <c r="H152" s="120">
        <f>LF!AO152+LF!CW152</f>
        <v>1517</v>
      </c>
      <c r="I152" s="113">
        <f>LF!AM152+LF!CU152</f>
        <v>0</v>
      </c>
      <c r="J152" s="120">
        <f>LF!BA152+LF!DI152+LF!FE152+LF!HA152</f>
        <v>3283</v>
      </c>
      <c r="K152" s="113">
        <f>LF!AY152+LF!DG152+LF!FC152+LF!GY152</f>
        <v>0</v>
      </c>
    </row>
    <row r="153" spans="1:11" ht="18.75" x14ac:dyDescent="0.25">
      <c r="A153" s="480"/>
      <c r="B153" s="111">
        <f t="shared" si="41"/>
        <v>45057</v>
      </c>
      <c r="C153" s="118">
        <f>LF!HM153</f>
        <v>12133</v>
      </c>
      <c r="D153" s="120">
        <f>LF!E153+LF!AC153+LF!BM153+LF!CK153+LF!DU153+LF!ES153+LF!FQ153+LF!GO153</f>
        <v>4090</v>
      </c>
      <c r="E153" s="113">
        <f>LF!C153+LF!AA153+LF!BK153+LF!CI153+LF!DS153+LF!EQ153+LF!FO153+LF!GM153</f>
        <v>2</v>
      </c>
      <c r="F153" s="120">
        <f>LF!Q153+LF!BY153+LF!EG153+LF!GC153</f>
        <v>3244</v>
      </c>
      <c r="G153" s="113">
        <f>LF!O153+LF!BW153+LF!EE153+LF!GA153</f>
        <v>1</v>
      </c>
      <c r="H153" s="120">
        <f>LF!AO153+LF!CW153</f>
        <v>1517</v>
      </c>
      <c r="I153" s="113">
        <f>LF!AM153+LF!CU153</f>
        <v>0</v>
      </c>
      <c r="J153" s="120">
        <f>LF!BA153+LF!DI153+LF!FE153+LF!HA153</f>
        <v>3282</v>
      </c>
      <c r="K153" s="113">
        <f>LF!AY153+LF!DG153+LF!FC153+LF!GY153</f>
        <v>1</v>
      </c>
    </row>
    <row r="154" spans="1:11" ht="18.75" x14ac:dyDescent="0.25">
      <c r="A154" s="480"/>
      <c r="B154" s="111">
        <f t="shared" si="41"/>
        <v>45058</v>
      </c>
      <c r="C154" s="118">
        <f>LF!HM154</f>
        <v>12127</v>
      </c>
      <c r="D154" s="120">
        <f>LF!E154+LF!AC154+LF!BM154+LF!CK154+LF!DU154+LF!ES154+LF!FQ154+LF!GO154</f>
        <v>4087</v>
      </c>
      <c r="E154" s="113">
        <f>LF!C154+LF!AA154+LF!BK154+LF!CI154+LF!DS154+LF!EQ154+LF!FO154+LF!GM154</f>
        <v>3</v>
      </c>
      <c r="F154" s="120">
        <f>LF!Q154+LF!BY154+LF!EG154+LF!GC154</f>
        <v>3243</v>
      </c>
      <c r="G154" s="113">
        <f>LF!O154+LF!BW154+LF!EE154+LF!GA154</f>
        <v>1</v>
      </c>
      <c r="H154" s="120">
        <f>LF!AO154+LF!CW154</f>
        <v>1515</v>
      </c>
      <c r="I154" s="113">
        <f>LF!AM154+LF!CU154</f>
        <v>2</v>
      </c>
      <c r="J154" s="120">
        <f>LF!BA154+LF!DI154+LF!FE154+LF!HA154</f>
        <v>3282</v>
      </c>
      <c r="K154" s="113">
        <f>LF!AY154+LF!DG154+LF!FC154+LF!GY154</f>
        <v>0</v>
      </c>
    </row>
    <row r="155" spans="1:11" ht="19.5" thickBot="1" x14ac:dyDescent="0.3">
      <c r="A155" s="480"/>
      <c r="B155" s="141">
        <f t="shared" si="41"/>
        <v>45059</v>
      </c>
      <c r="C155" s="142">
        <f>LF!HM155</f>
        <v>12127</v>
      </c>
      <c r="D155" s="143">
        <f>LF!E155+LF!AC155+LF!BM155+LF!CK155+LF!DU155+LF!ES155+LF!FQ155+LF!GO155</f>
        <v>4087</v>
      </c>
      <c r="E155" s="114">
        <f>LF!C155+LF!AA155+LF!BK155+LF!CI155+LF!DS155+LF!EQ155+LF!FO155+LF!GM155</f>
        <v>0</v>
      </c>
      <c r="F155" s="121">
        <f>LF!Q155+LF!BY155+LF!EG155+LF!GC155</f>
        <v>3243</v>
      </c>
      <c r="G155" s="114">
        <f>LF!O155+LF!BW155+LF!EE155+LF!GA155</f>
        <v>0</v>
      </c>
      <c r="H155" s="121">
        <f>LF!AO155+LF!CW155</f>
        <v>1515</v>
      </c>
      <c r="I155" s="114">
        <f>LF!AM155+LF!CU155</f>
        <v>0</v>
      </c>
      <c r="J155" s="121">
        <f>LF!BA155+LF!DI155+LF!FE155+LF!HA155</f>
        <v>3282</v>
      </c>
      <c r="K155" s="114">
        <f>LF!AY155+LF!DG155+LF!FC155+LF!GY155</f>
        <v>0</v>
      </c>
    </row>
    <row r="156" spans="1:11" ht="19.5" thickBot="1" x14ac:dyDescent="0.3">
      <c r="A156" s="481"/>
      <c r="B156" s="2"/>
      <c r="C156" s="140"/>
      <c r="D156" s="144"/>
      <c r="E156" s="115">
        <f t="shared" ref="E156" si="67">SUM(E149:E155)</f>
        <v>14</v>
      </c>
      <c r="F156" s="116"/>
      <c r="G156" s="115">
        <f t="shared" ref="G156" si="68">SUM(G149:G155)</f>
        <v>8</v>
      </c>
      <c r="H156" s="116"/>
      <c r="I156" s="115">
        <f t="shared" ref="I156" si="69">SUM(I149:I155)</f>
        <v>5</v>
      </c>
      <c r="J156" s="116"/>
      <c r="K156" s="115">
        <f t="shared" ref="K156" si="70">SUM(K149:K155)</f>
        <v>3</v>
      </c>
    </row>
    <row r="157" spans="1:11" ht="19.5" thickBot="1" x14ac:dyDescent="0.3">
      <c r="A157" s="82"/>
      <c r="B157" s="139"/>
      <c r="C157" s="108"/>
      <c r="D157" s="109"/>
      <c r="E157" s="109"/>
      <c r="F157" s="109"/>
      <c r="G157" s="109"/>
      <c r="H157" s="109"/>
      <c r="I157" s="109"/>
      <c r="J157" s="109"/>
      <c r="K157" s="109"/>
    </row>
    <row r="158" spans="1:11" ht="18.75" x14ac:dyDescent="0.25">
      <c r="A158" s="479">
        <v>42</v>
      </c>
      <c r="B158" s="110">
        <f t="shared" ref="B158" si="71">+B155+1</f>
        <v>45060</v>
      </c>
      <c r="C158" s="117">
        <f>LF!HM158</f>
        <v>12120</v>
      </c>
      <c r="D158" s="119">
        <f>LF!E158+LF!AC158+LF!BM158+LF!CK158+LF!DU158+LF!ES158+LF!FQ158+LF!GO158</f>
        <v>4083</v>
      </c>
      <c r="E158" s="112">
        <f>LF!C158+LF!AA158+LF!BK158+LF!CI158+LF!DS158+LF!EQ158+LF!FO158+LF!GM158</f>
        <v>4</v>
      </c>
      <c r="F158" s="119">
        <f>LF!Q158+LF!BY158+LF!EG158+LF!GC158</f>
        <v>3241</v>
      </c>
      <c r="G158" s="112">
        <f>LF!O158+LF!BW158+LF!EE158+LF!GA158</f>
        <v>2</v>
      </c>
      <c r="H158" s="119">
        <f>LF!AO158+LF!CW158</f>
        <v>1514</v>
      </c>
      <c r="I158" s="112">
        <f>LF!AM158+LF!CU158</f>
        <v>1</v>
      </c>
      <c r="J158" s="119">
        <f>LF!BA158+LF!DI158+LF!FE158+LF!HA158</f>
        <v>3282</v>
      </c>
      <c r="K158" s="112">
        <f>LF!AY158+LF!DG158+LF!FC158+LF!GY158</f>
        <v>0</v>
      </c>
    </row>
    <row r="159" spans="1:11" ht="18.75" x14ac:dyDescent="0.25">
      <c r="A159" s="480"/>
      <c r="B159" s="111">
        <f t="shared" si="41"/>
        <v>45061</v>
      </c>
      <c r="C159" s="118">
        <f>LF!HM159</f>
        <v>12114</v>
      </c>
      <c r="D159" s="120">
        <f>LF!E159+LF!AC159+LF!BM159+LF!CK159+LF!DU159+LF!ES159+LF!FQ159+LF!GO159</f>
        <v>4081</v>
      </c>
      <c r="E159" s="113">
        <f>LF!C159+LF!AA159+LF!BK159+LF!CI159+LF!DS159+LF!EQ159+LF!FO159+LF!GM159</f>
        <v>2</v>
      </c>
      <c r="F159" s="120">
        <f>LF!Q159+LF!BY159+LF!EG159+LF!GC159</f>
        <v>3239</v>
      </c>
      <c r="G159" s="113">
        <f>LF!O159+LF!BW159+LF!EE159+LF!GA159</f>
        <v>2</v>
      </c>
      <c r="H159" s="120">
        <f>LF!AO159+LF!CW159</f>
        <v>1514</v>
      </c>
      <c r="I159" s="113">
        <f>LF!AM159+LF!CU159</f>
        <v>0</v>
      </c>
      <c r="J159" s="120">
        <f>LF!BA159+LF!DI159+LF!FE159+LF!HA159</f>
        <v>3280</v>
      </c>
      <c r="K159" s="113">
        <f>LF!AY159+LF!DG159+LF!FC159+LF!GY159</f>
        <v>2</v>
      </c>
    </row>
    <row r="160" spans="1:11" ht="18.75" x14ac:dyDescent="0.25">
      <c r="A160" s="480"/>
      <c r="B160" s="111">
        <f t="shared" si="41"/>
        <v>45062</v>
      </c>
      <c r="C160" s="118">
        <f>LF!HM160</f>
        <v>12107</v>
      </c>
      <c r="D160" s="120">
        <f>LF!E160+LF!AC160+LF!BM160+LF!CK160+LF!DU160+LF!ES160+LF!FQ160+LF!GO160</f>
        <v>4076</v>
      </c>
      <c r="E160" s="113">
        <f>LF!C160+LF!AA160+LF!BK160+LF!CI160+LF!DS160+LF!EQ160+LF!FO160+LF!GM160</f>
        <v>5</v>
      </c>
      <c r="F160" s="120">
        <f>LF!Q160+LF!BY160+LF!EG160+LF!GC160</f>
        <v>3239</v>
      </c>
      <c r="G160" s="113">
        <f>LF!O160+LF!BW160+LF!EE160+LF!GA160</f>
        <v>0</v>
      </c>
      <c r="H160" s="120">
        <f>LF!AO160+LF!CW160</f>
        <v>1513</v>
      </c>
      <c r="I160" s="113">
        <f>LF!AM160+LF!CU160</f>
        <v>1</v>
      </c>
      <c r="J160" s="120">
        <f>LF!BA160+LF!DI160+LF!FE160+LF!HA160</f>
        <v>3279</v>
      </c>
      <c r="K160" s="113">
        <f>LF!AY160+LF!DG160+LF!FC160+LF!GY160</f>
        <v>1</v>
      </c>
    </row>
    <row r="161" spans="1:11" ht="18.75" x14ac:dyDescent="0.25">
      <c r="A161" s="480"/>
      <c r="B161" s="111">
        <f t="shared" si="41"/>
        <v>45063</v>
      </c>
      <c r="C161" s="118">
        <f>LF!HM161</f>
        <v>12105</v>
      </c>
      <c r="D161" s="120">
        <f>LF!E161+LF!AC161+LF!BM161+LF!CK161+LF!DU161+LF!ES161+LF!FQ161+LF!GO161</f>
        <v>4074</v>
      </c>
      <c r="E161" s="113">
        <f>LF!C161+LF!AA161+LF!BK161+LF!CI161+LF!DS161+LF!EQ161+LF!FO161+LF!GM161</f>
        <v>2</v>
      </c>
      <c r="F161" s="120">
        <f>LF!Q161+LF!BY161+LF!EG161+LF!GC161</f>
        <v>3239</v>
      </c>
      <c r="G161" s="113">
        <f>LF!O161+LF!BW161+LF!EE161+LF!GA161</f>
        <v>0</v>
      </c>
      <c r="H161" s="120">
        <f>LF!AO161+LF!CW161</f>
        <v>1513</v>
      </c>
      <c r="I161" s="113">
        <f>LF!AM161+LF!CU161</f>
        <v>0</v>
      </c>
      <c r="J161" s="120">
        <f>LF!BA161+LF!DI161+LF!FE161+LF!HA161</f>
        <v>3279</v>
      </c>
      <c r="K161" s="113">
        <f>LF!AY161+LF!DG161+LF!FC161+LF!GY161</f>
        <v>0</v>
      </c>
    </row>
    <row r="162" spans="1:11" ht="18.75" x14ac:dyDescent="0.25">
      <c r="A162" s="480"/>
      <c r="B162" s="111">
        <f t="shared" si="41"/>
        <v>45064</v>
      </c>
      <c r="C162" s="118">
        <f>LF!HM162</f>
        <v>12100</v>
      </c>
      <c r="D162" s="120">
        <f>LF!E162+LF!AC162+LF!BM162+LF!CK162+LF!DU162+LF!ES162+LF!FQ162+LF!GO162</f>
        <v>4072</v>
      </c>
      <c r="E162" s="113">
        <f>LF!C162+LF!AA162+LF!BK162+LF!CI162+LF!DS162+LF!EQ162+LF!FO162+LF!GM162</f>
        <v>2</v>
      </c>
      <c r="F162" s="120">
        <f>LF!Q162+LF!BY162+LF!EG162+LF!GC162</f>
        <v>3238</v>
      </c>
      <c r="G162" s="113">
        <f>LF!O162+LF!BW162+LF!EE162+LF!GA162</f>
        <v>1</v>
      </c>
      <c r="H162" s="120">
        <f>LF!AO162+LF!CW162</f>
        <v>1513</v>
      </c>
      <c r="I162" s="113">
        <f>LF!AM162+LF!CU162</f>
        <v>0</v>
      </c>
      <c r="J162" s="120">
        <f>LF!BA162+LF!DI162+LF!FE162+LF!HA162</f>
        <v>3277</v>
      </c>
      <c r="K162" s="113">
        <f>LF!AY162+LF!DG162+LF!FC162+LF!GY162</f>
        <v>2</v>
      </c>
    </row>
    <row r="163" spans="1:11" ht="18.75" x14ac:dyDescent="0.25">
      <c r="A163" s="480"/>
      <c r="B163" s="111">
        <f t="shared" si="41"/>
        <v>45065</v>
      </c>
      <c r="C163" s="118">
        <f>LF!HM163</f>
        <v>12093</v>
      </c>
      <c r="D163" s="120">
        <f>LF!E163+LF!AC163+LF!BM163+LF!CK163+LF!DU163+LF!ES163+LF!FQ163+LF!GO163</f>
        <v>4069</v>
      </c>
      <c r="E163" s="113">
        <f>LF!C163+LF!AA163+LF!BK163+LF!CI163+LF!DS163+LF!EQ163+LF!FO163+LF!GM163</f>
        <v>3</v>
      </c>
      <c r="F163" s="120">
        <f>LF!Q163+LF!BY163+LF!EG163+LF!GC163</f>
        <v>3238</v>
      </c>
      <c r="G163" s="113">
        <f>LF!O163+LF!BW163+LF!EE163+LF!GA163</f>
        <v>0</v>
      </c>
      <c r="H163" s="120">
        <f>LF!AO163+LF!CW163</f>
        <v>1512</v>
      </c>
      <c r="I163" s="113">
        <f>LF!AM163+LF!CU163</f>
        <v>1</v>
      </c>
      <c r="J163" s="120">
        <f>LF!BA163+LF!DI163+LF!FE163+LF!HA163</f>
        <v>3274</v>
      </c>
      <c r="K163" s="113">
        <f>LF!AY163+LF!DG163+LF!FC163+LF!GY163</f>
        <v>3</v>
      </c>
    </row>
    <row r="164" spans="1:11" ht="19.5" thickBot="1" x14ac:dyDescent="0.3">
      <c r="A164" s="480"/>
      <c r="B164" s="141">
        <f t="shared" si="41"/>
        <v>45066</v>
      </c>
      <c r="C164" s="142">
        <f>LF!HM164</f>
        <v>12086</v>
      </c>
      <c r="D164" s="143">
        <f>LF!E164+LF!AC164+LF!BM164+LF!CK164+LF!DU164+LF!ES164+LF!FQ164+LF!GO164</f>
        <v>4065</v>
      </c>
      <c r="E164" s="114">
        <f>LF!C164+LF!AA164+LF!BK164+LF!CI164+LF!DS164+LF!EQ164+LF!FO164+LF!GM164</f>
        <v>4</v>
      </c>
      <c r="F164" s="121">
        <f>LF!Q164+LF!BY164+LF!EG164+LF!GC164</f>
        <v>3236</v>
      </c>
      <c r="G164" s="114">
        <f>LF!O164+LF!BW164+LF!EE164+LF!GA164</f>
        <v>2</v>
      </c>
      <c r="H164" s="121">
        <f>LF!AO164+LF!CW164</f>
        <v>1512</v>
      </c>
      <c r="I164" s="114">
        <f>LF!AM164+LF!CU164</f>
        <v>0</v>
      </c>
      <c r="J164" s="121">
        <f>LF!BA164+LF!DI164+LF!FE164+LF!HA164</f>
        <v>3273</v>
      </c>
      <c r="K164" s="114">
        <f>LF!AY164+LF!DG164+LF!FC164+LF!GY164</f>
        <v>1</v>
      </c>
    </row>
    <row r="165" spans="1:11" ht="19.5" thickBot="1" x14ac:dyDescent="0.3">
      <c r="A165" s="481"/>
      <c r="B165" s="2"/>
      <c r="C165" s="140"/>
      <c r="D165" s="144"/>
      <c r="E165" s="115">
        <f t="shared" ref="E165" si="72">SUM(E158:E164)</f>
        <v>22</v>
      </c>
      <c r="F165" s="116"/>
      <c r="G165" s="115">
        <f t="shared" ref="G165" si="73">SUM(G158:G164)</f>
        <v>7</v>
      </c>
      <c r="H165" s="116"/>
      <c r="I165" s="115">
        <f t="shared" ref="I165" si="74">SUM(I158:I164)</f>
        <v>3</v>
      </c>
      <c r="J165" s="116"/>
      <c r="K165" s="115">
        <f t="shared" ref="K165" si="75">SUM(K158:K164)</f>
        <v>9</v>
      </c>
    </row>
    <row r="166" spans="1:11" ht="19.5" thickBot="1" x14ac:dyDescent="0.3">
      <c r="A166" s="82"/>
      <c r="B166" s="139"/>
      <c r="C166" s="108"/>
      <c r="D166" s="109"/>
      <c r="E166" s="109"/>
      <c r="F166" s="109"/>
      <c r="G166" s="109"/>
      <c r="H166" s="109"/>
      <c r="I166" s="109"/>
      <c r="J166" s="109"/>
      <c r="K166" s="109"/>
    </row>
    <row r="167" spans="1:11" ht="18.75" x14ac:dyDescent="0.25">
      <c r="A167" s="479">
        <v>43</v>
      </c>
      <c r="B167" s="110">
        <f t="shared" ref="B167" si="76">+B164+1</f>
        <v>45067</v>
      </c>
      <c r="C167" s="117">
        <f>LF!HM167</f>
        <v>12081</v>
      </c>
      <c r="D167" s="119">
        <f>LF!E167+LF!AC167+LF!BM167+LF!CK167+LF!DU167+LF!ES167+LF!FQ167+LF!GO167</f>
        <v>4064</v>
      </c>
      <c r="E167" s="112">
        <f>LF!C167+LF!AA167+LF!BK167+LF!CI167+LF!DS167+LF!EQ167+LF!FO167+LF!GM167</f>
        <v>1</v>
      </c>
      <c r="F167" s="119">
        <f>LF!Q167+LF!BY167+LF!EG167+LF!GC167</f>
        <v>3236</v>
      </c>
      <c r="G167" s="112">
        <f>LF!O167+LF!BW167+LF!EE167+LF!GA167</f>
        <v>0</v>
      </c>
      <c r="H167" s="119">
        <f>LF!AO167+LF!CW167</f>
        <v>1511</v>
      </c>
      <c r="I167" s="112">
        <f>LF!AM167+LF!CU167</f>
        <v>1</v>
      </c>
      <c r="J167" s="119">
        <f>LF!BA167+LF!DI167+LF!FE167+LF!HA167</f>
        <v>3270</v>
      </c>
      <c r="K167" s="112">
        <f>LF!AY167+LF!DG167+LF!FC167+LF!GY167</f>
        <v>3</v>
      </c>
    </row>
    <row r="168" spans="1:11" ht="18.75" x14ac:dyDescent="0.25">
      <c r="A168" s="480"/>
      <c r="B168" s="111">
        <f t="shared" si="41"/>
        <v>45068</v>
      </c>
      <c r="C168" s="118">
        <f>LF!HM168</f>
        <v>12075</v>
      </c>
      <c r="D168" s="120">
        <f>LF!E168+LF!AC168+LF!BM168+LF!CK168+LF!DU168+LF!ES168+LF!FQ168+LF!GO168</f>
        <v>4061</v>
      </c>
      <c r="E168" s="113">
        <f>LF!C168+LF!AA168+LF!BK168+LF!CI168+LF!DS168+LF!EQ168+LF!FO168+LF!GM168</f>
        <v>3</v>
      </c>
      <c r="F168" s="120">
        <f>LF!Q168+LF!BY168+LF!EG168+LF!GC168</f>
        <v>3236</v>
      </c>
      <c r="G168" s="113">
        <f>LF!O168+LF!BW168+LF!EE168+LF!GA168</f>
        <v>0</v>
      </c>
      <c r="H168" s="120">
        <f>LF!AO168+LF!CW168</f>
        <v>1511</v>
      </c>
      <c r="I168" s="113">
        <f>LF!AM168+LF!CU168</f>
        <v>0</v>
      </c>
      <c r="J168" s="120">
        <f>LF!BA168+LF!DI168+LF!FE168+LF!HA168</f>
        <v>3267</v>
      </c>
      <c r="K168" s="113">
        <f>LF!AY168+LF!DG168+LF!FC168+LF!GY168</f>
        <v>3</v>
      </c>
    </row>
    <row r="169" spans="1:11" ht="18.75" x14ac:dyDescent="0.25">
      <c r="A169" s="480"/>
      <c r="B169" s="111">
        <f t="shared" si="41"/>
        <v>45069</v>
      </c>
      <c r="C169" s="118">
        <f>LF!HM169</f>
        <v>12069</v>
      </c>
      <c r="D169" s="120">
        <f>LF!E169+LF!AC169+LF!BM169+LF!CK169+LF!DU169+LF!ES169+LF!FQ169+LF!GO169</f>
        <v>4056</v>
      </c>
      <c r="E169" s="113">
        <f>LF!C169+LF!AA169+LF!BK169+LF!CI169+LF!DS169+LF!EQ169+LF!FO169+LF!GM169</f>
        <v>5</v>
      </c>
      <c r="F169" s="120">
        <f>LF!Q169+LF!BY169+LF!EG169+LF!GC169</f>
        <v>3236</v>
      </c>
      <c r="G169" s="113">
        <f>LF!O169+LF!BW169+LF!EE169+LF!GA169</f>
        <v>0</v>
      </c>
      <c r="H169" s="120">
        <f>LF!AO169+LF!CW169</f>
        <v>1510</v>
      </c>
      <c r="I169" s="113">
        <f>LF!AM169+LF!CU169</f>
        <v>1</v>
      </c>
      <c r="J169" s="120">
        <f>LF!BA169+LF!DI169+LF!FE169+LF!HA169</f>
        <v>3267</v>
      </c>
      <c r="K169" s="113">
        <f>LF!AY169+LF!DG169+LF!FC169+LF!GY169</f>
        <v>0</v>
      </c>
    </row>
    <row r="170" spans="1:11" ht="18.75" x14ac:dyDescent="0.25">
      <c r="A170" s="480"/>
      <c r="B170" s="111">
        <f t="shared" ref="B170:B209" si="77">+B169+1</f>
        <v>45070</v>
      </c>
      <c r="C170" s="118">
        <f>LF!HM170</f>
        <v>12064</v>
      </c>
      <c r="D170" s="120">
        <f>LF!E170+LF!AC170+LF!BM170+LF!CK170+LF!DU170+LF!ES170+LF!FQ170+LF!GO170</f>
        <v>4054</v>
      </c>
      <c r="E170" s="113">
        <f>LF!C170+LF!AA170+LF!BK170+LF!CI170+LF!DS170+LF!EQ170+LF!FO170+LF!GM170</f>
        <v>2</v>
      </c>
      <c r="F170" s="120">
        <f>LF!Q170+LF!BY170+LF!EG170+LF!GC170</f>
        <v>3235</v>
      </c>
      <c r="G170" s="113">
        <f>LF!O170+LF!BW170+LF!EE170+LF!GA170</f>
        <v>1</v>
      </c>
      <c r="H170" s="120">
        <f>LF!AO170+LF!CW170</f>
        <v>1509</v>
      </c>
      <c r="I170" s="113">
        <f>LF!AM170+LF!CU170</f>
        <v>1</v>
      </c>
      <c r="J170" s="120">
        <f>LF!BA170+LF!DI170+LF!FE170+LF!HA170</f>
        <v>3266</v>
      </c>
      <c r="K170" s="113">
        <f>LF!AY170+LF!DG170+LF!FC170+LF!GY170</f>
        <v>1</v>
      </c>
    </row>
    <row r="171" spans="1:11" ht="18.75" x14ac:dyDescent="0.25">
      <c r="A171" s="480"/>
      <c r="B171" s="111">
        <f t="shared" si="77"/>
        <v>45071</v>
      </c>
      <c r="C171" s="118">
        <f>LF!HM171</f>
        <v>12057</v>
      </c>
      <c r="D171" s="120">
        <f>LF!E171+LF!AC171+LF!BM171+LF!CK171+LF!DU171+LF!ES171+LF!FQ171+LF!GO171</f>
        <v>4052</v>
      </c>
      <c r="E171" s="113">
        <f>LF!C171+LF!AA171+LF!BK171+LF!CI171+LF!DS171+LF!EQ171+LF!FO171+LF!GM171</f>
        <v>2</v>
      </c>
      <c r="F171" s="120">
        <f>LF!Q171+LF!BY171+LF!EG171+LF!GC171</f>
        <v>3233</v>
      </c>
      <c r="G171" s="113">
        <f>LF!O171+LF!BW171+LF!EE171+LF!GA171</f>
        <v>2</v>
      </c>
      <c r="H171" s="120">
        <f>LF!AO171+LF!CW171</f>
        <v>1509</v>
      </c>
      <c r="I171" s="113">
        <f>LF!AM171+LF!CU171</f>
        <v>0</v>
      </c>
      <c r="J171" s="120">
        <f>LF!BA171+LF!DI171+LF!FE171+LF!HA171</f>
        <v>3263</v>
      </c>
      <c r="K171" s="113">
        <f>LF!AY171+LF!DG171+LF!FC171+LF!GY171</f>
        <v>3</v>
      </c>
    </row>
    <row r="172" spans="1:11" ht="18.75" x14ac:dyDescent="0.25">
      <c r="A172" s="480"/>
      <c r="B172" s="111">
        <f t="shared" si="77"/>
        <v>45072</v>
      </c>
      <c r="C172" s="118">
        <f>LF!HM172</f>
        <v>12045</v>
      </c>
      <c r="D172" s="120">
        <f>LF!E172+LF!AC172+LF!BM172+LF!CK172+LF!DU172+LF!ES172+LF!FQ172+LF!GO172</f>
        <v>4047</v>
      </c>
      <c r="E172" s="113">
        <f>LF!C172+LF!AA172+LF!BK172+LF!CI172+LF!DS172+LF!EQ172+LF!FO172+LF!GM172</f>
        <v>5</v>
      </c>
      <c r="F172" s="120">
        <f>LF!Q172+LF!BY172+LF!EG172+LF!GC172</f>
        <v>3232</v>
      </c>
      <c r="G172" s="113">
        <f>LF!O172+LF!BW172+LF!EE172+LF!GA172</f>
        <v>1</v>
      </c>
      <c r="H172" s="120">
        <f>LF!AO172+LF!CW172</f>
        <v>1509</v>
      </c>
      <c r="I172" s="113">
        <f>LF!AM172+LF!CU172</f>
        <v>0</v>
      </c>
      <c r="J172" s="120">
        <f>LF!BA172+LF!DI172+LF!FE172+LF!HA172</f>
        <v>3257</v>
      </c>
      <c r="K172" s="113">
        <f>LF!AY172+LF!DG172+LF!FC172+LF!GY172</f>
        <v>6</v>
      </c>
    </row>
    <row r="173" spans="1:11" ht="19.5" thickBot="1" x14ac:dyDescent="0.3">
      <c r="A173" s="480"/>
      <c r="B173" s="141">
        <f t="shared" si="77"/>
        <v>45073</v>
      </c>
      <c r="C173" s="142">
        <f>LF!HM173</f>
        <v>12038</v>
      </c>
      <c r="D173" s="143">
        <f>LF!E173+LF!AC173+LF!BM173+LF!CK173+LF!DU173+LF!ES173+LF!FQ173+LF!GO173</f>
        <v>4044</v>
      </c>
      <c r="E173" s="114">
        <f>LF!C173+LF!AA173+LF!BK173+LF!CI173+LF!DS173+LF!EQ173+LF!FO173+LF!GM173</f>
        <v>3</v>
      </c>
      <c r="F173" s="121">
        <f>LF!Q173+LF!BY173+LF!EG173+LF!GC173</f>
        <v>3232</v>
      </c>
      <c r="G173" s="114">
        <f>LF!O173+LF!BW173+LF!EE173+LF!GA173</f>
        <v>0</v>
      </c>
      <c r="H173" s="121">
        <f>LF!AO173+LF!CW173</f>
        <v>1507</v>
      </c>
      <c r="I173" s="114">
        <f>LF!AM173+LF!CU173</f>
        <v>2</v>
      </c>
      <c r="J173" s="121">
        <f>LF!BA173+LF!DI173+LF!FE173+LF!HA173</f>
        <v>3255</v>
      </c>
      <c r="K173" s="114">
        <f>LF!AY173+LF!DG173+LF!FC173+LF!GY173</f>
        <v>2</v>
      </c>
    </row>
    <row r="174" spans="1:11" ht="19.5" thickBot="1" x14ac:dyDescent="0.3">
      <c r="A174" s="481"/>
      <c r="B174" s="2"/>
      <c r="C174" s="140"/>
      <c r="D174" s="144"/>
      <c r="E174" s="115">
        <f t="shared" ref="E174" si="78">SUM(E167:E173)</f>
        <v>21</v>
      </c>
      <c r="F174" s="116"/>
      <c r="G174" s="115">
        <f t="shared" ref="G174" si="79">SUM(G167:G173)</f>
        <v>4</v>
      </c>
      <c r="H174" s="116"/>
      <c r="I174" s="115">
        <f t="shared" ref="I174" si="80">SUM(I167:I173)</f>
        <v>5</v>
      </c>
      <c r="J174" s="116"/>
      <c r="K174" s="115">
        <f t="shared" ref="K174" si="81">SUM(K167:K173)</f>
        <v>18</v>
      </c>
    </row>
    <row r="175" spans="1:11" ht="19.5" thickBot="1" x14ac:dyDescent="0.3">
      <c r="A175" s="82"/>
      <c r="B175" s="139"/>
      <c r="C175" s="108"/>
      <c r="D175" s="109"/>
      <c r="E175" s="109"/>
      <c r="F175" s="109"/>
      <c r="G175" s="109"/>
      <c r="H175" s="109"/>
      <c r="I175" s="109"/>
      <c r="J175" s="109"/>
      <c r="K175" s="109"/>
    </row>
    <row r="176" spans="1:11" ht="18.75" x14ac:dyDescent="0.25">
      <c r="A176" s="479">
        <v>44</v>
      </c>
      <c r="B176" s="110">
        <f t="shared" ref="B176" si="82">+B173+1</f>
        <v>45074</v>
      </c>
      <c r="C176" s="117">
        <f>LF!HM176</f>
        <v>12025</v>
      </c>
      <c r="D176" s="119">
        <f>LF!E176+LF!AC176+LF!BM176+LF!CK176+LF!DU176+LF!ES176+LF!FQ176+LF!GO176</f>
        <v>4036</v>
      </c>
      <c r="E176" s="112">
        <f>LF!C176+LF!AA176+LF!BK176+LF!CI176+LF!DS176+LF!EQ176+LF!FO176+LF!GM176</f>
        <v>8</v>
      </c>
      <c r="F176" s="119">
        <f>LF!Q176+LF!BY176+LF!EG176+LF!GC176</f>
        <v>3231</v>
      </c>
      <c r="G176" s="112">
        <f>LF!O176+LF!BW176+LF!EE176+LF!GA176</f>
        <v>1</v>
      </c>
      <c r="H176" s="119">
        <f>LF!AO176+LF!CW176</f>
        <v>1505</v>
      </c>
      <c r="I176" s="112">
        <f>LF!AM176+LF!CU176</f>
        <v>2</v>
      </c>
      <c r="J176" s="119">
        <f>LF!BA176+LF!DI176+LF!FE176+LF!HA176</f>
        <v>3253</v>
      </c>
      <c r="K176" s="112">
        <f>LF!AY176+LF!DG176+LF!FC176+LF!GY176</f>
        <v>2</v>
      </c>
    </row>
    <row r="177" spans="1:11" ht="18.75" x14ac:dyDescent="0.25">
      <c r="A177" s="480"/>
      <c r="B177" s="111">
        <f t="shared" si="77"/>
        <v>45075</v>
      </c>
      <c r="C177" s="118">
        <f>LF!HM177</f>
        <v>12019</v>
      </c>
      <c r="D177" s="120">
        <f>LF!E177+LF!AC177+LF!BM177+LF!CK177+LF!DU177+LF!ES177+LF!FQ177+LF!GO177</f>
        <v>4033</v>
      </c>
      <c r="E177" s="113">
        <f>LF!C177+LF!AA177+LF!BK177+LF!CI177+LF!DS177+LF!EQ177+LF!FO177+LF!GM177</f>
        <v>3</v>
      </c>
      <c r="F177" s="120">
        <f>LF!Q177+LF!BY177+LF!EG177+LF!GC177</f>
        <v>3230</v>
      </c>
      <c r="G177" s="113">
        <f>LF!O177+LF!BW177+LF!EE177+LF!GA177</f>
        <v>1</v>
      </c>
      <c r="H177" s="120">
        <f>LF!AO177+LF!CW177</f>
        <v>1505</v>
      </c>
      <c r="I177" s="113">
        <f>LF!AM177+LF!CU177</f>
        <v>0</v>
      </c>
      <c r="J177" s="120">
        <f>LF!BA177+LF!DI177+LF!FE177+LF!HA177</f>
        <v>3251</v>
      </c>
      <c r="K177" s="113">
        <f>LF!AY177+LF!DG177+LF!FC177+LF!GY177</f>
        <v>2</v>
      </c>
    </row>
    <row r="178" spans="1:11" ht="18.75" x14ac:dyDescent="0.25">
      <c r="A178" s="480"/>
      <c r="B178" s="111">
        <f t="shared" si="77"/>
        <v>45076</v>
      </c>
      <c r="C178" s="118">
        <f>LF!HM178</f>
        <v>12015</v>
      </c>
      <c r="D178" s="120">
        <f>LF!E178+LF!AC178+LF!BM178+LF!CK178+LF!DU178+LF!ES178+LF!FQ178+LF!GO178</f>
        <v>4031</v>
      </c>
      <c r="E178" s="113">
        <f>LF!C178+LF!AA178+LF!BK178+LF!CI178+LF!DS178+LF!EQ178+LF!FO178+LF!GM178</f>
        <v>2</v>
      </c>
      <c r="F178" s="120">
        <f>LF!Q178+LF!BY178+LF!EG178+LF!GC178</f>
        <v>3229</v>
      </c>
      <c r="G178" s="113">
        <f>LF!O178+LF!BW178+LF!EE178+LF!GA178</f>
        <v>1</v>
      </c>
      <c r="H178" s="120">
        <f>LF!AO178+LF!CW178</f>
        <v>1504</v>
      </c>
      <c r="I178" s="113">
        <f>LF!AM178+LF!CU178</f>
        <v>1</v>
      </c>
      <c r="J178" s="120">
        <f>LF!BA178+LF!DI178+LF!FE178+LF!HA178</f>
        <v>3251</v>
      </c>
      <c r="K178" s="113">
        <f>LF!AY178+LF!DG178+LF!FC178+LF!GY178</f>
        <v>0</v>
      </c>
    </row>
    <row r="179" spans="1:11" ht="18.75" x14ac:dyDescent="0.25">
      <c r="A179" s="480"/>
      <c r="B179" s="111">
        <f t="shared" si="77"/>
        <v>45077</v>
      </c>
      <c r="C179" s="118">
        <f>LF!HM179</f>
        <v>12011</v>
      </c>
      <c r="D179" s="120">
        <f>LF!E179+LF!AC179+LF!BM179+LF!CK179+LF!DU179+LF!ES179+LF!FQ179+LF!GO179</f>
        <v>4028</v>
      </c>
      <c r="E179" s="113">
        <f>LF!C179+LF!AA179+LF!BK179+LF!CI179+LF!DS179+LF!EQ179+LF!FO179+LF!GM179</f>
        <v>3</v>
      </c>
      <c r="F179" s="120">
        <f>LF!Q179+LF!BY179+LF!EG179+LF!GC179</f>
        <v>3229</v>
      </c>
      <c r="G179" s="113">
        <f>LF!O179+LF!BW179+LF!EE179+LF!GA179</f>
        <v>0</v>
      </c>
      <c r="H179" s="120">
        <f>LF!AO179+LF!CW179</f>
        <v>1503</v>
      </c>
      <c r="I179" s="113">
        <f>LF!AM179+LF!CU179</f>
        <v>1</v>
      </c>
      <c r="J179" s="120">
        <f>LF!BA179+LF!DI179+LF!FE179+LF!HA179</f>
        <v>3251</v>
      </c>
      <c r="K179" s="113">
        <f>LF!AY179+LF!DG179+LF!FC179+LF!GY179</f>
        <v>0</v>
      </c>
    </row>
    <row r="180" spans="1:11" ht="18.75" x14ac:dyDescent="0.25">
      <c r="A180" s="480"/>
      <c r="B180" s="111">
        <f t="shared" si="77"/>
        <v>45078</v>
      </c>
      <c r="C180" s="118">
        <f>LF!HM180</f>
        <v>12006</v>
      </c>
      <c r="D180" s="120">
        <f>LF!E180+LF!AC180+LF!BM180+LF!CK180+LF!DU180+LF!ES180+LF!FQ180+LF!GO180</f>
        <v>4025</v>
      </c>
      <c r="E180" s="113">
        <f>LF!C180+LF!AA180+LF!BK180+LF!CI180+LF!DS180+LF!EQ180+LF!FO180+LF!GM180</f>
        <v>3</v>
      </c>
      <c r="F180" s="120">
        <f>LF!Q180+LF!BY180+LF!EG180+LF!GC180</f>
        <v>3229</v>
      </c>
      <c r="G180" s="113">
        <f>LF!O180+LF!BW180+LF!EE180+LF!GA180</f>
        <v>0</v>
      </c>
      <c r="H180" s="120">
        <f>LF!AO180+LF!CW180</f>
        <v>1501</v>
      </c>
      <c r="I180" s="113">
        <f>LF!AM180+LF!CU180</f>
        <v>2</v>
      </c>
      <c r="J180" s="120">
        <f>LF!BA180+LF!DI180+LF!FE180+LF!HA180</f>
        <v>3251</v>
      </c>
      <c r="K180" s="113">
        <f>LF!AY180+LF!DG180+LF!FC180+LF!GY180</f>
        <v>0</v>
      </c>
    </row>
    <row r="181" spans="1:11" ht="18.75" x14ac:dyDescent="0.25">
      <c r="A181" s="480"/>
      <c r="B181" s="111">
        <f t="shared" si="77"/>
        <v>45079</v>
      </c>
      <c r="C181" s="118">
        <f>LF!HM181</f>
        <v>11998</v>
      </c>
      <c r="D181" s="120">
        <f>LF!E181+LF!AC181+LF!BM181+LF!CK181+LF!DU181+LF!ES181+LF!FQ181+LF!GO181</f>
        <v>4018</v>
      </c>
      <c r="E181" s="113">
        <f>LF!C181+LF!AA181+LF!BK181+LF!CI181+LF!DS181+LF!EQ181+LF!FO181+LF!GM181</f>
        <v>7</v>
      </c>
      <c r="F181" s="120">
        <f>LF!Q181+LF!BY181+LF!EG181+LF!GC181</f>
        <v>3228</v>
      </c>
      <c r="G181" s="113">
        <f>LF!O181+LF!BW181+LF!EE181+LF!GA181</f>
        <v>1</v>
      </c>
      <c r="H181" s="120">
        <f>LF!AO181+LF!CW181</f>
        <v>1501</v>
      </c>
      <c r="I181" s="113">
        <f>LF!AM181+LF!CU181</f>
        <v>0</v>
      </c>
      <c r="J181" s="120">
        <f>LF!BA181+LF!DI181+LF!FE181+LF!HA181</f>
        <v>3251</v>
      </c>
      <c r="K181" s="113">
        <f>LF!AY181+LF!DG181+LF!FC181+LF!GY181</f>
        <v>0</v>
      </c>
    </row>
    <row r="182" spans="1:11" ht="19.5" thickBot="1" x14ac:dyDescent="0.3">
      <c r="A182" s="480"/>
      <c r="B182" s="141">
        <f t="shared" si="77"/>
        <v>45080</v>
      </c>
      <c r="C182" s="142">
        <f>LF!HM182</f>
        <v>11994</v>
      </c>
      <c r="D182" s="143">
        <f>LF!E182+LF!AC182+LF!BM182+LF!CK182+LF!DU182+LF!ES182+LF!FQ182+LF!GO182</f>
        <v>4015</v>
      </c>
      <c r="E182" s="114">
        <f>LF!C182+LF!AA182+LF!BK182+LF!CI182+LF!DS182+LF!EQ182+LF!FO182+LF!GM182</f>
        <v>3</v>
      </c>
      <c r="F182" s="121">
        <f>LF!Q182+LF!BY182+LF!EG182+LF!GC182</f>
        <v>3227</v>
      </c>
      <c r="G182" s="114">
        <f>LF!O182+LF!BW182+LF!EE182+LF!GA182</f>
        <v>1</v>
      </c>
      <c r="H182" s="121">
        <f>LF!AO182+LF!CW182</f>
        <v>1501</v>
      </c>
      <c r="I182" s="114">
        <f>LF!AM182+LF!CU182</f>
        <v>0</v>
      </c>
      <c r="J182" s="121">
        <f>LF!BA182+LF!DI182+LF!FE182+LF!HA182</f>
        <v>3251</v>
      </c>
      <c r="K182" s="114">
        <f>LF!AY182+LF!DG182+LF!FC182+LF!GY182</f>
        <v>0</v>
      </c>
    </row>
    <row r="183" spans="1:11" ht="19.5" thickBot="1" x14ac:dyDescent="0.3">
      <c r="A183" s="481"/>
      <c r="B183" s="2"/>
      <c r="C183" s="140"/>
      <c r="D183" s="144"/>
      <c r="E183" s="115">
        <f t="shared" ref="E183" si="83">SUM(E176:E182)</f>
        <v>29</v>
      </c>
      <c r="F183" s="116"/>
      <c r="G183" s="115">
        <f t="shared" ref="G183" si="84">SUM(G176:G182)</f>
        <v>5</v>
      </c>
      <c r="H183" s="116"/>
      <c r="I183" s="115">
        <f t="shared" ref="I183" si="85">SUM(I176:I182)</f>
        <v>6</v>
      </c>
      <c r="J183" s="116"/>
      <c r="K183" s="115">
        <f t="shared" ref="K183" si="86">SUM(K176:K182)</f>
        <v>4</v>
      </c>
    </row>
    <row r="184" spans="1:11" ht="19.5" thickBot="1" x14ac:dyDescent="0.3">
      <c r="A184" s="82"/>
      <c r="B184" s="139"/>
      <c r="C184" s="108"/>
      <c r="D184" s="109"/>
      <c r="E184" s="109"/>
      <c r="F184" s="109"/>
      <c r="G184" s="109"/>
      <c r="H184" s="109"/>
      <c r="I184" s="109"/>
      <c r="J184" s="109"/>
      <c r="K184" s="109"/>
    </row>
    <row r="185" spans="1:11" ht="18.75" x14ac:dyDescent="0.25">
      <c r="A185" s="479">
        <v>45</v>
      </c>
      <c r="B185" s="110">
        <f t="shared" ref="B185" si="87">+B182+1</f>
        <v>45081</v>
      </c>
      <c r="C185" s="117">
        <f>LF!HM185</f>
        <v>11992</v>
      </c>
      <c r="D185" s="119">
        <f>LF!E185+LF!AC185+LF!BM185+LF!CK185+LF!DU185+LF!ES185+LF!FQ185+LF!GO185</f>
        <v>4013</v>
      </c>
      <c r="E185" s="112">
        <f>LF!C185+LF!AA185+LF!BK185+LF!CI185+LF!DS185+LF!EQ185+LF!FO185+LF!GM185</f>
        <v>2</v>
      </c>
      <c r="F185" s="119">
        <f>LF!Q185+LF!BY185+LF!EG185+LF!GC185</f>
        <v>3227</v>
      </c>
      <c r="G185" s="112">
        <f>LF!O185+LF!BW185+LF!EE185+LF!GA185</f>
        <v>0</v>
      </c>
      <c r="H185" s="119">
        <f>LF!AO185+LF!CW185</f>
        <v>1501</v>
      </c>
      <c r="I185" s="112">
        <f>LF!AM185+LF!CU185</f>
        <v>0</v>
      </c>
      <c r="J185" s="119">
        <f>LF!BA185+LF!DI185+LF!FE185+LF!HA185</f>
        <v>3251</v>
      </c>
      <c r="K185" s="112">
        <f>LF!AY185+LF!DG185+LF!FC185+LF!GY185</f>
        <v>0</v>
      </c>
    </row>
    <row r="186" spans="1:11" ht="18.75" x14ac:dyDescent="0.25">
      <c r="A186" s="480"/>
      <c r="B186" s="111">
        <f t="shared" si="77"/>
        <v>45082</v>
      </c>
      <c r="C186" s="118">
        <f>LF!HM186</f>
        <v>11987</v>
      </c>
      <c r="D186" s="120">
        <f>LF!E186+LF!AC186+LF!BM186+LF!CK186+LF!DU186+LF!ES186+LF!FQ186+LF!GO186</f>
        <v>4011</v>
      </c>
      <c r="E186" s="113">
        <f>LF!C186+LF!AA186+LF!BK186+LF!CI186+LF!DS186+LF!EQ186+LF!FO186+LF!GM186</f>
        <v>2</v>
      </c>
      <c r="F186" s="120">
        <f>LF!Q186+LF!BY186+LF!EG186+LF!GC186</f>
        <v>3225</v>
      </c>
      <c r="G186" s="113">
        <f>LF!O186+LF!BW186+LF!EE186+LF!GA186</f>
        <v>2</v>
      </c>
      <c r="H186" s="120">
        <f>LF!AO186+LF!CW186</f>
        <v>1501</v>
      </c>
      <c r="I186" s="113">
        <f>LF!AM186+LF!CU186</f>
        <v>0</v>
      </c>
      <c r="J186" s="120">
        <f>LF!BA186+LF!DI186+LF!FE186+LF!HA186</f>
        <v>3250</v>
      </c>
      <c r="K186" s="113">
        <f>LF!AY186+LF!DG186+LF!FC186+LF!GY186</f>
        <v>1</v>
      </c>
    </row>
    <row r="187" spans="1:11" ht="18.75" x14ac:dyDescent="0.25">
      <c r="A187" s="480"/>
      <c r="B187" s="111">
        <f t="shared" si="77"/>
        <v>45083</v>
      </c>
      <c r="C187" s="118">
        <f>LF!HM187</f>
        <v>11984</v>
      </c>
      <c r="D187" s="120">
        <f>LF!E187+LF!AC187+LF!BM187+LF!CK187+LF!DU187+LF!ES187+LF!FQ187+LF!GO187</f>
        <v>4009</v>
      </c>
      <c r="E187" s="113">
        <f>LF!C187+LF!AA187+LF!BK187+LF!CI187+LF!DS187+LF!EQ187+LF!FO187+LF!GM187</f>
        <v>2</v>
      </c>
      <c r="F187" s="120">
        <f>LF!Q187+LF!BY187+LF!EG187+LF!GC187</f>
        <v>3224</v>
      </c>
      <c r="G187" s="113">
        <f>LF!O187+LF!BW187+LF!EE187+LF!GA187</f>
        <v>1</v>
      </c>
      <c r="H187" s="120">
        <f>LF!AO187+LF!CW187</f>
        <v>1501</v>
      </c>
      <c r="I187" s="113">
        <f>LF!AM187+LF!CU187</f>
        <v>0</v>
      </c>
      <c r="J187" s="120">
        <f>LF!BA187+LF!DI187+LF!FE187+LF!HA187</f>
        <v>3250</v>
      </c>
      <c r="K187" s="113">
        <f>LF!AY187+LF!DG187+LF!FC187+LF!GY187</f>
        <v>0</v>
      </c>
    </row>
    <row r="188" spans="1:11" ht="18.75" x14ac:dyDescent="0.25">
      <c r="A188" s="480"/>
      <c r="B188" s="111">
        <f t="shared" si="77"/>
        <v>45084</v>
      </c>
      <c r="C188" s="118">
        <f>LF!HM188</f>
        <v>11982</v>
      </c>
      <c r="D188" s="120">
        <f>LF!E188+LF!AC188+LF!BM188+LF!CK188+LF!DU188+LF!ES188+LF!FQ188+LF!GO188</f>
        <v>4007</v>
      </c>
      <c r="E188" s="113">
        <f>LF!C188+LF!AA188+LF!BK188+LF!CI188+LF!DS188+LF!EQ188+LF!FO188+LF!GM188</f>
        <v>2</v>
      </c>
      <c r="F188" s="120">
        <f>LF!Q188+LF!BY188+LF!EG188+LF!GC188</f>
        <v>3224</v>
      </c>
      <c r="G188" s="113">
        <f>LF!O188+LF!BW188+LF!EE188+LF!GA188</f>
        <v>0</v>
      </c>
      <c r="H188" s="120">
        <f>LF!AO188+LF!CW188</f>
        <v>1501</v>
      </c>
      <c r="I188" s="113">
        <f>LF!AM188+LF!CU188</f>
        <v>0</v>
      </c>
      <c r="J188" s="120">
        <f>LF!BA188+LF!DI188+LF!FE188+LF!HA188</f>
        <v>3250</v>
      </c>
      <c r="K188" s="113">
        <f>LF!AY188+LF!DG188+LF!FC188+LF!GY188</f>
        <v>0</v>
      </c>
    </row>
    <row r="189" spans="1:11" ht="18.75" x14ac:dyDescent="0.25">
      <c r="A189" s="480"/>
      <c r="B189" s="111">
        <f t="shared" si="77"/>
        <v>45085</v>
      </c>
      <c r="C189" s="118">
        <f>LF!HM189</f>
        <v>11978</v>
      </c>
      <c r="D189" s="120">
        <f>LF!E189+LF!AC189+LF!BM189+LF!CK189+LF!DU189+LF!ES189+LF!FQ189+LF!GO189</f>
        <v>4004</v>
      </c>
      <c r="E189" s="113">
        <f>LF!C189+LF!AA189+LF!BK189+LF!CI189+LF!DS189+LF!EQ189+LF!FO189+LF!GM189</f>
        <v>3</v>
      </c>
      <c r="F189" s="120">
        <f>LF!Q189+LF!BY189+LF!EG189+LF!GC189</f>
        <v>3223</v>
      </c>
      <c r="G189" s="113">
        <f>LF!O189+LF!BW189+LF!EE189+LF!GA189</f>
        <v>1</v>
      </c>
      <c r="H189" s="120">
        <f>LF!AO189+LF!CW189</f>
        <v>1501</v>
      </c>
      <c r="I189" s="113">
        <f>LF!AM189+LF!CU189</f>
        <v>0</v>
      </c>
      <c r="J189" s="120">
        <f>LF!BA189+LF!DI189+LF!FE189+LF!HA189</f>
        <v>3250</v>
      </c>
      <c r="K189" s="113">
        <f>LF!AY189+LF!DG189+LF!FC189+LF!GY189</f>
        <v>0</v>
      </c>
    </row>
    <row r="190" spans="1:11" ht="18.75" x14ac:dyDescent="0.25">
      <c r="A190" s="480"/>
      <c r="B190" s="111">
        <f t="shared" si="77"/>
        <v>45086</v>
      </c>
      <c r="C190" s="118">
        <f>LF!HM190</f>
        <v>11974</v>
      </c>
      <c r="D190" s="120">
        <f>LF!E190+LF!AC190+LF!BM190+LF!CK190+LF!DU190+LF!ES190+LF!FQ190+LF!GO190</f>
        <v>4001</v>
      </c>
      <c r="E190" s="113">
        <f>LF!C190+LF!AA190+LF!BK190+LF!CI190+LF!DS190+LF!EQ190+LF!FO190+LF!GM190</f>
        <v>3</v>
      </c>
      <c r="F190" s="120">
        <f>LF!Q190+LF!BY190+LF!EG190+LF!GC190</f>
        <v>3222</v>
      </c>
      <c r="G190" s="113">
        <f>LF!O190+LF!BW190+LF!EE190+LF!GA190</f>
        <v>1</v>
      </c>
      <c r="H190" s="120">
        <f>LF!AO190+LF!CW190</f>
        <v>1501</v>
      </c>
      <c r="I190" s="113">
        <f>LF!AM190+LF!CU190</f>
        <v>0</v>
      </c>
      <c r="J190" s="120">
        <f>LF!BA190+LF!DI190+LF!FE190+LF!HA190</f>
        <v>3250</v>
      </c>
      <c r="K190" s="113">
        <f>LF!AY190+LF!DG190+LF!FC190+LF!GY190</f>
        <v>0</v>
      </c>
    </row>
    <row r="191" spans="1:11" ht="19.5" thickBot="1" x14ac:dyDescent="0.3">
      <c r="A191" s="480"/>
      <c r="B191" s="141">
        <f t="shared" si="77"/>
        <v>45087</v>
      </c>
      <c r="C191" s="142">
        <f>LF!HM191</f>
        <v>11968</v>
      </c>
      <c r="D191" s="143">
        <f>LF!E191+LF!AC191+LF!BM191+LF!CK191+LF!DU191+LF!ES191+LF!FQ191+LF!GO191</f>
        <v>3997</v>
      </c>
      <c r="E191" s="114">
        <f>LF!C191+LF!AA191+LF!BK191+LF!CI191+LF!DS191+LF!EQ191+LF!FO191+LF!GM191</f>
        <v>4</v>
      </c>
      <c r="F191" s="121">
        <f>LF!Q191+LF!BY191+LF!EG191+LF!GC191</f>
        <v>3221</v>
      </c>
      <c r="G191" s="114">
        <f>LF!O191+LF!BW191+LF!EE191+LF!GA191</f>
        <v>1</v>
      </c>
      <c r="H191" s="121">
        <f>LF!AO191+LF!CW191</f>
        <v>1501</v>
      </c>
      <c r="I191" s="114">
        <f>LF!AM191+LF!CU191</f>
        <v>0</v>
      </c>
      <c r="J191" s="121">
        <f>LF!BA191+LF!DI191+LF!FE191+LF!HA191</f>
        <v>3249</v>
      </c>
      <c r="K191" s="114">
        <f>LF!AY191+LF!DG191+LF!FC191+LF!GY191</f>
        <v>1</v>
      </c>
    </row>
    <row r="192" spans="1:11" ht="19.5" thickBot="1" x14ac:dyDescent="0.3">
      <c r="A192" s="481"/>
      <c r="B192" s="2"/>
      <c r="C192" s="140"/>
      <c r="D192" s="144"/>
      <c r="E192" s="115">
        <f t="shared" ref="E192" si="88">SUM(E185:E191)</f>
        <v>18</v>
      </c>
      <c r="F192" s="116"/>
      <c r="G192" s="115">
        <f t="shared" ref="G192" si="89">SUM(G185:G191)</f>
        <v>6</v>
      </c>
      <c r="H192" s="116"/>
      <c r="I192" s="115">
        <f t="shared" ref="I192" si="90">SUM(I185:I191)</f>
        <v>0</v>
      </c>
      <c r="J192" s="116"/>
      <c r="K192" s="115">
        <f t="shared" ref="K192" si="91">SUM(K185:K191)</f>
        <v>2</v>
      </c>
    </row>
    <row r="193" spans="1:11" ht="19.5" thickBot="1" x14ac:dyDescent="0.3">
      <c r="A193" s="82"/>
      <c r="B193" s="139"/>
      <c r="C193" s="108"/>
      <c r="D193" s="109"/>
      <c r="E193" s="109"/>
      <c r="F193" s="109"/>
      <c r="G193" s="109"/>
      <c r="H193" s="109"/>
      <c r="I193" s="109"/>
      <c r="J193" s="109"/>
      <c r="K193" s="109"/>
    </row>
    <row r="194" spans="1:11" ht="18.75" x14ac:dyDescent="0.25">
      <c r="A194" s="479">
        <v>46</v>
      </c>
      <c r="B194" s="110">
        <f t="shared" ref="B194" si="92">+B191+1</f>
        <v>45088</v>
      </c>
      <c r="C194" s="117">
        <f>LF!HM194</f>
        <v>11967</v>
      </c>
      <c r="D194" s="119">
        <f>LF!E194+LF!AC194+LF!BM194+LF!CK194+LF!DU194+LF!ES194+LF!FQ194+LF!GO194</f>
        <v>3996</v>
      </c>
      <c r="E194" s="112">
        <f>LF!C194+LF!AA194+LF!BK194+LF!CI194+LF!DS194+LF!EQ194+LF!FO194+LF!GM194</f>
        <v>1</v>
      </c>
      <c r="F194" s="119">
        <f>LF!Q194+LF!BY194+LF!EG194+LF!GC194</f>
        <v>3221</v>
      </c>
      <c r="G194" s="112">
        <f>LF!O194+LF!BW194+LF!EE194+LF!GA194</f>
        <v>0</v>
      </c>
      <c r="H194" s="119">
        <f>LF!AO194+LF!CW194</f>
        <v>1501</v>
      </c>
      <c r="I194" s="112">
        <f>LF!AM194+LF!CU194</f>
        <v>0</v>
      </c>
      <c r="J194" s="119">
        <f>LF!BA194+LF!DI194+LF!FE194+LF!HA194</f>
        <v>3249</v>
      </c>
      <c r="K194" s="112">
        <f>LF!AY194+LF!DG194+LF!FC194+LF!GY194</f>
        <v>0</v>
      </c>
    </row>
    <row r="195" spans="1:11" ht="18.75" x14ac:dyDescent="0.25">
      <c r="A195" s="480"/>
      <c r="B195" s="111">
        <f t="shared" si="77"/>
        <v>45089</v>
      </c>
      <c r="C195" s="118">
        <f>LF!HM195</f>
        <v>11962</v>
      </c>
      <c r="D195" s="120">
        <f>LF!E195+LF!AC195+LF!BM195+LF!CK195+LF!DU195+LF!ES195+LF!FQ195+LF!GO195</f>
        <v>3991</v>
      </c>
      <c r="E195" s="113">
        <f>LF!C195+LF!AA195+LF!BK195+LF!CI195+LF!DS195+LF!EQ195+LF!FO195+LF!GM195</f>
        <v>5</v>
      </c>
      <c r="F195" s="120">
        <f>LF!Q195+LF!BY195+LF!EG195+LF!GC195</f>
        <v>3221</v>
      </c>
      <c r="G195" s="113">
        <f>LF!O195+LF!BW195+LF!EE195+LF!GA195</f>
        <v>0</v>
      </c>
      <c r="H195" s="120">
        <f>LF!AO195+LF!CW195</f>
        <v>1501</v>
      </c>
      <c r="I195" s="113">
        <f>LF!AM195+LF!CU195</f>
        <v>0</v>
      </c>
      <c r="J195" s="120">
        <f>LF!BA195+LF!DI195+LF!FE195+LF!HA195</f>
        <v>3249</v>
      </c>
      <c r="K195" s="113">
        <f>LF!AY195+LF!DG195+LF!FC195+LF!GY195</f>
        <v>0</v>
      </c>
    </row>
    <row r="196" spans="1:11" ht="18.75" x14ac:dyDescent="0.25">
      <c r="A196" s="480"/>
      <c r="B196" s="111">
        <f t="shared" si="77"/>
        <v>45090</v>
      </c>
      <c r="C196" s="118">
        <f>LF!HM196</f>
        <v>11956</v>
      </c>
      <c r="D196" s="120">
        <f>LF!E196+LF!AC196+LF!BM196+LF!CK196+LF!DU196+LF!ES196+LF!FQ196+LF!GO196</f>
        <v>3987</v>
      </c>
      <c r="E196" s="113">
        <f>LF!C196+LF!AA196+LF!BK196+LF!CI196+LF!DS196+LF!EQ196+LF!FO196+LF!GM196</f>
        <v>4</v>
      </c>
      <c r="F196" s="120">
        <f>LF!Q196+LF!BY196+LF!EG196+LF!GC196</f>
        <v>3219</v>
      </c>
      <c r="G196" s="113">
        <f>LF!O196+LF!BW196+LF!EE196+LF!GA196</f>
        <v>2</v>
      </c>
      <c r="H196" s="120">
        <f>LF!AO196+LF!CW196</f>
        <v>1501</v>
      </c>
      <c r="I196" s="113">
        <f>LF!AM196+LF!CU196</f>
        <v>0</v>
      </c>
      <c r="J196" s="120">
        <f>LF!BA196+LF!DI196+LF!FE196+LF!HA196</f>
        <v>3249</v>
      </c>
      <c r="K196" s="113">
        <f>LF!AY196+LF!DG196+LF!FC196+LF!GY196</f>
        <v>0</v>
      </c>
    </row>
    <row r="197" spans="1:11" ht="18.75" x14ac:dyDescent="0.25">
      <c r="A197" s="480"/>
      <c r="B197" s="111">
        <f t="shared" si="77"/>
        <v>45091</v>
      </c>
      <c r="C197" s="118">
        <f>LF!HM197</f>
        <v>11953</v>
      </c>
      <c r="D197" s="120">
        <f>LF!E197+LF!AC197+LF!BM197+LF!CK197+LF!DU197+LF!ES197+LF!FQ197+LF!GO197</f>
        <v>3985</v>
      </c>
      <c r="E197" s="113">
        <f>LF!C197+LF!AA197+LF!BK197+LF!CI197+LF!DS197+LF!EQ197+LF!FO197+LF!GM197</f>
        <v>2</v>
      </c>
      <c r="F197" s="120">
        <f>LF!Q197+LF!BY197+LF!EG197+LF!GC197</f>
        <v>3219</v>
      </c>
      <c r="G197" s="113">
        <f>LF!O197+LF!BW197+LF!EE197+LF!GA197</f>
        <v>0</v>
      </c>
      <c r="H197" s="120">
        <f>LF!AO197+LF!CW197</f>
        <v>1500</v>
      </c>
      <c r="I197" s="113">
        <f>LF!AM197+LF!CU197</f>
        <v>1</v>
      </c>
      <c r="J197" s="120">
        <f>LF!BA197+LF!DI197+LF!FE197+LF!HA197</f>
        <v>3249</v>
      </c>
      <c r="K197" s="113">
        <f>LF!AY197+LF!DG197+LF!FC197+LF!GY197</f>
        <v>0</v>
      </c>
    </row>
    <row r="198" spans="1:11" ht="18.75" x14ac:dyDescent="0.25">
      <c r="A198" s="480"/>
      <c r="B198" s="111">
        <f t="shared" si="77"/>
        <v>45092</v>
      </c>
      <c r="C198" s="118">
        <f>LF!HM198</f>
        <v>11952</v>
      </c>
      <c r="D198" s="120">
        <f>LF!E198+LF!AC198+LF!BM198+LF!CK198+LF!DU198+LF!ES198+LF!FQ198+LF!GO198</f>
        <v>3985</v>
      </c>
      <c r="E198" s="113">
        <f>LF!C198+LF!AA198+LF!BK198+LF!CI198+LF!DS198+LF!EQ198+LF!FO198+LF!GM198</f>
        <v>0</v>
      </c>
      <c r="F198" s="120">
        <f>LF!Q198+LF!BY198+LF!EG198+LF!GC198</f>
        <v>3219</v>
      </c>
      <c r="G198" s="113">
        <f>LF!O198+LF!BW198+LF!EE198+LF!GA198</f>
        <v>0</v>
      </c>
      <c r="H198" s="120">
        <f>LF!AO198+LF!CW198</f>
        <v>1500</v>
      </c>
      <c r="I198" s="113">
        <f>LF!AM198+LF!CU198</f>
        <v>0</v>
      </c>
      <c r="J198" s="120">
        <f>LF!BA198+LF!DI198+LF!FE198+LF!HA198</f>
        <v>3248</v>
      </c>
      <c r="K198" s="113">
        <f>LF!AY198+LF!DG198+LF!FC198+LF!GY198</f>
        <v>1</v>
      </c>
    </row>
    <row r="199" spans="1:11" ht="18.75" x14ac:dyDescent="0.25">
      <c r="A199" s="480"/>
      <c r="B199" s="111">
        <f t="shared" si="77"/>
        <v>45093</v>
      </c>
      <c r="C199" s="118">
        <f>LF!HM199</f>
        <v>11949</v>
      </c>
      <c r="D199" s="120">
        <f>LF!E199+LF!AC199+LF!BM199+LF!CK199+LF!DU199+LF!ES199+LF!FQ199+LF!GO199</f>
        <v>3983</v>
      </c>
      <c r="E199" s="113">
        <f>LF!C199+LF!AA199+LF!BK199+LF!CI199+LF!DS199+LF!EQ199+LF!FO199+LF!GM199</f>
        <v>2</v>
      </c>
      <c r="F199" s="120">
        <f>LF!Q199+LF!BY199+LF!EG199+LF!GC199</f>
        <v>3218</v>
      </c>
      <c r="G199" s="113">
        <f>LF!O199+LF!BW199+LF!EE199+LF!GA199</f>
        <v>1</v>
      </c>
      <c r="H199" s="120">
        <f>LF!AO199+LF!CW199</f>
        <v>1500</v>
      </c>
      <c r="I199" s="113">
        <f>LF!AM199+LF!CU199</f>
        <v>0</v>
      </c>
      <c r="J199" s="120">
        <f>LF!BA199+LF!DI199+LF!FE199+LF!HA199</f>
        <v>3248</v>
      </c>
      <c r="K199" s="113">
        <f>LF!AY199+LF!DG199+LF!FC199+LF!GY199</f>
        <v>0</v>
      </c>
    </row>
    <row r="200" spans="1:11" ht="19.5" thickBot="1" x14ac:dyDescent="0.3">
      <c r="A200" s="480"/>
      <c r="B200" s="141">
        <f t="shared" si="77"/>
        <v>45094</v>
      </c>
      <c r="C200" s="142">
        <f>LF!HM200</f>
        <v>11947</v>
      </c>
      <c r="D200" s="143">
        <f>LF!E200+LF!AC200+LF!BM200+LF!CK200+LF!DU200+LF!ES200+LF!FQ200+LF!GO200</f>
        <v>3981</v>
      </c>
      <c r="E200" s="114">
        <f>LF!C200+LF!AA200+LF!BK200+LF!CI200+LF!DS200+LF!EQ200+LF!FO200+LF!GM200</f>
        <v>2</v>
      </c>
      <c r="F200" s="121">
        <f>LF!Q200+LF!BY200+LF!EG200+LF!GC200</f>
        <v>3218</v>
      </c>
      <c r="G200" s="114">
        <f>LF!O200+LF!BW200+LF!EE200+LF!GA200</f>
        <v>0</v>
      </c>
      <c r="H200" s="121">
        <f>LF!AO200+LF!CW200</f>
        <v>1500</v>
      </c>
      <c r="I200" s="114">
        <f>LF!AM200+LF!CU200</f>
        <v>0</v>
      </c>
      <c r="J200" s="121">
        <f>LF!BA200+LF!DI200+LF!FE200+LF!HA200</f>
        <v>3248</v>
      </c>
      <c r="K200" s="114">
        <f>LF!AY200+LF!DG200+LF!FC200+LF!GY200</f>
        <v>0</v>
      </c>
    </row>
    <row r="201" spans="1:11" ht="19.5" thickBot="1" x14ac:dyDescent="0.3">
      <c r="A201" s="481"/>
      <c r="B201" s="2"/>
      <c r="C201" s="140"/>
      <c r="D201" s="144"/>
      <c r="E201" s="115">
        <f t="shared" ref="E201" si="93">SUM(E194:E200)</f>
        <v>16</v>
      </c>
      <c r="F201" s="116"/>
      <c r="G201" s="115">
        <f t="shared" ref="G201" si="94">SUM(G194:G200)</f>
        <v>3</v>
      </c>
      <c r="H201" s="116"/>
      <c r="I201" s="115">
        <f t="shared" ref="I201" si="95">SUM(I194:I200)</f>
        <v>1</v>
      </c>
      <c r="J201" s="116"/>
      <c r="K201" s="115">
        <f t="shared" ref="K201" si="96">SUM(K194:K200)</f>
        <v>1</v>
      </c>
    </row>
    <row r="202" spans="1:11" ht="19.5" thickBot="1" x14ac:dyDescent="0.3">
      <c r="A202" s="82"/>
      <c r="B202" s="139"/>
      <c r="C202" s="108"/>
      <c r="D202" s="109"/>
      <c r="E202" s="109"/>
      <c r="F202" s="109"/>
      <c r="G202" s="109"/>
      <c r="H202" s="109"/>
      <c r="I202" s="109"/>
      <c r="J202" s="109"/>
      <c r="K202" s="109"/>
    </row>
    <row r="203" spans="1:11" ht="18.75" x14ac:dyDescent="0.25">
      <c r="A203" s="479">
        <v>47</v>
      </c>
      <c r="B203" s="110">
        <f t="shared" ref="B203" si="97">+B200+1</f>
        <v>45095</v>
      </c>
      <c r="C203" s="117">
        <f>LF!HM203</f>
        <v>11944</v>
      </c>
      <c r="D203" s="119">
        <f>LF!E203+LF!AC203+LF!BM203+LF!CK203+LF!DU203+LF!ES203+LF!FQ203+LF!GO203</f>
        <v>3981</v>
      </c>
      <c r="E203" s="112">
        <f>LF!C203+LF!AA203+LF!BK203+LF!CI203+LF!DS203+LF!EQ203+LF!FO203+LF!GM203</f>
        <v>0</v>
      </c>
      <c r="F203" s="119">
        <f>LF!Q203+LF!BY203+LF!EG203+LF!GC203</f>
        <v>3217</v>
      </c>
      <c r="G203" s="112">
        <f>LF!O203+LF!BW203+LF!EE203+LF!GA203</f>
        <v>1</v>
      </c>
      <c r="H203" s="119">
        <f>LF!AO203+LF!CW203</f>
        <v>1499</v>
      </c>
      <c r="I203" s="112">
        <f>LF!AM203+LF!CU203</f>
        <v>1</v>
      </c>
      <c r="J203" s="119">
        <f>LF!BA203+LF!DI203+LF!FE203+LF!HA203</f>
        <v>3247</v>
      </c>
      <c r="K203" s="112">
        <f>LF!AY203+LF!DG203+LF!FC203+LF!GY203</f>
        <v>1</v>
      </c>
    </row>
    <row r="204" spans="1:11" ht="18.75" x14ac:dyDescent="0.25">
      <c r="A204" s="480"/>
      <c r="B204" s="111">
        <f t="shared" si="77"/>
        <v>45096</v>
      </c>
      <c r="C204" s="118">
        <f>LF!HM204</f>
        <v>11942</v>
      </c>
      <c r="D204" s="120">
        <f>LF!E204+LF!AC204+LF!BM204+LF!CK204+LF!DU204+LF!ES204+LF!FQ204+LF!GO204</f>
        <v>3980</v>
      </c>
      <c r="E204" s="113">
        <f>LF!C204+LF!AA204+LF!BK204+LF!CI204+LF!DS204+LF!EQ204+LF!FO204+LF!GM204</f>
        <v>1</v>
      </c>
      <c r="F204" s="120">
        <f>LF!Q204+LF!BY204+LF!EG204+LF!GC204</f>
        <v>3217</v>
      </c>
      <c r="G204" s="113">
        <f>LF!O204+LF!BW204+LF!EE204+LF!GA204</f>
        <v>0</v>
      </c>
      <c r="H204" s="120">
        <f>LF!AO204+LF!CW204</f>
        <v>1499</v>
      </c>
      <c r="I204" s="113">
        <f>LF!AM204+LF!CU204</f>
        <v>0</v>
      </c>
      <c r="J204" s="120">
        <f>LF!BA204+LF!DI204+LF!FE204+LF!HA204</f>
        <v>3246</v>
      </c>
      <c r="K204" s="113">
        <f>LF!AY204+LF!DG204+LF!FC204+LF!GY204</f>
        <v>1</v>
      </c>
    </row>
    <row r="205" spans="1:11" ht="18.75" x14ac:dyDescent="0.25">
      <c r="A205" s="480"/>
      <c r="B205" s="111">
        <f t="shared" si="77"/>
        <v>45097</v>
      </c>
      <c r="C205" s="118">
        <f>LF!HM205</f>
        <v>11939</v>
      </c>
      <c r="D205" s="120">
        <f>LF!E205+LF!AC205+LF!BM205+LF!CK205+LF!DU205+LF!ES205+LF!FQ205+LF!GO205</f>
        <v>3979</v>
      </c>
      <c r="E205" s="113">
        <f>LF!C205+LF!AA205+LF!BK205+LF!CI205+LF!DS205+LF!EQ205+LF!FO205+LF!GM205</f>
        <v>1</v>
      </c>
      <c r="F205" s="120">
        <f>LF!Q205+LF!BY205+LF!EG205+LF!GC205</f>
        <v>3216</v>
      </c>
      <c r="G205" s="113">
        <f>LF!O205+LF!BW205+LF!EE205+LF!GA205</f>
        <v>1</v>
      </c>
      <c r="H205" s="120">
        <f>LF!AO205+LF!CW205</f>
        <v>1498</v>
      </c>
      <c r="I205" s="113">
        <f>LF!AM205+LF!CU205</f>
        <v>1</v>
      </c>
      <c r="J205" s="120">
        <f>LF!BA205+LF!DI205+LF!FE205+LF!HA205</f>
        <v>3246</v>
      </c>
      <c r="K205" s="113">
        <f>LF!AY205+LF!DG205+LF!FC205+LF!GY205</f>
        <v>0</v>
      </c>
    </row>
    <row r="206" spans="1:11" ht="18.75" x14ac:dyDescent="0.25">
      <c r="A206" s="480"/>
      <c r="B206" s="111">
        <f t="shared" si="77"/>
        <v>45098</v>
      </c>
      <c r="C206" s="118">
        <f>LF!HM206</f>
        <v>11933</v>
      </c>
      <c r="D206" s="120">
        <f>LF!E206+LF!AC206+LF!BM206+LF!CK206+LF!DU206+LF!ES206+LF!FQ206+LF!GO206</f>
        <v>3974</v>
      </c>
      <c r="E206" s="113">
        <f>LF!C206+LF!AA206+LF!BK206+LF!CI206+LF!DS206+LF!EQ206+LF!FO206+LF!GM206</f>
        <v>5</v>
      </c>
      <c r="F206" s="120">
        <f>LF!Q206+LF!BY206+LF!EG206+LF!GC206</f>
        <v>3215</v>
      </c>
      <c r="G206" s="113">
        <f>LF!O206+LF!BW206+LF!EE206+LF!GA206</f>
        <v>1</v>
      </c>
      <c r="H206" s="120">
        <f>LF!AO206+LF!CW206</f>
        <v>1498</v>
      </c>
      <c r="I206" s="113">
        <f>LF!AM206+LF!CU206</f>
        <v>0</v>
      </c>
      <c r="J206" s="120">
        <f>LF!BA206+LF!DI206+LF!FE206+LF!HA206</f>
        <v>3246</v>
      </c>
      <c r="K206" s="113">
        <f>LF!AY206+LF!DG206+LF!FC206+LF!GY206</f>
        <v>0</v>
      </c>
    </row>
    <row r="207" spans="1:11" ht="18.75" x14ac:dyDescent="0.25">
      <c r="A207" s="480"/>
      <c r="B207" s="111">
        <f t="shared" si="77"/>
        <v>45099</v>
      </c>
      <c r="C207" s="118">
        <f>LF!HM207</f>
        <v>11927</v>
      </c>
      <c r="D207" s="120">
        <f>LF!E207+LF!AC207+LF!BM207+LF!CK207+LF!DU207+LF!ES207+LF!FQ207+LF!GO207</f>
        <v>3969</v>
      </c>
      <c r="E207" s="113">
        <f>LF!C207+LF!AA207+LF!BK207+LF!CI207+LF!DS207+LF!EQ207+LF!FO207+LF!GM207</f>
        <v>5</v>
      </c>
      <c r="F207" s="120">
        <f>LF!Q207+LF!BY207+LF!EG207+LF!GC207</f>
        <v>3215</v>
      </c>
      <c r="G207" s="113">
        <f>LF!O207+LF!BW207+LF!EE207+LF!GA207</f>
        <v>0</v>
      </c>
      <c r="H207" s="120">
        <f>LF!AO207+LF!CW207</f>
        <v>1497</v>
      </c>
      <c r="I207" s="113">
        <f>LF!AM207+LF!CU207</f>
        <v>1</v>
      </c>
      <c r="J207" s="120">
        <f>LF!BA207+LF!DI207+LF!FE207+LF!HA207</f>
        <v>3246</v>
      </c>
      <c r="K207" s="113">
        <f>LF!AY207+LF!DG207+LF!FC207+LF!GY207</f>
        <v>0</v>
      </c>
    </row>
    <row r="208" spans="1:11" ht="18.75" x14ac:dyDescent="0.25">
      <c r="A208" s="480"/>
      <c r="B208" s="111">
        <f t="shared" si="77"/>
        <v>45100</v>
      </c>
      <c r="C208" s="118">
        <f>LF!HM208</f>
        <v>11925</v>
      </c>
      <c r="D208" s="120">
        <f>LF!E208+LF!AC208+LF!BM208+LF!CK208+LF!DU208+LF!ES208+LF!FQ208+LF!GO208</f>
        <v>3967</v>
      </c>
      <c r="E208" s="113">
        <f>LF!C208+LF!AA208+LF!BK208+LF!CI208+LF!DS208+LF!EQ208+LF!FO208+LF!GM208</f>
        <v>2</v>
      </c>
      <c r="F208" s="120">
        <f>LF!Q208+LF!BY208+LF!EG208+LF!GC208</f>
        <v>3215</v>
      </c>
      <c r="G208" s="113">
        <f>LF!O208+LF!BW208+LF!EE208+LF!GA208</f>
        <v>0</v>
      </c>
      <c r="H208" s="120">
        <f>LF!AO208+LF!CW208</f>
        <v>1497</v>
      </c>
      <c r="I208" s="113">
        <f>LF!AM208+LF!CU208</f>
        <v>0</v>
      </c>
      <c r="J208" s="120">
        <f>LF!BA208+LF!DI208+LF!FE208+LF!HA208</f>
        <v>3246</v>
      </c>
      <c r="K208" s="113">
        <f>LF!AY208+LF!DG208+LF!FC208+LF!GY208</f>
        <v>0</v>
      </c>
    </row>
    <row r="209" spans="1:11" ht="19.5" thickBot="1" x14ac:dyDescent="0.3">
      <c r="A209" s="480"/>
      <c r="B209" s="141">
        <f t="shared" si="77"/>
        <v>45101</v>
      </c>
      <c r="C209" s="142">
        <f>LF!HM209</f>
        <v>11919</v>
      </c>
      <c r="D209" s="143">
        <f>LF!E209+LF!AC209+LF!BM209+LF!CK209+LF!DU209+LF!ES209+LF!FQ209+LF!GO209</f>
        <v>3962</v>
      </c>
      <c r="E209" s="114">
        <f>LF!C209+LF!AA209+LF!BK209+LF!CI209+LF!DS209+LF!EQ209+LF!FO209+LF!GM209</f>
        <v>5</v>
      </c>
      <c r="F209" s="121">
        <f>LF!Q209+LF!BY209+LF!EG209+LF!GC209</f>
        <v>3215</v>
      </c>
      <c r="G209" s="114">
        <f>LF!O209+LF!BW209+LF!EE209+LF!GA209</f>
        <v>0</v>
      </c>
      <c r="H209" s="121">
        <f>LF!AO209+LF!CW209</f>
        <v>1497</v>
      </c>
      <c r="I209" s="114">
        <f>LF!AM209+LF!CU209</f>
        <v>0</v>
      </c>
      <c r="J209" s="121">
        <f>LF!BA209+LF!DI209+LF!FE209+LF!HA209</f>
        <v>3245</v>
      </c>
      <c r="K209" s="114">
        <f>LF!AY209+LF!DG209+LF!FC209+LF!GY209</f>
        <v>1</v>
      </c>
    </row>
    <row r="210" spans="1:11" ht="19.5" thickBot="1" x14ac:dyDescent="0.3">
      <c r="A210" s="481"/>
      <c r="B210" s="2"/>
      <c r="C210" s="140"/>
      <c r="D210" s="144"/>
      <c r="E210" s="115">
        <f t="shared" ref="E210" si="98">SUM(E203:E209)</f>
        <v>19</v>
      </c>
      <c r="F210" s="116"/>
      <c r="G210" s="115">
        <f t="shared" ref="G210" si="99">SUM(G203:G209)</f>
        <v>3</v>
      </c>
      <c r="H210" s="116"/>
      <c r="I210" s="115">
        <f t="shared" ref="I210" si="100">SUM(I203:I209)</f>
        <v>3</v>
      </c>
      <c r="J210" s="116"/>
      <c r="K210" s="115">
        <f t="shared" ref="K210" si="101">SUM(K203:K209)</f>
        <v>3</v>
      </c>
    </row>
    <row r="211" spans="1:11" ht="19.5" thickBot="1" x14ac:dyDescent="0.3">
      <c r="A211" s="82"/>
      <c r="B211" s="139"/>
      <c r="C211" s="108"/>
      <c r="D211" s="109"/>
      <c r="E211" s="109"/>
      <c r="F211" s="109"/>
      <c r="G211" s="109"/>
      <c r="H211" s="109"/>
      <c r="I211" s="109"/>
      <c r="J211" s="109"/>
      <c r="K211" s="109"/>
    </row>
    <row r="212" spans="1:11" ht="18.75" x14ac:dyDescent="0.25">
      <c r="A212" s="479">
        <v>48</v>
      </c>
      <c r="B212" s="110">
        <f t="shared" ref="B212:B239" si="102">+B209+1</f>
        <v>45102</v>
      </c>
      <c r="C212" s="117">
        <f>LF!HM212</f>
        <v>11915</v>
      </c>
      <c r="D212" s="119">
        <f>LF!E212+LF!AC212+LF!BM212+LF!CK212+LF!DU212+LF!ES212+LF!FQ212+LF!GO212</f>
        <v>3959</v>
      </c>
      <c r="E212" s="112">
        <f>LF!C212+LF!AA212+LF!BK212+LF!CI212+LF!DS212+LF!EQ212+LF!FO212+LF!GM212</f>
        <v>3</v>
      </c>
      <c r="F212" s="119">
        <f>LF!Q212+LF!BY212+LF!EG212+LF!GC212</f>
        <v>3215</v>
      </c>
      <c r="G212" s="112">
        <f>LF!O212+LF!BW212+LF!EE212+LF!GA212</f>
        <v>0</v>
      </c>
      <c r="H212" s="119">
        <f>LF!AO212+LF!CW212</f>
        <v>1497</v>
      </c>
      <c r="I212" s="112">
        <f>LF!AM212+LF!CU212</f>
        <v>0</v>
      </c>
      <c r="J212" s="119">
        <f>LF!BA212+LF!DI212+LF!FE212+LF!HA212</f>
        <v>3244</v>
      </c>
      <c r="K212" s="112">
        <f>LF!AY212+LF!DG212+LF!FC212+LF!GY212</f>
        <v>1</v>
      </c>
    </row>
    <row r="213" spans="1:11" ht="18.75" x14ac:dyDescent="0.25">
      <c r="A213" s="480"/>
      <c r="B213" s="111">
        <f t="shared" ref="B213:B245" si="103">+B212+1</f>
        <v>45103</v>
      </c>
      <c r="C213" s="118">
        <f>LF!HM213</f>
        <v>11911</v>
      </c>
      <c r="D213" s="120">
        <f>LF!E213+LF!AC213+LF!BM213+LF!CK213+LF!DU213+LF!ES213+LF!FQ213+LF!GO213</f>
        <v>3956</v>
      </c>
      <c r="E213" s="113">
        <f>LF!C213+LF!AA213+LF!BK213+LF!CI213+LF!DS213+LF!EQ213+LF!FO213+LF!GM213</f>
        <v>3</v>
      </c>
      <c r="F213" s="120">
        <f>LF!Q213+LF!BY213+LF!EG213+LF!GC213</f>
        <v>3214</v>
      </c>
      <c r="G213" s="113">
        <f>LF!O213+LF!BW213+LF!EE213+LF!GA213</f>
        <v>1</v>
      </c>
      <c r="H213" s="120">
        <f>LF!AO213+LF!CW213</f>
        <v>1497</v>
      </c>
      <c r="I213" s="113">
        <f>LF!AM213+LF!CU213</f>
        <v>0</v>
      </c>
      <c r="J213" s="120">
        <f>LF!BA213+LF!DI213+LF!FE213+LF!HA213</f>
        <v>3244</v>
      </c>
      <c r="K213" s="113">
        <f>LF!AY213+LF!DG213+LF!FC213+LF!GY213</f>
        <v>0</v>
      </c>
    </row>
    <row r="214" spans="1:11" ht="18.75" x14ac:dyDescent="0.25">
      <c r="A214" s="480"/>
      <c r="B214" s="111">
        <f t="shared" si="103"/>
        <v>45104</v>
      </c>
      <c r="C214" s="118">
        <f>LF!HM214</f>
        <v>11905</v>
      </c>
      <c r="D214" s="120">
        <f>LF!E214+LF!AC214+LF!BM214+LF!CK214+LF!DU214+LF!ES214+LF!FQ214+LF!GO214</f>
        <v>3954</v>
      </c>
      <c r="E214" s="113">
        <f>LF!C214+LF!AA214+LF!BK214+LF!CI214+LF!DS214+LF!EQ214+LF!FO214+LF!GM214</f>
        <v>2</v>
      </c>
      <c r="F214" s="120">
        <f>LF!Q214+LF!BY214+LF!EG214+LF!GC214</f>
        <v>3213</v>
      </c>
      <c r="G214" s="113">
        <f>LF!O214+LF!BW214+LF!EE214+LF!GA214</f>
        <v>1</v>
      </c>
      <c r="H214" s="120">
        <f>LF!AO214+LF!CW214</f>
        <v>1497</v>
      </c>
      <c r="I214" s="113">
        <f>LF!AM214+LF!CU214</f>
        <v>0</v>
      </c>
      <c r="J214" s="120">
        <f>LF!BA214+LF!DI214+LF!FE214+LF!HA214</f>
        <v>3241</v>
      </c>
      <c r="K214" s="113">
        <f>LF!AY214+LF!DG214+LF!FC214+LF!GY214</f>
        <v>3</v>
      </c>
    </row>
    <row r="215" spans="1:11" ht="18.75" x14ac:dyDescent="0.25">
      <c r="A215" s="480"/>
      <c r="B215" s="111">
        <f t="shared" si="103"/>
        <v>45105</v>
      </c>
      <c r="C215" s="118">
        <f>LF!HM215</f>
        <v>11902</v>
      </c>
      <c r="D215" s="120">
        <f>LF!E215+LF!AC215+LF!BM215+LF!CK215+LF!DU215+LF!ES215+LF!FQ215+LF!GO215</f>
        <v>3953</v>
      </c>
      <c r="E215" s="113">
        <f>LF!C215+LF!AA215+LF!BK215+LF!CI215+LF!DS215+LF!EQ215+LF!FO215+LF!GM215</f>
        <v>1</v>
      </c>
      <c r="F215" s="120">
        <f>LF!Q215+LF!BY215+LF!EG215+LF!GC215</f>
        <v>3212</v>
      </c>
      <c r="G215" s="113">
        <f>LF!O215+LF!BW215+LF!EE215+LF!GA215</f>
        <v>1</v>
      </c>
      <c r="H215" s="120">
        <f>LF!AO215+LF!CW215</f>
        <v>1497</v>
      </c>
      <c r="I215" s="113">
        <f>LF!AM215+LF!CU215</f>
        <v>0</v>
      </c>
      <c r="J215" s="120">
        <f>LF!BA215+LF!DI215+LF!FE215+LF!HA215</f>
        <v>3240</v>
      </c>
      <c r="K215" s="113">
        <f>LF!AY215+LF!DG215+LF!FC215+LF!GY215</f>
        <v>1</v>
      </c>
    </row>
    <row r="216" spans="1:11" ht="18.75" x14ac:dyDescent="0.25">
      <c r="A216" s="480"/>
      <c r="B216" s="111">
        <f t="shared" si="103"/>
        <v>45106</v>
      </c>
      <c r="C216" s="118">
        <f>LF!HM216</f>
        <v>11898</v>
      </c>
      <c r="D216" s="120">
        <f>LF!E216+LF!AC216+LF!BM216+LF!CK216+LF!DU216+LF!ES216+LF!FQ216+LF!GO216</f>
        <v>3949</v>
      </c>
      <c r="E216" s="113">
        <f>LF!C216+LF!AA216+LF!BK216+LF!CI216+LF!DS216+LF!EQ216+LF!FO216+LF!GM216</f>
        <v>4</v>
      </c>
      <c r="F216" s="120">
        <f>LF!Q216+LF!BY216+LF!EG216+LF!GC216</f>
        <v>3212</v>
      </c>
      <c r="G216" s="113">
        <f>LF!O216+LF!BW216+LF!EE216+LF!GA216</f>
        <v>0</v>
      </c>
      <c r="H216" s="120">
        <f>LF!AO216+LF!CW216</f>
        <v>1497</v>
      </c>
      <c r="I216" s="113">
        <f>LF!AM216+LF!CU216</f>
        <v>0</v>
      </c>
      <c r="J216" s="120">
        <f>LF!BA216+LF!DI216+LF!FE216+LF!HA216</f>
        <v>3240</v>
      </c>
      <c r="K216" s="113">
        <f>LF!AY216+LF!DG216+LF!FC216+LF!GY216</f>
        <v>0</v>
      </c>
    </row>
    <row r="217" spans="1:11" ht="18.75" x14ac:dyDescent="0.25">
      <c r="A217" s="480"/>
      <c r="B217" s="111">
        <f t="shared" si="103"/>
        <v>45107</v>
      </c>
      <c r="C217" s="118">
        <f>LF!HM217</f>
        <v>11894</v>
      </c>
      <c r="D217" s="120">
        <f>LF!E217+LF!AC217+LF!BM217+LF!CK217+LF!DU217+LF!ES217+LF!FQ217+LF!GO217</f>
        <v>3946</v>
      </c>
      <c r="E217" s="113">
        <f>LF!C217+LF!AA217+LF!BK217+LF!CI217+LF!DS217+LF!EQ217+LF!FO217+LF!GM217</f>
        <v>3</v>
      </c>
      <c r="F217" s="120">
        <f>LF!Q217+LF!BY217+LF!EG217+LF!GC217</f>
        <v>3212</v>
      </c>
      <c r="G217" s="113">
        <f>LF!O217+LF!BW217+LF!EE217+LF!GA217</f>
        <v>0</v>
      </c>
      <c r="H217" s="120">
        <f>LF!AO217+LF!CW217</f>
        <v>1497</v>
      </c>
      <c r="I217" s="113">
        <f>LF!AM217+LF!CU217</f>
        <v>0</v>
      </c>
      <c r="J217" s="120">
        <f>LF!BA217+LF!DI217+LF!FE217+LF!HA217</f>
        <v>3239</v>
      </c>
      <c r="K217" s="113">
        <f>LF!AY217+LF!DG217+LF!FC217+LF!GY217</f>
        <v>1</v>
      </c>
    </row>
    <row r="218" spans="1:11" ht="19.5" thickBot="1" x14ac:dyDescent="0.3">
      <c r="A218" s="480"/>
      <c r="B218" s="141">
        <f t="shared" si="103"/>
        <v>45108</v>
      </c>
      <c r="C218" s="142">
        <f>LF!HM218</f>
        <v>11889</v>
      </c>
      <c r="D218" s="143">
        <f>LF!E218+LF!AC218+LF!BM218+LF!CK218+LF!DU218+LF!ES218+LF!FQ218+LF!GO218</f>
        <v>3944</v>
      </c>
      <c r="E218" s="114">
        <f>LF!C218+LF!AA218+LF!BK218+LF!CI218+LF!DS218+LF!EQ218+LF!FO218+LF!GM218</f>
        <v>2</v>
      </c>
      <c r="F218" s="121">
        <f>LF!Q218+LF!BY218+LF!EG218+LF!GC218</f>
        <v>3211</v>
      </c>
      <c r="G218" s="114">
        <f>LF!O218+LF!BW218+LF!EE218+LF!GA218</f>
        <v>1</v>
      </c>
      <c r="H218" s="121">
        <f>LF!AO218+LF!CW218</f>
        <v>1497</v>
      </c>
      <c r="I218" s="114">
        <f>LF!AM218+LF!CU218</f>
        <v>0</v>
      </c>
      <c r="J218" s="121">
        <f>LF!BA218+LF!DI218+LF!FE218+LF!HA218</f>
        <v>3237</v>
      </c>
      <c r="K218" s="114">
        <f>LF!AY218+LF!DG218+LF!FC218+LF!GY218</f>
        <v>2</v>
      </c>
    </row>
    <row r="219" spans="1:11" ht="19.5" thickBot="1" x14ac:dyDescent="0.3">
      <c r="A219" s="481"/>
      <c r="B219" s="2"/>
      <c r="C219" s="140"/>
      <c r="D219" s="144"/>
      <c r="E219" s="115">
        <f t="shared" ref="E219" si="104">SUM(E212:E218)</f>
        <v>18</v>
      </c>
      <c r="F219" s="116"/>
      <c r="G219" s="115">
        <f t="shared" ref="G219" si="105">SUM(G212:G218)</f>
        <v>4</v>
      </c>
      <c r="H219" s="116"/>
      <c r="I219" s="115">
        <f t="shared" ref="I219" si="106">SUM(I212:I218)</f>
        <v>0</v>
      </c>
      <c r="J219" s="116"/>
      <c r="K219" s="115">
        <f t="shared" ref="K219" si="107">SUM(K212:K218)</f>
        <v>8</v>
      </c>
    </row>
    <row r="220" spans="1:11" ht="19.5" thickBot="1" x14ac:dyDescent="0.3">
      <c r="A220" s="82"/>
      <c r="B220" s="139"/>
      <c r="C220" s="108"/>
      <c r="D220" s="109"/>
      <c r="E220" s="109"/>
      <c r="F220" s="109"/>
      <c r="G220" s="109"/>
      <c r="H220" s="109"/>
      <c r="I220" s="109"/>
      <c r="J220" s="109"/>
      <c r="K220" s="109"/>
    </row>
    <row r="221" spans="1:11" ht="18.75" x14ac:dyDescent="0.25">
      <c r="A221" s="479">
        <v>49</v>
      </c>
      <c r="B221" s="110">
        <f t="shared" si="102"/>
        <v>45109</v>
      </c>
      <c r="C221" s="117">
        <f>LF!HM221</f>
        <v>11883</v>
      </c>
      <c r="D221" s="119">
        <f>LF!E221+LF!AC221+LF!BM221+LF!CK221+LF!DU221+LF!ES221+LF!FQ221+LF!GO221</f>
        <v>3939</v>
      </c>
      <c r="E221" s="112">
        <f>LF!C221+LF!AA221+LF!BK221+LF!CI221+LF!DS221+LF!EQ221+LF!FO221+LF!GM221</f>
        <v>5</v>
      </c>
      <c r="F221" s="119">
        <f>LF!Q221+LF!BY221+LF!EG221+LF!GC221</f>
        <v>3210</v>
      </c>
      <c r="G221" s="112">
        <f>LF!O221+LF!BW221+LF!EE221+LF!GA221</f>
        <v>1</v>
      </c>
      <c r="H221" s="119">
        <f>LF!AO221+LF!CW221</f>
        <v>1497</v>
      </c>
      <c r="I221" s="112">
        <f>LF!AM221+LF!CU221</f>
        <v>0</v>
      </c>
      <c r="J221" s="119">
        <f>LF!BA221+LF!DI221+LF!FE221+LF!HA221</f>
        <v>3237</v>
      </c>
      <c r="K221" s="112">
        <f>LF!AY221+LF!DG221+LF!FC221+LF!GY221</f>
        <v>0</v>
      </c>
    </row>
    <row r="222" spans="1:11" ht="18.75" x14ac:dyDescent="0.25">
      <c r="A222" s="480"/>
      <c r="B222" s="111">
        <f t="shared" si="103"/>
        <v>45110</v>
      </c>
      <c r="C222" s="118">
        <f>LF!HM222</f>
        <v>11881</v>
      </c>
      <c r="D222" s="120">
        <f>LF!E222+LF!AC222+LF!BM222+LF!CK222+LF!DU222+LF!ES222+LF!FQ222+LF!GO222</f>
        <v>3939</v>
      </c>
      <c r="E222" s="113">
        <f>LF!C222+LF!AA222+LF!BK222+LF!CI222+LF!DS222+LF!EQ222+LF!FO222+LF!GM222</f>
        <v>0</v>
      </c>
      <c r="F222" s="120">
        <f>LF!Q222+LF!BY222+LF!EG222+LF!GC222</f>
        <v>3210</v>
      </c>
      <c r="G222" s="113">
        <f>LF!O222+LF!BW222+LF!EE222+LF!GA222</f>
        <v>0</v>
      </c>
      <c r="H222" s="120">
        <f>LF!AO222+LF!CW222</f>
        <v>1495</v>
      </c>
      <c r="I222" s="113">
        <f>LF!AM222+LF!CU222</f>
        <v>2</v>
      </c>
      <c r="J222" s="120">
        <f>LF!BA222+LF!DI222+LF!FE222+LF!HA222</f>
        <v>3237</v>
      </c>
      <c r="K222" s="113">
        <f>LF!AY222+LF!DG222+LF!FC222+LF!GY222</f>
        <v>0</v>
      </c>
    </row>
    <row r="223" spans="1:11" ht="18.75" x14ac:dyDescent="0.25">
      <c r="A223" s="480"/>
      <c r="B223" s="111">
        <f t="shared" si="103"/>
        <v>45111</v>
      </c>
      <c r="C223" s="118">
        <f>LF!HM223</f>
        <v>11878</v>
      </c>
      <c r="D223" s="120">
        <f>LF!E223+LF!AC223+LF!BM223+LF!CK223+LF!DU223+LF!ES223+LF!FQ223+LF!GO223</f>
        <v>3939</v>
      </c>
      <c r="E223" s="113">
        <f>LF!C223+LF!AA223+LF!BK223+LF!CI223+LF!DS223+LF!EQ223+LF!FO223+LF!GM223</f>
        <v>0</v>
      </c>
      <c r="F223" s="120">
        <f>LF!Q223+LF!BY223+LF!EG223+LF!GC223</f>
        <v>3210</v>
      </c>
      <c r="G223" s="113">
        <f>LF!O223+LF!BW223+LF!EE223+LF!GA223</f>
        <v>0</v>
      </c>
      <c r="H223" s="120">
        <f>LF!AO223+LF!CW223</f>
        <v>1493</v>
      </c>
      <c r="I223" s="113">
        <f>LF!AM223+LF!CU223</f>
        <v>2</v>
      </c>
      <c r="J223" s="120">
        <f>LF!BA223+LF!DI223+LF!FE223+LF!HA223</f>
        <v>3236</v>
      </c>
      <c r="K223" s="113">
        <f>LF!AY223+LF!DG223+LF!FC223+LF!GY223</f>
        <v>1</v>
      </c>
    </row>
    <row r="224" spans="1:11" ht="18.75" x14ac:dyDescent="0.25">
      <c r="A224" s="480"/>
      <c r="B224" s="111">
        <f t="shared" si="103"/>
        <v>45112</v>
      </c>
      <c r="C224" s="118">
        <f>LF!HM224</f>
        <v>11875</v>
      </c>
      <c r="D224" s="120">
        <f>LF!E224+LF!AC224+LF!BM224+LF!CK224+LF!DU224+LF!ES224+LF!FQ224+LF!GO224</f>
        <v>3936</v>
      </c>
      <c r="E224" s="113">
        <f>LF!C224+LF!AA224+LF!BK224+LF!CI224+LF!DS224+LF!EQ224+LF!FO224+LF!GM224</f>
        <v>3</v>
      </c>
      <c r="F224" s="120">
        <f>LF!Q224+LF!BY224+LF!EG224+LF!GC224</f>
        <v>3210</v>
      </c>
      <c r="G224" s="113">
        <f>LF!O224+LF!BW224+LF!EE224+LF!GA224</f>
        <v>0</v>
      </c>
      <c r="H224" s="120">
        <f>LF!AO224+LF!CW224</f>
        <v>1493</v>
      </c>
      <c r="I224" s="113">
        <f>LF!AM224+LF!CU224</f>
        <v>0</v>
      </c>
      <c r="J224" s="120">
        <f>LF!BA224+LF!DI224+LF!FE224+LF!HA224</f>
        <v>3236</v>
      </c>
      <c r="K224" s="113">
        <f>LF!AY224+LF!DG224+LF!FC224+LF!GY224</f>
        <v>0</v>
      </c>
    </row>
    <row r="225" spans="1:11" ht="18.75" x14ac:dyDescent="0.25">
      <c r="A225" s="480"/>
      <c r="B225" s="111">
        <f t="shared" si="103"/>
        <v>45113</v>
      </c>
      <c r="C225" s="118">
        <f>LF!HM225</f>
        <v>11871</v>
      </c>
      <c r="D225" s="120">
        <f>LF!E225+LF!AC225+LF!BM225+LF!CK225+LF!DU225+LF!ES225+LF!FQ225+LF!GO225</f>
        <v>3935</v>
      </c>
      <c r="E225" s="113">
        <f>LF!C225+LF!AA225+LF!BK225+LF!CI225+LF!DS225+LF!EQ225+LF!FO225+LF!GM225</f>
        <v>1</v>
      </c>
      <c r="F225" s="120">
        <f>LF!Q225+LF!BY225+LF!EG225+LF!GC225</f>
        <v>3209</v>
      </c>
      <c r="G225" s="113">
        <f>LF!O225+LF!BW225+LF!EE225+LF!GA225</f>
        <v>1</v>
      </c>
      <c r="H225" s="120">
        <f>LF!AO225+LF!CW225</f>
        <v>1493</v>
      </c>
      <c r="I225" s="113">
        <f>LF!AM225+LF!CU225</f>
        <v>0</v>
      </c>
      <c r="J225" s="120">
        <f>LF!BA225+LF!DI225+LF!FE225+LF!HA225</f>
        <v>3234</v>
      </c>
      <c r="K225" s="113">
        <f>LF!AY225+LF!DG225+LF!FC225+LF!GY225</f>
        <v>2</v>
      </c>
    </row>
    <row r="226" spans="1:11" ht="18.75" x14ac:dyDescent="0.25">
      <c r="A226" s="480"/>
      <c r="B226" s="111">
        <f t="shared" si="103"/>
        <v>45114</v>
      </c>
      <c r="C226" s="118">
        <f>LF!HM226</f>
        <v>11869</v>
      </c>
      <c r="D226" s="120">
        <f>LF!E226+LF!AC226+LF!BM226+LF!CK226+LF!DU226+LF!ES226+LF!FQ226+LF!GO226</f>
        <v>3933</v>
      </c>
      <c r="E226" s="113">
        <f>LF!C226+LF!AA226+LF!BK226+LF!CI226+LF!DS226+LF!EQ226+LF!FO226+LF!GM226</f>
        <v>2</v>
      </c>
      <c r="F226" s="120">
        <f>LF!Q226+LF!BY226+LF!EG226+LF!GC226</f>
        <v>3209</v>
      </c>
      <c r="G226" s="113">
        <f>LF!O226+LF!BW226+LF!EE226+LF!GA226</f>
        <v>0</v>
      </c>
      <c r="H226" s="120">
        <f>LF!AO226+LF!CW226</f>
        <v>1493</v>
      </c>
      <c r="I226" s="113">
        <f>LF!AM226+LF!CU226</f>
        <v>0</v>
      </c>
      <c r="J226" s="120">
        <f>LF!BA226+LF!DI226+LF!FE226+LF!HA226</f>
        <v>3234</v>
      </c>
      <c r="K226" s="113">
        <f>LF!AY226+LF!DG226+LF!FC226+LF!GY226</f>
        <v>0</v>
      </c>
    </row>
    <row r="227" spans="1:11" ht="19.5" thickBot="1" x14ac:dyDescent="0.3">
      <c r="A227" s="480"/>
      <c r="B227" s="141">
        <f t="shared" si="103"/>
        <v>45115</v>
      </c>
      <c r="C227" s="142">
        <f>LF!HM227</f>
        <v>11867</v>
      </c>
      <c r="D227" s="143">
        <f>LF!E227+LF!AC227+LF!BM227+LF!CK227+LF!DU227+LF!ES227+LF!FQ227+LF!GO227</f>
        <v>3932</v>
      </c>
      <c r="E227" s="114">
        <f>LF!C227+LF!AA227+LF!BK227+LF!CI227+LF!DS227+LF!EQ227+LF!FO227+LF!GM227</f>
        <v>1</v>
      </c>
      <c r="F227" s="121">
        <f>LF!Q227+LF!BY227+LF!EG227+LF!GC227</f>
        <v>3209</v>
      </c>
      <c r="G227" s="114">
        <f>LF!O227+LF!BW227+LF!EE227+LF!GA227</f>
        <v>0</v>
      </c>
      <c r="H227" s="121">
        <f>LF!AO227+LF!CW227</f>
        <v>1492</v>
      </c>
      <c r="I227" s="114">
        <f>LF!AM227+LF!CU227</f>
        <v>1</v>
      </c>
      <c r="J227" s="121">
        <f>LF!BA227+LF!DI227+LF!FE227+LF!HA227</f>
        <v>3234</v>
      </c>
      <c r="K227" s="114">
        <f>LF!AY227+LF!DG227+LF!FC227+LF!GY227</f>
        <v>0</v>
      </c>
    </row>
    <row r="228" spans="1:11" ht="19.5" thickBot="1" x14ac:dyDescent="0.3">
      <c r="A228" s="481"/>
      <c r="B228" s="2"/>
      <c r="C228" s="140"/>
      <c r="D228" s="144"/>
      <c r="E228" s="115">
        <f t="shared" ref="E228" si="108">SUM(E221:E227)</f>
        <v>12</v>
      </c>
      <c r="F228" s="116"/>
      <c r="G228" s="115">
        <f t="shared" ref="G228" si="109">SUM(G221:G227)</f>
        <v>2</v>
      </c>
      <c r="H228" s="116"/>
      <c r="I228" s="115">
        <f t="shared" ref="I228" si="110">SUM(I221:I227)</f>
        <v>5</v>
      </c>
      <c r="J228" s="116"/>
      <c r="K228" s="115">
        <f t="shared" ref="K228" si="111">SUM(K221:K227)</f>
        <v>3</v>
      </c>
    </row>
    <row r="229" spans="1:11" ht="19.5" thickBot="1" x14ac:dyDescent="0.3">
      <c r="A229" s="82"/>
      <c r="B229" s="139"/>
      <c r="C229" s="108"/>
      <c r="D229" s="109"/>
      <c r="E229" s="109"/>
      <c r="F229" s="109"/>
      <c r="G229" s="109"/>
      <c r="H229" s="109"/>
      <c r="I229" s="109"/>
      <c r="J229" s="109"/>
      <c r="K229" s="109"/>
    </row>
    <row r="230" spans="1:11" ht="18.75" x14ac:dyDescent="0.25">
      <c r="A230" s="479">
        <v>50</v>
      </c>
      <c r="B230" s="110">
        <f t="shared" si="102"/>
        <v>45116</v>
      </c>
      <c r="C230" s="117">
        <f>LF!HM230</f>
        <v>11864</v>
      </c>
      <c r="D230" s="119">
        <f>LF!E230+LF!AC230+LF!BM230+LF!CK230+LF!DU230+LF!ES230+LF!FQ230+LF!GO230</f>
        <v>3930</v>
      </c>
      <c r="E230" s="112">
        <f>LF!C230+LF!AA230+LF!BK230+LF!CI230+LF!DS230+LF!EQ230+LF!FO230+LF!GM230</f>
        <v>2</v>
      </c>
      <c r="F230" s="119">
        <f>LF!Q230+LF!BY230+LF!EG230+LF!GC230</f>
        <v>3209</v>
      </c>
      <c r="G230" s="112">
        <f>LF!O230+LF!BW230+LF!EE230+LF!GA230</f>
        <v>0</v>
      </c>
      <c r="H230" s="119">
        <f>LF!AO230+LF!CW230</f>
        <v>1492</v>
      </c>
      <c r="I230" s="112">
        <f>LF!AM230+LF!CU230</f>
        <v>0</v>
      </c>
      <c r="J230" s="119">
        <f>LF!BA230+LF!DI230+LF!FE230+LF!HA230</f>
        <v>3233</v>
      </c>
      <c r="K230" s="112">
        <f>LF!AY230+LF!DG230+LF!FC230+LF!GY230</f>
        <v>1</v>
      </c>
    </row>
    <row r="231" spans="1:11" ht="18.75" x14ac:dyDescent="0.25">
      <c r="A231" s="480"/>
      <c r="B231" s="111">
        <f t="shared" si="103"/>
        <v>45117</v>
      </c>
      <c r="C231" s="118">
        <f>LF!HM231</f>
        <v>11859</v>
      </c>
      <c r="D231" s="120">
        <f>LF!E231+LF!AC231+LF!BM231+LF!CK231+LF!DU231+LF!ES231+LF!FQ231+LF!GO231</f>
        <v>3928</v>
      </c>
      <c r="E231" s="113">
        <f>LF!C231+LF!AA231+LF!BK231+LF!CI231+LF!DS231+LF!EQ231+LF!FO231+LF!GM231</f>
        <v>2</v>
      </c>
      <c r="F231" s="120">
        <f>LF!Q231+LF!BY231+LF!EG231+LF!GC231</f>
        <v>3207</v>
      </c>
      <c r="G231" s="113">
        <f>LF!O231+LF!BW231+LF!EE231+LF!GA231</f>
        <v>2</v>
      </c>
      <c r="H231" s="120">
        <f>LF!AO231+LF!CW231</f>
        <v>1491</v>
      </c>
      <c r="I231" s="113">
        <f>LF!AM231+LF!CU231</f>
        <v>1</v>
      </c>
      <c r="J231" s="120">
        <f>LF!BA231+LF!DI231+LF!FE231+LF!HA231</f>
        <v>3233</v>
      </c>
      <c r="K231" s="113">
        <f>LF!AY231+LF!DG231+LF!FC231+LF!GY231</f>
        <v>0</v>
      </c>
    </row>
    <row r="232" spans="1:11" ht="18.75" x14ac:dyDescent="0.25">
      <c r="A232" s="480"/>
      <c r="B232" s="111">
        <f t="shared" si="103"/>
        <v>45118</v>
      </c>
      <c r="C232" s="118">
        <f>LF!HM232</f>
        <v>11857</v>
      </c>
      <c r="D232" s="120">
        <f>LF!E232+LF!AC232+LF!BM232+LF!CK232+LF!DU232+LF!ES232+LF!FQ232+LF!GO232</f>
        <v>3927</v>
      </c>
      <c r="E232" s="113">
        <f>LF!C232+LF!AA232+LF!BK232+LF!CI232+LF!DS232+LF!EQ232+LF!FO232+LF!GM232</f>
        <v>1</v>
      </c>
      <c r="F232" s="120">
        <f>LF!Q232+LF!BY232+LF!EG232+LF!GC232</f>
        <v>3207</v>
      </c>
      <c r="G232" s="113">
        <f>LF!O232+LF!BW232+LF!EE232+LF!GA232</f>
        <v>0</v>
      </c>
      <c r="H232" s="120">
        <f>LF!AO232+LF!CW232</f>
        <v>1491</v>
      </c>
      <c r="I232" s="113">
        <f>LF!AM232+LF!CU232</f>
        <v>0</v>
      </c>
      <c r="J232" s="120">
        <f>LF!BA232+LF!DI232+LF!FE232+LF!HA232</f>
        <v>3232</v>
      </c>
      <c r="K232" s="113">
        <f>LF!AY232+LF!DG232+LF!FC232+LF!GY232</f>
        <v>1</v>
      </c>
    </row>
    <row r="233" spans="1:11" ht="18.75" x14ac:dyDescent="0.25">
      <c r="A233" s="480"/>
      <c r="B233" s="111">
        <f t="shared" si="103"/>
        <v>45119</v>
      </c>
      <c r="C233" s="118">
        <f>LF!HM233</f>
        <v>11852</v>
      </c>
      <c r="D233" s="120">
        <f>LF!E233+LF!AC233+LF!BM233+LF!CK233+LF!DU233+LF!ES233+LF!FQ233+LF!GO233</f>
        <v>3925</v>
      </c>
      <c r="E233" s="113">
        <f>LF!C233+LF!AA233+LF!BK233+LF!CI233+LF!DS233+LF!EQ233+LF!FO233+LF!GM233</f>
        <v>2</v>
      </c>
      <c r="F233" s="120">
        <f>LF!Q233+LF!BY233+LF!EG233+LF!GC233</f>
        <v>3207</v>
      </c>
      <c r="G233" s="113">
        <f>LF!O233+LF!BW233+LF!EE233+LF!GA233</f>
        <v>0</v>
      </c>
      <c r="H233" s="120">
        <f>LF!AO233+LF!CW233</f>
        <v>1490</v>
      </c>
      <c r="I233" s="113">
        <f>LF!AM233+LF!CU233</f>
        <v>1</v>
      </c>
      <c r="J233" s="120">
        <f>LF!BA233+LF!DI233+LF!FE233+LF!HA233</f>
        <v>3230</v>
      </c>
      <c r="K233" s="113">
        <f>LF!AY233+LF!DG233+LF!FC233+LF!GY233</f>
        <v>2</v>
      </c>
    </row>
    <row r="234" spans="1:11" ht="18.75" x14ac:dyDescent="0.25">
      <c r="A234" s="480"/>
      <c r="B234" s="111">
        <f t="shared" si="103"/>
        <v>45120</v>
      </c>
      <c r="C234" s="118">
        <f>LF!HM234</f>
        <v>11850</v>
      </c>
      <c r="D234" s="120">
        <f>LF!E234+LF!AC234+LF!BM234+LF!CK234+LF!DU234+LF!ES234+LF!FQ234+LF!GO234</f>
        <v>3923</v>
      </c>
      <c r="E234" s="113">
        <f>LF!C234+LF!AA234+LF!BK234+LF!CI234+LF!DS234+LF!EQ234+LF!FO234+LF!GM234</f>
        <v>2</v>
      </c>
      <c r="F234" s="120">
        <f>LF!Q234+LF!BY234+LF!EG234+LF!GC234</f>
        <v>3207</v>
      </c>
      <c r="G234" s="113">
        <f>LF!O234+LF!BW234+LF!EE234+LF!GA234</f>
        <v>0</v>
      </c>
      <c r="H234" s="120">
        <f>LF!AO234+LF!CW234</f>
        <v>1490</v>
      </c>
      <c r="I234" s="113">
        <f>LF!AM234+LF!CU234</f>
        <v>0</v>
      </c>
      <c r="J234" s="120">
        <f>LF!BA234+LF!DI234+LF!FE234+LF!HA234</f>
        <v>3230</v>
      </c>
      <c r="K234" s="113">
        <f>LF!AY234+LF!DG234+LF!FC234+LF!GY234</f>
        <v>0</v>
      </c>
    </row>
    <row r="235" spans="1:11" ht="18.75" x14ac:dyDescent="0.25">
      <c r="A235" s="480"/>
      <c r="B235" s="111">
        <f t="shared" si="103"/>
        <v>45121</v>
      </c>
      <c r="C235" s="118">
        <f>LF!HM235</f>
        <v>11847</v>
      </c>
      <c r="D235" s="120">
        <f>LF!E235+LF!AC235+LF!BM235+LF!CK235+LF!DU235+LF!ES235+LF!FQ235+LF!GO235</f>
        <v>3922</v>
      </c>
      <c r="E235" s="113">
        <f>LF!C235+LF!AA235+LF!BK235+LF!CI235+LF!DS235+LF!EQ235+LF!FO235+LF!GM235</f>
        <v>1</v>
      </c>
      <c r="F235" s="120">
        <f>LF!Q235+LF!BY235+LF!EG235+LF!GC235</f>
        <v>3207</v>
      </c>
      <c r="G235" s="113">
        <f>LF!O235+LF!BW235+LF!EE235+LF!GA235</f>
        <v>0</v>
      </c>
      <c r="H235" s="120">
        <f>LF!AO235+LF!CW235</f>
        <v>1489</v>
      </c>
      <c r="I235" s="113">
        <f>LF!AM235+LF!CU235</f>
        <v>1</v>
      </c>
      <c r="J235" s="120">
        <f>LF!BA235+LF!DI235+LF!FE235+LF!HA235</f>
        <v>3229</v>
      </c>
      <c r="K235" s="113">
        <f>LF!AY235+LF!DG235+LF!FC235+LF!GY235</f>
        <v>1</v>
      </c>
    </row>
    <row r="236" spans="1:11" ht="19.5" thickBot="1" x14ac:dyDescent="0.3">
      <c r="A236" s="480"/>
      <c r="B236" s="141">
        <f t="shared" si="103"/>
        <v>45122</v>
      </c>
      <c r="C236" s="142">
        <f>LF!HM236</f>
        <v>11844</v>
      </c>
      <c r="D236" s="143">
        <f>LF!E236+LF!AC236+LF!BM236+LF!CK236+LF!DU236+LF!ES236+LF!FQ236+LF!GO236</f>
        <v>3920</v>
      </c>
      <c r="E236" s="114">
        <f>LF!C236+LF!AA236+LF!BK236+LF!CI236+LF!DS236+LF!EQ236+LF!FO236+LF!GM236</f>
        <v>2</v>
      </c>
      <c r="F236" s="121">
        <f>LF!Q236+LF!BY236+LF!EG236+LF!GC236</f>
        <v>3207</v>
      </c>
      <c r="G236" s="114">
        <f>LF!O236+LF!BW236+LF!EE236+LF!GA236</f>
        <v>0</v>
      </c>
      <c r="H236" s="121">
        <f>LF!AO236+LF!CW236</f>
        <v>1489</v>
      </c>
      <c r="I236" s="114">
        <f>LF!AM236+LF!CU236</f>
        <v>0</v>
      </c>
      <c r="J236" s="121">
        <f>LF!BA236+LF!DI236+LF!FE236+LF!HA236</f>
        <v>3228</v>
      </c>
      <c r="K236" s="114">
        <f>LF!AY236+LF!DG236+LF!FC236+LF!GY236</f>
        <v>1</v>
      </c>
    </row>
    <row r="237" spans="1:11" ht="19.5" thickBot="1" x14ac:dyDescent="0.3">
      <c r="A237" s="481"/>
      <c r="B237" s="2"/>
      <c r="C237" s="140"/>
      <c r="D237" s="144"/>
      <c r="E237" s="115">
        <f t="shared" ref="E237" si="112">SUM(E230:E236)</f>
        <v>12</v>
      </c>
      <c r="F237" s="116"/>
      <c r="G237" s="115">
        <f t="shared" ref="G237" si="113">SUM(G230:G236)</f>
        <v>2</v>
      </c>
      <c r="H237" s="116"/>
      <c r="I237" s="115">
        <f t="shared" ref="I237" si="114">SUM(I230:I236)</f>
        <v>3</v>
      </c>
      <c r="J237" s="116"/>
      <c r="K237" s="115">
        <f t="shared" ref="K237" si="115">SUM(K230:K236)</f>
        <v>6</v>
      </c>
    </row>
    <row r="238" spans="1:11" ht="19.5" thickBot="1" x14ac:dyDescent="0.3">
      <c r="A238" s="82"/>
      <c r="B238" s="139"/>
      <c r="C238" s="108"/>
      <c r="D238" s="109"/>
      <c r="E238" s="109"/>
      <c r="F238" s="109"/>
      <c r="G238" s="109"/>
      <c r="H238" s="109"/>
      <c r="I238" s="109"/>
      <c r="J238" s="109"/>
      <c r="K238" s="109"/>
    </row>
    <row r="239" spans="1:11" ht="18.75" x14ac:dyDescent="0.25">
      <c r="A239" s="479">
        <v>51</v>
      </c>
      <c r="B239" s="110">
        <f t="shared" si="102"/>
        <v>45123</v>
      </c>
      <c r="C239" s="117">
        <f>LF!HM239</f>
        <v>11841</v>
      </c>
      <c r="D239" s="119">
        <f>LF!E239+LF!AC239+LF!BM239+LF!CK239+LF!DU239+LF!ES239+LF!FQ239+LF!GO239</f>
        <v>3918</v>
      </c>
      <c r="E239" s="112">
        <f>LF!C239+LF!AA239+LF!BK239+LF!CI239+LF!DS239+LF!EQ239+LF!FO239+LF!GM239</f>
        <v>2</v>
      </c>
      <c r="F239" s="119">
        <f>LF!Q239+LF!BY239+LF!EG239+LF!GC239</f>
        <v>3206</v>
      </c>
      <c r="G239" s="112">
        <f>LF!O239+LF!BW239+LF!EE239+LF!GA239</f>
        <v>1</v>
      </c>
      <c r="H239" s="119">
        <f>LF!AO239+LF!CW239</f>
        <v>1489</v>
      </c>
      <c r="I239" s="112">
        <f>LF!AM239+LF!CU239</f>
        <v>0</v>
      </c>
      <c r="J239" s="119">
        <f>LF!BA239+LF!DI239+LF!FE239+LF!HA239</f>
        <v>3228</v>
      </c>
      <c r="K239" s="112">
        <f>LF!AY239+LF!DG239+LF!FC239+LF!GY239</f>
        <v>0</v>
      </c>
    </row>
    <row r="240" spans="1:11" ht="18.75" x14ac:dyDescent="0.25">
      <c r="A240" s="480"/>
      <c r="B240" s="111">
        <f t="shared" si="103"/>
        <v>45124</v>
      </c>
      <c r="C240" s="118">
        <f>LF!HM240</f>
        <v>11839</v>
      </c>
      <c r="D240" s="120">
        <f>LF!E240+LF!AC240+LF!BM240+LF!CK240+LF!DU240+LF!ES240+LF!FQ240+LF!GO240</f>
        <v>3917</v>
      </c>
      <c r="E240" s="113">
        <f>LF!C240+LF!AA240+LF!BK240+LF!CI240+LF!DS240+LF!EQ240+LF!FO240+LF!GM240</f>
        <v>1</v>
      </c>
      <c r="F240" s="120">
        <f>LF!Q240+LF!BY240+LF!EG240+LF!GC240</f>
        <v>3205</v>
      </c>
      <c r="G240" s="113">
        <f>LF!O240+LF!BW240+LF!EE240+LF!GA240</f>
        <v>1</v>
      </c>
      <c r="H240" s="120">
        <f>LF!AO240+LF!CW240</f>
        <v>1489</v>
      </c>
      <c r="I240" s="113">
        <f>LF!AM240+LF!CU240</f>
        <v>0</v>
      </c>
      <c r="J240" s="120">
        <f>LF!BA240+LF!DI240+LF!FE240+LF!HA240</f>
        <v>3228</v>
      </c>
      <c r="K240" s="113">
        <f>LF!AY240+LF!DG240+LF!FC240+LF!GY240</f>
        <v>0</v>
      </c>
    </row>
    <row r="241" spans="1:11" ht="18.75" x14ac:dyDescent="0.25">
      <c r="A241" s="480"/>
      <c r="B241" s="111">
        <f t="shared" si="103"/>
        <v>45125</v>
      </c>
      <c r="C241" s="118">
        <f>LF!HM241</f>
        <v>11837</v>
      </c>
      <c r="D241" s="120">
        <f>LF!E241+LF!AC241+LF!BM241+LF!CK241+LF!DU241+LF!ES241+LF!FQ241+LF!GO241</f>
        <v>3916</v>
      </c>
      <c r="E241" s="113">
        <f>LF!C241+LF!AA241+LF!BK241+LF!CI241+LF!DS241+LF!EQ241+LF!FO241+LF!GM241</f>
        <v>1</v>
      </c>
      <c r="F241" s="120">
        <f>LF!Q241+LF!BY241+LF!EG241+LF!GC241</f>
        <v>3204</v>
      </c>
      <c r="G241" s="113">
        <f>LF!O241+LF!BW241+LF!EE241+LF!GA241</f>
        <v>1</v>
      </c>
      <c r="H241" s="120">
        <f>LF!AO241+LF!CW241</f>
        <v>1489</v>
      </c>
      <c r="I241" s="113">
        <f>LF!AM241+LF!CU241</f>
        <v>0</v>
      </c>
      <c r="J241" s="120">
        <f>LF!BA241+LF!DI241+LF!FE241+LF!HA241</f>
        <v>3228</v>
      </c>
      <c r="K241" s="113">
        <f>LF!AY241+LF!DG241+LF!FC241+LF!GY241</f>
        <v>0</v>
      </c>
    </row>
    <row r="242" spans="1:11" ht="18.75" x14ac:dyDescent="0.25">
      <c r="A242" s="480"/>
      <c r="B242" s="111">
        <f t="shared" si="103"/>
        <v>45126</v>
      </c>
      <c r="C242" s="118">
        <f>LF!HM242</f>
        <v>11835</v>
      </c>
      <c r="D242" s="120">
        <f>LF!E242+LF!AC242+LF!BM242+LF!CK242+LF!DU242+LF!ES242+LF!FQ242+LF!GO242</f>
        <v>3916</v>
      </c>
      <c r="E242" s="113">
        <f>LF!C242+LF!AA242+LF!BK242+LF!CI242+LF!DS242+LF!EQ242+LF!FO242+LF!GM242</f>
        <v>0</v>
      </c>
      <c r="F242" s="120">
        <f>LF!Q242+LF!BY242+LF!EG242+LF!GC242</f>
        <v>3204</v>
      </c>
      <c r="G242" s="113">
        <f>LF!O242+LF!BW242+LF!EE242+LF!GA242</f>
        <v>0</v>
      </c>
      <c r="H242" s="120">
        <f>LF!AO242+LF!CW242</f>
        <v>1488</v>
      </c>
      <c r="I242" s="113">
        <f>LF!AM242+LF!CU242</f>
        <v>1</v>
      </c>
      <c r="J242" s="120">
        <f>LF!BA242+LF!DI242+LF!FE242+LF!HA242</f>
        <v>3227</v>
      </c>
      <c r="K242" s="113">
        <f>LF!AY242+LF!DG242+LF!FC242+LF!GY242</f>
        <v>1</v>
      </c>
    </row>
    <row r="243" spans="1:11" ht="18.75" x14ac:dyDescent="0.25">
      <c r="A243" s="480"/>
      <c r="B243" s="111">
        <f t="shared" si="103"/>
        <v>45127</v>
      </c>
      <c r="C243" s="118">
        <f>LF!HM243</f>
        <v>11832</v>
      </c>
      <c r="D243" s="120">
        <f>LF!E243+LF!AC243+LF!BM243+LF!CK243+LF!DU243+LF!ES243+LF!FQ243+LF!GO243</f>
        <v>3914</v>
      </c>
      <c r="E243" s="113">
        <f>LF!C243+LF!AA243+LF!BK243+LF!CI243+LF!DS243+LF!EQ243+LF!FO243+LF!GM243</f>
        <v>2</v>
      </c>
      <c r="F243" s="120">
        <f>LF!Q243+LF!BY243+LF!EG243+LF!GC243</f>
        <v>3204</v>
      </c>
      <c r="G243" s="113">
        <f>LF!O243+LF!BW243+LF!EE243+LF!GA243</f>
        <v>0</v>
      </c>
      <c r="H243" s="120">
        <f>LF!AO243+LF!CW243</f>
        <v>1488</v>
      </c>
      <c r="I243" s="113">
        <f>LF!AM243+LF!CU243</f>
        <v>0</v>
      </c>
      <c r="J243" s="120">
        <f>LF!BA243+LF!DI243+LF!FE243+LF!HA243</f>
        <v>3226</v>
      </c>
      <c r="K243" s="113">
        <f>LF!AY243+LF!DG243+LF!FC243+LF!GY243</f>
        <v>1</v>
      </c>
    </row>
    <row r="244" spans="1:11" ht="18.75" x14ac:dyDescent="0.25">
      <c r="A244" s="480"/>
      <c r="B244" s="111">
        <f t="shared" si="103"/>
        <v>45128</v>
      </c>
      <c r="C244" s="118">
        <f>LF!HM244</f>
        <v>11829</v>
      </c>
      <c r="D244" s="120">
        <f>LF!E244+LF!AC244+LF!BM244+LF!CK244+LF!DU244+LF!ES244+LF!FQ244+LF!GO244</f>
        <v>3913</v>
      </c>
      <c r="E244" s="113">
        <f>LF!C244+LF!AA244+LF!BK244+LF!CI244+LF!DS244+LF!EQ244+LF!FO244+LF!GM244</f>
        <v>1</v>
      </c>
      <c r="F244" s="120">
        <f>LF!Q244+LF!BY244+LF!EG244+LF!GC244</f>
        <v>3202</v>
      </c>
      <c r="G244" s="113">
        <f>LF!O244+LF!BW244+LF!EE244+LF!GA244</f>
        <v>2</v>
      </c>
      <c r="H244" s="120">
        <f>LF!AO244+LF!CW244</f>
        <v>1488</v>
      </c>
      <c r="I244" s="113">
        <f>LF!AM244+LF!CU244</f>
        <v>0</v>
      </c>
      <c r="J244" s="120">
        <f>LF!BA244+LF!DI244+LF!FE244+LF!HA244</f>
        <v>3226</v>
      </c>
      <c r="K244" s="113">
        <f>LF!AY244+LF!DG244+LF!FC244+LF!GY244</f>
        <v>0</v>
      </c>
    </row>
    <row r="245" spans="1:11" ht="19.5" thickBot="1" x14ac:dyDescent="0.3">
      <c r="A245" s="480"/>
      <c r="B245" s="141">
        <f t="shared" si="103"/>
        <v>45129</v>
      </c>
      <c r="C245" s="142">
        <f>LF!HM245</f>
        <v>11826</v>
      </c>
      <c r="D245" s="143">
        <f>LF!E245+LF!AC245+LF!BM245+LF!CK245+LF!DU245+LF!ES245+LF!FQ245+LF!GO245</f>
        <v>3913</v>
      </c>
      <c r="E245" s="114">
        <f>LF!C245+LF!AA245+LF!BK245+LF!CI245+LF!DS245+LF!EQ245+LF!FO245+LF!GM245</f>
        <v>0</v>
      </c>
      <c r="F245" s="121">
        <f>LF!Q245+LF!BY245+LF!EG245+LF!GC245</f>
        <v>3202</v>
      </c>
      <c r="G245" s="114">
        <f>LF!O245+LF!BW245+LF!EE245+LF!GA245</f>
        <v>0</v>
      </c>
      <c r="H245" s="121">
        <f>LF!AO245+LF!CW245</f>
        <v>1487</v>
      </c>
      <c r="I245" s="114">
        <f>LF!AM245+LF!CU245</f>
        <v>1</v>
      </c>
      <c r="J245" s="121">
        <f>LF!BA245+LF!DI245+LF!FE245+LF!HA245</f>
        <v>3224</v>
      </c>
      <c r="K245" s="114">
        <f>LF!AY245+LF!DG245+LF!FC245+LF!GY245</f>
        <v>2</v>
      </c>
    </row>
    <row r="246" spans="1:11" ht="19.5" thickBot="1" x14ac:dyDescent="0.3">
      <c r="A246" s="481"/>
      <c r="B246" s="2"/>
      <c r="C246" s="140"/>
      <c r="D246" s="144"/>
      <c r="E246" s="115">
        <f t="shared" ref="E246" si="116">SUM(E239:E245)</f>
        <v>7</v>
      </c>
      <c r="F246" s="116"/>
      <c r="G246" s="115">
        <f t="shared" ref="G246" si="117">SUM(G239:G245)</f>
        <v>5</v>
      </c>
      <c r="H246" s="116"/>
      <c r="I246" s="115">
        <f t="shared" ref="I246" si="118">SUM(I239:I245)</f>
        <v>2</v>
      </c>
      <c r="J246" s="116"/>
      <c r="K246" s="115">
        <f t="shared" ref="K246" si="119">SUM(K239:K245)</f>
        <v>4</v>
      </c>
    </row>
    <row r="247" spans="1:11" ht="19.5" thickBot="1" x14ac:dyDescent="0.3">
      <c r="A247" s="82"/>
      <c r="B247" s="139"/>
      <c r="C247" s="108"/>
      <c r="D247" s="109"/>
      <c r="E247" s="109"/>
      <c r="F247" s="109"/>
      <c r="G247" s="109"/>
      <c r="H247" s="109"/>
      <c r="I247" s="109"/>
      <c r="J247" s="109"/>
      <c r="K247" s="109"/>
    </row>
    <row r="248" spans="1:11" ht="18.75" x14ac:dyDescent="0.25">
      <c r="A248" s="479">
        <v>52</v>
      </c>
      <c r="B248" s="110">
        <f t="shared" ref="B248:B275" si="120">+B245+1</f>
        <v>45130</v>
      </c>
      <c r="C248" s="117">
        <f>LF!HM248</f>
        <v>11823</v>
      </c>
      <c r="D248" s="119">
        <f>LF!E248+LF!AC248+LF!BM248+LF!CK248+LF!DU248+LF!ES248+LF!FQ248+LF!GO248</f>
        <v>3910</v>
      </c>
      <c r="E248" s="112">
        <f>LF!C248+LF!AA248+LF!BK248+LF!CI248+LF!DS248+LF!EQ248+LF!FO248+LF!GM248</f>
        <v>3</v>
      </c>
      <c r="F248" s="119">
        <f>LF!Q248+LF!BY248+LF!EG248+LF!GC248</f>
        <v>3202</v>
      </c>
      <c r="G248" s="112">
        <f>LF!O248+LF!BW248+LF!EE248+LF!GA248</f>
        <v>0</v>
      </c>
      <c r="H248" s="119">
        <f>LF!AO248+LF!CW248</f>
        <v>1487</v>
      </c>
      <c r="I248" s="112">
        <f>LF!AM248+LF!CU248</f>
        <v>0</v>
      </c>
      <c r="J248" s="119">
        <f>LF!BA248+LF!DI248+LF!FE248+LF!HA248</f>
        <v>3224</v>
      </c>
      <c r="K248" s="112">
        <f>LF!AY248+LF!DG248+LF!FC248+LF!GY248</f>
        <v>0</v>
      </c>
    </row>
    <row r="249" spans="1:11" ht="18.75" x14ac:dyDescent="0.25">
      <c r="A249" s="480"/>
      <c r="B249" s="111">
        <f t="shared" ref="B249:B281" si="121">+B248+1</f>
        <v>45131</v>
      </c>
      <c r="C249" s="118">
        <f>LF!HM249</f>
        <v>11821</v>
      </c>
      <c r="D249" s="120">
        <f>LF!E249+LF!AC249+LF!BM249+LF!CK249+LF!DU249+LF!ES249+LF!FQ249+LF!GO249</f>
        <v>3909</v>
      </c>
      <c r="E249" s="113">
        <f>LF!C249+LF!AA249+LF!BK249+LF!CI249+LF!DS249+LF!EQ249+LF!FO249+LF!GM249</f>
        <v>1</v>
      </c>
      <c r="F249" s="120">
        <f>LF!Q249+LF!BY249+LF!EG249+LF!GC249</f>
        <v>3202</v>
      </c>
      <c r="G249" s="113">
        <f>LF!O249+LF!BW249+LF!EE249+LF!GA249</f>
        <v>0</v>
      </c>
      <c r="H249" s="120">
        <f>LF!AO249+LF!CW249</f>
        <v>1487</v>
      </c>
      <c r="I249" s="113">
        <f>LF!AM249+LF!CU249</f>
        <v>0</v>
      </c>
      <c r="J249" s="120">
        <f>LF!BA249+LF!DI249+LF!FE249+LF!HA249</f>
        <v>3223</v>
      </c>
      <c r="K249" s="113">
        <f>LF!AY249+LF!DG249+LF!FC249+LF!GY249</f>
        <v>1</v>
      </c>
    </row>
    <row r="250" spans="1:11" ht="18.75" x14ac:dyDescent="0.25">
      <c r="A250" s="480"/>
      <c r="B250" s="111">
        <f t="shared" si="121"/>
        <v>45132</v>
      </c>
      <c r="C250" s="118">
        <f>LF!HM250</f>
        <v>11817</v>
      </c>
      <c r="D250" s="120">
        <f>LF!E250+LF!AC250+LF!BM250+LF!CK250+LF!DU250+LF!ES250+LF!FQ250+LF!GO250</f>
        <v>3906</v>
      </c>
      <c r="E250" s="113">
        <f>LF!C250+LF!AA250+LF!BK250+LF!CI250+LF!DS250+LF!EQ250+LF!FO250+LF!GM250</f>
        <v>3</v>
      </c>
      <c r="F250" s="120">
        <f>LF!Q250+LF!BY250+LF!EG250+LF!GC250</f>
        <v>3201</v>
      </c>
      <c r="G250" s="113">
        <f>LF!O250+LF!BW250+LF!EE250+LF!GA250</f>
        <v>1</v>
      </c>
      <c r="H250" s="120">
        <f>LF!AO250+LF!CW250</f>
        <v>1487</v>
      </c>
      <c r="I250" s="113">
        <f>LF!AM250+LF!CU250</f>
        <v>0</v>
      </c>
      <c r="J250" s="120">
        <f>LF!BA250+LF!DI250+LF!FE250+LF!HA250</f>
        <v>3223</v>
      </c>
      <c r="K250" s="113">
        <f>LF!AY250+LF!DG250+LF!FC250+LF!GY250</f>
        <v>0</v>
      </c>
    </row>
    <row r="251" spans="1:11" ht="18.75" x14ac:dyDescent="0.25">
      <c r="A251" s="480"/>
      <c r="B251" s="111">
        <f t="shared" si="121"/>
        <v>45133</v>
      </c>
      <c r="C251" s="118">
        <f>LF!HM251</f>
        <v>11815</v>
      </c>
      <c r="D251" s="120">
        <f>LF!E251+LF!AC251+LF!BM251+LF!CK251+LF!DU251+LF!ES251+LF!FQ251+LF!GO251</f>
        <v>3905</v>
      </c>
      <c r="E251" s="113">
        <f>LF!C251+LF!AA251+LF!BK251+LF!CI251+LF!DS251+LF!EQ251+LF!FO251+LF!GM251</f>
        <v>1</v>
      </c>
      <c r="F251" s="120">
        <f>LF!Q251+LF!BY251+LF!EG251+LF!GC251</f>
        <v>3201</v>
      </c>
      <c r="G251" s="113">
        <f>LF!O251+LF!BW251+LF!EE251+LF!GA251</f>
        <v>0</v>
      </c>
      <c r="H251" s="120">
        <f>LF!AO251+LF!CW251</f>
        <v>1487</v>
      </c>
      <c r="I251" s="113">
        <f>LF!AM251+LF!CU251</f>
        <v>0</v>
      </c>
      <c r="J251" s="120">
        <f>LF!BA251+LF!DI251+LF!FE251+LF!HA251</f>
        <v>3222</v>
      </c>
      <c r="K251" s="113">
        <f>LF!AY251+LF!DG251+LF!FC251+LF!GY251</f>
        <v>1</v>
      </c>
    </row>
    <row r="252" spans="1:11" ht="18.75" x14ac:dyDescent="0.25">
      <c r="A252" s="480"/>
      <c r="B252" s="111">
        <f t="shared" si="121"/>
        <v>45134</v>
      </c>
      <c r="C252" s="118">
        <f>LF!HM252</f>
        <v>11813</v>
      </c>
      <c r="D252" s="120">
        <f>LF!E252+LF!AC252+LF!BM252+LF!CK252+LF!DU252+LF!ES252+LF!FQ252+LF!GO252</f>
        <v>3904</v>
      </c>
      <c r="E252" s="113">
        <f>LF!C252+LF!AA252+LF!BK252+LF!CI252+LF!DS252+LF!EQ252+LF!FO252+LF!GM252</f>
        <v>1</v>
      </c>
      <c r="F252" s="120">
        <f>LF!Q252+LF!BY252+LF!EG252+LF!GC252</f>
        <v>3201</v>
      </c>
      <c r="G252" s="113">
        <f>LF!O252+LF!BW252+LF!EE252+LF!GA252</f>
        <v>0</v>
      </c>
      <c r="H252" s="120">
        <f>LF!AO252+LF!CW252</f>
        <v>1487</v>
      </c>
      <c r="I252" s="113">
        <f>LF!AM252+LF!CU252</f>
        <v>0</v>
      </c>
      <c r="J252" s="120">
        <f>LF!BA252+LF!DI252+LF!FE252+LF!HA252</f>
        <v>3221</v>
      </c>
      <c r="K252" s="113">
        <f>LF!AY252+LF!DG252+LF!FC252+LF!GY252</f>
        <v>1</v>
      </c>
    </row>
    <row r="253" spans="1:11" ht="18.75" x14ac:dyDescent="0.25">
      <c r="A253" s="480"/>
      <c r="B253" s="111">
        <f t="shared" si="121"/>
        <v>45135</v>
      </c>
      <c r="C253" s="118">
        <f>LF!HM253</f>
        <v>11809</v>
      </c>
      <c r="D253" s="120">
        <f>LF!E253+LF!AC253+LF!BM253+LF!CK253+LF!DU253+LF!ES253+LF!FQ253+LF!GO253</f>
        <v>3902</v>
      </c>
      <c r="E253" s="113">
        <f>LF!C253+LF!AA253+LF!BK253+LF!CI253+LF!DS253+LF!EQ253+LF!FO253+LF!GM253</f>
        <v>2</v>
      </c>
      <c r="F253" s="120">
        <f>LF!Q253+LF!BY253+LF!EG253+LF!GC253</f>
        <v>3200</v>
      </c>
      <c r="G253" s="113">
        <f>LF!O253+LF!BW253+LF!EE253+LF!GA253</f>
        <v>1</v>
      </c>
      <c r="H253" s="120">
        <f>LF!AO253+LF!CW253</f>
        <v>1487</v>
      </c>
      <c r="I253" s="113">
        <f>LF!AM253+LF!CU253</f>
        <v>0</v>
      </c>
      <c r="J253" s="120">
        <f>LF!BA253+LF!DI253+LF!FE253+LF!HA253</f>
        <v>3220</v>
      </c>
      <c r="K253" s="113">
        <f>LF!AY253+LF!DG253+LF!FC253+LF!GY253</f>
        <v>1</v>
      </c>
    </row>
    <row r="254" spans="1:11" ht="19.5" thickBot="1" x14ac:dyDescent="0.3">
      <c r="A254" s="480"/>
      <c r="B254" s="141">
        <f t="shared" si="121"/>
        <v>45136</v>
      </c>
      <c r="C254" s="142">
        <f>LF!HM254</f>
        <v>11807</v>
      </c>
      <c r="D254" s="143">
        <f>LF!E254+LF!AC254+LF!BM254+LF!CK254+LF!DU254+LF!ES254+LF!FQ254+LF!GO254</f>
        <v>3901</v>
      </c>
      <c r="E254" s="114">
        <f>LF!C254+LF!AA254+LF!BK254+LF!CI254+LF!DS254+LF!EQ254+LF!FO254+LF!GM254</f>
        <v>1</v>
      </c>
      <c r="F254" s="121">
        <f>LF!Q254+LF!BY254+LF!EG254+LF!GC254</f>
        <v>3200</v>
      </c>
      <c r="G254" s="114">
        <f>LF!O254+LF!BW254+LF!EE254+LF!GA254</f>
        <v>0</v>
      </c>
      <c r="H254" s="121">
        <f>LF!AO254+LF!CW254</f>
        <v>1486</v>
      </c>
      <c r="I254" s="114">
        <f>LF!AM254+LF!CU254</f>
        <v>1</v>
      </c>
      <c r="J254" s="121">
        <f>LF!BA254+LF!DI254+LF!FE254+LF!HA254</f>
        <v>3220</v>
      </c>
      <c r="K254" s="114">
        <f>LF!AY254+LF!DG254+LF!FC254+LF!GY254</f>
        <v>0</v>
      </c>
    </row>
    <row r="255" spans="1:11" ht="19.5" thickBot="1" x14ac:dyDescent="0.3">
      <c r="A255" s="481"/>
      <c r="B255" s="2"/>
      <c r="C255" s="140"/>
      <c r="D255" s="144"/>
      <c r="E255" s="115">
        <f t="shared" ref="E255" si="122">SUM(E248:E254)</f>
        <v>12</v>
      </c>
      <c r="F255" s="116"/>
      <c r="G255" s="115">
        <f t="shared" ref="G255" si="123">SUM(G248:G254)</f>
        <v>2</v>
      </c>
      <c r="H255" s="116"/>
      <c r="I255" s="115">
        <f t="shared" ref="I255" si="124">SUM(I248:I254)</f>
        <v>1</v>
      </c>
      <c r="J255" s="116"/>
      <c r="K255" s="115">
        <f t="shared" ref="K255" si="125">SUM(K248:K254)</f>
        <v>4</v>
      </c>
    </row>
    <row r="256" spans="1:11" ht="19.5" thickBot="1" x14ac:dyDescent="0.3">
      <c r="A256" s="82"/>
      <c r="B256" s="139"/>
      <c r="C256" s="108"/>
      <c r="D256" s="109"/>
      <c r="E256" s="109"/>
      <c r="F256" s="109"/>
      <c r="G256" s="109"/>
      <c r="H256" s="109"/>
      <c r="I256" s="109"/>
      <c r="J256" s="109"/>
      <c r="K256" s="109"/>
    </row>
    <row r="257" spans="1:11" ht="18.75" x14ac:dyDescent="0.25">
      <c r="A257" s="479">
        <v>53</v>
      </c>
      <c r="B257" s="110">
        <f t="shared" si="120"/>
        <v>45137</v>
      </c>
      <c r="C257" s="117">
        <f>LF!HM257</f>
        <v>11806</v>
      </c>
      <c r="D257" s="119">
        <f>LF!E257+LF!AC257+LF!BM257+LF!CK257+LF!DU257+LF!ES257+LF!FQ257+LF!GO257</f>
        <v>3901</v>
      </c>
      <c r="E257" s="112">
        <f>LF!C257+LF!AA257+LF!BK257+LF!CI257+LF!DS257+LF!EQ257+LF!FO257+LF!GM257</f>
        <v>0</v>
      </c>
      <c r="F257" s="119">
        <f>LF!Q257+LF!BY257+LF!EG257+LF!GC257</f>
        <v>3199</v>
      </c>
      <c r="G257" s="112">
        <f>LF!O257+LF!BW257+LF!EE257+LF!GA257</f>
        <v>1</v>
      </c>
      <c r="H257" s="119">
        <f>LF!AO257+LF!CW257</f>
        <v>1486</v>
      </c>
      <c r="I257" s="112">
        <f>LF!AM257+LF!CU257</f>
        <v>0</v>
      </c>
      <c r="J257" s="119">
        <f>LF!BA257+LF!DI257+LF!FE257+LF!HA257</f>
        <v>3220</v>
      </c>
      <c r="K257" s="112">
        <f>LF!AY257+LF!DG257+LF!FC257+LF!GY257</f>
        <v>0</v>
      </c>
    </row>
    <row r="258" spans="1:11" ht="18.75" x14ac:dyDescent="0.25">
      <c r="A258" s="480"/>
      <c r="B258" s="111">
        <f t="shared" si="121"/>
        <v>45138</v>
      </c>
      <c r="C258" s="118">
        <f>LF!HM258</f>
        <v>11804</v>
      </c>
      <c r="D258" s="120">
        <f>LF!E258+LF!AC258+LF!BM258+LF!CK258+LF!DU258+LF!ES258+LF!FQ258+LF!GO258</f>
        <v>3900</v>
      </c>
      <c r="E258" s="113">
        <f>LF!C258+LF!AA258+LF!BK258+LF!CI258+LF!DS258+LF!EQ258+LF!FO258+LF!GM258</f>
        <v>1</v>
      </c>
      <c r="F258" s="120">
        <f>LF!Q258+LF!BY258+LF!EG258+LF!GC258</f>
        <v>3199</v>
      </c>
      <c r="G258" s="113">
        <f>LF!O258+LF!BW258+LF!EE258+LF!GA258</f>
        <v>0</v>
      </c>
      <c r="H258" s="120">
        <f>LF!AO258+LF!CW258</f>
        <v>1486</v>
      </c>
      <c r="I258" s="113">
        <f>LF!AM258+LF!CU258</f>
        <v>0</v>
      </c>
      <c r="J258" s="120">
        <f>LF!BA258+LF!DI258+LF!FE258+LF!HA258</f>
        <v>3219</v>
      </c>
      <c r="K258" s="113">
        <f>LF!AY258+LF!DG258+LF!FC258+LF!GY258</f>
        <v>1</v>
      </c>
    </row>
    <row r="259" spans="1:11" ht="18.75" x14ac:dyDescent="0.25">
      <c r="A259" s="480"/>
      <c r="B259" s="111">
        <f t="shared" si="121"/>
        <v>45139</v>
      </c>
      <c r="C259" s="118">
        <f>LF!HM259</f>
        <v>11802</v>
      </c>
      <c r="D259" s="120">
        <f>LF!E259+LF!AC259+LF!BM259+LF!CK259+LF!DU259+LF!ES259+LF!FQ259+LF!GO259</f>
        <v>3899</v>
      </c>
      <c r="E259" s="113">
        <f>LF!C259+LF!AA259+LF!BK259+LF!CI259+LF!DS259+LF!EQ259+LF!FO259+LF!GM259</f>
        <v>1</v>
      </c>
      <c r="F259" s="120">
        <f>LF!Q259+LF!BY259+LF!EG259+LF!GC259</f>
        <v>3199</v>
      </c>
      <c r="G259" s="113">
        <f>LF!O259+LF!BW259+LF!EE259+LF!GA259</f>
        <v>0</v>
      </c>
      <c r="H259" s="120">
        <f>LF!AO259+LF!CW259</f>
        <v>1486</v>
      </c>
      <c r="I259" s="113">
        <f>LF!AM259+LF!CU259</f>
        <v>0</v>
      </c>
      <c r="J259" s="120">
        <f>LF!BA259+LF!DI259+LF!FE259+LF!HA259</f>
        <v>3218</v>
      </c>
      <c r="K259" s="113">
        <f>LF!AY259+LF!DG259+LF!FC259+LF!GY259</f>
        <v>1</v>
      </c>
    </row>
    <row r="260" spans="1:11" ht="18.75" x14ac:dyDescent="0.25">
      <c r="A260" s="480"/>
      <c r="B260" s="111">
        <f t="shared" si="121"/>
        <v>45140</v>
      </c>
      <c r="C260" s="118">
        <f>LF!HM260</f>
        <v>11795</v>
      </c>
      <c r="D260" s="120">
        <f>LF!E260+LF!AC260+LF!BM260+LF!CK260+LF!DU260+LF!ES260+LF!FQ260+LF!GO260</f>
        <v>3895</v>
      </c>
      <c r="E260" s="113">
        <f>LF!C260+LF!AA260+LF!BK260+LF!CI260+LF!DS260+LF!EQ260+LF!FO260+LF!GM260</f>
        <v>4</v>
      </c>
      <c r="F260" s="120">
        <f>LF!Q260+LF!BY260+LF!EG260+LF!GC260</f>
        <v>3198</v>
      </c>
      <c r="G260" s="113">
        <f>LF!O260+LF!BW260+LF!EE260+LF!GA260</f>
        <v>1</v>
      </c>
      <c r="H260" s="120">
        <f>LF!AO260+LF!CW260</f>
        <v>1485</v>
      </c>
      <c r="I260" s="113">
        <f>LF!AM260+LF!CU260</f>
        <v>1</v>
      </c>
      <c r="J260" s="120">
        <f>LF!BA260+LF!DI260+LF!FE260+LF!HA260</f>
        <v>3217</v>
      </c>
      <c r="K260" s="113">
        <f>LF!AY260+LF!DG260+LF!FC260+LF!GY260</f>
        <v>1</v>
      </c>
    </row>
    <row r="261" spans="1:11" ht="18.75" x14ac:dyDescent="0.25">
      <c r="A261" s="480"/>
      <c r="B261" s="111">
        <f t="shared" si="121"/>
        <v>45141</v>
      </c>
      <c r="C261" s="118">
        <f>LF!HM261</f>
        <v>11790</v>
      </c>
      <c r="D261" s="120">
        <f>LF!E261+LF!AC261+LF!BM261+LF!CK261+LF!DU261+LF!ES261+LF!FQ261+LF!GO261</f>
        <v>3892</v>
      </c>
      <c r="E261" s="113">
        <f>LF!C261+LF!AA261+LF!BK261+LF!CI261+LF!DS261+LF!EQ261+LF!FO261+LF!GM261</f>
        <v>3</v>
      </c>
      <c r="F261" s="120">
        <f>LF!Q261+LF!BY261+LF!EG261+LF!GC261</f>
        <v>3197</v>
      </c>
      <c r="G261" s="113">
        <f>LF!O261+LF!BW261+LF!EE261+LF!GA261</f>
        <v>1</v>
      </c>
      <c r="H261" s="120">
        <f>LF!AO261+LF!CW261</f>
        <v>1484</v>
      </c>
      <c r="I261" s="113">
        <f>LF!AM261+LF!CU261</f>
        <v>1</v>
      </c>
      <c r="J261" s="120">
        <f>LF!BA261+LF!DI261+LF!FE261+LF!HA261</f>
        <v>3217</v>
      </c>
      <c r="K261" s="113">
        <f>LF!AY261+LF!DG261+LF!FC261+LF!GY261</f>
        <v>0</v>
      </c>
    </row>
    <row r="262" spans="1:11" ht="18.75" x14ac:dyDescent="0.25">
      <c r="A262" s="480"/>
      <c r="B262" s="111">
        <f t="shared" si="121"/>
        <v>45142</v>
      </c>
      <c r="C262" s="118">
        <f>LF!HM262</f>
        <v>11789</v>
      </c>
      <c r="D262" s="120">
        <f>LF!E262+LF!AC262+LF!BM262+LF!CK262+LF!DU262+LF!ES262+LF!FQ262+LF!GO262</f>
        <v>3891</v>
      </c>
      <c r="E262" s="113">
        <f>LF!C262+LF!AA262+LF!BK262+LF!CI262+LF!DS262+LF!EQ262+LF!FO262+LF!GM262</f>
        <v>1</v>
      </c>
      <c r="F262" s="120">
        <f>LF!Q262+LF!BY262+LF!EG262+LF!GC262</f>
        <v>3197</v>
      </c>
      <c r="G262" s="113">
        <f>LF!O262+LF!BW262+LF!EE262+LF!GA262</f>
        <v>0</v>
      </c>
      <c r="H262" s="120">
        <f>LF!AO262+LF!CW262</f>
        <v>1484</v>
      </c>
      <c r="I262" s="113">
        <f>LF!AM262+LF!CU262</f>
        <v>0</v>
      </c>
      <c r="J262" s="120">
        <f>LF!BA262+LF!DI262+LF!FE262+LF!HA262</f>
        <v>3217</v>
      </c>
      <c r="K262" s="113">
        <f>LF!AY262+LF!DG262+LF!FC262+LF!GY262</f>
        <v>0</v>
      </c>
    </row>
    <row r="263" spans="1:11" ht="19.5" thickBot="1" x14ac:dyDescent="0.3">
      <c r="A263" s="480"/>
      <c r="B263" s="141">
        <f t="shared" si="121"/>
        <v>45143</v>
      </c>
      <c r="C263" s="142">
        <f>LF!HM263</f>
        <v>11787</v>
      </c>
      <c r="D263" s="143">
        <f>LF!E263+LF!AC263+LF!BM263+LF!CK263+LF!DU263+LF!ES263+LF!FQ263+LF!GO263</f>
        <v>3889</v>
      </c>
      <c r="E263" s="114">
        <f>LF!C263+LF!AA263+LF!BK263+LF!CI263+LF!DS263+LF!EQ263+LF!FO263+LF!GM263</f>
        <v>2</v>
      </c>
      <c r="F263" s="121">
        <f>LF!Q263+LF!BY263+LF!EG263+LF!GC263</f>
        <v>3197</v>
      </c>
      <c r="G263" s="114">
        <f>LF!O263+LF!BW263+LF!EE263+LF!GA263</f>
        <v>0</v>
      </c>
      <c r="H263" s="121">
        <f>LF!AO263+LF!CW263</f>
        <v>1484</v>
      </c>
      <c r="I263" s="114">
        <f>LF!AM263+LF!CU263</f>
        <v>0</v>
      </c>
      <c r="J263" s="121">
        <f>LF!BA263+LF!DI263+LF!FE263+LF!HA263</f>
        <v>3217</v>
      </c>
      <c r="K263" s="114">
        <f>LF!AY263+LF!DG263+LF!FC263+LF!GY263</f>
        <v>0</v>
      </c>
    </row>
    <row r="264" spans="1:11" ht="19.5" thickBot="1" x14ac:dyDescent="0.3">
      <c r="A264" s="481"/>
      <c r="B264" s="2"/>
      <c r="C264" s="140"/>
      <c r="D264" s="144"/>
      <c r="E264" s="115">
        <f t="shared" ref="E264" si="126">SUM(E257:E263)</f>
        <v>12</v>
      </c>
      <c r="F264" s="116"/>
      <c r="G264" s="115">
        <f t="shared" ref="G264" si="127">SUM(G257:G263)</f>
        <v>3</v>
      </c>
      <c r="H264" s="116"/>
      <c r="I264" s="115">
        <f t="shared" ref="I264" si="128">SUM(I257:I263)</f>
        <v>2</v>
      </c>
      <c r="J264" s="116"/>
      <c r="K264" s="115">
        <f t="shared" ref="K264" si="129">SUM(K257:K263)</f>
        <v>3</v>
      </c>
    </row>
    <row r="265" spans="1:11" ht="19.5" thickBot="1" x14ac:dyDescent="0.3">
      <c r="A265" s="82"/>
      <c r="B265" s="139"/>
      <c r="C265" s="108"/>
      <c r="D265" s="109"/>
      <c r="E265" s="109"/>
      <c r="F265" s="109"/>
      <c r="G265" s="109"/>
      <c r="H265" s="109"/>
      <c r="I265" s="109"/>
      <c r="J265" s="109"/>
      <c r="K265" s="109"/>
    </row>
    <row r="266" spans="1:11" ht="18.75" x14ac:dyDescent="0.25">
      <c r="A266" s="479">
        <v>54</v>
      </c>
      <c r="B266" s="110">
        <f t="shared" si="120"/>
        <v>45144</v>
      </c>
      <c r="C266" s="117">
        <f>LF!HM266</f>
        <v>11781</v>
      </c>
      <c r="D266" s="119">
        <f>LF!E266+LF!AC266+LF!BM266+LF!CK266+LF!DU266+LF!ES266+LF!FQ266+LF!GO266</f>
        <v>3884</v>
      </c>
      <c r="E266" s="112">
        <f>LF!C266+LF!AA266+LF!BK266+LF!CI266+LF!DS266+LF!EQ266+LF!FO266+LF!GM266</f>
        <v>5</v>
      </c>
      <c r="F266" s="119">
        <f>LF!Q266+LF!BY266+LF!EG266+LF!GC266</f>
        <v>3196</v>
      </c>
      <c r="G266" s="112">
        <f>LF!O266+LF!BW266+LF!EE266+LF!GA266</f>
        <v>1</v>
      </c>
      <c r="H266" s="119">
        <f>LF!AO266+LF!CW266</f>
        <v>1484</v>
      </c>
      <c r="I266" s="112">
        <f>LF!AM266+LF!CU266</f>
        <v>0</v>
      </c>
      <c r="J266" s="119">
        <f>LF!BA266+LF!DI266+LF!FE266+LF!HA266</f>
        <v>3217</v>
      </c>
      <c r="K266" s="112">
        <f>LF!AY266+LF!DG266+LF!FC266+LF!GY266</f>
        <v>0</v>
      </c>
    </row>
    <row r="267" spans="1:11" ht="18.75" x14ac:dyDescent="0.25">
      <c r="A267" s="480"/>
      <c r="B267" s="111">
        <f t="shared" si="121"/>
        <v>45145</v>
      </c>
      <c r="C267" s="118">
        <f>LF!HM267</f>
        <v>11773</v>
      </c>
      <c r="D267" s="120">
        <f>LF!E267+LF!AC267+LF!BM267+LF!CK267+LF!DU267+LF!ES267+LF!FQ267+LF!GO267</f>
        <v>3879</v>
      </c>
      <c r="E267" s="113">
        <f>LF!C267+LF!AA267+LF!BK267+LF!CI267+LF!DS267+LF!EQ267+LF!FO267+LF!GM267</f>
        <v>5</v>
      </c>
      <c r="F267" s="120">
        <f>LF!Q267+LF!BY267+LF!EG267+LF!GC267</f>
        <v>3194</v>
      </c>
      <c r="G267" s="113">
        <f>LF!O267+LF!BW267+LF!EE267+LF!GA267</f>
        <v>2</v>
      </c>
      <c r="H267" s="120">
        <f>LF!AO267+LF!CW267</f>
        <v>1483</v>
      </c>
      <c r="I267" s="113">
        <f>LF!AM267+LF!CU267</f>
        <v>1</v>
      </c>
      <c r="J267" s="120">
        <f>LF!BA267+LF!DI267+LF!FE267+LF!HA267</f>
        <v>3217</v>
      </c>
      <c r="K267" s="113">
        <f>LF!AY267+LF!DG267+LF!FC267+LF!GY267</f>
        <v>0</v>
      </c>
    </row>
    <row r="268" spans="1:11" ht="18.75" x14ac:dyDescent="0.25">
      <c r="A268" s="480"/>
      <c r="B268" s="111">
        <f t="shared" si="121"/>
        <v>45146</v>
      </c>
      <c r="C268" s="118">
        <f>LF!HM268</f>
        <v>11771</v>
      </c>
      <c r="D268" s="120">
        <f>LF!E268+LF!AC268+LF!BM268+LF!CK268+LF!DU268+LF!ES268+LF!FQ268+LF!GO268</f>
        <v>3878</v>
      </c>
      <c r="E268" s="113">
        <f>LF!C268+LF!AA268+LF!BK268+LF!CI268+LF!DS268+LF!EQ268+LF!FO268+LF!GM268</f>
        <v>1</v>
      </c>
      <c r="F268" s="120">
        <f>LF!Q268+LF!BY268+LF!EG268+LF!GC268</f>
        <v>3193</v>
      </c>
      <c r="G268" s="113">
        <f>LF!O268+LF!BW268+LF!EE268+LF!GA268</f>
        <v>1</v>
      </c>
      <c r="H268" s="120">
        <f>LF!AO268+LF!CW268</f>
        <v>1483</v>
      </c>
      <c r="I268" s="113">
        <f>LF!AM268+LF!CU268</f>
        <v>0</v>
      </c>
      <c r="J268" s="120">
        <f>LF!BA268+LF!DI268+LF!FE268+LF!HA268</f>
        <v>3217</v>
      </c>
      <c r="K268" s="113">
        <f>LF!AY268+LF!DG268+LF!FC268+LF!GY268</f>
        <v>0</v>
      </c>
    </row>
    <row r="269" spans="1:11" ht="18.75" x14ac:dyDescent="0.25">
      <c r="A269" s="480"/>
      <c r="B269" s="111">
        <f t="shared" si="121"/>
        <v>45147</v>
      </c>
      <c r="C269" s="118">
        <f>LF!HM269</f>
        <v>11766</v>
      </c>
      <c r="D269" s="120">
        <f>LF!E269+LF!AC269+LF!BM269+LF!CK269+LF!DU269+LF!ES269+LF!FQ269+LF!GO269</f>
        <v>3874</v>
      </c>
      <c r="E269" s="113">
        <f>LF!C269+LF!AA269+LF!BK269+LF!CI269+LF!DS269+LF!EQ269+LF!FO269+LF!GM269</f>
        <v>4</v>
      </c>
      <c r="F269" s="120">
        <f>LF!Q269+LF!BY269+LF!EG269+LF!GC269</f>
        <v>3193</v>
      </c>
      <c r="G269" s="113">
        <f>LF!O269+LF!BW269+LF!EE269+LF!GA269</f>
        <v>0</v>
      </c>
      <c r="H269" s="120">
        <f>LF!AO269+LF!CW269</f>
        <v>1483</v>
      </c>
      <c r="I269" s="113">
        <f>LF!AM269+LF!CU269</f>
        <v>0</v>
      </c>
      <c r="J269" s="120">
        <f>LF!BA269+LF!DI269+LF!FE269+LF!HA269</f>
        <v>3216</v>
      </c>
      <c r="K269" s="113">
        <f>LF!AY269+LF!DG269+LF!FC269+LF!GY269</f>
        <v>1</v>
      </c>
    </row>
    <row r="270" spans="1:11" ht="18.75" x14ac:dyDescent="0.25">
      <c r="A270" s="480"/>
      <c r="B270" s="111">
        <f t="shared" si="121"/>
        <v>45148</v>
      </c>
      <c r="C270" s="118">
        <f>LF!HM270</f>
        <v>11765</v>
      </c>
      <c r="D270" s="120">
        <f>LF!E270+LF!AC270+LF!BM270+LF!CK270+LF!DU270+LF!ES270+LF!FQ270+LF!GO270</f>
        <v>3874</v>
      </c>
      <c r="E270" s="113">
        <f>LF!C270+LF!AA270+LF!BK270+LF!CI270+LF!DS270+LF!EQ270+LF!FO270+LF!GM270</f>
        <v>0</v>
      </c>
      <c r="F270" s="120">
        <f>LF!Q270+LF!BY270+LF!EG270+LF!GC270</f>
        <v>3193</v>
      </c>
      <c r="G270" s="113">
        <f>LF!O270+LF!BW270+LF!EE270+LF!GA270</f>
        <v>0</v>
      </c>
      <c r="H270" s="120">
        <f>LF!AO270+LF!CW270</f>
        <v>1483</v>
      </c>
      <c r="I270" s="113">
        <f>LF!AM270+LF!CU270</f>
        <v>0</v>
      </c>
      <c r="J270" s="120">
        <f>LF!BA270+LF!DI270+LF!FE270+LF!HA270</f>
        <v>3215</v>
      </c>
      <c r="K270" s="113">
        <f>LF!AY270+LF!DG270+LF!FC270+LF!GY270</f>
        <v>1</v>
      </c>
    </row>
    <row r="271" spans="1:11" ht="18.75" x14ac:dyDescent="0.25">
      <c r="A271" s="480"/>
      <c r="B271" s="111">
        <f t="shared" si="121"/>
        <v>45149</v>
      </c>
      <c r="C271" s="118">
        <f>LF!HM271</f>
        <v>11759</v>
      </c>
      <c r="D271" s="120">
        <f>LF!E271+LF!AC271+LF!BM271+LF!CK271+LF!DU271+LF!ES271+LF!FQ271+LF!GO271</f>
        <v>3871</v>
      </c>
      <c r="E271" s="113">
        <f>LF!C271+LF!AA271+LF!BK271+LF!CI271+LF!DS271+LF!EQ271+LF!FO271+LF!GM271</f>
        <v>3</v>
      </c>
      <c r="F271" s="120">
        <f>LF!Q271+LF!BY271+LF!EG271+LF!GC271</f>
        <v>3193</v>
      </c>
      <c r="G271" s="113">
        <f>LF!O271+LF!BW271+LF!EE271+LF!GA271</f>
        <v>0</v>
      </c>
      <c r="H271" s="120">
        <f>LF!AO271+LF!CW271</f>
        <v>1481</v>
      </c>
      <c r="I271" s="113">
        <f>LF!AM271+LF!CU271</f>
        <v>2</v>
      </c>
      <c r="J271" s="120">
        <f>LF!BA271+LF!DI271+LF!FE271+LF!HA271</f>
        <v>3214</v>
      </c>
      <c r="K271" s="113">
        <f>LF!AY271+LF!DG271+LF!FC271+LF!GY271</f>
        <v>1</v>
      </c>
    </row>
    <row r="272" spans="1:11" ht="19.5" thickBot="1" x14ac:dyDescent="0.3">
      <c r="A272" s="480"/>
      <c r="B272" s="141">
        <f t="shared" si="121"/>
        <v>45150</v>
      </c>
      <c r="C272" s="142">
        <f>LF!HM272</f>
        <v>11755</v>
      </c>
      <c r="D272" s="143">
        <f>LF!E272+LF!AC272+LF!BM272+LF!CK272+LF!DU272+LF!ES272+LF!FQ272+LF!GO272</f>
        <v>3869</v>
      </c>
      <c r="E272" s="114">
        <f>LF!C272+LF!AA272+LF!BK272+LF!CI272+LF!DS272+LF!EQ272+LF!FO272+LF!GM272</f>
        <v>2</v>
      </c>
      <c r="F272" s="121">
        <f>LF!Q272+LF!BY272+LF!EG272+LF!GC272</f>
        <v>3193</v>
      </c>
      <c r="G272" s="114">
        <f>LF!O272+LF!BW272+LF!EE272+LF!GA272</f>
        <v>0</v>
      </c>
      <c r="H272" s="121">
        <f>LF!AO272+LF!CW272</f>
        <v>1481</v>
      </c>
      <c r="I272" s="114">
        <f>LF!AM272+LF!CU272</f>
        <v>0</v>
      </c>
      <c r="J272" s="121">
        <f>LF!BA272+LF!DI272+LF!FE272+LF!HA272</f>
        <v>3212</v>
      </c>
      <c r="K272" s="114">
        <f>LF!AY272+LF!DG272+LF!FC272+LF!GY272</f>
        <v>2</v>
      </c>
    </row>
    <row r="273" spans="1:11" ht="19.5" thickBot="1" x14ac:dyDescent="0.3">
      <c r="A273" s="481"/>
      <c r="B273" s="2"/>
      <c r="C273" s="140"/>
      <c r="D273" s="144"/>
      <c r="E273" s="115">
        <f t="shared" ref="E273" si="130">SUM(E266:E272)</f>
        <v>20</v>
      </c>
      <c r="F273" s="116"/>
      <c r="G273" s="115">
        <f t="shared" ref="G273" si="131">SUM(G266:G272)</f>
        <v>4</v>
      </c>
      <c r="H273" s="116"/>
      <c r="I273" s="115">
        <f t="shared" ref="I273" si="132">SUM(I266:I272)</f>
        <v>3</v>
      </c>
      <c r="J273" s="116"/>
      <c r="K273" s="115">
        <f t="shared" ref="K273" si="133">SUM(K266:K272)</f>
        <v>5</v>
      </c>
    </row>
    <row r="274" spans="1:11" ht="19.5" thickBot="1" x14ac:dyDescent="0.3">
      <c r="A274" s="82"/>
      <c r="B274" s="139"/>
      <c r="C274" s="108"/>
      <c r="D274" s="109"/>
      <c r="E274" s="109"/>
      <c r="F274" s="109"/>
      <c r="G274" s="109"/>
      <c r="H274" s="109"/>
      <c r="I274" s="109"/>
      <c r="J274" s="109"/>
      <c r="K274" s="109"/>
    </row>
    <row r="275" spans="1:11" ht="18.75" x14ac:dyDescent="0.25">
      <c r="A275" s="479">
        <v>55</v>
      </c>
      <c r="B275" s="110">
        <f t="shared" si="120"/>
        <v>45151</v>
      </c>
      <c r="C275" s="117">
        <f>LF!HM275</f>
        <v>11754</v>
      </c>
      <c r="D275" s="119">
        <f>LF!E275+LF!AC275+LF!BM275+LF!CK275+LF!DU275+LF!ES275+LF!FQ275+LF!GO275</f>
        <v>3869</v>
      </c>
      <c r="E275" s="112">
        <f>LF!C275+LF!AA275+LF!BK275+LF!CI275+LF!DS275+LF!EQ275+LF!FO275+LF!GM275</f>
        <v>0</v>
      </c>
      <c r="F275" s="119">
        <f>LF!Q275+LF!BY275+LF!EG275+LF!GC275</f>
        <v>3193</v>
      </c>
      <c r="G275" s="112">
        <f>LF!O275+LF!BW275+LF!EE275+LF!GA275</f>
        <v>0</v>
      </c>
      <c r="H275" s="119">
        <f>LF!AO275+LF!CW275</f>
        <v>1480</v>
      </c>
      <c r="I275" s="112">
        <f>LF!AM275+LF!CU275</f>
        <v>1</v>
      </c>
      <c r="J275" s="119">
        <f>LF!BA275+LF!DI275+LF!FE275+LF!HA275</f>
        <v>3212</v>
      </c>
      <c r="K275" s="112">
        <f>LF!AY275+LF!DG275+LF!FC275+LF!GY275</f>
        <v>0</v>
      </c>
    </row>
    <row r="276" spans="1:11" ht="18.75" x14ac:dyDescent="0.25">
      <c r="A276" s="480"/>
      <c r="B276" s="111">
        <f t="shared" si="121"/>
        <v>45152</v>
      </c>
      <c r="C276" s="118">
        <f>LF!HM276</f>
        <v>11751</v>
      </c>
      <c r="D276" s="120">
        <f>LF!E276+LF!AC276+LF!BM276+LF!CK276+LF!DU276+LF!ES276+LF!FQ276+LF!GO276</f>
        <v>3867</v>
      </c>
      <c r="E276" s="113">
        <f>LF!C276+LF!AA276+LF!BK276+LF!CI276+LF!DS276+LF!EQ276+LF!FO276+LF!GM276</f>
        <v>2</v>
      </c>
      <c r="F276" s="120">
        <f>LF!Q276+LF!BY276+LF!EG276+LF!GC276</f>
        <v>3193</v>
      </c>
      <c r="G276" s="113">
        <f>LF!O276+LF!BW276+LF!EE276+LF!GA276</f>
        <v>0</v>
      </c>
      <c r="H276" s="120">
        <f>LF!AO276+LF!CW276</f>
        <v>1479</v>
      </c>
      <c r="I276" s="113">
        <f>LF!AM276+LF!CU276</f>
        <v>1</v>
      </c>
      <c r="J276" s="120">
        <f>LF!BA276+LF!DI276+LF!FE276+LF!HA276</f>
        <v>3212</v>
      </c>
      <c r="K276" s="113">
        <f>LF!AY276+LF!DG276+LF!FC276+LF!GY276</f>
        <v>0</v>
      </c>
    </row>
    <row r="277" spans="1:11" ht="18.75" x14ac:dyDescent="0.25">
      <c r="A277" s="480"/>
      <c r="B277" s="111">
        <f t="shared" si="121"/>
        <v>45153</v>
      </c>
      <c r="C277" s="118">
        <f>LF!HM277</f>
        <v>11743</v>
      </c>
      <c r="D277" s="120">
        <f>LF!E277+LF!AC277+LF!BM277+LF!CK277+LF!DU277+LF!ES277+LF!FQ277+LF!GO277</f>
        <v>3863</v>
      </c>
      <c r="E277" s="113">
        <f>LF!C277+LF!AA277+LF!BK277+LF!CI277+LF!DS277+LF!EQ277+LF!FO277+LF!GM277</f>
        <v>4</v>
      </c>
      <c r="F277" s="120">
        <f>LF!Q277+LF!BY277+LF!EG277+LF!GC277</f>
        <v>3191</v>
      </c>
      <c r="G277" s="113">
        <f>LF!O277+LF!BW277+LF!EE277+LF!GA277</f>
        <v>2</v>
      </c>
      <c r="H277" s="120">
        <f>LF!AO277+LF!CW277</f>
        <v>1478</v>
      </c>
      <c r="I277" s="113">
        <f>LF!AM277+LF!CU277</f>
        <v>1</v>
      </c>
      <c r="J277" s="120">
        <f>LF!BA277+LF!DI277+LF!FE277+LF!HA277</f>
        <v>3211</v>
      </c>
      <c r="K277" s="113">
        <f>LF!AY277+LF!DG277+LF!FC277+LF!GY277</f>
        <v>1</v>
      </c>
    </row>
    <row r="278" spans="1:11" ht="18.75" x14ac:dyDescent="0.25">
      <c r="A278" s="480"/>
      <c r="B278" s="111">
        <f t="shared" si="121"/>
        <v>45154</v>
      </c>
      <c r="C278" s="118">
        <f>LF!HM278</f>
        <v>11741</v>
      </c>
      <c r="D278" s="120">
        <f>LF!E278+LF!AC278+LF!BM278+LF!CK278+LF!DU278+LF!ES278+LF!FQ278+LF!GO278</f>
        <v>3862</v>
      </c>
      <c r="E278" s="113">
        <f>LF!C278+LF!AA278+LF!BK278+LF!CI278+LF!DS278+LF!EQ278+LF!FO278+LF!GM278</f>
        <v>1</v>
      </c>
      <c r="F278" s="120">
        <f>LF!Q278+LF!BY278+LF!EG278+LF!GC278</f>
        <v>3191</v>
      </c>
      <c r="G278" s="113">
        <f>LF!O278+LF!BW278+LF!EE278+LF!GA278</f>
        <v>0</v>
      </c>
      <c r="H278" s="120">
        <f>LF!AO278+LF!CW278</f>
        <v>1477</v>
      </c>
      <c r="I278" s="113">
        <f>LF!AM278+LF!CU278</f>
        <v>1</v>
      </c>
      <c r="J278" s="120">
        <f>LF!BA278+LF!DI278+LF!FE278+LF!HA278</f>
        <v>3211</v>
      </c>
      <c r="K278" s="113">
        <f>LF!AY278+LF!DG278+LF!FC278+LF!GY278</f>
        <v>0</v>
      </c>
    </row>
    <row r="279" spans="1:11" ht="18.75" x14ac:dyDescent="0.25">
      <c r="A279" s="480"/>
      <c r="B279" s="111">
        <f t="shared" si="121"/>
        <v>45155</v>
      </c>
      <c r="C279" s="118">
        <f>LF!HM279</f>
        <v>11735</v>
      </c>
      <c r="D279" s="120">
        <f>LF!E279+LF!AC279+LF!BM279+LF!CK279+LF!DU279+LF!ES279+LF!FQ279+LF!GO279</f>
        <v>3859</v>
      </c>
      <c r="E279" s="113">
        <f>LF!C279+LF!AA279+LF!BK279+LF!CI279+LF!DS279+LF!EQ279+LF!FO279+LF!GM279</f>
        <v>3</v>
      </c>
      <c r="F279" s="120">
        <f>LF!Q279+LF!BY279+LF!EG279+LF!GC279</f>
        <v>3190</v>
      </c>
      <c r="G279" s="113">
        <f>LF!O279+LF!BW279+LF!EE279+LF!GA279</f>
        <v>1</v>
      </c>
      <c r="H279" s="120">
        <f>LF!AO279+LF!CW279</f>
        <v>1476</v>
      </c>
      <c r="I279" s="113">
        <f>LF!AM279+LF!CU279</f>
        <v>1</v>
      </c>
      <c r="J279" s="120">
        <f>LF!BA279+LF!DI279+LF!FE279+LF!HA279</f>
        <v>3210</v>
      </c>
      <c r="K279" s="113">
        <f>LF!AY279+LF!DG279+LF!FC279+LF!GY279</f>
        <v>1</v>
      </c>
    </row>
    <row r="280" spans="1:11" ht="18.75" x14ac:dyDescent="0.25">
      <c r="A280" s="480"/>
      <c r="B280" s="111">
        <f t="shared" si="121"/>
        <v>45156</v>
      </c>
      <c r="C280" s="118">
        <f>LF!HM280</f>
        <v>11732</v>
      </c>
      <c r="D280" s="120">
        <f>LF!E280+LF!AC280+LF!BM280+LF!CK280+LF!DU280+LF!ES280+LF!FQ280+LF!GO280</f>
        <v>3859</v>
      </c>
      <c r="E280" s="113">
        <f>LF!C280+LF!AA280+LF!BK280+LF!CI280+LF!DS280+LF!EQ280+LF!FO280+LF!GM280</f>
        <v>0</v>
      </c>
      <c r="F280" s="120">
        <f>LF!Q280+LF!BY280+LF!EG280+LF!GC280</f>
        <v>3188</v>
      </c>
      <c r="G280" s="113">
        <f>LF!O280+LF!BW280+LF!EE280+LF!GA280</f>
        <v>2</v>
      </c>
      <c r="H280" s="120">
        <f>LF!AO280+LF!CW280</f>
        <v>1475</v>
      </c>
      <c r="I280" s="113">
        <f>LF!AM280+LF!CU280</f>
        <v>1</v>
      </c>
      <c r="J280" s="120">
        <f>LF!BA280+LF!DI280+LF!FE280+LF!HA280</f>
        <v>3210</v>
      </c>
      <c r="K280" s="113">
        <f>LF!AY280+LF!DG280+LF!FC280+LF!GY280</f>
        <v>0</v>
      </c>
    </row>
    <row r="281" spans="1:11" ht="19.5" thickBot="1" x14ac:dyDescent="0.3">
      <c r="A281" s="480"/>
      <c r="B281" s="141">
        <f t="shared" si="121"/>
        <v>45157</v>
      </c>
      <c r="C281" s="142">
        <f>LF!HM281</f>
        <v>11728</v>
      </c>
      <c r="D281" s="143">
        <f>LF!E281+LF!AC281+LF!BM281+LF!CK281+LF!DU281+LF!ES281+LF!FQ281+LF!GO281</f>
        <v>3857</v>
      </c>
      <c r="E281" s="114">
        <f>LF!C281+LF!AA281+LF!BK281+LF!CI281+LF!DS281+LF!EQ281+LF!FO281+LF!GM281</f>
        <v>2</v>
      </c>
      <c r="F281" s="121">
        <f>LF!Q281+LF!BY281+LF!EG281+LF!GC281</f>
        <v>3187</v>
      </c>
      <c r="G281" s="114">
        <f>LF!O281+LF!BW281+LF!EE281+LF!GA281</f>
        <v>1</v>
      </c>
      <c r="H281" s="121">
        <f>LF!AO281+LF!CW281</f>
        <v>1475</v>
      </c>
      <c r="I281" s="114">
        <f>LF!AM281+LF!CU281</f>
        <v>0</v>
      </c>
      <c r="J281" s="121">
        <f>LF!BA281+LF!DI281+LF!FE281+LF!HA281</f>
        <v>3209</v>
      </c>
      <c r="K281" s="114">
        <f>LF!AY281+LF!DG281+LF!FC281+LF!GY281</f>
        <v>1</v>
      </c>
    </row>
    <row r="282" spans="1:11" ht="19.5" thickBot="1" x14ac:dyDescent="0.3">
      <c r="A282" s="481"/>
      <c r="B282" s="2"/>
      <c r="C282" s="140"/>
      <c r="D282" s="144"/>
      <c r="E282" s="115">
        <f t="shared" ref="E282" si="134">SUM(E275:E281)</f>
        <v>12</v>
      </c>
      <c r="F282" s="116"/>
      <c r="G282" s="115">
        <f t="shared" ref="G282" si="135">SUM(G275:G281)</f>
        <v>6</v>
      </c>
      <c r="H282" s="116"/>
      <c r="I282" s="115">
        <f t="shared" ref="I282" si="136">SUM(I275:I281)</f>
        <v>6</v>
      </c>
      <c r="J282" s="116"/>
      <c r="K282" s="115">
        <f t="shared" ref="K282" si="137">SUM(K275:K281)</f>
        <v>3</v>
      </c>
    </row>
    <row r="283" spans="1:11" ht="19.5" thickBot="1" x14ac:dyDescent="0.3">
      <c r="A283" s="82"/>
      <c r="B283" s="139"/>
      <c r="C283" s="108"/>
      <c r="D283" s="109"/>
      <c r="E283" s="109"/>
      <c r="F283" s="109"/>
      <c r="G283" s="109"/>
      <c r="H283" s="109"/>
      <c r="I283" s="109"/>
      <c r="J283" s="109"/>
      <c r="K283" s="109"/>
    </row>
    <row r="284" spans="1:11" ht="18.75" x14ac:dyDescent="0.25">
      <c r="A284" s="479">
        <v>56</v>
      </c>
      <c r="B284" s="110">
        <f t="shared" ref="B284:B293" si="138">+B281+1</f>
        <v>45158</v>
      </c>
      <c r="C284" s="117">
        <f>LF!HM284</f>
        <v>11720</v>
      </c>
      <c r="D284" s="119">
        <f>LF!E284+LF!AC284+LF!BM284+LF!CK284+LF!DU284+LF!ES284+LF!FQ284+LF!GO284</f>
        <v>3854</v>
      </c>
      <c r="E284" s="112">
        <f>LF!C284+LF!AA284+LF!BK284+LF!CI284+LF!DS284+LF!EQ284+LF!FO284+LF!GM284</f>
        <v>3</v>
      </c>
      <c r="F284" s="119">
        <f>LF!Q284+LF!BY284+LF!EG284+LF!GC284</f>
        <v>3184</v>
      </c>
      <c r="G284" s="112">
        <f>LF!O284+LF!BW284+LF!EE284+LF!GA284</f>
        <v>3</v>
      </c>
      <c r="H284" s="119">
        <f>LF!AO284+LF!CW284</f>
        <v>1475</v>
      </c>
      <c r="I284" s="112">
        <f>LF!AM284+LF!CU284</f>
        <v>0</v>
      </c>
      <c r="J284" s="119">
        <f>LF!BA284+LF!DI284+LF!FE284+LF!HA284</f>
        <v>3207</v>
      </c>
      <c r="K284" s="112">
        <f>LF!AY284+LF!DG284+LF!FC284+LF!GY284</f>
        <v>2</v>
      </c>
    </row>
    <row r="285" spans="1:11" ht="18.75" x14ac:dyDescent="0.25">
      <c r="A285" s="480"/>
      <c r="B285" s="111">
        <f t="shared" ref="B285:B299" si="139">+B284+1</f>
        <v>45159</v>
      </c>
      <c r="C285" s="118">
        <f>LF!HM285</f>
        <v>11718</v>
      </c>
      <c r="D285" s="120">
        <f>LF!E285+LF!AC285+LF!BM285+LF!CK285+LF!DU285+LF!ES285+LF!FQ285+LF!GO285</f>
        <v>3853</v>
      </c>
      <c r="E285" s="113">
        <f>LF!C285+LF!AA285+LF!BK285+LF!CI285+LF!DS285+LF!EQ285+LF!FO285+LF!GM285</f>
        <v>1</v>
      </c>
      <c r="F285" s="120">
        <f>LF!Q285+LF!BY285+LF!EG285+LF!GC285</f>
        <v>3184</v>
      </c>
      <c r="G285" s="113">
        <f>LF!O285+LF!BW285+LF!EE285+LF!GA285</f>
        <v>0</v>
      </c>
      <c r="H285" s="120">
        <f>LF!AO285+LF!CW285</f>
        <v>1475</v>
      </c>
      <c r="I285" s="113">
        <f>LF!AM285+LF!CU285</f>
        <v>0</v>
      </c>
      <c r="J285" s="120">
        <f>LF!BA285+LF!DI285+LF!FE285+LF!HA285</f>
        <v>3206</v>
      </c>
      <c r="K285" s="113">
        <f>LF!AY285+LF!DG285+LF!FC285+LF!GY285</f>
        <v>1</v>
      </c>
    </row>
    <row r="286" spans="1:11" ht="18.75" x14ac:dyDescent="0.25">
      <c r="A286" s="480"/>
      <c r="B286" s="111">
        <f t="shared" si="139"/>
        <v>45160</v>
      </c>
      <c r="C286" s="118">
        <f>LF!HM286</f>
        <v>11714</v>
      </c>
      <c r="D286" s="120">
        <f>LF!E286+LF!AC286+LF!BM286+LF!CK286+LF!DU286+LF!ES286+LF!FQ286+LF!GO286</f>
        <v>3850</v>
      </c>
      <c r="E286" s="113">
        <f>LF!C286+LF!AA286+LF!BK286+LF!CI286+LF!DS286+LF!EQ286+LF!FO286+LF!GM286</f>
        <v>3</v>
      </c>
      <c r="F286" s="120">
        <f>LF!Q286+LF!BY286+LF!EG286+LF!GC286</f>
        <v>3184</v>
      </c>
      <c r="G286" s="113">
        <f>LF!O286+LF!BW286+LF!EE286+LF!GA286</f>
        <v>0</v>
      </c>
      <c r="H286" s="120">
        <f>LF!AO286+LF!CW286</f>
        <v>1474</v>
      </c>
      <c r="I286" s="113">
        <f>LF!AM286+LF!CU286</f>
        <v>1</v>
      </c>
      <c r="J286" s="120">
        <f>LF!BA286+LF!DI286+LF!FE286+LF!HA286</f>
        <v>3206</v>
      </c>
      <c r="K286" s="113">
        <f>LF!AY286+LF!DG286+LF!FC286+LF!GY286</f>
        <v>0</v>
      </c>
    </row>
    <row r="287" spans="1:11" ht="18.75" x14ac:dyDescent="0.25">
      <c r="A287" s="480"/>
      <c r="B287" s="111">
        <f t="shared" si="139"/>
        <v>45161</v>
      </c>
      <c r="C287" s="118">
        <f>LF!HM287</f>
        <v>11709</v>
      </c>
      <c r="D287" s="120">
        <f>LF!E287+LF!AC287+LF!BM287+LF!CK287+LF!DU287+LF!ES287+LF!FQ287+LF!GO287</f>
        <v>3847</v>
      </c>
      <c r="E287" s="113">
        <f>LF!C287+LF!AA287+LF!BK287+LF!CI287+LF!DS287+LF!EQ287+LF!FO287+LF!GM287</f>
        <v>3</v>
      </c>
      <c r="F287" s="120">
        <f>LF!Q287+LF!BY287+LF!EG287+LF!GC287</f>
        <v>3183</v>
      </c>
      <c r="G287" s="113">
        <f>LF!O287+LF!BW287+LF!EE287+LF!GA287</f>
        <v>1</v>
      </c>
      <c r="H287" s="120">
        <f>LF!AO287+LF!CW287</f>
        <v>1473</v>
      </c>
      <c r="I287" s="113">
        <f>LF!AM287+LF!CU287</f>
        <v>1</v>
      </c>
      <c r="J287" s="120">
        <f>LF!BA287+LF!DI287+LF!FE287+LF!HA287</f>
        <v>3206</v>
      </c>
      <c r="K287" s="113">
        <f>LF!AY287+LF!DG287+LF!FC287+LF!GY287</f>
        <v>0</v>
      </c>
    </row>
    <row r="288" spans="1:11" ht="18.75" x14ac:dyDescent="0.25">
      <c r="A288" s="480"/>
      <c r="B288" s="111">
        <f t="shared" si="139"/>
        <v>45162</v>
      </c>
      <c r="C288" s="118">
        <f>LF!HM288</f>
        <v>11707</v>
      </c>
      <c r="D288" s="120">
        <f>LF!E288+LF!AC288+LF!BM288+LF!CK288+LF!DU288+LF!ES288+LF!FQ288+LF!GO288</f>
        <v>3845</v>
      </c>
      <c r="E288" s="113">
        <f>LF!C288+LF!AA288+LF!BK288+LF!CI288+LF!DS288+LF!EQ288+LF!FO288+LF!GM288</f>
        <v>2</v>
      </c>
      <c r="F288" s="120">
        <f>LF!Q288+LF!BY288+LF!EG288+LF!GC288</f>
        <v>3183</v>
      </c>
      <c r="G288" s="113">
        <f>LF!O288+LF!BW288+LF!EE288+LF!GA288</f>
        <v>0</v>
      </c>
      <c r="H288" s="120">
        <f>LF!AO288+LF!CW288</f>
        <v>1473</v>
      </c>
      <c r="I288" s="113">
        <f>LF!AM288+LF!CU288</f>
        <v>0</v>
      </c>
      <c r="J288" s="120">
        <f>LF!BA288+LF!DI288+LF!FE288+LF!HA288</f>
        <v>3206</v>
      </c>
      <c r="K288" s="113">
        <f>LF!AY288+LF!DG288+LF!FC288+LF!GY288</f>
        <v>0</v>
      </c>
    </row>
    <row r="289" spans="1:11" ht="18.75" x14ac:dyDescent="0.25">
      <c r="A289" s="480"/>
      <c r="B289" s="111">
        <f t="shared" si="139"/>
        <v>45163</v>
      </c>
      <c r="C289" s="118">
        <f>LF!HM289</f>
        <v>11705</v>
      </c>
      <c r="D289" s="120">
        <f>LF!E289+LF!AC289+LF!BM289+LF!CK289+LF!DU289+LF!ES289+LF!FQ289+LF!GO289</f>
        <v>3844</v>
      </c>
      <c r="E289" s="113">
        <f>LF!C289+LF!AA289+LF!BK289+LF!CI289+LF!DS289+LF!EQ289+LF!FO289+LF!GM289</f>
        <v>1</v>
      </c>
      <c r="F289" s="120">
        <f>LF!Q289+LF!BY289+LF!EG289+LF!GC289</f>
        <v>3182</v>
      </c>
      <c r="G289" s="113">
        <f>LF!O289+LF!BW289+LF!EE289+LF!GA289</f>
        <v>1</v>
      </c>
      <c r="H289" s="120">
        <f>LF!AO289+LF!CW289</f>
        <v>1473</v>
      </c>
      <c r="I289" s="113">
        <f>LF!AM289+LF!CU289</f>
        <v>0</v>
      </c>
      <c r="J289" s="120">
        <f>LF!BA289+LF!DI289+LF!FE289+LF!HA289</f>
        <v>3206</v>
      </c>
      <c r="K289" s="113">
        <f>LF!AY289+LF!DG289+LF!FC289+LF!GY289</f>
        <v>0</v>
      </c>
    </row>
    <row r="290" spans="1:11" ht="19.5" thickBot="1" x14ac:dyDescent="0.3">
      <c r="A290" s="480"/>
      <c r="B290" s="141">
        <f t="shared" si="139"/>
        <v>45164</v>
      </c>
      <c r="C290" s="142">
        <f>LF!HM290</f>
        <v>11701</v>
      </c>
      <c r="D290" s="143">
        <f>LF!E290+LF!AC290+LF!BM290+LF!CK290+LF!DU290+LF!ES290+LF!FQ290+LF!GO290</f>
        <v>3841</v>
      </c>
      <c r="E290" s="114">
        <f>LF!C290+LF!AA290+LF!BK290+LF!CI290+LF!DS290+LF!EQ290+LF!FO290+LF!GM290</f>
        <v>3</v>
      </c>
      <c r="F290" s="121">
        <f>LF!Q290+LF!BY290+LF!EG290+LF!GC290</f>
        <v>3182</v>
      </c>
      <c r="G290" s="114">
        <f>LF!O290+LF!BW290+LF!EE290+LF!GA290</f>
        <v>0</v>
      </c>
      <c r="H290" s="121">
        <f>LF!AO290+LF!CW290</f>
        <v>1473</v>
      </c>
      <c r="I290" s="114">
        <f>LF!AM290+LF!CU290</f>
        <v>0</v>
      </c>
      <c r="J290" s="121">
        <f>LF!BA290+LF!DI290+LF!FE290+LF!HA290</f>
        <v>3205</v>
      </c>
      <c r="K290" s="114">
        <f>LF!AY290+LF!DG290+LF!FC290+LF!GY290</f>
        <v>1</v>
      </c>
    </row>
    <row r="291" spans="1:11" ht="19.5" thickBot="1" x14ac:dyDescent="0.3">
      <c r="A291" s="481"/>
      <c r="B291" s="2"/>
      <c r="C291" s="140"/>
      <c r="D291" s="144"/>
      <c r="E291" s="115">
        <f t="shared" ref="E291" si="140">SUM(E284:E290)</f>
        <v>16</v>
      </c>
      <c r="F291" s="116"/>
      <c r="G291" s="115">
        <f t="shared" ref="G291" si="141">SUM(G284:G290)</f>
        <v>5</v>
      </c>
      <c r="H291" s="116"/>
      <c r="I291" s="115">
        <f t="shared" ref="I291" si="142">SUM(I284:I290)</f>
        <v>2</v>
      </c>
      <c r="J291" s="116"/>
      <c r="K291" s="115">
        <f t="shared" ref="K291" si="143">SUM(K284:K290)</f>
        <v>4</v>
      </c>
    </row>
    <row r="292" spans="1:11" ht="19.5" thickBot="1" x14ac:dyDescent="0.3">
      <c r="A292" s="82"/>
      <c r="B292" s="139"/>
      <c r="C292" s="108"/>
      <c r="D292" s="109"/>
      <c r="E292" s="109"/>
      <c r="F292" s="109"/>
      <c r="G292" s="109"/>
      <c r="H292" s="109"/>
      <c r="I292" s="109"/>
      <c r="J292" s="109"/>
      <c r="K292" s="109"/>
    </row>
    <row r="293" spans="1:11" ht="18.75" x14ac:dyDescent="0.25">
      <c r="A293" s="479">
        <v>57</v>
      </c>
      <c r="B293" s="110">
        <f t="shared" si="138"/>
        <v>45165</v>
      </c>
      <c r="C293" s="117">
        <f>LF!HM293</f>
        <v>11698</v>
      </c>
      <c r="D293" s="119">
        <f>LF!E293+LF!AC293+LF!BM293+LF!CK293+LF!DU293+LF!ES293+LF!FQ293+LF!GO293</f>
        <v>3840</v>
      </c>
      <c r="E293" s="112">
        <f>LF!C293+LF!AA293+LF!BK293+LF!CI293+LF!DS293+LF!EQ293+LF!FO293+LF!GM293</f>
        <v>1</v>
      </c>
      <c r="F293" s="119">
        <f>LF!Q293+LF!BY293+LF!EG293+LF!GC293</f>
        <v>3182</v>
      </c>
      <c r="G293" s="112">
        <f>LF!O293+LF!BW293+LF!EE293+LF!GA293</f>
        <v>0</v>
      </c>
      <c r="H293" s="119">
        <f>LF!AO293+LF!CW293</f>
        <v>1473</v>
      </c>
      <c r="I293" s="112">
        <f>LF!AM293+LF!CU293</f>
        <v>0</v>
      </c>
      <c r="J293" s="119">
        <f>LF!BA293+LF!DI293+LF!FE293+LF!HA293</f>
        <v>3203</v>
      </c>
      <c r="K293" s="112">
        <f>LF!AY293+LF!DG293+LF!FC293+LF!GY293</f>
        <v>2</v>
      </c>
    </row>
    <row r="294" spans="1:11" ht="18.75" x14ac:dyDescent="0.25">
      <c r="A294" s="480"/>
      <c r="B294" s="111">
        <f t="shared" si="139"/>
        <v>45166</v>
      </c>
      <c r="C294" s="118">
        <f>LF!HM294</f>
        <v>11694</v>
      </c>
      <c r="D294" s="120">
        <f>LF!E294+LF!AC294+LF!BM294+LF!CK294+LF!DU294+LF!ES294+LF!FQ294+LF!GO294</f>
        <v>3836</v>
      </c>
      <c r="E294" s="113">
        <f>LF!C294+LF!AA294+LF!BK294+LF!CI294+LF!DS294+LF!EQ294+LF!FO294+LF!GM294</f>
        <v>4</v>
      </c>
      <c r="F294" s="120">
        <f>LF!Q294+LF!BY294+LF!EG294+LF!GC294</f>
        <v>3182</v>
      </c>
      <c r="G294" s="113">
        <f>LF!O294+LF!BW294+LF!EE294+LF!GA294</f>
        <v>0</v>
      </c>
      <c r="H294" s="120">
        <f>LF!AO294+LF!CW294</f>
        <v>1473</v>
      </c>
      <c r="I294" s="113">
        <f>LF!AM294+LF!CU294</f>
        <v>0</v>
      </c>
      <c r="J294" s="120">
        <f>LF!BA294+LF!DI294+LF!FE294+LF!HA294</f>
        <v>3203</v>
      </c>
      <c r="K294" s="113">
        <f>LF!AY294+LF!DG294+LF!FC294+LF!GY294</f>
        <v>0</v>
      </c>
    </row>
    <row r="295" spans="1:11" ht="18.75" x14ac:dyDescent="0.25">
      <c r="A295" s="480"/>
      <c r="B295" s="111">
        <f t="shared" si="139"/>
        <v>45167</v>
      </c>
      <c r="C295" s="118">
        <f>LF!HM295</f>
        <v>11688</v>
      </c>
      <c r="D295" s="120">
        <f>LF!E295+LF!AC295+LF!BM295+LF!CK295+LF!DU295+LF!ES295+LF!FQ295+LF!GO295</f>
        <v>3835</v>
      </c>
      <c r="E295" s="113">
        <f>LF!C295+LF!AA295+LF!BK295+LF!CI295+LF!DS295+LF!EQ295+LF!FO295+LF!GM295</f>
        <v>1</v>
      </c>
      <c r="F295" s="120">
        <f>LF!Q295+LF!BY295+LF!EG295+LF!GC295</f>
        <v>3179</v>
      </c>
      <c r="G295" s="113">
        <f>LF!O295+LF!BW295+LF!EE295+LF!GA295</f>
        <v>3</v>
      </c>
      <c r="H295" s="120">
        <f>LF!AO295+LF!CW295</f>
        <v>1473</v>
      </c>
      <c r="I295" s="113">
        <f>LF!AM295+LF!CU295</f>
        <v>0</v>
      </c>
      <c r="J295" s="120">
        <f>LF!BA295+LF!DI295+LF!FE295+LF!HA295</f>
        <v>3201</v>
      </c>
      <c r="K295" s="113">
        <f>LF!AY295+LF!DG295+LF!FC295+LF!GY295</f>
        <v>2</v>
      </c>
    </row>
    <row r="296" spans="1:11" ht="18.75" x14ac:dyDescent="0.25">
      <c r="A296" s="480"/>
      <c r="B296" s="111">
        <f t="shared" si="139"/>
        <v>45168</v>
      </c>
      <c r="C296" s="118">
        <f>LF!HM296</f>
        <v>11684</v>
      </c>
      <c r="D296" s="120">
        <f>LF!E296+LF!AC296+LF!BM296+LF!CK296+LF!DU296+LF!ES296+LF!FQ296+LF!GO296</f>
        <v>3834</v>
      </c>
      <c r="E296" s="113">
        <f>LF!C296+LF!AA296+LF!BK296+LF!CI296+LF!DS296+LF!EQ296+LF!FO296+LF!GM296</f>
        <v>1</v>
      </c>
      <c r="F296" s="120">
        <f>LF!Q296+LF!BY296+LF!EG296+LF!GC296</f>
        <v>3177</v>
      </c>
      <c r="G296" s="113">
        <f>LF!O296+LF!BW296+LF!EE296+LF!GA296</f>
        <v>2</v>
      </c>
      <c r="H296" s="120">
        <f>LF!AO296+LF!CW296</f>
        <v>1473</v>
      </c>
      <c r="I296" s="113">
        <f>LF!AM296+LF!CU296</f>
        <v>0</v>
      </c>
      <c r="J296" s="120">
        <f>LF!BA296+LF!DI296+LF!FE296+LF!HA296</f>
        <v>3200</v>
      </c>
      <c r="K296" s="113">
        <f>LF!AY296+LF!DG296+LF!FC296+LF!GY296</f>
        <v>1</v>
      </c>
    </row>
    <row r="297" spans="1:11" ht="18.75" x14ac:dyDescent="0.25">
      <c r="A297" s="480"/>
      <c r="B297" s="111">
        <f t="shared" si="139"/>
        <v>45169</v>
      </c>
      <c r="C297" s="118">
        <f>LF!HM297</f>
        <v>11678</v>
      </c>
      <c r="D297" s="120">
        <f>LF!E297+LF!AC297+LF!BM297+LF!CK297+LF!DU297+LF!ES297+LF!FQ297+LF!GO297</f>
        <v>3832</v>
      </c>
      <c r="E297" s="113">
        <f>LF!C297+LF!AA297+LF!BK297+LF!CI297+LF!DS297+LF!EQ297+LF!FO297+LF!GM297</f>
        <v>2</v>
      </c>
      <c r="F297" s="120">
        <f>LF!Q297+LF!BY297+LF!EG297+LF!GC297</f>
        <v>3176</v>
      </c>
      <c r="G297" s="113">
        <f>LF!O297+LF!BW297+LF!EE297+LF!GA297</f>
        <v>1</v>
      </c>
      <c r="H297" s="120">
        <f>LF!AO297+LF!CW297</f>
        <v>1472</v>
      </c>
      <c r="I297" s="113">
        <f>LF!AM297+LF!CU297</f>
        <v>1</v>
      </c>
      <c r="J297" s="120">
        <f>LF!BA297+LF!DI297+LF!FE297+LF!HA297</f>
        <v>3198</v>
      </c>
      <c r="K297" s="113">
        <f>LF!AY297+LF!DG297+LF!FC297+LF!GY297</f>
        <v>2</v>
      </c>
    </row>
    <row r="298" spans="1:11" ht="18.75" x14ac:dyDescent="0.25">
      <c r="A298" s="480"/>
      <c r="B298" s="111">
        <f t="shared" si="139"/>
        <v>45170</v>
      </c>
      <c r="C298" s="118">
        <f>LF!HM298</f>
        <v>11676</v>
      </c>
      <c r="D298" s="120">
        <f>LF!E298+LF!AC298+LF!BM298+LF!CK298+LF!DU298+LF!ES298+LF!FQ298+LF!GO298</f>
        <v>3830</v>
      </c>
      <c r="E298" s="113">
        <f>LF!C298+LF!AA298+LF!BK298+LF!CI298+LF!DS298+LF!EQ298+LF!FO298+LF!GM298</f>
        <v>2</v>
      </c>
      <c r="F298" s="120">
        <f>LF!Q298+LF!BY298+LF!EG298+LF!GC298</f>
        <v>3176</v>
      </c>
      <c r="G298" s="113">
        <f>LF!O298+LF!BW298+LF!EE298+LF!GA298</f>
        <v>0</v>
      </c>
      <c r="H298" s="120">
        <f>LF!AO298+LF!CW298</f>
        <v>1472</v>
      </c>
      <c r="I298" s="113">
        <f>LF!AM298+LF!CU298</f>
        <v>0</v>
      </c>
      <c r="J298" s="120">
        <f>LF!BA298+LF!DI298+LF!FE298+LF!HA298</f>
        <v>3198</v>
      </c>
      <c r="K298" s="113">
        <f>LF!AY298+LF!DG298+LF!FC298+LF!GY298</f>
        <v>0</v>
      </c>
    </row>
    <row r="299" spans="1:11" ht="19.5" thickBot="1" x14ac:dyDescent="0.3">
      <c r="A299" s="480"/>
      <c r="B299" s="141">
        <f t="shared" si="139"/>
        <v>45171</v>
      </c>
      <c r="C299" s="142">
        <f>LF!HM299</f>
        <v>11670</v>
      </c>
      <c r="D299" s="143">
        <f>LF!E299+LF!AC299+LF!BM299+LF!CK299+LF!DU299+LF!ES299+LF!FQ299+LF!GO299</f>
        <v>3828</v>
      </c>
      <c r="E299" s="114">
        <f>LF!C299+LF!AA299+LF!BK299+LF!CI299+LF!DS299+LF!EQ299+LF!FO299+LF!GM299</f>
        <v>2</v>
      </c>
      <c r="F299" s="121">
        <f>LF!Q299+LF!BY299+LF!EG299+LF!GC299</f>
        <v>3173</v>
      </c>
      <c r="G299" s="114">
        <f>LF!O299+LF!BW299+LF!EE299+LF!GA299</f>
        <v>3</v>
      </c>
      <c r="H299" s="121">
        <f>LF!AO299+LF!CW299</f>
        <v>1471</v>
      </c>
      <c r="I299" s="114">
        <f>LF!AM299+LF!CU299</f>
        <v>1</v>
      </c>
      <c r="J299" s="121">
        <f>LF!BA299+LF!DI299+LF!FE299+LF!HA299</f>
        <v>3198</v>
      </c>
      <c r="K299" s="114">
        <f>LF!AY299+LF!DG299+LF!FC299+LF!GY299</f>
        <v>0</v>
      </c>
    </row>
    <row r="300" spans="1:11" ht="19.5" thickBot="1" x14ac:dyDescent="0.3">
      <c r="A300" s="481"/>
      <c r="B300" s="2"/>
      <c r="C300" s="140"/>
      <c r="D300" s="144"/>
      <c r="E300" s="115">
        <f t="shared" ref="E300" si="144">SUM(E293:E299)</f>
        <v>13</v>
      </c>
      <c r="F300" s="116"/>
      <c r="G300" s="115">
        <f t="shared" ref="G300" si="145">SUM(G293:G299)</f>
        <v>9</v>
      </c>
      <c r="H300" s="116"/>
      <c r="I300" s="115">
        <f t="shared" ref="I300" si="146">SUM(I293:I299)</f>
        <v>2</v>
      </c>
      <c r="J300" s="116"/>
      <c r="K300" s="115">
        <f t="shared" ref="K300" si="147">SUM(K293:K299)</f>
        <v>7</v>
      </c>
    </row>
    <row r="301" spans="1:11" ht="19.5" thickBot="1" x14ac:dyDescent="0.3">
      <c r="A301" s="82"/>
      <c r="B301" s="139"/>
      <c r="C301" s="108"/>
      <c r="D301" s="109"/>
      <c r="E301" s="109"/>
      <c r="F301" s="109"/>
      <c r="G301" s="109"/>
      <c r="H301" s="109"/>
      <c r="I301" s="109"/>
      <c r="J301" s="109"/>
      <c r="K301" s="109"/>
    </row>
    <row r="302" spans="1:11" ht="18.75" x14ac:dyDescent="0.25">
      <c r="A302" s="479">
        <v>58</v>
      </c>
      <c r="B302" s="110">
        <f t="shared" ref="B302:B311" si="148">+B299+1</f>
        <v>45172</v>
      </c>
      <c r="C302" s="117">
        <f>LF!HM302</f>
        <v>11669</v>
      </c>
      <c r="D302" s="119">
        <f>LF!E302+LF!AC302+LF!BM302+LF!CK302+LF!DU302+LF!ES302+LF!FQ302+LF!GO302</f>
        <v>3828</v>
      </c>
      <c r="E302" s="112">
        <f>LF!C302+LF!AA302+LF!BK302+LF!CI302+LF!DS302+LF!EQ302+LF!FO302+LF!GM302</f>
        <v>0</v>
      </c>
      <c r="F302" s="119">
        <f>LF!Q302+LF!BY302+LF!EG302+LF!GC302</f>
        <v>3173</v>
      </c>
      <c r="G302" s="112">
        <f>LF!O302+LF!BW302+LF!EE302+LF!GA302</f>
        <v>0</v>
      </c>
      <c r="H302" s="119">
        <f>LF!AO302+LF!CW302</f>
        <v>1471</v>
      </c>
      <c r="I302" s="112">
        <f>LF!AM302+LF!CU302</f>
        <v>0</v>
      </c>
      <c r="J302" s="119">
        <f>LF!BA302+LF!DI302+LF!FE302+LF!HA302</f>
        <v>3197</v>
      </c>
      <c r="K302" s="112">
        <f>LF!AY302+LF!DG302+LF!FC302+LF!GY302</f>
        <v>1</v>
      </c>
    </row>
    <row r="303" spans="1:11" ht="18.75" x14ac:dyDescent="0.25">
      <c r="A303" s="480"/>
      <c r="B303" s="111">
        <f t="shared" ref="B303:B317" si="149">+B302+1</f>
        <v>45173</v>
      </c>
      <c r="C303" s="118">
        <f>LF!HM303</f>
        <v>11666</v>
      </c>
      <c r="D303" s="120">
        <f>LF!E303+LF!AC303+LF!BM303+LF!CK303+LF!DU303+LF!ES303+LF!FQ303+LF!GO303</f>
        <v>3827</v>
      </c>
      <c r="E303" s="113">
        <f>LF!C303+LF!AA303+LF!BK303+LF!CI303+LF!DS303+LF!EQ303+LF!FO303+LF!GM303</f>
        <v>1</v>
      </c>
      <c r="F303" s="120">
        <f>LF!Q303+LF!BY303+LF!EG303+LF!GC303</f>
        <v>3173</v>
      </c>
      <c r="G303" s="113">
        <f>LF!O303+LF!BW303+LF!EE303+LF!GA303</f>
        <v>0</v>
      </c>
      <c r="H303" s="120">
        <f>LF!AO303+LF!CW303</f>
        <v>1471</v>
      </c>
      <c r="I303" s="113">
        <f>LF!AM303+LF!CU303</f>
        <v>0</v>
      </c>
      <c r="J303" s="120">
        <f>LF!BA303+LF!DI303+LF!FE303+LF!HA303</f>
        <v>3195</v>
      </c>
      <c r="K303" s="113">
        <f>LF!AY303+LF!DG303+LF!FC303+LF!GY303</f>
        <v>2</v>
      </c>
    </row>
    <row r="304" spans="1:11" ht="18.75" x14ac:dyDescent="0.25">
      <c r="A304" s="480"/>
      <c r="B304" s="111">
        <f t="shared" si="149"/>
        <v>45174</v>
      </c>
      <c r="C304" s="118">
        <f>LF!HM304</f>
        <v>11663</v>
      </c>
      <c r="D304" s="120">
        <f>LF!E304+LF!AC304+LF!BM304+LF!CK304+LF!DU304+LF!ES304+LF!FQ304+LF!GO304</f>
        <v>3825</v>
      </c>
      <c r="E304" s="113">
        <f>LF!C304+LF!AA304+LF!BK304+LF!CI304+LF!DS304+LF!EQ304+LF!FO304+LF!GM304</f>
        <v>2</v>
      </c>
      <c r="F304" s="120">
        <f>LF!Q304+LF!BY304+LF!EG304+LF!GC304</f>
        <v>3172</v>
      </c>
      <c r="G304" s="113">
        <f>LF!O304+LF!BW304+LF!EE304+LF!GA304</f>
        <v>1</v>
      </c>
      <c r="H304" s="120">
        <f>LF!AO304+LF!CW304</f>
        <v>1471</v>
      </c>
      <c r="I304" s="113">
        <f>LF!AM304+LF!CU304</f>
        <v>0</v>
      </c>
      <c r="J304" s="120">
        <f>LF!BA304+LF!DI304+LF!FE304+LF!HA304</f>
        <v>3195</v>
      </c>
      <c r="K304" s="113">
        <f>LF!AY304+LF!DG304+LF!FC304+LF!GY304</f>
        <v>0</v>
      </c>
    </row>
    <row r="305" spans="1:11" ht="18.75" x14ac:dyDescent="0.25">
      <c r="A305" s="480"/>
      <c r="B305" s="111">
        <f t="shared" si="149"/>
        <v>45175</v>
      </c>
      <c r="C305" s="118">
        <f>LF!HM305</f>
        <v>11658</v>
      </c>
      <c r="D305" s="120">
        <f>LF!E305+LF!AC305+LF!BM305+LF!CK305+LF!DU305+LF!ES305+LF!FQ305+LF!GO305</f>
        <v>3822</v>
      </c>
      <c r="E305" s="113">
        <f>LF!C305+LF!AA305+LF!BK305+LF!CI305+LF!DS305+LF!EQ305+LF!FO305+LF!GM305</f>
        <v>3</v>
      </c>
      <c r="F305" s="120">
        <f>LF!Q305+LF!BY305+LF!EG305+LF!GC305</f>
        <v>3170</v>
      </c>
      <c r="G305" s="113">
        <f>LF!O305+LF!BW305+LF!EE305+LF!GA305</f>
        <v>2</v>
      </c>
      <c r="H305" s="120">
        <f>LF!AO305+LF!CW305</f>
        <v>1471</v>
      </c>
      <c r="I305" s="113">
        <f>LF!AM305+LF!CU305</f>
        <v>0</v>
      </c>
      <c r="J305" s="120">
        <f>LF!BA305+LF!DI305+LF!FE305+LF!HA305</f>
        <v>3195</v>
      </c>
      <c r="K305" s="113">
        <f>LF!AY305+LF!DG305+LF!FC305+LF!GY305</f>
        <v>0</v>
      </c>
    </row>
    <row r="306" spans="1:11" ht="18.75" x14ac:dyDescent="0.25">
      <c r="A306" s="480"/>
      <c r="B306" s="111">
        <f t="shared" si="149"/>
        <v>45176</v>
      </c>
      <c r="C306" s="118">
        <f>LF!HM306</f>
        <v>11655</v>
      </c>
      <c r="D306" s="120">
        <f>LF!E306+LF!AC306+LF!BM306+LF!CK306+LF!DU306+LF!ES306+LF!FQ306+LF!GO306</f>
        <v>3821</v>
      </c>
      <c r="E306" s="113">
        <f>LF!C306+LF!AA306+LF!BK306+LF!CI306+LF!DS306+LF!EQ306+LF!FO306+LF!GM306</f>
        <v>1</v>
      </c>
      <c r="F306" s="120">
        <f>LF!Q306+LF!BY306+LF!EG306+LF!GC306</f>
        <v>3169</v>
      </c>
      <c r="G306" s="113">
        <f>LF!O306+LF!BW306+LF!EE306+LF!GA306</f>
        <v>1</v>
      </c>
      <c r="H306" s="120">
        <f>LF!AO306+LF!CW306</f>
        <v>1470</v>
      </c>
      <c r="I306" s="113">
        <f>LF!AM306+LF!CU306</f>
        <v>1</v>
      </c>
      <c r="J306" s="120">
        <f>LF!BA306+LF!DI306+LF!FE306+LF!HA306</f>
        <v>3195</v>
      </c>
      <c r="K306" s="113">
        <f>LF!AY306+LF!DG306+LF!FC306+LF!GY306</f>
        <v>0</v>
      </c>
    </row>
    <row r="307" spans="1:11" ht="18.75" x14ac:dyDescent="0.25">
      <c r="A307" s="480"/>
      <c r="B307" s="111">
        <f t="shared" si="149"/>
        <v>45177</v>
      </c>
      <c r="C307" s="118">
        <f>LF!HM307</f>
        <v>11652</v>
      </c>
      <c r="D307" s="120">
        <f>LF!E307+LF!AC307+LF!BM307+LF!CK307+LF!DU307+LF!ES307+LF!FQ307+LF!GO307</f>
        <v>3819</v>
      </c>
      <c r="E307" s="113">
        <f>LF!C307+LF!AA307+LF!BK307+LF!CI307+LF!DS307+LF!EQ307+LF!FO307+LF!GM307</f>
        <v>2</v>
      </c>
      <c r="F307" s="120">
        <f>LF!Q307+LF!BY307+LF!EG307+LF!GC307</f>
        <v>3169</v>
      </c>
      <c r="G307" s="113">
        <f>LF!O307+LF!BW307+LF!EE307+LF!GA307</f>
        <v>0</v>
      </c>
      <c r="H307" s="120">
        <f>LF!AO307+LF!CW307</f>
        <v>1469</v>
      </c>
      <c r="I307" s="113">
        <f>LF!AM307+LF!CU307</f>
        <v>1</v>
      </c>
      <c r="J307" s="120">
        <f>LF!BA307+LF!DI307+LF!FE307+LF!HA307</f>
        <v>3195</v>
      </c>
      <c r="K307" s="113">
        <f>LF!AY307+LF!DG307+LF!FC307+LF!GY307</f>
        <v>0</v>
      </c>
    </row>
    <row r="308" spans="1:11" ht="19.5" thickBot="1" x14ac:dyDescent="0.3">
      <c r="A308" s="480"/>
      <c r="B308" s="141">
        <f t="shared" si="149"/>
        <v>45178</v>
      </c>
      <c r="C308" s="142">
        <f>LF!HM308</f>
        <v>11652</v>
      </c>
      <c r="D308" s="143">
        <f>LF!E308+LF!AC308+LF!BM308+LF!CK308+LF!DU308+LF!ES308+LF!FQ308+LF!GO308</f>
        <v>3819</v>
      </c>
      <c r="E308" s="114">
        <f>LF!C308+LF!AA308+LF!BK308+LF!CI308+LF!DS308+LF!EQ308+LF!FO308+LF!GM308</f>
        <v>0</v>
      </c>
      <c r="F308" s="121">
        <f>LF!Q308+LF!BY308+LF!EG308+LF!GC308</f>
        <v>3169</v>
      </c>
      <c r="G308" s="114">
        <f>LF!O308+LF!BW308+LF!EE308+LF!GA308</f>
        <v>0</v>
      </c>
      <c r="H308" s="121">
        <f>LF!AO308+LF!CW308</f>
        <v>1469</v>
      </c>
      <c r="I308" s="114">
        <f>LF!AM308+LF!CU308</f>
        <v>0</v>
      </c>
      <c r="J308" s="121">
        <f>LF!BA308+LF!DI308+LF!FE308+LF!HA308</f>
        <v>3195</v>
      </c>
      <c r="K308" s="114">
        <f>LF!AY308+LF!DG308+LF!FC308+LF!GY308</f>
        <v>0</v>
      </c>
    </row>
    <row r="309" spans="1:11" ht="19.5" thickBot="1" x14ac:dyDescent="0.3">
      <c r="A309" s="481"/>
      <c r="B309" s="2"/>
      <c r="C309" s="140"/>
      <c r="D309" s="144"/>
      <c r="E309" s="115">
        <f t="shared" ref="E309" si="150">SUM(E302:E308)</f>
        <v>9</v>
      </c>
      <c r="F309" s="116"/>
      <c r="G309" s="115">
        <f t="shared" ref="G309" si="151">SUM(G302:G308)</f>
        <v>4</v>
      </c>
      <c r="H309" s="116"/>
      <c r="I309" s="115">
        <f t="shared" ref="I309" si="152">SUM(I302:I308)</f>
        <v>2</v>
      </c>
      <c r="J309" s="116"/>
      <c r="K309" s="115">
        <f t="shared" ref="K309" si="153">SUM(K302:K308)</f>
        <v>3</v>
      </c>
    </row>
    <row r="310" spans="1:11" ht="19.5" thickBot="1" x14ac:dyDescent="0.3">
      <c r="A310" s="82"/>
      <c r="B310" s="139"/>
      <c r="C310" s="108"/>
      <c r="D310" s="109"/>
      <c r="E310" s="109"/>
      <c r="F310" s="109"/>
      <c r="G310" s="109"/>
      <c r="H310" s="109"/>
      <c r="I310" s="109"/>
      <c r="J310" s="109"/>
      <c r="K310" s="109"/>
    </row>
    <row r="311" spans="1:11" ht="18.75" x14ac:dyDescent="0.25">
      <c r="A311" s="479">
        <v>59</v>
      </c>
      <c r="B311" s="110">
        <f t="shared" si="148"/>
        <v>45179</v>
      </c>
      <c r="C311" s="117">
        <f>LF!HM311</f>
        <v>11646</v>
      </c>
      <c r="D311" s="119">
        <f>LF!E311+LF!AC311+LF!BM311+LF!CK311+LF!DU311+LF!ES311+LF!FQ311+LF!GO311</f>
        <v>3816</v>
      </c>
      <c r="E311" s="112">
        <f>LF!C311+LF!AA311+LF!BK311+LF!CI311+LF!DS311+LF!EQ311+LF!FO311+LF!GM311</f>
        <v>3</v>
      </c>
      <c r="F311" s="119">
        <f>LF!Q311+LF!BY311+LF!EG311+LF!GC311</f>
        <v>3167</v>
      </c>
      <c r="G311" s="112">
        <f>LF!O311+LF!BW311+LF!EE311+LF!GA311</f>
        <v>2</v>
      </c>
      <c r="H311" s="119">
        <f>LF!AO311+LF!CW311</f>
        <v>1469</v>
      </c>
      <c r="I311" s="112">
        <f>LF!AM311+LF!CU311</f>
        <v>0</v>
      </c>
      <c r="J311" s="119">
        <f>LF!BA311+LF!DI311+LF!FE311+LF!HA311</f>
        <v>3194</v>
      </c>
      <c r="K311" s="112">
        <f>LF!AY311+LF!DG311+LF!FC311+LF!GY311</f>
        <v>1</v>
      </c>
    </row>
    <row r="312" spans="1:11" ht="18.75" x14ac:dyDescent="0.25">
      <c r="A312" s="480"/>
      <c r="B312" s="111">
        <f t="shared" si="149"/>
        <v>45180</v>
      </c>
      <c r="C312" s="118">
        <f>LF!HM312</f>
        <v>11643</v>
      </c>
      <c r="D312" s="120">
        <f>LF!E312+LF!AC312+LF!BM312+LF!CK312+LF!DU312+LF!ES312+LF!FQ312+LF!GO312</f>
        <v>3814</v>
      </c>
      <c r="E312" s="113">
        <f>LF!C312+LF!AA312+LF!BK312+LF!CI312+LF!DS312+LF!EQ312+LF!FO312+LF!GM312</f>
        <v>2</v>
      </c>
      <c r="F312" s="120">
        <f>LF!Q312+LF!BY312+LF!EG312+LF!GC312</f>
        <v>3167</v>
      </c>
      <c r="G312" s="113">
        <f>LF!O312+LF!BW312+LF!EE312+LF!GA312</f>
        <v>0</v>
      </c>
      <c r="H312" s="120">
        <f>LF!AO312+LF!CW312</f>
        <v>1469</v>
      </c>
      <c r="I312" s="113">
        <f>LF!AM312+LF!CU312</f>
        <v>0</v>
      </c>
      <c r="J312" s="120">
        <f>LF!BA312+LF!DI312+LF!FE312+LF!HA312</f>
        <v>3193</v>
      </c>
      <c r="K312" s="113">
        <f>LF!AY312+LF!DG312+LF!FC312+LF!GY312</f>
        <v>1</v>
      </c>
    </row>
    <row r="313" spans="1:11" ht="18.75" x14ac:dyDescent="0.25">
      <c r="A313" s="480"/>
      <c r="B313" s="111">
        <f t="shared" si="149"/>
        <v>45181</v>
      </c>
      <c r="C313" s="118">
        <f>LF!HM313</f>
        <v>11638</v>
      </c>
      <c r="D313" s="120">
        <f>LF!E313+LF!AC313+LF!BM313+LF!CK313+LF!DU313+LF!ES313+LF!FQ313+LF!GO313</f>
        <v>3810</v>
      </c>
      <c r="E313" s="113">
        <f>LF!C313+LF!AA313+LF!BK313+LF!CI313+LF!DS313+LF!EQ313+LF!FO313+LF!GM313</f>
        <v>4</v>
      </c>
      <c r="F313" s="120">
        <f>LF!Q313+LF!BY313+LF!EG313+LF!GC313</f>
        <v>3167</v>
      </c>
      <c r="G313" s="113">
        <f>LF!O313+LF!BW313+LF!EE313+LF!GA313</f>
        <v>0</v>
      </c>
      <c r="H313" s="120">
        <f>LF!AO313+LF!CW313</f>
        <v>1469</v>
      </c>
      <c r="I313" s="113">
        <f>LF!AM313+LF!CU313</f>
        <v>0</v>
      </c>
      <c r="J313" s="120">
        <f>LF!BA313+LF!DI313+LF!FE313+LF!HA313</f>
        <v>3192</v>
      </c>
      <c r="K313" s="113">
        <f>LF!AY313+LF!DG313+LF!FC313+LF!GY313</f>
        <v>1</v>
      </c>
    </row>
    <row r="314" spans="1:11" ht="18.75" x14ac:dyDescent="0.25">
      <c r="A314" s="480"/>
      <c r="B314" s="111">
        <f t="shared" si="149"/>
        <v>45182</v>
      </c>
      <c r="C314" s="118">
        <f>LF!HM314</f>
        <v>11637</v>
      </c>
      <c r="D314" s="120">
        <f>LF!E314+LF!AC314+LF!BM314+LF!CK314+LF!DU314+LF!ES314+LF!FQ314+LF!GO314</f>
        <v>3810</v>
      </c>
      <c r="E314" s="113">
        <f>LF!C314+LF!AA314+LF!BK314+LF!CI314+LF!DS314+LF!EQ314+LF!FO314+LF!GM314</f>
        <v>0</v>
      </c>
      <c r="F314" s="120">
        <f>LF!Q314+LF!BY314+LF!EG314+LF!GC314</f>
        <v>3166</v>
      </c>
      <c r="G314" s="113">
        <f>LF!O314+LF!BW314+LF!EE314+LF!GA314</f>
        <v>1</v>
      </c>
      <c r="H314" s="120">
        <f>LF!AO314+LF!CW314</f>
        <v>1469</v>
      </c>
      <c r="I314" s="113">
        <f>LF!AM314+LF!CU314</f>
        <v>0</v>
      </c>
      <c r="J314" s="120">
        <f>LF!BA314+LF!DI314+LF!FE314+LF!HA314</f>
        <v>3192</v>
      </c>
      <c r="K314" s="113">
        <f>LF!AY314+LF!DG314+LF!FC314+LF!GY314</f>
        <v>0</v>
      </c>
    </row>
    <row r="315" spans="1:11" ht="18.75" x14ac:dyDescent="0.25">
      <c r="A315" s="480"/>
      <c r="B315" s="111">
        <f t="shared" si="149"/>
        <v>45183</v>
      </c>
      <c r="C315" s="118">
        <f>LF!HM315</f>
        <v>11631</v>
      </c>
      <c r="D315" s="120">
        <f>LF!E315+LF!AC315+LF!BM315+LF!CK315+LF!DU315+LF!ES315+LF!FQ315+LF!GO315</f>
        <v>3810</v>
      </c>
      <c r="E315" s="113">
        <f>LF!C315+LF!AA315+LF!BK315+LF!CI315+LF!DS315+LF!EQ315+LF!FO315+LF!GM315</f>
        <v>0</v>
      </c>
      <c r="F315" s="120">
        <f>LF!Q315+LF!BY315+LF!EG315+LF!GC315</f>
        <v>3163</v>
      </c>
      <c r="G315" s="113">
        <f>LF!O315+LF!BW315+LF!EE315+LF!GA315</f>
        <v>3</v>
      </c>
      <c r="H315" s="120">
        <f>LF!AO315+LF!CW315</f>
        <v>1469</v>
      </c>
      <c r="I315" s="113">
        <f>LF!AM315+LF!CU315</f>
        <v>0</v>
      </c>
      <c r="J315" s="120">
        <f>LF!BA315+LF!DI315+LF!FE315+LF!HA315</f>
        <v>3189</v>
      </c>
      <c r="K315" s="113">
        <f>LF!AY315+LF!DG315+LF!FC315+LF!GY315</f>
        <v>3</v>
      </c>
    </row>
    <row r="316" spans="1:11" ht="18.75" x14ac:dyDescent="0.25">
      <c r="A316" s="480"/>
      <c r="B316" s="111">
        <f t="shared" si="149"/>
        <v>45184</v>
      </c>
      <c r="C316" s="118">
        <f>LF!HM316</f>
        <v>11626</v>
      </c>
      <c r="D316" s="120">
        <f>LF!E316+LF!AC316+LF!BM316+LF!CK316+LF!DU316+LF!ES316+LF!FQ316+LF!GO316</f>
        <v>3807</v>
      </c>
      <c r="E316" s="113">
        <f>LF!C316+LF!AA316+LF!BK316+LF!CI316+LF!DS316+LF!EQ316+LF!FO316+LF!GM316</f>
        <v>3</v>
      </c>
      <c r="F316" s="120">
        <f>LF!Q316+LF!BY316+LF!EG316+LF!GC316</f>
        <v>3162</v>
      </c>
      <c r="G316" s="113">
        <f>LF!O316+LF!BW316+LF!EE316+LF!GA316</f>
        <v>1</v>
      </c>
      <c r="H316" s="120">
        <f>LF!AO316+LF!CW316</f>
        <v>1468</v>
      </c>
      <c r="I316" s="113">
        <f>LF!AM316+LF!CU316</f>
        <v>1</v>
      </c>
      <c r="J316" s="120">
        <f>LF!BA316+LF!DI316+LF!FE316+LF!HA316</f>
        <v>3189</v>
      </c>
      <c r="K316" s="113">
        <f>LF!AY316+LF!DG316+LF!FC316+LF!GY316</f>
        <v>0</v>
      </c>
    </row>
    <row r="317" spans="1:11" ht="19.5" thickBot="1" x14ac:dyDescent="0.3">
      <c r="A317" s="480"/>
      <c r="B317" s="141">
        <f t="shared" si="149"/>
        <v>45185</v>
      </c>
      <c r="C317" s="142">
        <f>LF!HM317</f>
        <v>11619</v>
      </c>
      <c r="D317" s="143">
        <f>LF!E317+LF!AC317+LF!BM317+LF!CK317+LF!DU317+LF!ES317+LF!FQ317+LF!GO317</f>
        <v>3804</v>
      </c>
      <c r="E317" s="114">
        <f>LF!C317+LF!AA317+LF!BK317+LF!CI317+LF!DS317+LF!EQ317+LF!FO317+LF!GM317</f>
        <v>3</v>
      </c>
      <c r="F317" s="121">
        <f>LF!Q317+LF!BY317+LF!EG317+LF!GC317</f>
        <v>3159</v>
      </c>
      <c r="G317" s="114">
        <f>LF!O317+LF!BW317+LF!EE317+LF!GA317</f>
        <v>3</v>
      </c>
      <c r="H317" s="121">
        <f>LF!AO317+LF!CW317</f>
        <v>1467</v>
      </c>
      <c r="I317" s="114">
        <f>LF!AM317+LF!CU317</f>
        <v>1</v>
      </c>
      <c r="J317" s="121">
        <f>LF!BA317+LF!DI317+LF!FE317+LF!HA317</f>
        <v>3189</v>
      </c>
      <c r="K317" s="114">
        <f>LF!AY317+LF!DG317+LF!FC317+LF!GY317</f>
        <v>0</v>
      </c>
    </row>
    <row r="318" spans="1:11" ht="19.5" thickBot="1" x14ac:dyDescent="0.3">
      <c r="A318" s="481"/>
      <c r="B318" s="2"/>
      <c r="C318" s="140"/>
      <c r="D318" s="144"/>
      <c r="E318" s="115">
        <f t="shared" ref="E318" si="154">SUM(E311:E317)</f>
        <v>15</v>
      </c>
      <c r="F318" s="116"/>
      <c r="G318" s="115">
        <f t="shared" ref="G318" si="155">SUM(G311:G317)</f>
        <v>10</v>
      </c>
      <c r="H318" s="116"/>
      <c r="I318" s="115">
        <f t="shared" ref="I318" si="156">SUM(I311:I317)</f>
        <v>2</v>
      </c>
      <c r="J318" s="116"/>
      <c r="K318" s="115">
        <f t="shared" ref="K318" si="157">SUM(K311:K317)</f>
        <v>6</v>
      </c>
    </row>
    <row r="319" spans="1:11" ht="19.5" thickBot="1" x14ac:dyDescent="0.3">
      <c r="A319" s="82"/>
      <c r="B319" s="139"/>
      <c r="C319" s="108"/>
      <c r="D319" s="109"/>
      <c r="E319" s="109"/>
      <c r="F319" s="109"/>
      <c r="G319" s="109"/>
      <c r="H319" s="109"/>
      <c r="I319" s="109"/>
      <c r="J319" s="109"/>
      <c r="K319" s="109"/>
    </row>
    <row r="320" spans="1:11" ht="18.75" x14ac:dyDescent="0.25">
      <c r="A320" s="479">
        <v>60</v>
      </c>
      <c r="B320" s="110">
        <f t="shared" ref="B320:B329" si="158">+B317+1</f>
        <v>45186</v>
      </c>
      <c r="C320" s="117">
        <f>LF!HM320</f>
        <v>11615</v>
      </c>
      <c r="D320" s="119">
        <f>LF!E320+LF!AC320+LF!BM320+LF!CK320+LF!DU320+LF!ES320+LF!FQ320+LF!GO320</f>
        <v>3800</v>
      </c>
      <c r="E320" s="112">
        <f>LF!C320+LF!AA320+LF!BK320+LF!CI320+LF!DS320+LF!EQ320+LF!FO320+LF!GM320</f>
        <v>4</v>
      </c>
      <c r="F320" s="119">
        <f>LF!Q320+LF!BY320+LF!EG320+LF!GC320</f>
        <v>3159</v>
      </c>
      <c r="G320" s="112">
        <f>LF!O320+LF!BW320+LF!EE320+LF!GA320</f>
        <v>0</v>
      </c>
      <c r="H320" s="119">
        <f>LF!AO320+LF!CW320</f>
        <v>1467</v>
      </c>
      <c r="I320" s="112">
        <f>LF!AM320+LF!CU320</f>
        <v>0</v>
      </c>
      <c r="J320" s="119">
        <f>LF!BA320+LF!DI320+LF!FE320+LF!HA320</f>
        <v>3189</v>
      </c>
      <c r="K320" s="112">
        <f>LF!AY320+LF!DG320+LF!FC320+LF!GY320</f>
        <v>0</v>
      </c>
    </row>
    <row r="321" spans="1:11" ht="18.75" x14ac:dyDescent="0.25">
      <c r="A321" s="480"/>
      <c r="B321" s="111">
        <f t="shared" ref="B321:B335" si="159">+B320+1</f>
        <v>45187</v>
      </c>
      <c r="C321" s="118">
        <f>LF!HM321</f>
        <v>11608</v>
      </c>
      <c r="D321" s="120">
        <f>LF!E321+LF!AC321+LF!BM321+LF!CK321+LF!DU321+LF!ES321+LF!FQ321+LF!GO321</f>
        <v>3795</v>
      </c>
      <c r="E321" s="113">
        <f>LF!C321+LF!AA321+LF!BK321+LF!CI321+LF!DS321+LF!EQ321+LF!FO321+LF!GM321</f>
        <v>5</v>
      </c>
      <c r="F321" s="120">
        <f>LF!Q321+LF!BY321+LF!EG321+LF!GC321</f>
        <v>3159</v>
      </c>
      <c r="G321" s="113">
        <f>LF!O321+LF!BW321+LF!EE321+LF!GA321</f>
        <v>0</v>
      </c>
      <c r="H321" s="120">
        <f>LF!AO321+LF!CW321</f>
        <v>1465</v>
      </c>
      <c r="I321" s="113">
        <f>LF!AM321+LF!CU321</f>
        <v>2</v>
      </c>
      <c r="J321" s="120">
        <f>LF!BA321+LF!DI321+LF!FE321+LF!HA321</f>
        <v>3189</v>
      </c>
      <c r="K321" s="113">
        <f>LF!AY321+LF!DG321+LF!FC321+LF!GY321</f>
        <v>0</v>
      </c>
    </row>
    <row r="322" spans="1:11" ht="18.75" x14ac:dyDescent="0.25">
      <c r="A322" s="480"/>
      <c r="B322" s="111">
        <f t="shared" si="159"/>
        <v>45188</v>
      </c>
      <c r="C322" s="118">
        <f>LF!HM322</f>
        <v>11604</v>
      </c>
      <c r="D322" s="120">
        <f>LF!E322+LF!AC322+LF!BM322+LF!CK322+LF!DU322+LF!ES322+LF!FQ322+LF!GO322</f>
        <v>3795</v>
      </c>
      <c r="E322" s="113">
        <f>LF!C322+LF!AA322+LF!BK322+LF!CI322+LF!DS322+LF!EQ322+LF!FO322+LF!GM322</f>
        <v>0</v>
      </c>
      <c r="F322" s="120">
        <f>LF!Q322+LF!BY322+LF!EG322+LF!GC322</f>
        <v>3158</v>
      </c>
      <c r="G322" s="113">
        <f>LF!O322+LF!BW322+LF!EE322+LF!GA322</f>
        <v>1</v>
      </c>
      <c r="H322" s="120">
        <f>LF!AO322+LF!CW322</f>
        <v>1464</v>
      </c>
      <c r="I322" s="113">
        <f>LF!AM322+LF!CU322</f>
        <v>1</v>
      </c>
      <c r="J322" s="120">
        <f>LF!BA322+LF!DI322+LF!FE322+LF!HA322</f>
        <v>3187</v>
      </c>
      <c r="K322" s="113">
        <f>LF!AY322+LF!DG322+LF!FC322+LF!GY322</f>
        <v>2</v>
      </c>
    </row>
    <row r="323" spans="1:11" ht="18.75" x14ac:dyDescent="0.25">
      <c r="A323" s="480"/>
      <c r="B323" s="111">
        <f t="shared" si="159"/>
        <v>45189</v>
      </c>
      <c r="C323" s="118">
        <f>LF!HM323</f>
        <v>11602</v>
      </c>
      <c r="D323" s="120">
        <f>LF!E323+LF!AC323+LF!BM323+LF!CK323+LF!DU323+LF!ES323+LF!FQ323+LF!GO323</f>
        <v>3794</v>
      </c>
      <c r="E323" s="113">
        <f>LF!C323+LF!AA323+LF!BK323+LF!CI323+LF!DS323+LF!EQ323+LF!FO323+LF!GM323</f>
        <v>1</v>
      </c>
      <c r="F323" s="120">
        <f>LF!Q323+LF!BY323+LF!EG323+LF!GC323</f>
        <v>3158</v>
      </c>
      <c r="G323" s="113">
        <f>LF!O323+LF!BW323+LF!EE323+LF!GA323</f>
        <v>0</v>
      </c>
      <c r="H323" s="120">
        <f>LF!AO323+LF!CW323</f>
        <v>1464</v>
      </c>
      <c r="I323" s="113">
        <f>LF!AM323+LF!CU323</f>
        <v>0</v>
      </c>
      <c r="J323" s="120">
        <f>LF!BA323+LF!DI323+LF!FE323+LF!HA323</f>
        <v>3186</v>
      </c>
      <c r="K323" s="113">
        <f>LF!AY323+LF!DG323+LF!FC323+LF!GY323</f>
        <v>1</v>
      </c>
    </row>
    <row r="324" spans="1:11" ht="18.75" x14ac:dyDescent="0.25">
      <c r="A324" s="480"/>
      <c r="B324" s="111">
        <f t="shared" si="159"/>
        <v>45190</v>
      </c>
      <c r="C324" s="118">
        <f>LF!HM324</f>
        <v>11599</v>
      </c>
      <c r="D324" s="120">
        <f>LF!E324+LF!AC324+LF!BM324+LF!CK324+LF!DU324+LF!ES324+LF!FQ324+LF!GO324</f>
        <v>3793</v>
      </c>
      <c r="E324" s="113">
        <f>LF!C324+LF!AA324+LF!BK324+LF!CI324+LF!DS324+LF!EQ324+LF!FO324+LF!GM324</f>
        <v>1</v>
      </c>
      <c r="F324" s="120">
        <f>LF!Q324+LF!BY324+LF!EG324+LF!GC324</f>
        <v>3157</v>
      </c>
      <c r="G324" s="113">
        <f>LF!O324+LF!BW324+LF!EE324+LF!GA324</f>
        <v>1</v>
      </c>
      <c r="H324" s="120">
        <f>LF!AO324+LF!CW324</f>
        <v>1464</v>
      </c>
      <c r="I324" s="113">
        <f>LF!AM324+LF!CU324</f>
        <v>0</v>
      </c>
      <c r="J324" s="120">
        <f>LF!BA324+LF!DI324+LF!FE324+LF!HA324</f>
        <v>3185</v>
      </c>
      <c r="K324" s="113">
        <f>LF!AY324+LF!DG324+LF!FC324+LF!GY324</f>
        <v>1</v>
      </c>
    </row>
    <row r="325" spans="1:11" ht="18.75" x14ac:dyDescent="0.25">
      <c r="A325" s="480"/>
      <c r="B325" s="111">
        <f t="shared" si="159"/>
        <v>45191</v>
      </c>
      <c r="C325" s="118">
        <f>LF!HM325</f>
        <v>11596</v>
      </c>
      <c r="D325" s="120">
        <f>LF!E325+LF!AC325+LF!BM325+LF!CK325+LF!DU325+LF!ES325+LF!FQ325+LF!GO325</f>
        <v>3792</v>
      </c>
      <c r="E325" s="113">
        <f>LF!C325+LF!AA325+LF!BK325+LF!CI325+LF!DS325+LF!EQ325+LF!FO325+LF!GM325</f>
        <v>1</v>
      </c>
      <c r="F325" s="120">
        <f>LF!Q325+LF!BY325+LF!EG325+LF!GC325</f>
        <v>3157</v>
      </c>
      <c r="G325" s="113">
        <f>LF!O325+LF!BW325+LF!EE325+LF!GA325</f>
        <v>0</v>
      </c>
      <c r="H325" s="120">
        <f>LF!AO325+LF!CW325</f>
        <v>1463</v>
      </c>
      <c r="I325" s="113">
        <f>LF!AM325+LF!CU325</f>
        <v>1</v>
      </c>
      <c r="J325" s="120">
        <f>LF!BA325+LF!DI325+LF!FE325+LF!HA325</f>
        <v>3184</v>
      </c>
      <c r="K325" s="113">
        <f>LF!AY325+LF!DG325+LF!FC325+LF!GY325</f>
        <v>1</v>
      </c>
    </row>
    <row r="326" spans="1:11" ht="19.5" thickBot="1" x14ac:dyDescent="0.3">
      <c r="A326" s="480"/>
      <c r="B326" s="141">
        <f t="shared" si="159"/>
        <v>45192</v>
      </c>
      <c r="C326" s="142">
        <f>LF!HM326</f>
        <v>11595</v>
      </c>
      <c r="D326" s="143">
        <f>LF!E326+LF!AC326+LF!BM326+LF!CK326+LF!DU326+LF!ES326+LF!FQ326+LF!GO326</f>
        <v>3792</v>
      </c>
      <c r="E326" s="114">
        <f>LF!C326+LF!AA326+LF!BK326+LF!CI326+LF!DS326+LF!EQ326+LF!FO326+LF!GM326</f>
        <v>0</v>
      </c>
      <c r="F326" s="121">
        <f>LF!Q326+LF!BY326+LF!EG326+LF!GC326</f>
        <v>3157</v>
      </c>
      <c r="G326" s="114">
        <f>LF!O326+LF!BW326+LF!EE326+LF!GA326</f>
        <v>0</v>
      </c>
      <c r="H326" s="121">
        <f>LF!AO326+LF!CW326</f>
        <v>1462</v>
      </c>
      <c r="I326" s="114">
        <f>LF!AM326+LF!CU326</f>
        <v>1</v>
      </c>
      <c r="J326" s="121">
        <f>LF!BA326+LF!DI326+LF!FE326+LF!HA326</f>
        <v>3184</v>
      </c>
      <c r="K326" s="114">
        <f>LF!AY326+LF!DG326+LF!FC326+LF!GY326</f>
        <v>0</v>
      </c>
    </row>
    <row r="327" spans="1:11" ht="19.5" thickBot="1" x14ac:dyDescent="0.3">
      <c r="A327" s="481"/>
      <c r="B327" s="2"/>
      <c r="C327" s="140"/>
      <c r="D327" s="144"/>
      <c r="E327" s="115">
        <f t="shared" ref="E327" si="160">SUM(E320:E326)</f>
        <v>12</v>
      </c>
      <c r="F327" s="116"/>
      <c r="G327" s="115">
        <f t="shared" ref="G327" si="161">SUM(G320:G326)</f>
        <v>2</v>
      </c>
      <c r="H327" s="116"/>
      <c r="I327" s="115">
        <f t="shared" ref="I327" si="162">SUM(I320:I326)</f>
        <v>5</v>
      </c>
      <c r="J327" s="116"/>
      <c r="K327" s="115">
        <f t="shared" ref="K327" si="163">SUM(K320:K326)</f>
        <v>5</v>
      </c>
    </row>
    <row r="328" spans="1:11" ht="19.5" thickBot="1" x14ac:dyDescent="0.3">
      <c r="A328" s="82"/>
      <c r="B328" s="139"/>
      <c r="C328" s="108"/>
      <c r="D328" s="109"/>
      <c r="E328" s="109"/>
      <c r="F328" s="109"/>
      <c r="G328" s="109"/>
      <c r="H328" s="109"/>
      <c r="I328" s="109"/>
      <c r="J328" s="109"/>
      <c r="K328" s="109"/>
    </row>
    <row r="329" spans="1:11" ht="18.75" x14ac:dyDescent="0.25">
      <c r="A329" s="479">
        <v>61</v>
      </c>
      <c r="B329" s="110">
        <f t="shared" si="158"/>
        <v>45193</v>
      </c>
      <c r="C329" s="117">
        <f>LF!HM329</f>
        <v>11592</v>
      </c>
      <c r="D329" s="119">
        <f>LF!E329+LF!AC329+LF!BM329+LF!CK329+LF!DU329+LF!ES329+LF!FQ329+LF!GO329</f>
        <v>3791</v>
      </c>
      <c r="E329" s="112">
        <f>LF!C329+LF!AA329+LF!BK329+LF!CI329+LF!DS329+LF!EQ329+LF!FO329+LF!GM329</f>
        <v>1</v>
      </c>
      <c r="F329" s="119">
        <f>LF!Q329+LF!BY329+LF!EG329+LF!GC329</f>
        <v>3155</v>
      </c>
      <c r="G329" s="112">
        <f>LF!O329+LF!BW329+LF!EE329+LF!GA329</f>
        <v>2</v>
      </c>
      <c r="H329" s="119">
        <f>LF!AO329+LF!CW329</f>
        <v>1462</v>
      </c>
      <c r="I329" s="112">
        <f>LF!AM329+LF!CU329</f>
        <v>0</v>
      </c>
      <c r="J329" s="119">
        <f>LF!BA329+LF!DI329+LF!FE329+LF!HA329</f>
        <v>3184</v>
      </c>
      <c r="K329" s="112">
        <f>LF!AY329+LF!DG329+LF!FC329+LF!GY329</f>
        <v>0</v>
      </c>
    </row>
    <row r="330" spans="1:11" ht="18.75" x14ac:dyDescent="0.25">
      <c r="A330" s="480"/>
      <c r="B330" s="111">
        <f t="shared" si="159"/>
        <v>45194</v>
      </c>
      <c r="C330" s="118">
        <f>LF!HM330</f>
        <v>11589</v>
      </c>
      <c r="D330" s="120">
        <f>LF!E330+LF!AC330+LF!BM330+LF!CK330+LF!DU330+LF!ES330+LF!FQ330+LF!GO330</f>
        <v>3789</v>
      </c>
      <c r="E330" s="113">
        <f>LF!C330+LF!AA330+LF!BK330+LF!CI330+LF!DS330+LF!EQ330+LF!FO330+LF!GM330</f>
        <v>2</v>
      </c>
      <c r="F330" s="120">
        <f>LF!Q330+LF!BY330+LF!EG330+LF!GC330</f>
        <v>3155</v>
      </c>
      <c r="G330" s="113">
        <f>LF!O330+LF!BW330+LF!EE330+LF!GA330</f>
        <v>0</v>
      </c>
      <c r="H330" s="120">
        <f>LF!AO330+LF!CW330</f>
        <v>1461</v>
      </c>
      <c r="I330" s="113">
        <f>LF!AM330+LF!CU330</f>
        <v>1</v>
      </c>
      <c r="J330" s="120">
        <f>LF!BA330+LF!DI330+LF!FE330+LF!HA330</f>
        <v>3184</v>
      </c>
      <c r="K330" s="113">
        <f>LF!AY330+LF!DG330+LF!FC330+LF!GY330</f>
        <v>0</v>
      </c>
    </row>
    <row r="331" spans="1:11" ht="18.75" x14ac:dyDescent="0.25">
      <c r="A331" s="480"/>
      <c r="B331" s="111">
        <f t="shared" si="159"/>
        <v>45195</v>
      </c>
      <c r="C331" s="118">
        <f>LF!HM331</f>
        <v>11584</v>
      </c>
      <c r="D331" s="120">
        <f>LF!E331+LF!AC331+LF!BM331+LF!CK331+LF!DU331+LF!ES331+LF!FQ331+LF!GO331</f>
        <v>3788</v>
      </c>
      <c r="E331" s="113">
        <f>LF!C331+LF!AA331+LF!BK331+LF!CI331+LF!DS331+LF!EQ331+LF!FO331+LF!GM331</f>
        <v>1</v>
      </c>
      <c r="F331" s="120">
        <f>LF!Q331+LF!BY331+LF!EG331+LF!GC331</f>
        <v>3154</v>
      </c>
      <c r="G331" s="113">
        <f>LF!O331+LF!BW331+LF!EE331+LF!GA331</f>
        <v>1</v>
      </c>
      <c r="H331" s="120">
        <f>LF!AO331+LF!CW331</f>
        <v>1459</v>
      </c>
      <c r="I331" s="113">
        <f>LF!AM331+LF!CU331</f>
        <v>2</v>
      </c>
      <c r="J331" s="120">
        <f>LF!BA331+LF!DI331+LF!FE331+LF!HA331</f>
        <v>3183</v>
      </c>
      <c r="K331" s="113">
        <f>LF!AY331+LF!DG331+LF!FC331+LF!GY331</f>
        <v>1</v>
      </c>
    </row>
    <row r="332" spans="1:11" ht="18.75" x14ac:dyDescent="0.25">
      <c r="A332" s="480"/>
      <c r="B332" s="111">
        <f t="shared" si="159"/>
        <v>45196</v>
      </c>
      <c r="C332" s="118">
        <f>LF!HM332</f>
        <v>11582</v>
      </c>
      <c r="D332" s="120">
        <f>LF!E332+LF!AC332+LF!BM332+LF!CK332+LF!DU332+LF!ES332+LF!FQ332+LF!GO332</f>
        <v>3787</v>
      </c>
      <c r="E332" s="113">
        <f>LF!C332+LF!AA332+LF!BK332+LF!CI332+LF!DS332+LF!EQ332+LF!FO332+LF!GM332</f>
        <v>1</v>
      </c>
      <c r="F332" s="120">
        <f>LF!Q332+LF!BY332+LF!EG332+LF!GC332</f>
        <v>3153</v>
      </c>
      <c r="G332" s="113">
        <f>LF!O332+LF!BW332+LF!EE332+LF!GA332</f>
        <v>1</v>
      </c>
      <c r="H332" s="120">
        <f>LF!AO332+LF!CW332</f>
        <v>1459</v>
      </c>
      <c r="I332" s="113">
        <f>LF!AM332+LF!CU332</f>
        <v>0</v>
      </c>
      <c r="J332" s="120">
        <f>LF!BA332+LF!DI332+LF!FE332+LF!HA332</f>
        <v>3183</v>
      </c>
      <c r="K332" s="113">
        <f>LF!AY332+LF!DG332+LF!FC332+LF!GY332</f>
        <v>0</v>
      </c>
    </row>
    <row r="333" spans="1:11" ht="18.75" x14ac:dyDescent="0.25">
      <c r="A333" s="480"/>
      <c r="B333" s="111">
        <f t="shared" si="159"/>
        <v>45197</v>
      </c>
      <c r="C333" s="118">
        <f>LF!HM333</f>
        <v>11577</v>
      </c>
      <c r="D333" s="120">
        <f>LF!E333+LF!AC333+LF!BM333+LF!CK333+LF!DU333+LF!ES333+LF!FQ333+LF!GO333</f>
        <v>3784</v>
      </c>
      <c r="E333" s="113">
        <f>LF!C333+LF!AA333+LF!BK333+LF!CI333+LF!DS333+LF!EQ333+LF!FO333+LF!GM333</f>
        <v>3</v>
      </c>
      <c r="F333" s="120">
        <f>LF!Q333+LF!BY333+LF!EG333+LF!GC333</f>
        <v>3151</v>
      </c>
      <c r="G333" s="113">
        <f>LF!O333+LF!BW333+LF!EE333+LF!GA333</f>
        <v>2</v>
      </c>
      <c r="H333" s="120">
        <f>LF!AO333+LF!CW333</f>
        <v>1459</v>
      </c>
      <c r="I333" s="113">
        <f>LF!AM333+LF!CU333</f>
        <v>0</v>
      </c>
      <c r="J333" s="120">
        <f>LF!BA333+LF!DI333+LF!FE333+LF!HA333</f>
        <v>3183</v>
      </c>
      <c r="K333" s="113">
        <f>LF!AY333+LF!DG333+LF!FC333+LF!GY333</f>
        <v>0</v>
      </c>
    </row>
    <row r="334" spans="1:11" ht="18.75" x14ac:dyDescent="0.25">
      <c r="A334" s="480"/>
      <c r="B334" s="111">
        <f t="shared" si="159"/>
        <v>45198</v>
      </c>
      <c r="C334" s="118">
        <f>LF!HM334</f>
        <v>11573</v>
      </c>
      <c r="D334" s="120">
        <f>LF!E334+LF!AC334+LF!BM334+LF!CK334+LF!DU334+LF!ES334+LF!FQ334+LF!GO334</f>
        <v>3783</v>
      </c>
      <c r="E334" s="113">
        <f>LF!C334+LF!AA334+LF!BK334+LF!CI334+LF!DS334+LF!EQ334+LF!FO334+LF!GM334</f>
        <v>1</v>
      </c>
      <c r="F334" s="120">
        <f>LF!Q334+LF!BY334+LF!EG334+LF!GC334</f>
        <v>3151</v>
      </c>
      <c r="G334" s="113">
        <f>LF!O334+LF!BW334+LF!EE334+LF!GA334</f>
        <v>0</v>
      </c>
      <c r="H334" s="120">
        <f>LF!AO334+LF!CW334</f>
        <v>1456</v>
      </c>
      <c r="I334" s="113">
        <f>LF!AM334+LF!CU334</f>
        <v>3</v>
      </c>
      <c r="J334" s="120">
        <f>LF!BA334+LF!DI334+LF!FE334+LF!HA334</f>
        <v>3183</v>
      </c>
      <c r="K334" s="113">
        <f>LF!AY334+LF!DG334+LF!FC334+LF!GY334</f>
        <v>0</v>
      </c>
    </row>
    <row r="335" spans="1:11" ht="19.5" thickBot="1" x14ac:dyDescent="0.3">
      <c r="A335" s="480"/>
      <c r="B335" s="141">
        <f t="shared" si="159"/>
        <v>45199</v>
      </c>
      <c r="C335" s="142">
        <f>LF!HM335</f>
        <v>11571</v>
      </c>
      <c r="D335" s="143">
        <f>LF!E335+LF!AC335+LF!BM335+LF!CK335+LF!DU335+LF!ES335+LF!FQ335+LF!GO335</f>
        <v>3782</v>
      </c>
      <c r="E335" s="114">
        <f>LF!C335+LF!AA335+LF!BK335+LF!CI335+LF!DS335+LF!EQ335+LF!FO335+LF!GM335</f>
        <v>1</v>
      </c>
      <c r="F335" s="121">
        <f>LF!Q335+LF!BY335+LF!EG335+LF!GC335</f>
        <v>3151</v>
      </c>
      <c r="G335" s="114">
        <f>LF!O335+LF!BW335+LF!EE335+LF!GA335</f>
        <v>0</v>
      </c>
      <c r="H335" s="121">
        <f>LF!AO335+LF!CW335</f>
        <v>1456</v>
      </c>
      <c r="I335" s="114">
        <f>LF!AM335+LF!CU335</f>
        <v>0</v>
      </c>
      <c r="J335" s="121">
        <f>LF!BA335+LF!DI335+LF!FE335+LF!HA335</f>
        <v>3182</v>
      </c>
      <c r="K335" s="114">
        <f>LF!AY335+LF!DG335+LF!FC335+LF!GY335</f>
        <v>1</v>
      </c>
    </row>
    <row r="336" spans="1:11" ht="19.5" thickBot="1" x14ac:dyDescent="0.3">
      <c r="A336" s="481"/>
      <c r="B336" s="2"/>
      <c r="C336" s="140"/>
      <c r="D336" s="144"/>
      <c r="E336" s="115">
        <f t="shared" ref="E336" si="164">SUM(E329:E335)</f>
        <v>10</v>
      </c>
      <c r="F336" s="116"/>
      <c r="G336" s="115">
        <f t="shared" ref="G336" si="165">SUM(G329:G335)</f>
        <v>6</v>
      </c>
      <c r="H336" s="116"/>
      <c r="I336" s="115">
        <f t="shared" ref="I336" si="166">SUM(I329:I335)</f>
        <v>6</v>
      </c>
      <c r="J336" s="116"/>
      <c r="K336" s="115">
        <f t="shared" ref="K336" si="167">SUM(K329:K335)</f>
        <v>2</v>
      </c>
    </row>
    <row r="337" spans="1:11" ht="19.5" thickBot="1" x14ac:dyDescent="0.3">
      <c r="A337" s="82"/>
      <c r="B337" s="139"/>
      <c r="C337" s="108"/>
      <c r="D337" s="109"/>
      <c r="E337" s="109"/>
      <c r="F337" s="109"/>
      <c r="G337" s="109"/>
      <c r="H337" s="109"/>
      <c r="I337" s="109"/>
      <c r="J337" s="109"/>
      <c r="K337" s="109"/>
    </row>
    <row r="338" spans="1:11" ht="18.75" x14ac:dyDescent="0.25">
      <c r="A338" s="479">
        <v>62</v>
      </c>
      <c r="B338" s="110">
        <f t="shared" ref="B338:B347" si="168">+B335+1</f>
        <v>45200</v>
      </c>
      <c r="C338" s="117">
        <f>LF!HM338</f>
        <v>11565</v>
      </c>
      <c r="D338" s="119">
        <f>LF!E338+LF!AC338+LF!BM338+LF!CK338+LF!DU338+LF!ES338+LF!FQ338+LF!GO338</f>
        <v>3780</v>
      </c>
      <c r="E338" s="112">
        <f>LF!C338+LF!AA338+LF!BK338+LF!CI338+LF!DS338+LF!EQ338+LF!FO338+LF!GM338</f>
        <v>2</v>
      </c>
      <c r="F338" s="119">
        <f>LF!Q338+LF!BY338+LF!EG338+LF!GC338</f>
        <v>3149</v>
      </c>
      <c r="G338" s="112">
        <f>LF!O338+LF!BW338+LF!EE338+LF!GA338</f>
        <v>2</v>
      </c>
      <c r="H338" s="119">
        <f>LF!AO338+LF!CW338</f>
        <v>1456</v>
      </c>
      <c r="I338" s="112">
        <f>LF!AM338+LF!CU338</f>
        <v>0</v>
      </c>
      <c r="J338" s="119">
        <f>LF!BA338+LF!DI338+LF!FE338+LF!HA338</f>
        <v>3180</v>
      </c>
      <c r="K338" s="112">
        <f>LF!AY338+LF!DG338+LF!FC338+LF!GY338</f>
        <v>2</v>
      </c>
    </row>
    <row r="339" spans="1:11" ht="18.75" x14ac:dyDescent="0.25">
      <c r="A339" s="480"/>
      <c r="B339" s="111">
        <f t="shared" ref="B339:B353" si="169">+B338+1</f>
        <v>45201</v>
      </c>
      <c r="C339" s="118">
        <f>LF!HM339</f>
        <v>11558</v>
      </c>
      <c r="D339" s="120">
        <f>LF!E339+LF!AC339+LF!BM339+LF!CK339+LF!DU339+LF!ES339+LF!FQ339+LF!GO339</f>
        <v>3777</v>
      </c>
      <c r="E339" s="113">
        <f>LF!C339+LF!AA339+LF!BK339+LF!CI339+LF!DS339+LF!EQ339+LF!FO339+LF!GM339</f>
        <v>3</v>
      </c>
      <c r="F339" s="120">
        <f>LF!Q339+LF!BY339+LF!EG339+LF!GC339</f>
        <v>3147</v>
      </c>
      <c r="G339" s="113">
        <f>LF!O339+LF!BW339+LF!EE339+LF!GA339</f>
        <v>2</v>
      </c>
      <c r="H339" s="120">
        <f>LF!AO339+LF!CW339</f>
        <v>1456</v>
      </c>
      <c r="I339" s="113">
        <f>LF!AM339+LF!CU339</f>
        <v>0</v>
      </c>
      <c r="J339" s="120">
        <f>LF!BA339+LF!DI339+LF!FE339+LF!HA339</f>
        <v>3178</v>
      </c>
      <c r="K339" s="113">
        <f>LF!AY339+LF!DG339+LF!FC339+LF!GY339</f>
        <v>2</v>
      </c>
    </row>
    <row r="340" spans="1:11" ht="18.75" x14ac:dyDescent="0.25">
      <c r="A340" s="480"/>
      <c r="B340" s="111">
        <f t="shared" si="169"/>
        <v>45202</v>
      </c>
      <c r="C340" s="118">
        <f>LF!HM340</f>
        <v>11553</v>
      </c>
      <c r="D340" s="120">
        <f>LF!E340+LF!AC340+LF!BM340+LF!CK340+LF!DU340+LF!ES340+LF!FQ340+LF!GO340</f>
        <v>6917</v>
      </c>
      <c r="E340" s="113">
        <f>LF!C340+LF!AA340+LF!BK340+LF!CI340+LF!DS340+LF!EQ340+LF!FO340+LF!GM340</f>
        <v>1</v>
      </c>
      <c r="F340" s="120">
        <f>LF!Q340+LF!BY340+LF!EG340+LF!GC340</f>
        <v>1729</v>
      </c>
      <c r="G340" s="113">
        <f>LF!O340+LF!BW340+LF!EE340+LF!GA340</f>
        <v>1</v>
      </c>
      <c r="H340" s="120">
        <f>LF!AO340+LF!CW340</f>
        <v>1454</v>
      </c>
      <c r="I340" s="113">
        <f>LF!AM340+LF!CU340</f>
        <v>2</v>
      </c>
      <c r="J340" s="120">
        <f>LF!BA340+LF!DI340+LF!FE340+LF!HA340</f>
        <v>1453</v>
      </c>
      <c r="K340" s="113">
        <f>LF!AY340+LF!DG340+LF!FC340+LF!GY340</f>
        <v>1</v>
      </c>
    </row>
    <row r="341" spans="1:11" ht="18.75" x14ac:dyDescent="0.25">
      <c r="A341" s="480"/>
      <c r="B341" s="111">
        <f t="shared" si="169"/>
        <v>45203</v>
      </c>
      <c r="C341" s="118">
        <f>LF!HM341</f>
        <v>11551</v>
      </c>
      <c r="D341" s="120">
        <f>LF!E341+LF!AC341+LF!BM341+LF!CK341+LF!DU341+LF!ES341+LF!FQ341+LF!GO341</f>
        <v>6915</v>
      </c>
      <c r="E341" s="113">
        <f>LF!C341+LF!AA341+LF!BK341+LF!CI341+LF!DS341+LF!EQ341+LF!FO341+LF!GM341</f>
        <v>2</v>
      </c>
      <c r="F341" s="120">
        <f>LF!Q341+LF!BY341+LF!EG341+LF!GC341</f>
        <v>1729</v>
      </c>
      <c r="G341" s="113">
        <f>LF!O341+LF!BW341+LF!EE341+LF!GA341</f>
        <v>0</v>
      </c>
      <c r="H341" s="120">
        <f>LF!AO341+LF!CW341</f>
        <v>1454</v>
      </c>
      <c r="I341" s="113">
        <f>LF!AM341+LF!CU341</f>
        <v>0</v>
      </c>
      <c r="J341" s="120">
        <f>LF!BA341+LF!DI341+LF!FE341+LF!HA341</f>
        <v>1453</v>
      </c>
      <c r="K341" s="113">
        <f>LF!AY341+LF!DG341+LF!FC341+LF!GY341</f>
        <v>0</v>
      </c>
    </row>
    <row r="342" spans="1:11" ht="18.75" x14ac:dyDescent="0.25">
      <c r="A342" s="480"/>
      <c r="B342" s="111">
        <f t="shared" si="169"/>
        <v>45204</v>
      </c>
      <c r="C342" s="118">
        <f>LF!HM342</f>
        <v>11548</v>
      </c>
      <c r="D342" s="120">
        <f>LF!E342+LF!AC342+LF!BM342+LF!CK342+LF!DU342+LF!ES342+LF!FQ342+LF!GO342</f>
        <v>6915</v>
      </c>
      <c r="E342" s="113">
        <f>LF!C342+LF!AA342+LF!BK342+LF!CI342+LF!DS342+LF!EQ342+LF!FO342+LF!GM342</f>
        <v>0</v>
      </c>
      <c r="F342" s="120">
        <f>LF!Q342+LF!BY342+LF!EG342+LF!GC342</f>
        <v>1729</v>
      </c>
      <c r="G342" s="113">
        <f>LF!O342+LF!BW342+LF!EE342+LF!GA342</f>
        <v>0</v>
      </c>
      <c r="H342" s="120">
        <f>LF!AO342+LF!CW342</f>
        <v>1454</v>
      </c>
      <c r="I342" s="113">
        <f>LF!AM342+LF!CU342</f>
        <v>0</v>
      </c>
      <c r="J342" s="120">
        <f>LF!BA342+LF!DI342+LF!FE342+LF!HA342</f>
        <v>1450</v>
      </c>
      <c r="K342" s="113">
        <f>LF!AY342+LF!DG342+LF!FC342+LF!GY342</f>
        <v>3</v>
      </c>
    </row>
    <row r="343" spans="1:11" ht="18.75" x14ac:dyDescent="0.25">
      <c r="A343" s="480"/>
      <c r="B343" s="111">
        <f t="shared" si="169"/>
        <v>45205</v>
      </c>
      <c r="C343" s="118">
        <f>LF!HM343</f>
        <v>11543</v>
      </c>
      <c r="D343" s="120">
        <f>LF!E343+LF!AC343+LF!BM343+LF!CK343+LF!DU343+LF!ES343+LF!FQ343+LF!GO343</f>
        <v>6912</v>
      </c>
      <c r="E343" s="113">
        <f>LF!C343+LF!AA343+LF!BK343+LF!CI343+LF!DS343+LF!EQ343+LF!FO343+LF!GM343</f>
        <v>3</v>
      </c>
      <c r="F343" s="120">
        <f>LF!Q343+LF!BY343+LF!EG343+LF!GC343</f>
        <v>1728</v>
      </c>
      <c r="G343" s="113">
        <f>LF!O343+LF!BW343+LF!EE343+LF!GA343</f>
        <v>1</v>
      </c>
      <c r="H343" s="120">
        <f>LF!AO343+LF!CW343</f>
        <v>1454</v>
      </c>
      <c r="I343" s="113">
        <f>LF!AM343+LF!CU343</f>
        <v>0</v>
      </c>
      <c r="J343" s="120">
        <f>LF!BA343+LF!DI343+LF!FE343+LF!HA343</f>
        <v>1449</v>
      </c>
      <c r="K343" s="113">
        <f>LF!AY343+LF!DG343+LF!FC343+LF!GY343</f>
        <v>1</v>
      </c>
    </row>
    <row r="344" spans="1:11" ht="19.5" thickBot="1" x14ac:dyDescent="0.3">
      <c r="A344" s="480"/>
      <c r="B344" s="141">
        <f t="shared" si="169"/>
        <v>45206</v>
      </c>
      <c r="C344" s="142">
        <f>LF!HM344</f>
        <v>11535</v>
      </c>
      <c r="D344" s="143">
        <f>LF!E344+LF!AC344+LF!BM344+LF!CK344+LF!DU344+LF!ES344+LF!FQ344+LF!GO344</f>
        <v>6909</v>
      </c>
      <c r="E344" s="114">
        <f>LF!C344+LF!AA344+LF!BK344+LF!CI344+LF!DS344+LF!EQ344+LF!FO344+LF!GM344</f>
        <v>3</v>
      </c>
      <c r="F344" s="121">
        <f>LF!Q344+LF!BY344+LF!EG344+LF!GC344</f>
        <v>1727</v>
      </c>
      <c r="G344" s="114">
        <f>LF!O344+LF!BW344+LF!EE344+LF!GA344</f>
        <v>1</v>
      </c>
      <c r="H344" s="121">
        <f>LF!AO344+LF!CW344</f>
        <v>1451</v>
      </c>
      <c r="I344" s="114">
        <f>LF!AM344+LF!CU344</f>
        <v>3</v>
      </c>
      <c r="J344" s="121">
        <f>LF!BA344+LF!DI344+LF!FE344+LF!HA344</f>
        <v>1448</v>
      </c>
      <c r="K344" s="114">
        <f>LF!AY344+LF!DG344+LF!FC344+LF!GY344</f>
        <v>1</v>
      </c>
    </row>
    <row r="345" spans="1:11" ht="19.5" thickBot="1" x14ac:dyDescent="0.3">
      <c r="A345" s="481"/>
      <c r="B345" s="2"/>
      <c r="C345" s="140"/>
      <c r="D345" s="144"/>
      <c r="E345" s="115">
        <f t="shared" ref="E345" si="170">SUM(E338:E344)</f>
        <v>14</v>
      </c>
      <c r="F345" s="116"/>
      <c r="G345" s="115">
        <f t="shared" ref="G345" si="171">SUM(G338:G344)</f>
        <v>7</v>
      </c>
      <c r="H345" s="116"/>
      <c r="I345" s="115">
        <f t="shared" ref="I345" si="172">SUM(I338:I344)</f>
        <v>5</v>
      </c>
      <c r="J345" s="116"/>
      <c r="K345" s="115">
        <f t="shared" ref="K345" si="173">SUM(K338:K344)</f>
        <v>10</v>
      </c>
    </row>
    <row r="346" spans="1:11" ht="19.5" thickBot="1" x14ac:dyDescent="0.3">
      <c r="A346" s="82"/>
      <c r="B346" s="139"/>
      <c r="C346" s="108"/>
      <c r="D346" s="109"/>
      <c r="E346" s="109"/>
      <c r="F346" s="109"/>
      <c r="G346" s="109"/>
      <c r="H346" s="109"/>
      <c r="I346" s="109"/>
      <c r="J346" s="109"/>
      <c r="K346" s="109"/>
    </row>
    <row r="347" spans="1:11" ht="18.75" x14ac:dyDescent="0.25">
      <c r="A347" s="479">
        <v>63</v>
      </c>
      <c r="B347" s="110">
        <f t="shared" si="168"/>
        <v>45207</v>
      </c>
      <c r="C347" s="117">
        <f>LF!HM347</f>
        <v>11531</v>
      </c>
      <c r="D347" s="119">
        <f>LF!E347+LF!AC347+LF!BM347+LF!CK347+LF!DU347+LF!ES347+LF!FQ347+LF!GO347</f>
        <v>6907</v>
      </c>
      <c r="E347" s="112">
        <f>LF!C347+LF!AA347+LF!BK347+LF!CI347+LF!DS347+LF!EQ347+LF!FO347+LF!GM347</f>
        <v>2</v>
      </c>
      <c r="F347" s="119">
        <f>LF!Q347+LF!BY347+LF!EG347+LF!GC347</f>
        <v>1726</v>
      </c>
      <c r="G347" s="112">
        <f>LF!O347+LF!BW347+LF!EE347+LF!GA347</f>
        <v>1</v>
      </c>
      <c r="H347" s="119">
        <f>LF!AO347+LF!CW347</f>
        <v>1451</v>
      </c>
      <c r="I347" s="112">
        <f>LF!AM347+LF!CU347</f>
        <v>0</v>
      </c>
      <c r="J347" s="119">
        <f>LF!BA347+LF!DI347+LF!FE347+LF!HA347</f>
        <v>1447</v>
      </c>
      <c r="K347" s="112">
        <f>LF!AY347+LF!DG347+LF!FC347+LF!GY347</f>
        <v>1</v>
      </c>
    </row>
    <row r="348" spans="1:11" ht="18.75" x14ac:dyDescent="0.25">
      <c r="A348" s="480"/>
      <c r="B348" s="111">
        <f t="shared" si="169"/>
        <v>45208</v>
      </c>
      <c r="C348" s="118">
        <f>LF!HM348</f>
        <v>11523</v>
      </c>
      <c r="D348" s="120">
        <f>LF!E348+LF!AC348+LF!BM348+LF!CK348+LF!DU348+LF!ES348+LF!FQ348+LF!GO348</f>
        <v>6905</v>
      </c>
      <c r="E348" s="113">
        <f>LF!C348+LF!AA348+LF!BK348+LF!CI348+LF!DS348+LF!EQ348+LF!FO348+LF!GM348</f>
        <v>2</v>
      </c>
      <c r="F348" s="120">
        <f>LF!Q348+LF!BY348+LF!EG348+LF!GC348</f>
        <v>1721</v>
      </c>
      <c r="G348" s="113">
        <f>LF!O348+LF!BW348+LF!EE348+LF!GA348</f>
        <v>5</v>
      </c>
      <c r="H348" s="120">
        <f>LF!AO348+LF!CW348</f>
        <v>1450</v>
      </c>
      <c r="I348" s="113">
        <f>LF!AM348+LF!CU348</f>
        <v>1</v>
      </c>
      <c r="J348" s="120">
        <f>LF!BA348+LF!DI348+LF!FE348+LF!HA348</f>
        <v>1447</v>
      </c>
      <c r="K348" s="113">
        <f>LF!AY348+LF!DG348+LF!FC348+LF!GY348</f>
        <v>0</v>
      </c>
    </row>
    <row r="349" spans="1:11" ht="18.75" x14ac:dyDescent="0.25">
      <c r="A349" s="480"/>
      <c r="B349" s="111">
        <f t="shared" si="169"/>
        <v>45209</v>
      </c>
      <c r="C349" s="118">
        <f>LF!HM349</f>
        <v>11515</v>
      </c>
      <c r="D349" s="120">
        <f>LF!E349+LF!AC349+LF!BM349+LF!CK349+LF!DU349+LF!ES349+LF!FQ349+LF!GO349</f>
        <v>6901</v>
      </c>
      <c r="E349" s="113">
        <f>LF!C349+LF!AA349+LF!BK349+LF!CI349+LF!DS349+LF!EQ349+LF!FO349+LF!GM349</f>
        <v>4</v>
      </c>
      <c r="F349" s="120">
        <f>LF!Q349+LF!BY349+LF!EG349+LF!GC349</f>
        <v>1718</v>
      </c>
      <c r="G349" s="113">
        <f>LF!O349+LF!BW349+LF!EE349+LF!GA349</f>
        <v>3</v>
      </c>
      <c r="H349" s="120">
        <f>LF!AO349+LF!CW349</f>
        <v>1449</v>
      </c>
      <c r="I349" s="113">
        <f>LF!AM349+LF!CU349</f>
        <v>1</v>
      </c>
      <c r="J349" s="120">
        <f>LF!BA349+LF!DI349+LF!FE349+LF!HA349</f>
        <v>1447</v>
      </c>
      <c r="K349" s="113">
        <f>LF!AY349+LF!DG349+LF!FC349+LF!GY349</f>
        <v>0</v>
      </c>
    </row>
    <row r="350" spans="1:11" ht="18.75" x14ac:dyDescent="0.25">
      <c r="A350" s="480"/>
      <c r="B350" s="111">
        <f t="shared" si="169"/>
        <v>45210</v>
      </c>
      <c r="C350" s="118">
        <f>LF!HM350</f>
        <v>11512</v>
      </c>
      <c r="D350" s="120">
        <f>LF!E350+LF!AC350+LF!BM350+LF!CK350+LF!DU350+LF!ES350+LF!FQ350+LF!GO350</f>
        <v>6899</v>
      </c>
      <c r="E350" s="113">
        <f>LF!C350+LF!AA350+LF!BK350+LF!CI350+LF!DS350+LF!EQ350+LF!FO350+LF!GM350</f>
        <v>2</v>
      </c>
      <c r="F350" s="120">
        <f>LF!Q350+LF!BY350+LF!EG350+LF!GC350</f>
        <v>1718</v>
      </c>
      <c r="G350" s="113">
        <f>LF!O350+LF!BW350+LF!EE350+LF!GA350</f>
        <v>0</v>
      </c>
      <c r="H350" s="120">
        <f>LF!AO350+LF!CW350</f>
        <v>1448</v>
      </c>
      <c r="I350" s="113">
        <f>LF!AM350+LF!CU350</f>
        <v>1</v>
      </c>
      <c r="J350" s="120">
        <f>LF!BA350+LF!DI350+LF!FE350+LF!HA350</f>
        <v>1447</v>
      </c>
      <c r="K350" s="113">
        <f>LF!AY350+LF!DG350+LF!FC350+LF!GY350</f>
        <v>0</v>
      </c>
    </row>
    <row r="351" spans="1:11" ht="18.75" x14ac:dyDescent="0.25">
      <c r="A351" s="480"/>
      <c r="B351" s="111">
        <f t="shared" si="169"/>
        <v>45211</v>
      </c>
      <c r="C351" s="118">
        <f>LF!HM351</f>
        <v>11508</v>
      </c>
      <c r="D351" s="120">
        <f>LF!E351+LF!AC351+LF!BM351+LF!CK351+LF!DU351+LF!ES351+LF!FQ351+LF!GO351</f>
        <v>6897</v>
      </c>
      <c r="E351" s="113">
        <f>LF!C351+LF!AA351+LF!BK351+LF!CI351+LF!DS351+LF!EQ351+LF!FO351+LF!GM351</f>
        <v>2</v>
      </c>
      <c r="F351" s="120">
        <f>LF!Q351+LF!BY351+LF!EG351+LF!GC351</f>
        <v>1717</v>
      </c>
      <c r="G351" s="113">
        <f>LF!O351+LF!BW351+LF!EE351+LF!GA351</f>
        <v>1</v>
      </c>
      <c r="H351" s="120">
        <f>LF!AO351+LF!CW351</f>
        <v>1448</v>
      </c>
      <c r="I351" s="113">
        <f>LF!AM351+LF!CU351</f>
        <v>0</v>
      </c>
      <c r="J351" s="120">
        <f>LF!BA351+LF!DI351+LF!FE351+LF!HA351</f>
        <v>1446</v>
      </c>
      <c r="K351" s="113">
        <f>LF!AY351+LF!DG351+LF!FC351+LF!GY351</f>
        <v>1</v>
      </c>
    </row>
    <row r="352" spans="1:11" ht="18.75" x14ac:dyDescent="0.25">
      <c r="A352" s="480"/>
      <c r="B352" s="111">
        <f t="shared" si="169"/>
        <v>45212</v>
      </c>
      <c r="C352" s="118">
        <f>LF!HM352</f>
        <v>11503</v>
      </c>
      <c r="D352" s="120">
        <f>LF!E352+LF!AC352+LF!BM352+LF!CK352+LF!DU352+LF!ES352+LF!FQ352+LF!GO352</f>
        <v>6893</v>
      </c>
      <c r="E352" s="113">
        <f>LF!C352+LF!AA352+LF!BK352+LF!CI352+LF!DS352+LF!EQ352+LF!FO352+LF!GM352</f>
        <v>4</v>
      </c>
      <c r="F352" s="120">
        <f>LF!Q352+LF!BY352+LF!EG352+LF!GC352</f>
        <v>1717</v>
      </c>
      <c r="G352" s="113">
        <f>LF!O352+LF!BW352+LF!EE352+LF!GA352</f>
        <v>0</v>
      </c>
      <c r="H352" s="120">
        <f>LF!AO352+LF!CW352</f>
        <v>1447</v>
      </c>
      <c r="I352" s="113">
        <f>LF!AM352+LF!CU352</f>
        <v>1</v>
      </c>
      <c r="J352" s="120">
        <f>LF!BA352+LF!DI352+LF!FE352+LF!HA352</f>
        <v>1446</v>
      </c>
      <c r="K352" s="113">
        <f>LF!AY352+LF!DG352+LF!FC352+LF!GY352</f>
        <v>0</v>
      </c>
    </row>
    <row r="353" spans="1:11" ht="19.5" thickBot="1" x14ac:dyDescent="0.3">
      <c r="A353" s="480"/>
      <c r="B353" s="141">
        <f t="shared" si="169"/>
        <v>45213</v>
      </c>
      <c r="C353" s="142">
        <f>LF!HM353</f>
        <v>11499</v>
      </c>
      <c r="D353" s="143">
        <f>LF!E353+LF!AC353+LF!BM353+LF!CK353+LF!DU353+LF!ES353+LF!FQ353+LF!GO353</f>
        <v>6890</v>
      </c>
      <c r="E353" s="114">
        <f>LF!C353+LF!AA353+LF!BK353+LF!CI353+LF!DS353+LF!EQ353+LF!FO353+LF!GM353</f>
        <v>3</v>
      </c>
      <c r="F353" s="121">
        <f>LF!Q353+LF!BY353+LF!EG353+LF!GC353</f>
        <v>1716</v>
      </c>
      <c r="G353" s="114">
        <f>LF!O353+LF!BW353+LF!EE353+LF!GA353</f>
        <v>1</v>
      </c>
      <c r="H353" s="121">
        <f>LF!AO353+LF!CW353</f>
        <v>1447</v>
      </c>
      <c r="I353" s="114">
        <f>LF!AM353+LF!CU353</f>
        <v>0</v>
      </c>
      <c r="J353" s="121">
        <f>LF!BA353+LF!DI353+LF!FE353+LF!HA353</f>
        <v>1446</v>
      </c>
      <c r="K353" s="114">
        <f>LF!AY353+LF!DG353+LF!FC353+LF!GY353</f>
        <v>0</v>
      </c>
    </row>
    <row r="354" spans="1:11" ht="19.5" thickBot="1" x14ac:dyDescent="0.3">
      <c r="A354" s="481"/>
      <c r="B354" s="2"/>
      <c r="C354" s="140"/>
      <c r="D354" s="144"/>
      <c r="E354" s="115">
        <f t="shared" ref="E354" si="174">SUM(E347:E353)</f>
        <v>19</v>
      </c>
      <c r="F354" s="116"/>
      <c r="G354" s="115">
        <f t="shared" ref="G354" si="175">SUM(G347:G353)</f>
        <v>11</v>
      </c>
      <c r="H354" s="116"/>
      <c r="I354" s="115">
        <f t="shared" ref="I354" si="176">SUM(I347:I353)</f>
        <v>4</v>
      </c>
      <c r="J354" s="116"/>
      <c r="K354" s="115">
        <f t="shared" ref="K354" si="177">SUM(K347:K353)</f>
        <v>2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LF</vt:lpstr>
      <vt:lpstr>Incrementos</vt:lpstr>
      <vt:lpstr>LM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2023-10-28T19:57:15Z</dcterms:modified>
</cp:coreProperties>
</file>